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nThanhLong" sheetId="1" r:id="rId4"/>
    <sheet state="visible" name="Tool" sheetId="2" r:id="rId5"/>
    <sheet state="visible" name="dkm - translate" sheetId="3" r:id="rId6"/>
    <sheet state="visible" name="FeetFrenzy" sheetId="4" r:id="rId7"/>
    <sheet state="visible" name="edge" sheetId="5" r:id="rId8"/>
    <sheet state="visible" name="Flash" sheetId="6" r:id="rId9"/>
    <sheet state="visible" name="Themes" sheetId="7" r:id="rId10"/>
    <sheet state="visible" name="FeetFinder" sheetId="8" r:id="rId11"/>
    <sheet state="visible" name="Theme - translate" sheetId="9" r:id="rId12"/>
    <sheet state="visible" name="CT Theme - V2" sheetId="10" r:id="rId13"/>
    <sheet state="visible" name="SpinWheel" sheetId="11" r:id="rId14"/>
    <sheet state="visible" name="MixMusic" sheetId="12" r:id="rId15"/>
  </sheets>
  <definedNames/>
  <calcPr/>
</workbook>
</file>

<file path=xl/sharedStrings.xml><?xml version="1.0" encoding="utf-8"?>
<sst xmlns="http://schemas.openxmlformats.org/spreadsheetml/2006/main" count="45277" uniqueCount="17986">
  <si>
    <t>Group Keys</t>
  </si>
  <si>
    <t>Text Keys</t>
  </si>
  <si>
    <t>Base(en)</t>
  </si>
  <si>
    <t>Vietnamese (vi)</t>
  </si>
  <si>
    <t>Arabic (ar)</t>
  </si>
  <si>
    <t>Czech (cs)</t>
  </si>
  <si>
    <t>German (de)</t>
  </si>
  <si>
    <t>Greek (el)</t>
  </si>
  <si>
    <t>Spanish (es)</t>
  </si>
  <si>
    <t>Estonian (et)</t>
  </si>
  <si>
    <t>Finnish (fi)</t>
  </si>
  <si>
    <t>French (fr)</t>
  </si>
  <si>
    <t>Hindi (hi)</t>
  </si>
  <si>
    <t>Indonesian (id)</t>
  </si>
  <si>
    <t>Italian  (it)</t>
  </si>
  <si>
    <t>Japanese (ja)</t>
  </si>
  <si>
    <t>Khmer (km)</t>
  </si>
  <si>
    <t>Kannada (kn)</t>
  </si>
  <si>
    <t>Korean (ko)</t>
  </si>
  <si>
    <t>Lao (lo)</t>
  </si>
  <si>
    <t>Latvian (lv)</t>
  </si>
  <si>
    <t>Malay (ms)</t>
  </si>
  <si>
    <t>Dutch (nl)</t>
  </si>
  <si>
    <t>Polish (pl)</t>
  </si>
  <si>
    <t>Portuguese (pt-PT)</t>
  </si>
  <si>
    <t>Russian (ru)</t>
  </si>
  <si>
    <t>Thai (th)</t>
  </si>
  <si>
    <t>Turkish (tr)</t>
  </si>
  <si>
    <t>Ukrainian (uk)</t>
  </si>
  <si>
    <t>Chinese (zh-Hans)</t>
  </si>
  <si>
    <t>tabbar</t>
  </si>
  <si>
    <t>calculator</t>
  </si>
  <si>
    <t>Calculator</t>
  </si>
  <si>
    <t>weighing</t>
  </si>
  <si>
    <t>Weighing</t>
  </si>
  <si>
    <t>settings</t>
  </si>
  <si>
    <t>Settings</t>
  </si>
  <si>
    <t>screen</t>
  </si>
  <si>
    <t>weighing_title</t>
  </si>
  <si>
    <t>Fruit Weighing</t>
  </si>
  <si>
    <t>weighing_summary</t>
  </si>
  <si>
    <t>Summary</t>
  </si>
  <si>
    <t>weighing_export</t>
  </si>
  <si>
    <t>Export goods</t>
  </si>
  <si>
    <t>weighing_defective</t>
  </si>
  <si>
    <t>Defective goods</t>
  </si>
  <si>
    <t>weighing_bulk</t>
  </si>
  <si>
    <t>Bulk goods</t>
  </si>
  <si>
    <t>Text Key</t>
  </si>
  <si>
    <t>Italian (it)</t>
  </si>
  <si>
    <t>selectAll</t>
  </si>
  <si>
    <t>Select All</t>
  </si>
  <si>
    <t>اختر الكل</t>
  </si>
  <si>
    <t>Vybrat vše</t>
  </si>
  <si>
    <t>Wählen Sie Alle</t>
  </si>
  <si>
    <t>Επιλογή όλων</t>
  </si>
  <si>
    <t>Seleccionar todo</t>
  </si>
  <si>
    <t>Vali kõik</t>
  </si>
  <si>
    <t>Valitse kaikki</t>
  </si>
  <si>
    <t>Tout sélectionner</t>
  </si>
  <si>
    <t>सबका चयन करें</t>
  </si>
  <si>
    <t>Pilih Semua</t>
  </si>
  <si>
    <t>Seleziona tutto</t>
  </si>
  <si>
    <t>すべて選択</t>
  </si>
  <si>
    <t>ជ្រើសរើស​ទាំងអស់</t>
  </si>
  <si>
    <t>ಎಲ್ಲವನ್ನು ಆರಿಸು</t>
  </si>
  <si>
    <t>모두를 선택하십시오</t>
  </si>
  <si>
    <t>ເລືອກ​ທັງ​ຫມົດ</t>
  </si>
  <si>
    <t>Izvēlēties visus</t>
  </si>
  <si>
    <t>Pilih semua</t>
  </si>
  <si>
    <t>Selecteer alles</t>
  </si>
  <si>
    <t>Zaznacz wszystko</t>
  </si>
  <si>
    <t>Selecionar tudo</t>
  </si>
  <si>
    <t>Выбрать все</t>
  </si>
  <si>
    <t>เลือกทั้งหมด</t>
  </si>
  <si>
    <t>Hepsini seç</t>
  </si>
  <si>
    <t>Вибрати все</t>
  </si>
  <si>
    <t>全选</t>
  </si>
  <si>
    <t>Chọn tất cả</t>
  </si>
  <si>
    <t>deselectAll</t>
  </si>
  <si>
    <t>Deselect All</t>
  </si>
  <si>
    <t>الغاء تحديد الكل</t>
  </si>
  <si>
    <t>Odznačit vše</t>
  </si>
  <si>
    <t>Alle abwählen</t>
  </si>
  <si>
    <t>Αποεπιλογή όλων</t>
  </si>
  <si>
    <t>Deseleccionar todo</t>
  </si>
  <si>
    <t>Valige kõik</t>
  </si>
  <si>
    <t>Poistaa kaikki valinta</t>
  </si>
  <si>
    <t>Tout déselectionner</t>
  </si>
  <si>
    <t>सबको अचयनित करो</t>
  </si>
  <si>
    <t>Batalkan pilihan semua</t>
  </si>
  <si>
    <t>Deselezionare tutto</t>
  </si>
  <si>
    <t>すべての選択を解除</t>
  </si>
  <si>
    <t>ដោះជម្រើសទាំងអស់</t>
  </si>
  <si>
    <t>ಎಲ್ಲವನ್ನು ಆಯ್ಕೆ ಮಾಡಿ</t>
  </si>
  <si>
    <t>모든 것을 선택 해제하십시오</t>
  </si>
  <si>
    <t>ບໍ່ເລືອກທັງຫມົດ</t>
  </si>
  <si>
    <t>Atsijāt visu</t>
  </si>
  <si>
    <t>Nyahpilih semua</t>
  </si>
  <si>
    <t>Deselecteer alles</t>
  </si>
  <si>
    <t>Odznacz wszystkie</t>
  </si>
  <si>
    <t>Desmarcar todos</t>
  </si>
  <si>
    <t>Убрать выделение со всего</t>
  </si>
  <si>
    <t>ยกเลิกการเลือกทั้งหมด</t>
  </si>
  <si>
    <t>Hiçbirini seçme</t>
  </si>
  <si>
    <t>Вимити вибір</t>
  </si>
  <si>
    <t>取消选择</t>
  </si>
  <si>
    <t>Bỏ chọn tất cả</t>
  </si>
  <si>
    <t>cancel</t>
  </si>
  <si>
    <t>Cancel</t>
  </si>
  <si>
    <t>يلغي</t>
  </si>
  <si>
    <t>zrušení</t>
  </si>
  <si>
    <t>Stornieren</t>
  </si>
  <si>
    <t>Ματαίωση</t>
  </si>
  <si>
    <t>Cancelar</t>
  </si>
  <si>
    <t>Tühistama</t>
  </si>
  <si>
    <t>Peruuttaa</t>
  </si>
  <si>
    <t>Annuler</t>
  </si>
  <si>
    <t>रद्द करना</t>
  </si>
  <si>
    <t>Membatalkan</t>
  </si>
  <si>
    <t>Annulla</t>
  </si>
  <si>
    <t>キャンセル</t>
  </si>
  <si>
    <t>លប់ចោល</t>
  </si>
  <si>
    <t>ರದ್ದುಮಾಡು</t>
  </si>
  <si>
    <t>취소</t>
  </si>
  <si>
    <t>ຍົກເລີກ</t>
  </si>
  <si>
    <t>Atcelt</t>
  </si>
  <si>
    <t>Batalkan</t>
  </si>
  <si>
    <t>Annuleren</t>
  </si>
  <si>
    <t>Anulować</t>
  </si>
  <si>
    <t>Отмена</t>
  </si>
  <si>
    <t>ยกเลิก</t>
  </si>
  <si>
    <t>İptal etmek</t>
  </si>
  <si>
    <t>Скасувати</t>
  </si>
  <si>
    <t>取消</t>
  </si>
  <si>
    <t>Hủy bỏ</t>
  </si>
  <si>
    <t>done</t>
  </si>
  <si>
    <t>Done</t>
  </si>
  <si>
    <t>منتهي</t>
  </si>
  <si>
    <t>Hotovo</t>
  </si>
  <si>
    <t>Erledigt</t>
  </si>
  <si>
    <t>Εγινε</t>
  </si>
  <si>
    <t>Hecho</t>
  </si>
  <si>
    <t>Tehtud</t>
  </si>
  <si>
    <t>Tehty</t>
  </si>
  <si>
    <t>Fait</t>
  </si>
  <si>
    <t>हो गया</t>
  </si>
  <si>
    <t>Selesai</t>
  </si>
  <si>
    <t>Fatto</t>
  </si>
  <si>
    <t>終わり</t>
  </si>
  <si>
    <t>រ្យេឱដេនោ</t>
  </si>
  <si>
    <t>ಮುಗಿದ</t>
  </si>
  <si>
    <t>완료</t>
  </si>
  <si>
    <t>ແລ້ວ? ແລ້ວ</t>
  </si>
  <si>
    <t>Darīts</t>
  </si>
  <si>
    <t>Klaar</t>
  </si>
  <si>
    <t>Zrobione</t>
  </si>
  <si>
    <t>Feito</t>
  </si>
  <si>
    <t>Сделанный</t>
  </si>
  <si>
    <t>เสร็จแล้ว</t>
  </si>
  <si>
    <t>Tamamlamak</t>
  </si>
  <si>
    <t>Зроблений</t>
  </si>
  <si>
    <t>完毕</t>
  </si>
  <si>
    <t>Xong</t>
  </si>
  <si>
    <t>send</t>
  </si>
  <si>
    <t>Send</t>
  </si>
  <si>
    <t>يرسل</t>
  </si>
  <si>
    <t>Poslat</t>
  </si>
  <si>
    <t>Schicken</t>
  </si>
  <si>
    <t>Στείλετε</t>
  </si>
  <si>
    <t>Enviar</t>
  </si>
  <si>
    <t>Saada</t>
  </si>
  <si>
    <t>Lähettää</t>
  </si>
  <si>
    <t>Envoyer</t>
  </si>
  <si>
    <t>भेजना</t>
  </si>
  <si>
    <t>Mengirim</t>
  </si>
  <si>
    <t>Inviare</t>
  </si>
  <si>
    <t>送信</t>
  </si>
  <si>
    <t>ផ្ញើរ</t>
  </si>
  <si>
    <t>ಕಳುಹಿಸು</t>
  </si>
  <si>
    <t>보내다</t>
  </si>
  <si>
    <t>ສົ່ງ</t>
  </si>
  <si>
    <t>Nosūtīt</t>
  </si>
  <si>
    <t>Hantar</t>
  </si>
  <si>
    <t>Versturen</t>
  </si>
  <si>
    <t>Wysłać</t>
  </si>
  <si>
    <t>Отправлять</t>
  </si>
  <si>
    <t>ส่ง</t>
  </si>
  <si>
    <t>Göndermek</t>
  </si>
  <si>
    <t>Надсилати</t>
  </si>
  <si>
    <t>发送</t>
  </si>
  <si>
    <t>Gửi</t>
  </si>
  <si>
    <t>ok</t>
  </si>
  <si>
    <t>OK</t>
  </si>
  <si>
    <t>نعم</t>
  </si>
  <si>
    <t>Εντάξει</t>
  </si>
  <si>
    <t>DE ACUERDO</t>
  </si>
  <si>
    <t>Okei</t>
  </si>
  <si>
    <t>Hyvä</t>
  </si>
  <si>
    <t>D'ACCORD</t>
  </si>
  <si>
    <t>ठीक है</t>
  </si>
  <si>
    <t>OKE</t>
  </si>
  <si>
    <t>わかりました</t>
  </si>
  <si>
    <t>យល់ព្រម</t>
  </si>
  <si>
    <t>ಸರಿ</t>
  </si>
  <si>
    <t>좋아요</t>
  </si>
  <si>
    <t>ຕົກ​ລົງ</t>
  </si>
  <si>
    <t>labi</t>
  </si>
  <si>
    <t>okey</t>
  </si>
  <si>
    <t>ХОРОШО</t>
  </si>
  <si>
    <t>ตกลง</t>
  </si>
  <si>
    <t>TAMAM</t>
  </si>
  <si>
    <t>в порядку</t>
  </si>
  <si>
    <t>好的</t>
  </si>
  <si>
    <t>Đồng ý</t>
  </si>
  <si>
    <t>edit</t>
  </si>
  <si>
    <t>Edit</t>
  </si>
  <si>
    <t>يحرر</t>
  </si>
  <si>
    <t>Upravit</t>
  </si>
  <si>
    <t>Bearbeiten</t>
  </si>
  <si>
    <t>Επεξεργασία</t>
  </si>
  <si>
    <t>Editar</t>
  </si>
  <si>
    <t>Redigeerima</t>
  </si>
  <si>
    <t>Muokata</t>
  </si>
  <si>
    <t>Modifier</t>
  </si>
  <si>
    <t>संपादन करना</t>
  </si>
  <si>
    <t>Modificare</t>
  </si>
  <si>
    <t>編集</t>
  </si>
  <si>
    <t>បិនិត្យ</t>
  </si>
  <si>
    <t>ತಿದ್ದು</t>
  </si>
  <si>
    <t>편집하다</t>
  </si>
  <si>
    <t>ແກ້ໄຂ</t>
  </si>
  <si>
    <t>Rediģēt</t>
  </si>
  <si>
    <t>Bewerking</t>
  </si>
  <si>
    <t>Edytować</t>
  </si>
  <si>
    <t>Редактировать</t>
  </si>
  <si>
    <t>แก้ไข</t>
  </si>
  <si>
    <t>Düzenlemek</t>
  </si>
  <si>
    <t>Редагувати</t>
  </si>
  <si>
    <t>编辑</t>
  </si>
  <si>
    <t>Chỉnh sửa</t>
  </si>
  <si>
    <t>select</t>
  </si>
  <si>
    <t>Select</t>
  </si>
  <si>
    <t>يختار</t>
  </si>
  <si>
    <t>Vybrat</t>
  </si>
  <si>
    <t>Wählen</t>
  </si>
  <si>
    <t>Επιλέγω</t>
  </si>
  <si>
    <t>Seleccionar</t>
  </si>
  <si>
    <t>Valima</t>
  </si>
  <si>
    <t>Valita</t>
  </si>
  <si>
    <t>Sélectionner</t>
  </si>
  <si>
    <t>चुनना</t>
  </si>
  <si>
    <t>Pilih</t>
  </si>
  <si>
    <t>Selezionare</t>
  </si>
  <si>
    <t>選択する</t>
  </si>
  <si>
    <t>រេចីសរើស</t>
  </si>
  <si>
    <t>ಆಯ್ಕೆ ಮಾಡಿ</t>
  </si>
  <si>
    <t>선택하다</t>
  </si>
  <si>
    <t>ເລືອກ</t>
  </si>
  <si>
    <t>Atlasīt</t>
  </si>
  <si>
    <t>Uitkiezen</t>
  </si>
  <si>
    <t>Wybierać</t>
  </si>
  <si>
    <t>Selecione</t>
  </si>
  <si>
    <t>Выбирать</t>
  </si>
  <si>
    <t>เลือก</t>
  </si>
  <si>
    <t>Seçme</t>
  </si>
  <si>
    <t>Обраний</t>
  </si>
  <si>
    <t>选择</t>
  </si>
  <si>
    <t>Chọn</t>
  </si>
  <si>
    <t>selected</t>
  </si>
  <si>
    <t>Selected</t>
  </si>
  <si>
    <t>المحدد</t>
  </si>
  <si>
    <t>Vybraný</t>
  </si>
  <si>
    <t>Ausgewählt</t>
  </si>
  <si>
    <t>Επιλεγμένος</t>
  </si>
  <si>
    <t>Seleccionado</t>
  </si>
  <si>
    <t>Valitud</t>
  </si>
  <si>
    <t>Valittu</t>
  </si>
  <si>
    <t>Choisi</t>
  </si>
  <si>
    <t>चयनित</t>
  </si>
  <si>
    <t>Terpilih</t>
  </si>
  <si>
    <t>Selezionato</t>
  </si>
  <si>
    <t>選択</t>
  </si>
  <si>
    <t>បានជ្រើស</t>
  </si>
  <si>
    <t>ಆಯ್ದ</t>
  </si>
  <si>
    <t>선택된</t>
  </si>
  <si>
    <t>ຄັດເລືອກ</t>
  </si>
  <si>
    <t>Atlasīts</t>
  </si>
  <si>
    <t>Dipilih</t>
  </si>
  <si>
    <t>Geselecteerd</t>
  </si>
  <si>
    <t>Wybrany</t>
  </si>
  <si>
    <t>Selecionado</t>
  </si>
  <si>
    <t>Выбран</t>
  </si>
  <si>
    <t>ที่เลือก</t>
  </si>
  <si>
    <t>Seçilmiş</t>
  </si>
  <si>
    <t>选定</t>
  </si>
  <si>
    <t>Đã chọn</t>
  </si>
  <si>
    <t>delete</t>
  </si>
  <si>
    <t>Delete</t>
  </si>
  <si>
    <t>يمسح</t>
  </si>
  <si>
    <t>Vymazat</t>
  </si>
  <si>
    <t>Löschen</t>
  </si>
  <si>
    <t>Διαγράφω</t>
  </si>
  <si>
    <t>Borrar</t>
  </si>
  <si>
    <t>Kustutama</t>
  </si>
  <si>
    <t>Poistaa</t>
  </si>
  <si>
    <t>Supprimer</t>
  </si>
  <si>
    <t>मिटाना</t>
  </si>
  <si>
    <t>Menghapus</t>
  </si>
  <si>
    <t>Eliminare</t>
  </si>
  <si>
    <t>消去</t>
  </si>
  <si>
    <t>របៅបេលរសច</t>
  </si>
  <si>
    <t>ಅಳಿಸು</t>
  </si>
  <si>
    <t>삭제</t>
  </si>
  <si>
    <t>ລົບ</t>
  </si>
  <si>
    <t>Dzēst</t>
  </si>
  <si>
    <t>Padam</t>
  </si>
  <si>
    <t>Verwijderen</t>
  </si>
  <si>
    <t>Usuwać</t>
  </si>
  <si>
    <t>Excluir</t>
  </si>
  <si>
    <t>Удалить</t>
  </si>
  <si>
    <t>ลบ</t>
  </si>
  <si>
    <t>Silmek</t>
  </si>
  <si>
    <t>Видаляти</t>
  </si>
  <si>
    <t>删除</t>
  </si>
  <si>
    <t>Xóa</t>
  </si>
  <si>
    <t>share</t>
  </si>
  <si>
    <t>Share</t>
  </si>
  <si>
    <t>يشارك</t>
  </si>
  <si>
    <t>Podíl</t>
  </si>
  <si>
    <t>Aktie</t>
  </si>
  <si>
    <t>Μερίδιο</t>
  </si>
  <si>
    <t>Compartir</t>
  </si>
  <si>
    <t>Osakaal</t>
  </si>
  <si>
    <t>Jaa</t>
  </si>
  <si>
    <t>Partager</t>
  </si>
  <si>
    <t>शेयर करना</t>
  </si>
  <si>
    <t>Membagikan</t>
  </si>
  <si>
    <t>Condividere</t>
  </si>
  <si>
    <t>共有</t>
  </si>
  <si>
    <t>ការរមលេក</t>
  </si>
  <si>
    <t>ಹಂಚು</t>
  </si>
  <si>
    <t>공유하다</t>
  </si>
  <si>
    <t>ສ່ວນ</t>
  </si>
  <si>
    <t>Akcija</t>
  </si>
  <si>
    <t>Berkongsi</t>
  </si>
  <si>
    <t>Deel</t>
  </si>
  <si>
    <t>Udział</t>
  </si>
  <si>
    <t>Compartilhar</t>
  </si>
  <si>
    <t>Делиться</t>
  </si>
  <si>
    <t>แบ่งปัน</t>
  </si>
  <si>
    <t>Paylaşmak</t>
  </si>
  <si>
    <t>Розподіляти</t>
  </si>
  <si>
    <t>分享</t>
  </si>
  <si>
    <t>Chia sẻ</t>
  </si>
  <si>
    <t>completed</t>
  </si>
  <si>
    <t>Completed!</t>
  </si>
  <si>
    <t>مكتمل!</t>
  </si>
  <si>
    <t>Dokončené!</t>
  </si>
  <si>
    <t>Vollendet!</t>
  </si>
  <si>
    <t>Ολοκληρώθηκε το!</t>
  </si>
  <si>
    <t>¡Terminado!</t>
  </si>
  <si>
    <t>Valmis!</t>
  </si>
  <si>
    <t>Complété!</t>
  </si>
  <si>
    <t>पुरा होना!</t>
  </si>
  <si>
    <t>Lengkap!</t>
  </si>
  <si>
    <t>Completato!</t>
  </si>
  <si>
    <t>完成！</t>
  </si>
  <si>
    <t>បានបញ្ចប់!</t>
  </si>
  <si>
    <t>ಪೂರ್ಣಗೊಂಡಿದೆ!</t>
  </si>
  <si>
    <t>완전한!</t>
  </si>
  <si>
    <t>ສໍາເລັດ!</t>
  </si>
  <si>
    <t>Pabeigts!</t>
  </si>
  <si>
    <t>Selesai!</t>
  </si>
  <si>
    <t>Voltooid!</t>
  </si>
  <si>
    <t>Zakończony!</t>
  </si>
  <si>
    <t>Concluído!</t>
  </si>
  <si>
    <t>Завершенный!</t>
  </si>
  <si>
    <t>สมบูรณ์!</t>
  </si>
  <si>
    <t>Tamamlanmış!</t>
  </si>
  <si>
    <t>Завершено!</t>
  </si>
  <si>
    <t>完全的！</t>
  </si>
  <si>
    <t>Hoàn thành!</t>
  </si>
  <si>
    <t>error</t>
  </si>
  <si>
    <t>Error!</t>
  </si>
  <si>
    <t>خطأ!</t>
  </si>
  <si>
    <t>Chyba!</t>
  </si>
  <si>
    <t>Fehler!</t>
  </si>
  <si>
    <t>Λάθος!</t>
  </si>
  <si>
    <t>¡Error!</t>
  </si>
  <si>
    <t>Viga!</t>
  </si>
  <si>
    <t>Virhe!</t>
  </si>
  <si>
    <t>Erreur!</t>
  </si>
  <si>
    <t>गलती!</t>
  </si>
  <si>
    <t>Kesalahan!</t>
  </si>
  <si>
    <t>Errore!</t>
  </si>
  <si>
    <t>エラー！</t>
  </si>
  <si>
    <t>កំហុស!</t>
  </si>
  <si>
    <t>ದೋಷ!</t>
  </si>
  <si>
    <t>오류!</t>
  </si>
  <si>
    <t>ຂໍ້ຜິດພາດ!</t>
  </si>
  <si>
    <t>Kļūda!</t>
  </si>
  <si>
    <t>Ralat!</t>
  </si>
  <si>
    <t>Fout!</t>
  </si>
  <si>
    <t>Błąd!</t>
  </si>
  <si>
    <t>Erro!</t>
  </si>
  <si>
    <t>Ошибка!</t>
  </si>
  <si>
    <t>ข้อผิดพลาด!</t>
  </si>
  <si>
    <t>Hata!</t>
  </si>
  <si>
    <t>Помилка!</t>
  </si>
  <si>
    <t>错误！</t>
  </si>
  <si>
    <t>Lỗi!</t>
  </si>
  <si>
    <t>search</t>
  </si>
  <si>
    <t>Search</t>
  </si>
  <si>
    <t>يبحث</t>
  </si>
  <si>
    <t>Vyhledávání</t>
  </si>
  <si>
    <t>Suchen</t>
  </si>
  <si>
    <t>Αναζήτηση</t>
  </si>
  <si>
    <t>Buscar</t>
  </si>
  <si>
    <t>Otsing</t>
  </si>
  <si>
    <t>Hae</t>
  </si>
  <si>
    <t>Recherche</t>
  </si>
  <si>
    <t>खोज</t>
  </si>
  <si>
    <t>Mencari</t>
  </si>
  <si>
    <t>Ricerca</t>
  </si>
  <si>
    <t>検索</t>
  </si>
  <si>
    <t>ការឆេកឆេ</t>
  </si>
  <si>
    <t>ಹುಡುಕಿ Kannada</t>
  </si>
  <si>
    <t>찾다</t>
  </si>
  <si>
    <t>ຄົ້ນຫາ</t>
  </si>
  <si>
    <t>Meklēt</t>
  </si>
  <si>
    <t>Cari</t>
  </si>
  <si>
    <t>Zoekopdracht</t>
  </si>
  <si>
    <t>Szukaj</t>
  </si>
  <si>
    <t>Procurar</t>
  </si>
  <si>
    <t>Поиск</t>
  </si>
  <si>
    <t>ค้นหา</t>
  </si>
  <si>
    <t>Aramak</t>
  </si>
  <si>
    <t>Обшук</t>
  </si>
  <si>
    <t>搜索</t>
  </si>
  <si>
    <t>Tìm kiếm</t>
  </si>
  <si>
    <t>music</t>
  </si>
  <si>
    <t>Music</t>
  </si>
  <si>
    <t>موسيقى</t>
  </si>
  <si>
    <t>Hudba</t>
  </si>
  <si>
    <t>Musik</t>
  </si>
  <si>
    <t>ΜΟΥΣΙΚΗ</t>
  </si>
  <si>
    <t>Música</t>
  </si>
  <si>
    <t>Muusika</t>
  </si>
  <si>
    <t>Musiikki</t>
  </si>
  <si>
    <t>Musique</t>
  </si>
  <si>
    <t>संगीत</t>
  </si>
  <si>
    <t>Musica</t>
  </si>
  <si>
    <t>音楽</t>
  </si>
  <si>
    <t>តន្រ្ដី</t>
  </si>
  <si>
    <t>ಸಂಗೀತ</t>
  </si>
  <si>
    <t>음악</t>
  </si>
  <si>
    <t>ເພງ</t>
  </si>
  <si>
    <t>Mūzika</t>
  </si>
  <si>
    <t>Muzik</t>
  </si>
  <si>
    <t>Muziek</t>
  </si>
  <si>
    <t>Muzyka</t>
  </si>
  <si>
    <t>Музыка</t>
  </si>
  <si>
    <t>ดนตรี</t>
  </si>
  <si>
    <t>Müzik</t>
  </si>
  <si>
    <t>Музика</t>
  </si>
  <si>
    <t>音乐</t>
  </si>
  <si>
    <t>Âm nhạc</t>
  </si>
  <si>
    <t>folders</t>
  </si>
  <si>
    <t>Folders</t>
  </si>
  <si>
    <t>المجلدات</t>
  </si>
  <si>
    <t>Složky</t>
  </si>
  <si>
    <t>Ordner</t>
  </si>
  <si>
    <t>Φακέλων</t>
  </si>
  <si>
    <t>Carpetas</t>
  </si>
  <si>
    <t>Kaustad</t>
  </si>
  <si>
    <t>Kansiot</t>
  </si>
  <si>
    <t>Dossiers</t>
  </si>
  <si>
    <t>फ़ोल्डर</t>
  </si>
  <si>
    <t>Folder</t>
  </si>
  <si>
    <t>Cartelle</t>
  </si>
  <si>
    <t>フォルダー</t>
  </si>
  <si>
    <t>ថតឯកសារ</t>
  </si>
  <si>
    <t>ಪಟ್ಟು</t>
  </si>
  <si>
    <t>폴더</t>
  </si>
  <si>
    <t>ແຟ້ມ</t>
  </si>
  <si>
    <t>Mapes</t>
  </si>
  <si>
    <t>Mappen</t>
  </si>
  <si>
    <t>Lornetka składana</t>
  </si>
  <si>
    <t>Pastas</t>
  </si>
  <si>
    <t>Папки</t>
  </si>
  <si>
    <t>โฟลเดอร์</t>
  </si>
  <si>
    <t>Klasörler</t>
  </si>
  <si>
    <t>Папок</t>
  </si>
  <si>
    <t>文件夹</t>
  </si>
  <si>
    <t>Thư mục</t>
  </si>
  <si>
    <t>files</t>
  </si>
  <si>
    <t>Files</t>
  </si>
  <si>
    <t>الملفات</t>
  </si>
  <si>
    <t>Soubory</t>
  </si>
  <si>
    <t>Dateien</t>
  </si>
  <si>
    <t>Αρχεία</t>
  </si>
  <si>
    <t>Archivos</t>
  </si>
  <si>
    <t>Faisid</t>
  </si>
  <si>
    <t>Tiedostot</t>
  </si>
  <si>
    <t>Des dossiers</t>
  </si>
  <si>
    <t>फ़ाइलें</t>
  </si>
  <si>
    <t>File</t>
  </si>
  <si>
    <t>ファイル</t>
  </si>
  <si>
    <t>ឯកសារ</t>
  </si>
  <si>
    <t>ಕಡತಗಳನ್ನು</t>
  </si>
  <si>
    <t>파일</t>
  </si>
  <si>
    <t>ສັດຕະກຸນ</t>
  </si>
  <si>
    <t>Faili</t>
  </si>
  <si>
    <t>Fail</t>
  </si>
  <si>
    <t>Bestanden</t>
  </si>
  <si>
    <t>Akta</t>
  </si>
  <si>
    <t>arquivos</t>
  </si>
  <si>
    <t>Файлы</t>
  </si>
  <si>
    <t>ไฟล์</t>
  </si>
  <si>
    <t>Dosyalar</t>
  </si>
  <si>
    <t>Файли</t>
  </si>
  <si>
    <t>文件</t>
  </si>
  <si>
    <t>Các tập tin</t>
  </si>
  <si>
    <t>notes</t>
  </si>
  <si>
    <t>Notes</t>
  </si>
  <si>
    <t>ملحوظات</t>
  </si>
  <si>
    <t>Poznámky</t>
  </si>
  <si>
    <t>Anmerkungen</t>
  </si>
  <si>
    <t>Σημειώσεις</t>
  </si>
  <si>
    <t>Notas</t>
  </si>
  <si>
    <t>Märkused</t>
  </si>
  <si>
    <t>Muistiinpanot</t>
  </si>
  <si>
    <t>Remarques</t>
  </si>
  <si>
    <t>टिप्पणियाँ</t>
  </si>
  <si>
    <t>Catatan</t>
  </si>
  <si>
    <t>Appunti</t>
  </si>
  <si>
    <t>ノート</t>
  </si>
  <si>
    <t>កំណត់ចំណាំ</t>
  </si>
  <si>
    <t>ಟಿಪ್ಪಣಿಗಳು</t>
  </si>
  <si>
    <t>노트</t>
  </si>
  <si>
    <t>ບັນທຶກ</t>
  </si>
  <si>
    <t>Piezīmes</t>
  </si>
  <si>
    <t>Nota</t>
  </si>
  <si>
    <t>Aantekeningen</t>
  </si>
  <si>
    <t>Notatki</t>
  </si>
  <si>
    <t>Примечания</t>
  </si>
  <si>
    <t>หมายเหตุ</t>
  </si>
  <si>
    <t>Notlar</t>
  </si>
  <si>
    <t>Нотатки</t>
  </si>
  <si>
    <t>笔记</t>
  </si>
  <si>
    <t>Ghi chú</t>
  </si>
  <si>
    <t>albums</t>
  </si>
  <si>
    <t>Albums</t>
  </si>
  <si>
    <t>ألبومات</t>
  </si>
  <si>
    <t>Alba</t>
  </si>
  <si>
    <t>Alben</t>
  </si>
  <si>
    <t>Άλμπουμ</t>
  </si>
  <si>
    <t>Álbumes</t>
  </si>
  <si>
    <t>Albumid</t>
  </si>
  <si>
    <t>Albumit</t>
  </si>
  <si>
    <t>एलबम</t>
  </si>
  <si>
    <t>Album</t>
  </si>
  <si>
    <t>アルバム</t>
  </si>
  <si>
    <t>អាល់មង្គល</t>
  </si>
  <si>
    <t>ಉಚ್ಚಾರಣಾ</t>
  </si>
  <si>
    <t>앨범</t>
  </si>
  <si>
    <t>ອະພິນ</t>
  </si>
  <si>
    <t>Albumi</t>
  </si>
  <si>
    <t>Albumy</t>
  </si>
  <si>
    <t>Álbuns</t>
  </si>
  <si>
    <t>Альбомы</t>
  </si>
  <si>
    <t>อัลบั้ม</t>
  </si>
  <si>
    <t>Albümler</t>
  </si>
  <si>
    <t>Альбоми</t>
  </si>
  <si>
    <t>专辑</t>
  </si>
  <si>
    <t>album</t>
  </si>
  <si>
    <t>الألبوم</t>
  </si>
  <si>
    <t>Αλμπουμ</t>
  </si>
  <si>
    <t>Álbum</t>
  </si>
  <si>
    <t>एल्बम</t>
  </si>
  <si>
    <t>ស្យេវផោបិតរុបថត</t>
  </si>
  <si>
    <t>ອະທິການ</t>
  </si>
  <si>
    <t>Альбом</t>
  </si>
  <si>
    <t>Albüm</t>
  </si>
  <si>
    <t>apps</t>
  </si>
  <si>
    <t>Applications</t>
  </si>
  <si>
    <t>التطبيقات</t>
  </si>
  <si>
    <t>Aplikace</t>
  </si>
  <si>
    <t>Anwendungen</t>
  </si>
  <si>
    <t>Αιτήσεις</t>
  </si>
  <si>
    <t>Aplicaciones</t>
  </si>
  <si>
    <t>Rakendused</t>
  </si>
  <si>
    <t>Sovellukset</t>
  </si>
  <si>
    <t>अनुप्रयोग</t>
  </si>
  <si>
    <t>Aplikasi</t>
  </si>
  <si>
    <t>Applicazioni</t>
  </si>
  <si>
    <t>アプリケーション</t>
  </si>
  <si>
    <t>កម្មវិធី</t>
  </si>
  <si>
    <t>ಅರ್ಜಿಗಳನ್ನು</t>
  </si>
  <si>
    <t>응용 프로그램</t>
  </si>
  <si>
    <t>ຄໍາຮ້ອງສະຫມັກ</t>
  </si>
  <si>
    <t>Pieteikumi</t>
  </si>
  <si>
    <t>Toepassingen</t>
  </si>
  <si>
    <t>Aplikacje</t>
  </si>
  <si>
    <t>Formulários</t>
  </si>
  <si>
    <t>Приложения</t>
  </si>
  <si>
    <t>แอปพลิเคชัน</t>
  </si>
  <si>
    <t>Başvuru</t>
  </si>
  <si>
    <t>Заявки</t>
  </si>
  <si>
    <t>申请</t>
  </si>
  <si>
    <t>Ứng dụng</t>
  </si>
  <si>
    <t>contacts</t>
  </si>
  <si>
    <t>Contacts</t>
  </si>
  <si>
    <t>جهات الاتصال</t>
  </si>
  <si>
    <t>Kontakty</t>
  </si>
  <si>
    <t>Kontakte</t>
  </si>
  <si>
    <t>Επαφές</t>
  </si>
  <si>
    <t>Contactos</t>
  </si>
  <si>
    <t>Kontaktid</t>
  </si>
  <si>
    <t>Kontaktit</t>
  </si>
  <si>
    <t>संपर्क</t>
  </si>
  <si>
    <t>Kontak</t>
  </si>
  <si>
    <t>Contatti</t>
  </si>
  <si>
    <t>連絡先</t>
  </si>
  <si>
    <t>ទំនាក់ទំនង</t>
  </si>
  <si>
    <t>ಸಂಪರ್ಕಗಳು</t>
  </si>
  <si>
    <t>콘택트 렌즈</t>
  </si>
  <si>
    <t>ຕິດຕໍ່ພົວພັນ</t>
  </si>
  <si>
    <t>Kontakti</t>
  </si>
  <si>
    <t>Kenalan</t>
  </si>
  <si>
    <t>Contacten</t>
  </si>
  <si>
    <t>Łączność</t>
  </si>
  <si>
    <t>Contatos</t>
  </si>
  <si>
    <t>Контакты</t>
  </si>
  <si>
    <t>ผู้ติดต่อ</t>
  </si>
  <si>
    <t>Temas</t>
  </si>
  <si>
    <t>Контакти</t>
  </si>
  <si>
    <t>联系人</t>
  </si>
  <si>
    <t>Danh bạ</t>
  </si>
  <si>
    <t>passwords</t>
  </si>
  <si>
    <t>Passwords</t>
  </si>
  <si>
    <t>كلمات المرور</t>
  </si>
  <si>
    <t>Hesla</t>
  </si>
  <si>
    <t>Passwörter</t>
  </si>
  <si>
    <t>Κωδικοί πρόσβασης</t>
  </si>
  <si>
    <t>Contraseñas</t>
  </si>
  <si>
    <t>Paroolid</t>
  </si>
  <si>
    <t>Salasanat</t>
  </si>
  <si>
    <t>Mots de passe</t>
  </si>
  <si>
    <t>पासवर्डों</t>
  </si>
  <si>
    <t>Kata sandi</t>
  </si>
  <si>
    <t>Le password</t>
  </si>
  <si>
    <t>パスワード</t>
  </si>
  <si>
    <t>ពាក្យសម្ងាត់</t>
  </si>
  <si>
    <t>ಪಾಸ್ವರ್ಡ್ಗಳು</t>
  </si>
  <si>
    <t>비밀번호</t>
  </si>
  <si>
    <t>ລະຫັດຜ່ານ</t>
  </si>
  <si>
    <t>Paroles</t>
  </si>
  <si>
    <t>Kata laluan</t>
  </si>
  <si>
    <t>Wachtwoorden</t>
  </si>
  <si>
    <t>Hasła</t>
  </si>
  <si>
    <t>Senhas</t>
  </si>
  <si>
    <t>Пароли</t>
  </si>
  <si>
    <t>รหัสผ่าน</t>
  </si>
  <si>
    <t>Şifreler</t>
  </si>
  <si>
    <t>Паролі</t>
  </si>
  <si>
    <t>密码</t>
  </si>
  <si>
    <t>Mật khẩu</t>
  </si>
  <si>
    <t>browser</t>
  </si>
  <si>
    <t>Browser</t>
  </si>
  <si>
    <t>متصفح</t>
  </si>
  <si>
    <t>Prohlížeč</t>
  </si>
  <si>
    <t>Περιηγητής</t>
  </si>
  <si>
    <t>Navegador</t>
  </si>
  <si>
    <t>Brauser</t>
  </si>
  <si>
    <t>Selain</t>
  </si>
  <si>
    <t>Navigateur</t>
  </si>
  <si>
    <t>ब्राउज़र</t>
  </si>
  <si>
    <t>ブラウザ</t>
  </si>
  <si>
    <t>របយបន្ថេម</t>
  </si>
  <si>
    <t>ಬ್ರೌಸರ್</t>
  </si>
  <si>
    <t>브라우저</t>
  </si>
  <si>
    <t>ຕົວທ່ອງເວັບຂອງຕົວທ່ອງເວັບ</t>
  </si>
  <si>
    <t>Pārlūks</t>
  </si>
  <si>
    <t>Penyemak imbas</t>
  </si>
  <si>
    <t>Przeglądarka</t>
  </si>
  <si>
    <t>Браузер</t>
  </si>
  <si>
    <t>เบราว์เซอร์</t>
  </si>
  <si>
    <t>Tarayıcı</t>
  </si>
  <si>
    <t>浏览器</t>
  </si>
  <si>
    <t>Trình duyệt</t>
  </si>
  <si>
    <t>إعدادات</t>
  </si>
  <si>
    <t>Nastavení</t>
  </si>
  <si>
    <t>Einstellungen</t>
  </si>
  <si>
    <t>Ρυθμίσεις</t>
  </si>
  <si>
    <t>Ajustes</t>
  </si>
  <si>
    <t>Sätted</t>
  </si>
  <si>
    <t>asetukset</t>
  </si>
  <si>
    <t>Paramètres</t>
  </si>
  <si>
    <t>समायोजन</t>
  </si>
  <si>
    <t>Pengaturan</t>
  </si>
  <si>
    <t>Impostazioni</t>
  </si>
  <si>
    <t>設定</t>
  </si>
  <si>
    <t>ការកំណត់</t>
  </si>
  <si>
    <t>ಸಂಯೋಜನೆಗಳು</t>
  </si>
  <si>
    <t>설정</t>
  </si>
  <si>
    <t>ການກໍານົດ</t>
  </si>
  <si>
    <t>Iestatījumi</t>
  </si>
  <si>
    <t>Tetapan</t>
  </si>
  <si>
    <t>Instellingen</t>
  </si>
  <si>
    <t>Ustawienia</t>
  </si>
  <si>
    <t>Configurações</t>
  </si>
  <si>
    <t>Настройки</t>
  </si>
  <si>
    <t>การตั้งค่า</t>
  </si>
  <si>
    <t>Ayarlar</t>
  </si>
  <si>
    <t>Налаштування</t>
  </si>
  <si>
    <t>设置</t>
  </si>
  <si>
    <t>Cài đặt</t>
  </si>
  <si>
    <t>version</t>
  </si>
  <si>
    <t>Version</t>
  </si>
  <si>
    <t>إصدار</t>
  </si>
  <si>
    <t>Verze</t>
  </si>
  <si>
    <t>Ausführung</t>
  </si>
  <si>
    <t>Εκδοχή</t>
  </si>
  <si>
    <t>Versión</t>
  </si>
  <si>
    <t>Versioon</t>
  </si>
  <si>
    <t>Versio</t>
  </si>
  <si>
    <t>संस्करण</t>
  </si>
  <si>
    <t>Versi: kapan</t>
  </si>
  <si>
    <t>Versione</t>
  </si>
  <si>
    <t>バージョン</t>
  </si>
  <si>
    <t>កមបុរក្នា</t>
  </si>
  <si>
    <t>ಆವೃತ್ತಿ</t>
  </si>
  <si>
    <t>버전</t>
  </si>
  <si>
    <t>ສະບັບ</t>
  </si>
  <si>
    <t>Versija</t>
  </si>
  <si>
    <t>Versi</t>
  </si>
  <si>
    <t>Versie</t>
  </si>
  <si>
    <t>Wersja</t>
  </si>
  <si>
    <t>Versão</t>
  </si>
  <si>
    <t>Версия</t>
  </si>
  <si>
    <t>รุ่น</t>
  </si>
  <si>
    <t>Versiyon</t>
  </si>
  <si>
    <t>Версія</t>
  </si>
  <si>
    <t>版本</t>
  </si>
  <si>
    <t>Phiên bản</t>
  </si>
  <si>
    <t>expenseTracker</t>
  </si>
  <si>
    <t>Expenses</t>
  </si>
  <si>
    <t>نفقات</t>
  </si>
  <si>
    <t>Výdaje</t>
  </si>
  <si>
    <t>Kosten</t>
  </si>
  <si>
    <t>Εξοδα</t>
  </si>
  <si>
    <t>Gastos</t>
  </si>
  <si>
    <t>Kulud</t>
  </si>
  <si>
    <t>Kulut</t>
  </si>
  <si>
    <t>Dépenses</t>
  </si>
  <si>
    <t>खर्च</t>
  </si>
  <si>
    <t>Pengeluaran</t>
  </si>
  <si>
    <t>Spese</t>
  </si>
  <si>
    <t>費用</t>
  </si>
  <si>
    <t>ការចំណាយ</t>
  </si>
  <si>
    <t>ಖರ್ಚು</t>
  </si>
  <si>
    <t>경비</t>
  </si>
  <si>
    <t>ຄ່າໃຊ້ຈ່າຍ</t>
  </si>
  <si>
    <t>Izdevumi</t>
  </si>
  <si>
    <t>Perbelanjaan</t>
  </si>
  <si>
    <t>Uitgaven</t>
  </si>
  <si>
    <t>Wydatki</t>
  </si>
  <si>
    <t>Despesas</t>
  </si>
  <si>
    <t>Затраты</t>
  </si>
  <si>
    <t>ค่าใช้จ่าย</t>
  </si>
  <si>
    <t>Masraflar</t>
  </si>
  <si>
    <t>Витрати</t>
  </si>
  <si>
    <t>花费</t>
  </si>
  <si>
    <t>Chi tiêu</t>
  </si>
  <si>
    <t>folder</t>
  </si>
  <si>
    <t>مجلد</t>
  </si>
  <si>
    <t>Složka</t>
  </si>
  <si>
    <t>Ντοσιέ</t>
  </si>
  <si>
    <t>Carpeta</t>
  </si>
  <si>
    <t>Kaust kaust</t>
  </si>
  <si>
    <t>Kansio</t>
  </si>
  <si>
    <t>Dossier</t>
  </si>
  <si>
    <t>Map</t>
  </si>
  <si>
    <t>Cartella</t>
  </si>
  <si>
    <t>フォルダ</t>
  </si>
  <si>
    <t>រកដាសបត់ចាបីរ</t>
  </si>
  <si>
    <t>ಬಾರಿ</t>
  </si>
  <si>
    <t>ມານພັນ</t>
  </si>
  <si>
    <t>Mape</t>
  </si>
  <si>
    <t>Teczka</t>
  </si>
  <si>
    <t>Pasta</t>
  </si>
  <si>
    <t>Папка</t>
  </si>
  <si>
    <t>Dosya</t>
  </si>
  <si>
    <t>file</t>
  </si>
  <si>
    <t>ملف</t>
  </si>
  <si>
    <t>Soubor</t>
  </si>
  <si>
    <t>Datei</t>
  </si>
  <si>
    <t>Αρχείο</t>
  </si>
  <si>
    <t>Archivo</t>
  </si>
  <si>
    <t>Toimik</t>
  </si>
  <si>
    <t>Tiedosto</t>
  </si>
  <si>
    <t>Déposer</t>
  </si>
  <si>
    <t>फ़ाइल</t>
  </si>
  <si>
    <t>Mengajukan</t>
  </si>
  <si>
    <t>របអប់</t>
  </si>
  <si>
    <t>ಕಲೆ</t>
  </si>
  <si>
    <t>Fails</t>
  </si>
  <si>
    <t>Bestand</t>
  </si>
  <si>
    <t>Plik</t>
  </si>
  <si>
    <t>Arquivo</t>
  </si>
  <si>
    <t>Файл</t>
  </si>
  <si>
    <t>Tài liệu</t>
  </si>
  <si>
    <t>app</t>
  </si>
  <si>
    <t>App</t>
  </si>
  <si>
    <t>برنامج</t>
  </si>
  <si>
    <t>Εφαρμογή</t>
  </si>
  <si>
    <t>Aplicación</t>
  </si>
  <si>
    <t>Rakendus</t>
  </si>
  <si>
    <t>Sovellus</t>
  </si>
  <si>
    <t>Appliquer</t>
  </si>
  <si>
    <t>アプリ</t>
  </si>
  <si>
    <t>បមនុស</t>
  </si>
  <si>
    <t>ಸಂಚಾರಿ</t>
  </si>
  <si>
    <t>앱</t>
  </si>
  <si>
    <t>ໂປໂລ</t>
  </si>
  <si>
    <t>Lietotne</t>
  </si>
  <si>
    <t>Aplicativo</t>
  </si>
  <si>
    <t>Приложение</t>
  </si>
  <si>
    <t>แอป</t>
  </si>
  <si>
    <t>Uygulama</t>
  </si>
  <si>
    <t>Додаток</t>
  </si>
  <si>
    <t>应用程序</t>
  </si>
  <si>
    <t>password</t>
  </si>
  <si>
    <t>Password</t>
  </si>
  <si>
    <t>كلمة المرور</t>
  </si>
  <si>
    <t>Heslo</t>
  </si>
  <si>
    <t>Passwort</t>
  </si>
  <si>
    <t>Κωδικός πρόσβασης</t>
  </si>
  <si>
    <t>Contraseña</t>
  </si>
  <si>
    <t>Parool</t>
  </si>
  <si>
    <t>Salasana</t>
  </si>
  <si>
    <t>Mot de passe</t>
  </si>
  <si>
    <t>पासवर्ड</t>
  </si>
  <si>
    <t>Parola d'ordine</t>
  </si>
  <si>
    <t>ហក្យសមងាត់</t>
  </si>
  <si>
    <t>ಗುಪ್ತಪದ</t>
  </si>
  <si>
    <t>Parole</t>
  </si>
  <si>
    <t>Wachtwoord</t>
  </si>
  <si>
    <t>Hasło</t>
  </si>
  <si>
    <t>Senha</t>
  </si>
  <si>
    <t>Пароль</t>
  </si>
  <si>
    <t>Şifre</t>
  </si>
  <si>
    <t>setting</t>
  </si>
  <si>
    <t>Setting</t>
  </si>
  <si>
    <t>جلسة</t>
  </si>
  <si>
    <t>Einstellung</t>
  </si>
  <si>
    <t>Σύνθεση</t>
  </si>
  <si>
    <t>Configuración</t>
  </si>
  <si>
    <t>Seadistamine</t>
  </si>
  <si>
    <t>Asetus</t>
  </si>
  <si>
    <t>Paramètre</t>
  </si>
  <si>
    <t>सेटिंग</t>
  </si>
  <si>
    <t>Collocamento</t>
  </si>
  <si>
    <t>ರಚಿಸು</t>
  </si>
  <si>
    <t>환경</t>
  </si>
  <si>
    <t>ການຕັ້ງຄ່າ</t>
  </si>
  <si>
    <t>Apjoms</t>
  </si>
  <si>
    <t>Menetapkan</t>
  </si>
  <si>
    <t>Instelling</t>
  </si>
  <si>
    <t>Ustawienie</t>
  </si>
  <si>
    <t>Contexto</t>
  </si>
  <si>
    <t>Параметр</t>
  </si>
  <si>
    <t>Ayar</t>
  </si>
  <si>
    <t>Встановлення</t>
  </si>
  <si>
    <t>环境</t>
  </si>
  <si>
    <t>contact</t>
  </si>
  <si>
    <t>Contact</t>
  </si>
  <si>
    <t>اتصال</t>
  </si>
  <si>
    <t>Kontakt</t>
  </si>
  <si>
    <t>Επικοινωνία</t>
  </si>
  <si>
    <t>Contacto</t>
  </si>
  <si>
    <t>Ottaa yhteyttä</t>
  </si>
  <si>
    <t>Contatto</t>
  </si>
  <si>
    <t>接触</t>
  </si>
  <si>
    <t>ការតាក់តង</t>
  </si>
  <si>
    <t>ಸಂಪರ್ಕ</t>
  </si>
  <si>
    <t>연락하다</t>
  </si>
  <si>
    <t>ຕິດຕໍ່</t>
  </si>
  <si>
    <t>Saskare</t>
  </si>
  <si>
    <t>Hubungi</t>
  </si>
  <si>
    <t>Contato</t>
  </si>
  <si>
    <t>Контакт</t>
  </si>
  <si>
    <t>ติดต่อ</t>
  </si>
  <si>
    <t>Temas etmek</t>
  </si>
  <si>
    <t>Liên hệ</t>
  </si>
  <si>
    <t>newContact</t>
  </si>
  <si>
    <t>New Contact</t>
  </si>
  <si>
    <t>جهة اتصال جديدة</t>
  </si>
  <si>
    <t>Nový kontakt</t>
  </si>
  <si>
    <t>Neuer Kontakt</t>
  </si>
  <si>
    <t>Νέα επαφή</t>
  </si>
  <si>
    <t>Nuevo contacto</t>
  </si>
  <si>
    <t>Uus kontakt</t>
  </si>
  <si>
    <t>Uusi kontakti</t>
  </si>
  <si>
    <t>Nouveau contact</t>
  </si>
  <si>
    <t>नया कॉन्ट्रैक्ट</t>
  </si>
  <si>
    <t>Kontak baru</t>
  </si>
  <si>
    <t>Nuovo contatto</t>
  </si>
  <si>
    <t>新しい連絡先</t>
  </si>
  <si>
    <t>ទំនាក់ទំនងថ្មី</t>
  </si>
  <si>
    <t>ಹೊಸ ಸಂಪರ್ಕ</t>
  </si>
  <si>
    <t>새로운 연락처</t>
  </si>
  <si>
    <t>ຕິດຕໍ່ໃຫມ່</t>
  </si>
  <si>
    <t>Jauns kontakts</t>
  </si>
  <si>
    <t>Kenalan baru</t>
  </si>
  <si>
    <t>Nieuw contact</t>
  </si>
  <si>
    <t>Nowy kontakt</t>
  </si>
  <si>
    <t>Novo contato</t>
  </si>
  <si>
    <t>Новый контакт</t>
  </si>
  <si>
    <t>ติดต่อใหม่</t>
  </si>
  <si>
    <t>Yeni bağlantı</t>
  </si>
  <si>
    <t>Новий контакт</t>
  </si>
  <si>
    <t>新联系人</t>
  </si>
  <si>
    <t>Liên hệ mới</t>
  </si>
  <si>
    <t>importContacts</t>
  </si>
  <si>
    <t>Import Contacts</t>
  </si>
  <si>
    <t>استيراد جهات الاتصال</t>
  </si>
  <si>
    <t>Import kontakty</t>
  </si>
  <si>
    <t>Kontakte importieren</t>
  </si>
  <si>
    <t>Εισαγωγή επαφών</t>
  </si>
  <si>
    <t>Importar contactos</t>
  </si>
  <si>
    <t>Impordi kontaktid</t>
  </si>
  <si>
    <t>Tuo yhteystiedot</t>
  </si>
  <si>
    <t>Contacts d'importation</t>
  </si>
  <si>
    <t>संपर्क आयात करें</t>
  </si>
  <si>
    <t>Impor kontak</t>
  </si>
  <si>
    <t>Importa contatti</t>
  </si>
  <si>
    <t>連絡先をインポートします</t>
  </si>
  <si>
    <t>នាំចូលទំនាក់ទំនង</t>
  </si>
  <si>
    <t>ಸಂಪರ್ಕಗಳನ್ನು ಆಮದು ಮಾಡಿ</t>
  </si>
  <si>
    <t>연락처 가져 오기</t>
  </si>
  <si>
    <t>ລາຍຊື່ຜູ້ຕິດຕໍ່ນໍາເຂົ້າ</t>
  </si>
  <si>
    <t>Importēt kontaktus</t>
  </si>
  <si>
    <t>Import kenalan</t>
  </si>
  <si>
    <t>Contacten importeren</t>
  </si>
  <si>
    <t>Importuj kontakty</t>
  </si>
  <si>
    <t>Contatos importantes</t>
  </si>
  <si>
    <t>Импортировать контакты</t>
  </si>
  <si>
    <t>นำเข้าติดต่อ</t>
  </si>
  <si>
    <t>İçe Aktarma Kişileri</t>
  </si>
  <si>
    <t>Імпортувати контакти</t>
  </si>
  <si>
    <t>导入联系人</t>
  </si>
  <si>
    <t>Nhập danh bạ</t>
  </si>
  <si>
    <t>editContact</t>
  </si>
  <si>
    <t>Edit Contact</t>
  </si>
  <si>
    <t>تحرير الاتصال</t>
  </si>
  <si>
    <t>Upravit kontakt</t>
  </si>
  <si>
    <t>Kontakt bearbeiten</t>
  </si>
  <si>
    <t>Επεξεργασία επαφής</t>
  </si>
  <si>
    <t>Editar contacto</t>
  </si>
  <si>
    <t>Redigeerige kontakti</t>
  </si>
  <si>
    <t>Muokkaa yhteystietoa</t>
  </si>
  <si>
    <t>Modifier le contact</t>
  </si>
  <si>
    <t>संपादित संपर्क</t>
  </si>
  <si>
    <t>Edit kontak</t>
  </si>
  <si>
    <t>Modifica il contatto</t>
  </si>
  <si>
    <t>連絡先を編集します</t>
  </si>
  <si>
    <t>កែសម្រួលទំនាក់ទំនង</t>
  </si>
  <si>
    <t>ಸಂಪರ್ಕವನ್ನು ಸಂಪಾದಿಸಿ</t>
  </si>
  <si>
    <t>연락처 편집</t>
  </si>
  <si>
    <t>ແກ້ໄຂຕິດຕໍ່</t>
  </si>
  <si>
    <t>Rediģēt kontaktu</t>
  </si>
  <si>
    <t>Edit kenalan</t>
  </si>
  <si>
    <t>Bewerk contact</t>
  </si>
  <si>
    <t>Edytuj kontakt</t>
  </si>
  <si>
    <t>Editar Contato</t>
  </si>
  <si>
    <t>Изменить контакт</t>
  </si>
  <si>
    <t>แก้ไขการติดต่อ</t>
  </si>
  <si>
    <t>Kişi Düzenle</t>
  </si>
  <si>
    <t>Редагувати контакт</t>
  </si>
  <si>
    <t>更改联系资料</t>
  </si>
  <si>
    <t>Chỉnh sửa liên hệ</t>
  </si>
  <si>
    <t>noContactTitle</t>
  </si>
  <si>
    <t>There are no contacts here!</t>
  </si>
  <si>
    <t>لا توجد اتصالات هنا!</t>
  </si>
  <si>
    <t>Nejsou zde žádné kontakty!</t>
  </si>
  <si>
    <t>Hier gibt es keine Kontakte!</t>
  </si>
  <si>
    <t>Δεν υπάρχουν επαφές εδώ!</t>
  </si>
  <si>
    <t>¡No hay contactos aquí!</t>
  </si>
  <si>
    <t>Siin pole kontakte!</t>
  </si>
  <si>
    <t>Täällä ei ole yhteystietoja!</t>
  </si>
  <si>
    <t>Il n'y a pas de contacts ici!</t>
  </si>
  <si>
    <t>यहाँ कोई संपर्क नहीं हैं!</t>
  </si>
  <si>
    <t>Tidak ada kontak di sini!</t>
  </si>
  <si>
    <t>Non ci sono contatti qui!</t>
  </si>
  <si>
    <t>ここには連絡先はありません！</t>
  </si>
  <si>
    <t>មិនមានទំនាក់ទំនងនៅទីនេះទេ!</t>
  </si>
  <si>
    <t>ಇಲ್ಲಿ ಯಾವುದೇ ಸಂಪರ್ಕಗಳಿಲ್ಲ!</t>
  </si>
  <si>
    <t>여기에 연락처가 없습니다!</t>
  </si>
  <si>
    <t>ບໍ່ມີການຕິດຕໍ່ຢູ່ທີ່ນີ້!</t>
  </si>
  <si>
    <t>Šeit nav kontaktu!</t>
  </si>
  <si>
    <t>Tiada kenalan di sini!</t>
  </si>
  <si>
    <t>Er zijn hier geen contacten!</t>
  </si>
  <si>
    <t>Tutaj nie ma kontaktów!</t>
  </si>
  <si>
    <t>Não há contatos aqui!</t>
  </si>
  <si>
    <t>Здесь нет контактов!</t>
  </si>
  <si>
    <t>ที่นี่ไม่มีผู้ติดต่อ!</t>
  </si>
  <si>
    <t>Burada temas yok!</t>
  </si>
  <si>
    <t>Тут немає контактів!</t>
  </si>
  <si>
    <t>这里没有联系人！</t>
  </si>
  <si>
    <t>Không có danh bạ nào!</t>
  </si>
  <si>
    <t>noContactMessage</t>
  </si>
  <si>
    <t>Tap button to add new contact</t>
  </si>
  <si>
    <t>انقر فوق الزر لإضافة جهة اتصال جديدة</t>
  </si>
  <si>
    <t>Klepnutím na tlačítko přidáte nový kontakt</t>
  </si>
  <si>
    <t>Tippen Sie auf die Schaltfläche, um neuen Kontakt hinzuzufügen</t>
  </si>
  <si>
    <t>Πατήστε το κουμπί για να προσθέσετε νέα επαφή</t>
  </si>
  <si>
    <t>Toque el botón para agregar un nuevo contacto</t>
  </si>
  <si>
    <t>Uue kontakti lisamiseks puudutage nuppu</t>
  </si>
  <si>
    <t>Napauta -painiketta lisätäksesi uuden yhteystiedot</t>
  </si>
  <si>
    <t>Appuyez sur le bouton pour ajouter un nouveau contact</t>
  </si>
  <si>
    <t>नया संपर्क जोड़ने के लिए बटन टैप करें</t>
  </si>
  <si>
    <t>Tap tombol untuk menambahkan kontak baru</t>
  </si>
  <si>
    <t>Tocca il pulsante per aggiungere un nuovo contatto</t>
  </si>
  <si>
    <t>[ボタン]をタップして、新しい連絡先を追加します</t>
  </si>
  <si>
    <t>ប៉ះប៊ូតុងដើម្បីបន្ថែមទំនាក់ទំនងថ្មី</t>
  </si>
  <si>
    <t>ಹೊಸ ಸಂಪರ್ಕವನ್ನು ಸೇರಿಸಲು ಬಟನ್ ಟ್ಯಾಪ್ ಮಾಡಿ</t>
  </si>
  <si>
    <t>버튼을 눌러 새 연락처를 추가하십시오</t>
  </si>
  <si>
    <t>ແຕະປຸ່ມເພື່ອເພີ່ມຕິດຕໍ່ໃຫມ່</t>
  </si>
  <si>
    <t>Pieskarieties, lai pievienotu jaunu kontaktu</t>
  </si>
  <si>
    <t>Ketik butang untuk menambah kenalan baru</t>
  </si>
  <si>
    <t>Tik op de knop om nieuw contact toe te voegen</t>
  </si>
  <si>
    <t>Stuknij przycisk, aby dodać nowy kontakt</t>
  </si>
  <si>
    <t>Toque no botão para adicionar novo contato</t>
  </si>
  <si>
    <t>Кнопка зацепления, чтобы добавить новый контакт</t>
  </si>
  <si>
    <t>ปุ่มแตะเพื่อเพิ่มผู้ติดต่อใหม่</t>
  </si>
  <si>
    <t>Yeni iletişim eklemek için düğmeye dokunun</t>
  </si>
  <si>
    <t>Натисніть кнопку, щоб додати новий контакт</t>
  </si>
  <si>
    <t>点击按钮以添加新联系人</t>
  </si>
  <si>
    <t>Nhấn vào nút (+) để thêm liên hệ mới</t>
  </si>
  <si>
    <t>removeAfterImportContactMessage</t>
  </si>
  <si>
    <t>In order to remove imported contacts from the address book, tap Remove. This will also apply to your next import sessions (can be changed in Settings)</t>
  </si>
  <si>
    <t>من أجل إزالة جهات الاتصال المستوردة من دفتر العناوين ، انقر فوق إزالة. سوف ينطبق هذا أيضًا على جلسات الاستيراد التالية (يمكن تغييرها في الإعدادات)</t>
  </si>
  <si>
    <t>Chcete -li odstranit importované kontakty z adresáře, klepněte na Odebrání. To se bude vztahovat také na vaše další importní relace (může být změněno v nastavení)</t>
  </si>
  <si>
    <t>Um importierte Kontakte aus dem Adressbuch zu entfernen, tippen Sie auf Entfernen. Dies gilt auch für Ihre nächsten Importsitzungen (kann in Einstellungen geändert werden).</t>
  </si>
  <si>
    <t>Για να καταργήσετε τις εισαγόμενες επαφές από το βιβλίο διευθύνσεων, πατήστε Κατάργηση. Αυτό ισχύει και για τις επόμενες συνεδρίες εισαγωγής σας (μπορεί να αλλάξει στις ρυθμίσεις)</t>
  </si>
  <si>
    <t>Para eliminar los contactos importados de la libreta de direcciones, toque Eliminar. Esto también se aplicará a sus próximas sesiones de importación (se puede cambiar en la configuración)</t>
  </si>
  <si>
    <t>Imporditud kontaktide eemaldamiseks aadressiraamatust koputage eemaldage. See kehtib ka teie järgmistele impordiseanssidele (seda saab seadetes muuta)</t>
  </si>
  <si>
    <t>Napauta Poista tuodut yhteystiedot osoitekirjasta. Tämä koskee myös seuraavia tuontistuntoja (voidaan muuttaa asetuksissa)</t>
  </si>
  <si>
    <t>Afin de supprimer les contacts importés du carnet d'adresses, appuyez sur Supprimer. Cela s'appliquera également à vos prochaines sessions d'importation (peut être modifiée dans les paramètres)</t>
  </si>
  <si>
    <t>एड्रेस बुक से आयातित संपर्कों को हटाने के लिए, हटा दें। यह आपके अगले आयात सत्रों पर भी लागू होगा (सेटिंग्स में बदला जा सकता है)</t>
  </si>
  <si>
    <t>Untuk menghapus kontak yang diimpor dari buku alamat, ketuk Hapus. Ini juga akan berlaku untuk sesi impor Anda berikutnya (dapat diubah dalam pengaturan)</t>
  </si>
  <si>
    <t>Per rimuovere i contatti importati dalla rubrica, toccare Rimuovi. Questo si applicherà anche alle prossime sessioni di importazione (può essere modificata nelle impostazioni)</t>
  </si>
  <si>
    <t>アドレス帳からインポートされた連絡先を削除するために、削除をタップします。これは、次のインポートセッションにも適用されます（設定で変更できます）</t>
  </si>
  <si>
    <t>ដើម្បីលុបទំនាក់ទំនងដែលបាននាំចូលពីសៀវភៅអាសយដ្ឋានសូមទាញយកចេញ។ នេះក៏នឹងអនុវត្តចំពោះវគ្គនាំចូលបន្ទាប់របស់អ្នក (អាចត្រូវបានផ្លាស់ប្តូរនៅក្នុងការកំណត់)</t>
  </si>
  <si>
    <t>ವಿಳಾಸ ಪುಸ್ತಕದಿಂದ ಆಮದು ಮಾಡಿದ ಸಂಪರ್ಕಗಳನ್ನು ತೆಗೆದುಹಾಕಲು, ತೆಗೆದುಹಾಕು ಟ್ಯಾಪ್ ಮಾಡಿ. ಇದು ನಿಮ್ಮ ಮುಂದಿನ ಆಮದು ಅವಧಿಗಳಿಗೆ ಅನ್ವಯಿಸುತ್ತದೆ (ಸೆಟ್ಟಿಂಗ್‌ಗಳಲ್ಲಿ ಬದಲಾಯಿಸಬಹುದು)</t>
  </si>
  <si>
    <t>주소록에서 가져온 연락처를 제거하려면 제거를 누릅니다. 이것은 또한 다음 가져 오기 세션에도 적용됩니다 (설정에서 변경 될 수 있음)</t>
  </si>
  <si>
    <t>ໃນຄໍາສັ່ງທີ່ຈະເອົາຕິດຕໍ່ພົວພັນທີ່ນໍາເຂົ້າມາຈາກປື້ມທີ່ຢູ່, ແຕະເອົາອອກ. ນີ້ຍັງຈະໃຊ້ກັບກອງປະຊຸມນໍາເຂົ້າຄັ້ງຕໍ່ໄປຂອງທ່ານ (ສາມາດປ່ຽນແປງໄດ້ໃນການຕັ້ງຄ່າ)</t>
  </si>
  <si>
    <t>Lai noņemtu importētos kontaktus no adreses grāmatas, pieskarieties noņemt. Tas attieksies arī uz jūsu nākamajām importa sesijām (var mainīt iestatījumos)</t>
  </si>
  <si>
    <t>Untuk mengalih keluar kenalan yang diimport dari buku alamat, ketik Buang. Ini juga akan digunakan untuk sesi import seterusnya (boleh diubah dalam tetapan)</t>
  </si>
  <si>
    <t>Om geïmporteerde contacten uit het adresboek te verwijderen, tikt u op Verwijderen. Dit is ook van toepassing op uw volgende importsessies (kan worden gewijzigd in instellingen)</t>
  </si>
  <si>
    <t>Aby usunąć importowane kontakty z książki adresowej, dotknij Usuń. Będzie to również miało zastosowanie do następnych sesji importowych (można zmienić w ustawieniach)</t>
  </si>
  <si>
    <t>Para remover contatos importados do catálogo de endereços, toque em Remova. Isso também se aplicará às suas próximas sessões de importação (podem ser alteradas nas configurações)</t>
  </si>
  <si>
    <t>Чтобы удалить импортированные контакты из адресной книги, нажмите «Удалить». Это также будет применяться к вашим следующим сессиям импорта (может быть изменено в настройках)</t>
  </si>
  <si>
    <t>ในการลบรายชื่อที่นำเข้าออกจากสมุดที่อยู่ให้แตะลบลบ สิ่งนี้จะนำไปใช้กับเซสชันการนำเข้าครั้งต่อไปของคุณ (สามารถเปลี่ยนแปลงได้ในการตั้งค่า)</t>
  </si>
  <si>
    <t>Adres defterinden içe aktarılan kişileri kaldırmak için Kaldır'a dokunun. Bu, bir sonraki içe aktarma oturumlarınız için de geçerli olacaktır (ayarlarda değiştirilebilir)</t>
  </si>
  <si>
    <t>Щоб видалити імпортні контакти з адресної книги, торкніться видалення. Це також стосується ваших наступних сеансів імпорту (може бути змінено в налаштуваннях)</t>
  </si>
  <si>
    <t>为了从通讯录中删除导入的联系人，请点击删除。这也适用于您的下一次导入会话（可以在设置中更改）</t>
  </si>
  <si>
    <t>Để loại bỏ các liên hệ đã nhập khỏi danh bạ máy, hãy nhấn Xóa. Điều này cũng sẽ áp dụng cho các phiên nhập tiếp theo của bạn (có thể được thay đổi trong cài đặt)</t>
  </si>
  <si>
    <t>deleteContactMessage</t>
  </si>
  <si>
    <t>Are you sure you want to delete? You may lose data permenantly</t>
  </si>
  <si>
    <t>هل أنت متأكد أنك تريد حذف؟ قد تفقد البيانات بشكل مستلم</t>
  </si>
  <si>
    <t>Jste si jistí, že to chcete smazat? Můžete údaje trvale ztratit</t>
  </si>
  <si>
    <t>Sind Sie sicher, dass Sie löschen möchten? Sie können dadurch unternehmerisch verlieren</t>
  </si>
  <si>
    <t>Είστε βέβαιοι ότι θέλετε να διαγράψετε; Μπορεί να χάσετε δεδομένα permenly</t>
  </si>
  <si>
    <t>¿Estas seguro que quieres borrarlo? Puede perder datos permanentemente</t>
  </si>
  <si>
    <t>Kas olete kindel, et soovite kustutada? Võite andmeid kahjustada</t>
  </si>
  <si>
    <t>Haluatko varmasti poistaa? Saatat menettää tiedot voimakkaasti</t>
  </si>
  <si>
    <t>Etes-vous sûr que vous voulez supprimer? Vous pouvez perdre des données permentement</t>
  </si>
  <si>
    <t>क्या आप आश्वस्त है कि आपको डिलीट करना है? आप पारगम्य रूप से डेटा खो सकते हैं</t>
  </si>
  <si>
    <t>Apakah Anda yakin ingin menghapus? Anda mungkin kehilangan data secara permanen</t>
  </si>
  <si>
    <t>Sei sicuro di voler eliminare? Potresti perdere i dati permanentemente</t>
  </si>
  <si>
    <t>消去してもよろしいですか？データを許可する可能性があります</t>
  </si>
  <si>
    <t>តើអ្នកពិតជាចង់លុបមែនទេ? អ្នកអាចបាត់បង់ទិន្នន័យ</t>
  </si>
  <si>
    <t>ನೀವು ಅಳಿಸಲು ಬಯಸುತ್ತೀರಾ? ನೀವು ಡೇಟಾವನ್ನು ಪ್ರಸಾರವಾಗಿ ಕಳೆದುಕೊಳ್ಳಬಹುದು</t>
  </si>
  <si>
    <t>삭제 하시겠습니까? 데이터를 유출 적으로 잃을 수 있습니다</t>
  </si>
  <si>
    <t>ທ່ານແນ່ໃຈບໍ່ວ່າທ່ານຕ້ອງການລຶບ? ທ່ານອາດຈະສູນເສຍຂໍ້ມູນຢ່າງລະອຽດ</t>
  </si>
  <si>
    <t>Vai esat pārliecināts, ka vēlaties izdzēst? Jūs varat zaudēt datus permenanti</t>
  </si>
  <si>
    <t>Adakah anda pasti ingin memadam? Anda mungkin kehilangan data dengan penuh</t>
  </si>
  <si>
    <t>Weet je zeker dat je wilt verwijderen? U kunt permanent gegevens verliezen</t>
  </si>
  <si>
    <t>Czy jesteś pewien, że chcesz usunąć? Możesz stracić dane</t>
  </si>
  <si>
    <t>Tem certeza de que deseja excluir? Você pode perder dados permenantemente</t>
  </si>
  <si>
    <t>Вы уверены, что хотите удалить? Вы можете потерять данные</t>
  </si>
  <si>
    <t>คุณแน่ใจหรือว่าต้องการลบ? คุณอาจสูญเสียข้อมูลอย่างต่อเนื่อง</t>
  </si>
  <si>
    <t>Silmek istediğine emin misin? Verileri Permently Olarak Kaybedebilirsiniz</t>
  </si>
  <si>
    <t>Ви впевнені, що хочете видалити? Ви можете втратити дані за якими</t>
  </si>
  <si>
    <t>你确定你要删除？您可能会丢失数据</t>
  </si>
  <si>
    <t>Bạn có chắc chắn muốn xóa? Dữ liệu sẽ bị mất vĩnh viễn</t>
  </si>
  <si>
    <t>call</t>
  </si>
  <si>
    <t>Call</t>
  </si>
  <si>
    <t>يتصل</t>
  </si>
  <si>
    <t>Volání</t>
  </si>
  <si>
    <t>Anruf</t>
  </si>
  <si>
    <t>Κλήση</t>
  </si>
  <si>
    <t>Llamar</t>
  </si>
  <si>
    <t>Helistama</t>
  </si>
  <si>
    <t>Puhelu</t>
  </si>
  <si>
    <t>Appel</t>
  </si>
  <si>
    <t>पुकारना</t>
  </si>
  <si>
    <t>Panggilan</t>
  </si>
  <si>
    <t>Chiamata</t>
  </si>
  <si>
    <t>電話</t>
  </si>
  <si>
    <t>ការហោតាមតុរស័ប្ទ</t>
  </si>
  <si>
    <t>ಕರೆಯಿಸು</t>
  </si>
  <si>
    <t>부르다</t>
  </si>
  <si>
    <t>ຮຽກຮ້ອງ</t>
  </si>
  <si>
    <t>Izsaukt</t>
  </si>
  <si>
    <t>Telefoongesprek</t>
  </si>
  <si>
    <t>Dzwonić</t>
  </si>
  <si>
    <t>Chamar</t>
  </si>
  <si>
    <t>Вызов</t>
  </si>
  <si>
    <t>เรียก</t>
  </si>
  <si>
    <t>Arama</t>
  </si>
  <si>
    <t>Закликати</t>
  </si>
  <si>
    <t>称呼</t>
  </si>
  <si>
    <t>Gọi</t>
  </si>
  <si>
    <t>message</t>
  </si>
  <si>
    <t>Message</t>
  </si>
  <si>
    <t>رسالة</t>
  </si>
  <si>
    <t>Zpráva</t>
  </si>
  <si>
    <t>Nachricht</t>
  </si>
  <si>
    <t>Μήνυμα</t>
  </si>
  <si>
    <t>Mensaje</t>
  </si>
  <si>
    <t>Teade</t>
  </si>
  <si>
    <t>Viesti</t>
  </si>
  <si>
    <t>संदेश</t>
  </si>
  <si>
    <t>Pesan</t>
  </si>
  <si>
    <t>Messaggio</t>
  </si>
  <si>
    <t>メッセージ</t>
  </si>
  <si>
    <t>ប៍តមាន</t>
  </si>
  <si>
    <t>ಸಂದೇಶ</t>
  </si>
  <si>
    <t>메시지</t>
  </si>
  <si>
    <t>ຂໍ້ຄວາມ</t>
  </si>
  <si>
    <t>Ziņot</t>
  </si>
  <si>
    <t>Mesej</t>
  </si>
  <si>
    <t>Bericht</t>
  </si>
  <si>
    <t>Wiadomość</t>
  </si>
  <si>
    <t>Mensagem</t>
  </si>
  <si>
    <t>Сообщение</t>
  </si>
  <si>
    <t>ข้อความ</t>
  </si>
  <si>
    <t>İleti</t>
  </si>
  <si>
    <t>повідомлення</t>
  </si>
  <si>
    <t>信息</t>
  </si>
  <si>
    <t>Tin nhắn</t>
  </si>
  <si>
    <t>noResult</t>
  </si>
  <si>
    <t>No results</t>
  </si>
  <si>
    <t>لا نتائج</t>
  </si>
  <si>
    <t>Žádné výsledky</t>
  </si>
  <si>
    <t>Keine Ergebnisse</t>
  </si>
  <si>
    <t>Χωρίς αποτέλεσμα</t>
  </si>
  <si>
    <t>No hay resultados</t>
  </si>
  <si>
    <t>Tulemused puuduvad</t>
  </si>
  <si>
    <t>Ei tuloksia</t>
  </si>
  <si>
    <t>Aucun résultat</t>
  </si>
  <si>
    <t>कोई परिणाम नहीं</t>
  </si>
  <si>
    <t>Tidak ada hasil</t>
  </si>
  <si>
    <t>Nessun risultato</t>
  </si>
  <si>
    <t>結果がありません</t>
  </si>
  <si>
    <t>គ្មាន​លទ្ធផល</t>
  </si>
  <si>
    <t>ಫಲಿತಾಂಶಗಳಿಲ್ಲ</t>
  </si>
  <si>
    <t>결과가 없습니다</t>
  </si>
  <si>
    <t>ບໍ່ມີຜົນໄດ້ຮັບ</t>
  </si>
  <si>
    <t>Nav rezultātu</t>
  </si>
  <si>
    <t>Tiada keputusan</t>
  </si>
  <si>
    <t>Geen resultaten</t>
  </si>
  <si>
    <t>Brak wyników</t>
  </si>
  <si>
    <t>Sem resultados</t>
  </si>
  <si>
    <t>Без результатов</t>
  </si>
  <si>
    <t>ไม่มีผลลัพธ์</t>
  </si>
  <si>
    <t>Sonuç yok</t>
  </si>
  <si>
    <t>Немає результатів</t>
  </si>
  <si>
    <t>没有结果</t>
  </si>
  <si>
    <t>Không có kết quả</t>
  </si>
  <si>
    <t>forString</t>
  </si>
  <si>
    <t>for</t>
  </si>
  <si>
    <t>ل</t>
  </si>
  <si>
    <t>pro</t>
  </si>
  <si>
    <t>für</t>
  </si>
  <si>
    <t>Για</t>
  </si>
  <si>
    <t>para</t>
  </si>
  <si>
    <t>jaoks</t>
  </si>
  <si>
    <t>puolesta</t>
  </si>
  <si>
    <t>pour</t>
  </si>
  <si>
    <t>के लिए</t>
  </si>
  <si>
    <t>untuk</t>
  </si>
  <si>
    <t>per</t>
  </si>
  <si>
    <t>のために</t>
  </si>
  <si>
    <t>សរមាប់</t>
  </si>
  <si>
    <t>ಇದಕ್ಕೆ</t>
  </si>
  <si>
    <t>~을 위한</t>
  </si>
  <si>
    <t>ສໍາລັບ</t>
  </si>
  <si>
    <t>priekš</t>
  </si>
  <si>
    <t>voor</t>
  </si>
  <si>
    <t>Do</t>
  </si>
  <si>
    <t>для</t>
  </si>
  <si>
    <t>สำหรับ</t>
  </si>
  <si>
    <t>için</t>
  </si>
  <si>
    <t>为了</t>
  </si>
  <si>
    <t>cho</t>
  </si>
  <si>
    <t>shareContact</t>
  </si>
  <si>
    <t>Share contact</t>
  </si>
  <si>
    <t>شارك جهة الإتصال</t>
  </si>
  <si>
    <t>Sdílet kontakt</t>
  </si>
  <si>
    <t>Kontakt teilen</t>
  </si>
  <si>
    <t>Μοιραστείτε την επαφή</t>
  </si>
  <si>
    <t>Compartir contacto</t>
  </si>
  <si>
    <t>Jagama kontakti</t>
  </si>
  <si>
    <t>Jakaa yhteyshenkilöt</t>
  </si>
  <si>
    <t>Partager le contact</t>
  </si>
  <si>
    <t>संपर्क साझा करें</t>
  </si>
  <si>
    <t>Berbagi kontak</t>
  </si>
  <si>
    <t>Condividi il contatto</t>
  </si>
  <si>
    <t>連絡先を共有します</t>
  </si>
  <si>
    <t>ចែករំលែកទំនាក់ទំនង</t>
  </si>
  <si>
    <t>ಸಂಪರ್ಕವನ್ನು ಹಂಚಿಕೊಳ್ಳಿ</t>
  </si>
  <si>
    <t>연락처를 공유하십시오</t>
  </si>
  <si>
    <t>ແບ່ງປັນຕິດຕໍ່</t>
  </si>
  <si>
    <t>Dalīties kontaktā</t>
  </si>
  <si>
    <t>Kongsi kenalan</t>
  </si>
  <si>
    <t>Contact delen</t>
  </si>
  <si>
    <t>Podziel się kontaktem</t>
  </si>
  <si>
    <t>Compartilhar contato</t>
  </si>
  <si>
    <t>Поделиться контактом</t>
  </si>
  <si>
    <t>แบ่งปันติดต่อ</t>
  </si>
  <si>
    <t>Bağlantı Paylaş</t>
  </si>
  <si>
    <t>Поділіться контактом</t>
  </si>
  <si>
    <t>共享联系人</t>
  </si>
  <si>
    <t>Chia sẻ liên hệ</t>
  </si>
  <si>
    <t>deleteContact</t>
  </si>
  <si>
    <t>Delete Contact</t>
  </si>
  <si>
    <t>حذف اتصال</t>
  </si>
  <si>
    <t>Odstranit kontakt</t>
  </si>
  <si>
    <t>Kontakt löschen</t>
  </si>
  <si>
    <t>Διαγραφή επαφής</t>
  </si>
  <si>
    <t>Borrar contacto</t>
  </si>
  <si>
    <t>Kustuta kontakt</t>
  </si>
  <si>
    <t>Poista yhteyshenkilö</t>
  </si>
  <si>
    <t>Effacer le contact</t>
  </si>
  <si>
    <t>संपर्क मिटा दें</t>
  </si>
  <si>
    <t>Hapus kontak</t>
  </si>
  <si>
    <t>Elimina il contatto</t>
  </si>
  <si>
    <t>連絡先を削除します</t>
  </si>
  <si>
    <t>លុបទំនាក់ទំនង</t>
  </si>
  <si>
    <t>ಸಂಪರ್ಕವನ್ನು ಅಳಿಸಿ</t>
  </si>
  <si>
    <t>연락처를 삭제하십시오</t>
  </si>
  <si>
    <t>ລຶບຜູ້ຕິດຕໍ່</t>
  </si>
  <si>
    <t>Dzēst kontaktu</t>
  </si>
  <si>
    <t>Padam kenalan</t>
  </si>
  <si>
    <t>Verwijder contact</t>
  </si>
  <si>
    <t>Usuń kontakt</t>
  </si>
  <si>
    <t>Excluir contato</t>
  </si>
  <si>
    <t>Удалить контакт</t>
  </si>
  <si>
    <t>ลบการติดต่อ</t>
  </si>
  <si>
    <t>Kişiyi silmek</t>
  </si>
  <si>
    <t>Видалити контакт</t>
  </si>
  <si>
    <t>删除联系人</t>
  </si>
  <si>
    <t>Xóa liên hệ</t>
  </si>
  <si>
    <t>addPhotoContact</t>
  </si>
  <si>
    <t>Add Photo</t>
  </si>
  <si>
    <t>إضافة صورة</t>
  </si>
  <si>
    <t>Přidat fotku</t>
  </si>
  <si>
    <t>Foto hinzufügen</t>
  </si>
  <si>
    <t>Προσθήκη φωτογραφίας</t>
  </si>
  <si>
    <t>Añadir foto</t>
  </si>
  <si>
    <t>Lisage foto</t>
  </si>
  <si>
    <t>Lisää kuva</t>
  </si>
  <si>
    <t>Ajouter une photo</t>
  </si>
  <si>
    <t>तस्वीर जोड़ो</t>
  </si>
  <si>
    <t>Tambahkan Foto</t>
  </si>
  <si>
    <t>Aggiungi foto</t>
  </si>
  <si>
    <t>写真を追加</t>
  </si>
  <si>
    <t>បន្ថែមរូបថត</t>
  </si>
  <si>
    <t>ಫೋಟೋ ಸೇರಿಸಿ</t>
  </si>
  <si>
    <t>사진 추가</t>
  </si>
  <si>
    <t>ເພີ່ມຮູບ</t>
  </si>
  <si>
    <t>Pievienot fotoattēlu</t>
  </si>
  <si>
    <t>Tambah Foto</t>
  </si>
  <si>
    <t>Voeg foto toe</t>
  </si>
  <si>
    <t>Dodaj zdjęcie</t>
  </si>
  <si>
    <t>Adicione a foto</t>
  </si>
  <si>
    <t>Добавить фото</t>
  </si>
  <si>
    <t>เพิ่มรูปภาพ</t>
  </si>
  <si>
    <t>Fotoğraf ekle</t>
  </si>
  <si>
    <t>Додати фото</t>
  </si>
  <si>
    <t>添加照片</t>
  </si>
  <si>
    <t>Thêm ảnh</t>
  </si>
  <si>
    <t>phone</t>
  </si>
  <si>
    <t>Phone</t>
  </si>
  <si>
    <t>هاتف</t>
  </si>
  <si>
    <t>Telefon</t>
  </si>
  <si>
    <t>Τηλέφωνο</t>
  </si>
  <si>
    <t>Teléfono</t>
  </si>
  <si>
    <t>Puhelin</t>
  </si>
  <si>
    <t>Téléphone</t>
  </si>
  <si>
    <t>फ़ोन</t>
  </si>
  <si>
    <t>Telepon</t>
  </si>
  <si>
    <t>Telefono</t>
  </si>
  <si>
    <t>ទូរស័ព្ទ</t>
  </si>
  <si>
    <t>ದೂರವಾಣಿ</t>
  </si>
  <si>
    <t>핸드폰</t>
  </si>
  <si>
    <t>ໂທລະສັບ</t>
  </si>
  <si>
    <t>Telefons</t>
  </si>
  <si>
    <t>Telefoon</t>
  </si>
  <si>
    <t>Telefone</t>
  </si>
  <si>
    <t>Телефон</t>
  </si>
  <si>
    <t>โทรศัพท์</t>
  </si>
  <si>
    <t>电话</t>
  </si>
  <si>
    <t>Điện thoại</t>
  </si>
  <si>
    <t>other</t>
  </si>
  <si>
    <t>Other</t>
  </si>
  <si>
    <t>آخر</t>
  </si>
  <si>
    <t>jiný</t>
  </si>
  <si>
    <t>Andere</t>
  </si>
  <si>
    <t>Αλλα</t>
  </si>
  <si>
    <t>Otro</t>
  </si>
  <si>
    <t>Teine</t>
  </si>
  <si>
    <t>Muut</t>
  </si>
  <si>
    <t>Autre</t>
  </si>
  <si>
    <t>अन्य</t>
  </si>
  <si>
    <t>Lainnya</t>
  </si>
  <si>
    <t>Altro</t>
  </si>
  <si>
    <t>他の</t>
  </si>
  <si>
    <t>ផ្សេងទៀត</t>
  </si>
  <si>
    <t>ಬೇರೆ</t>
  </si>
  <si>
    <t>다른</t>
  </si>
  <si>
    <t>ອື່ນ</t>
  </si>
  <si>
    <t>Cits</t>
  </si>
  <si>
    <t>Yang lain</t>
  </si>
  <si>
    <t>Ander</t>
  </si>
  <si>
    <t>Inny</t>
  </si>
  <si>
    <t>Outro</t>
  </si>
  <si>
    <t>Другой</t>
  </si>
  <si>
    <t>อื่น</t>
  </si>
  <si>
    <t>Diğer</t>
  </si>
  <si>
    <t>Інший</t>
  </si>
  <si>
    <t>其他</t>
  </si>
  <si>
    <t>Khác</t>
  </si>
  <si>
    <t>firstName</t>
  </si>
  <si>
    <t>First Name</t>
  </si>
  <si>
    <t>الاسم الأول</t>
  </si>
  <si>
    <t>Jméno</t>
  </si>
  <si>
    <t>Vorname</t>
  </si>
  <si>
    <t>Ονομα</t>
  </si>
  <si>
    <t>Nombre de pila</t>
  </si>
  <si>
    <t>Eesnimi</t>
  </si>
  <si>
    <t>Etunimi</t>
  </si>
  <si>
    <t>Prénom</t>
  </si>
  <si>
    <t>पहला नाम</t>
  </si>
  <si>
    <t>Nama depan</t>
  </si>
  <si>
    <t>Nome di battesimo</t>
  </si>
  <si>
    <t>ファーストネーム</t>
  </si>
  <si>
    <t>ឈ្មោះដំបូង</t>
  </si>
  <si>
    <t>ಮೊದಲ ಹೆಸರು</t>
  </si>
  <si>
    <t>이름</t>
  </si>
  <si>
    <t>ຊື່​ແທ້</t>
  </si>
  <si>
    <t>Vārds</t>
  </si>
  <si>
    <t>Nama pertama</t>
  </si>
  <si>
    <t>Voornaam</t>
  </si>
  <si>
    <t>Imię</t>
  </si>
  <si>
    <t>Primeiro nome</t>
  </si>
  <si>
    <t>Имя</t>
  </si>
  <si>
    <t>ชื่อจริง</t>
  </si>
  <si>
    <t>İlk adı</t>
  </si>
  <si>
    <t>Ім'я</t>
  </si>
  <si>
    <t>名</t>
  </si>
  <si>
    <t>Tên</t>
  </si>
  <si>
    <t>lastName</t>
  </si>
  <si>
    <t>Last Name</t>
  </si>
  <si>
    <t>اسم العائلة</t>
  </si>
  <si>
    <t>Příjmení</t>
  </si>
  <si>
    <t>Familienname, Nachname</t>
  </si>
  <si>
    <t>Επίθετο</t>
  </si>
  <si>
    <t>Apellido</t>
  </si>
  <si>
    <t>Perekonnanimi</t>
  </si>
  <si>
    <t>Sukunimi</t>
  </si>
  <si>
    <t>Nom de famille</t>
  </si>
  <si>
    <t>उपनाम</t>
  </si>
  <si>
    <t>Nama keluarga</t>
  </si>
  <si>
    <t>Cognome</t>
  </si>
  <si>
    <t>苗字</t>
  </si>
  <si>
    <t>នាមត្រកូល</t>
  </si>
  <si>
    <t>ಕೊನೆಯ ಹೆಸರು</t>
  </si>
  <si>
    <t>성</t>
  </si>
  <si>
    <t>ນາມ​ສະ​ກຸນ</t>
  </si>
  <si>
    <t>Uzvārds</t>
  </si>
  <si>
    <t>Nama terakhir</t>
  </si>
  <si>
    <t>Achternaam</t>
  </si>
  <si>
    <t>Nazwisko</t>
  </si>
  <si>
    <t>Sobrenome</t>
  </si>
  <si>
    <t>Фамилия</t>
  </si>
  <si>
    <t>นามสกุล</t>
  </si>
  <si>
    <t>Soy isim</t>
  </si>
  <si>
    <t>Прізвище</t>
  </si>
  <si>
    <t>姓</t>
  </si>
  <si>
    <t>Họ</t>
  </si>
  <si>
    <t>company</t>
  </si>
  <si>
    <t>Company</t>
  </si>
  <si>
    <t>شركة</t>
  </si>
  <si>
    <t>Společnost</t>
  </si>
  <si>
    <t>Unternehmen</t>
  </si>
  <si>
    <t>Εταιρία</t>
  </si>
  <si>
    <t>Compañía</t>
  </si>
  <si>
    <t>Ettevõte</t>
  </si>
  <si>
    <t>Yhtiö</t>
  </si>
  <si>
    <t>Entreprise</t>
  </si>
  <si>
    <t>कंपनी</t>
  </si>
  <si>
    <t>Perusahaan</t>
  </si>
  <si>
    <t>Azienda</t>
  </si>
  <si>
    <t>会社</t>
  </si>
  <si>
    <t>រកុមហ៊ុន</t>
  </si>
  <si>
    <t>ದಳ</t>
  </si>
  <si>
    <t>회사</t>
  </si>
  <si>
    <t>ປະຣິມານ</t>
  </si>
  <si>
    <t>Kompānija</t>
  </si>
  <si>
    <t>Syarikat</t>
  </si>
  <si>
    <t>Bedrijf</t>
  </si>
  <si>
    <t>Firma</t>
  </si>
  <si>
    <t>Empresa</t>
  </si>
  <si>
    <t>Компания</t>
  </si>
  <si>
    <t>บริษัท</t>
  </si>
  <si>
    <t>Şirket</t>
  </si>
  <si>
    <t>Компанія</t>
  </si>
  <si>
    <t>公司</t>
  </si>
  <si>
    <t>Công ty</t>
  </si>
  <si>
    <t>mobile</t>
  </si>
  <si>
    <t>Mobile</t>
  </si>
  <si>
    <t>متحرك</t>
  </si>
  <si>
    <t>mobilní, pohybliví</t>
  </si>
  <si>
    <t>Handy, Mobiltelefon</t>
  </si>
  <si>
    <t>Κινητό</t>
  </si>
  <si>
    <t>Móvil</t>
  </si>
  <si>
    <t>Mobiilne</t>
  </si>
  <si>
    <t>Liikkuva</t>
  </si>
  <si>
    <t>गतिमान</t>
  </si>
  <si>
    <t>携帯</t>
  </si>
  <si>
    <t>ដេលប្ដូរកន្លេង</t>
  </si>
  <si>
    <t>ಮೊಬೈರಿ</t>
  </si>
  <si>
    <t>이동하는</t>
  </si>
  <si>
    <t>ມືຖື</t>
  </si>
  <si>
    <t>Mobilais</t>
  </si>
  <si>
    <t>Mudah alih</t>
  </si>
  <si>
    <t>Mobiel</t>
  </si>
  <si>
    <t>mobilny</t>
  </si>
  <si>
    <t>Móvel</t>
  </si>
  <si>
    <t>Мобильный</t>
  </si>
  <si>
    <t>มือถือ</t>
  </si>
  <si>
    <t>Hareketli</t>
  </si>
  <si>
    <t>Мобільний</t>
  </si>
  <si>
    <t>移动的</t>
  </si>
  <si>
    <t>Di động</t>
  </si>
  <si>
    <t>home</t>
  </si>
  <si>
    <t>Home</t>
  </si>
  <si>
    <t>بيت</t>
  </si>
  <si>
    <t>Domov</t>
  </si>
  <si>
    <t>Heim</t>
  </si>
  <si>
    <t>Σπίτι</t>
  </si>
  <si>
    <t>Hogar</t>
  </si>
  <si>
    <t>Kodu</t>
  </si>
  <si>
    <t>Koti</t>
  </si>
  <si>
    <t>Maison</t>
  </si>
  <si>
    <t>घर</t>
  </si>
  <si>
    <t>Rumah</t>
  </si>
  <si>
    <t>Casa</t>
  </si>
  <si>
    <t>家</t>
  </si>
  <si>
    <t>ផ្ទហ</t>
  </si>
  <si>
    <t>ಮನೆ</t>
  </si>
  <si>
    <t>집</t>
  </si>
  <si>
    <t>ບ້ານ</t>
  </si>
  <si>
    <t>Mājas</t>
  </si>
  <si>
    <t>Thuis</t>
  </si>
  <si>
    <t>Dom</t>
  </si>
  <si>
    <t>Lar</t>
  </si>
  <si>
    <t>Дом</t>
  </si>
  <si>
    <t>บ้าน</t>
  </si>
  <si>
    <t>Ev</t>
  </si>
  <si>
    <t>Домашній</t>
  </si>
  <si>
    <t>Trang chủ</t>
  </si>
  <si>
    <t>work</t>
  </si>
  <si>
    <t>Work</t>
  </si>
  <si>
    <t>عمل</t>
  </si>
  <si>
    <t>Práce</t>
  </si>
  <si>
    <t>Arbeiten</t>
  </si>
  <si>
    <t>Δουλειά</t>
  </si>
  <si>
    <t>Trabajar</t>
  </si>
  <si>
    <t>Töö</t>
  </si>
  <si>
    <t>Tehdä työtä</t>
  </si>
  <si>
    <t>Travail</t>
  </si>
  <si>
    <t>काम</t>
  </si>
  <si>
    <t>Bekerja</t>
  </si>
  <si>
    <t>Lavoro</t>
  </si>
  <si>
    <t>仕事</t>
  </si>
  <si>
    <t>ការងារ</t>
  </si>
  <si>
    <t>ಕೆಲಸ</t>
  </si>
  <si>
    <t>일하다</t>
  </si>
  <si>
    <t>ການເຮັດວຽກ</t>
  </si>
  <si>
    <t>Darbība</t>
  </si>
  <si>
    <t>Werk</t>
  </si>
  <si>
    <t>Praca</t>
  </si>
  <si>
    <t>Trabalhar</t>
  </si>
  <si>
    <t>Работа</t>
  </si>
  <si>
    <t>งาน</t>
  </si>
  <si>
    <t>İş</t>
  </si>
  <si>
    <t>Працювати</t>
  </si>
  <si>
    <t>工作</t>
  </si>
  <si>
    <t>Công việc</t>
  </si>
  <si>
    <t>note</t>
  </si>
  <si>
    <t>Note</t>
  </si>
  <si>
    <t>ملحوظة</t>
  </si>
  <si>
    <t>Poznámka</t>
  </si>
  <si>
    <t>Notiz</t>
  </si>
  <si>
    <t>Σημείωση</t>
  </si>
  <si>
    <t>Märge</t>
  </si>
  <si>
    <t>Huomautus</t>
  </si>
  <si>
    <t>टिप्पणी</t>
  </si>
  <si>
    <t>注記</t>
  </si>
  <si>
    <t>វិក័យប័រត</t>
  </si>
  <si>
    <t>ಸೂಚನೆ</t>
  </si>
  <si>
    <t>메모</t>
  </si>
  <si>
    <t>ຫມາຍ​ເຫດ​</t>
  </si>
  <si>
    <t>Piezīme</t>
  </si>
  <si>
    <t>Opmerking</t>
  </si>
  <si>
    <t>Notatka</t>
  </si>
  <si>
    <t>Observação</t>
  </si>
  <si>
    <t>Примечание</t>
  </si>
  <si>
    <t>บันทึก</t>
  </si>
  <si>
    <t>Not</t>
  </si>
  <si>
    <t>Примітка</t>
  </si>
  <si>
    <t>newPassword</t>
  </si>
  <si>
    <t>New Password</t>
  </si>
  <si>
    <t>كلمة المرور الجديدة</t>
  </si>
  <si>
    <t>nové heslo</t>
  </si>
  <si>
    <t>Neues Kennwort</t>
  </si>
  <si>
    <t>Νέος Κωδικός</t>
  </si>
  <si>
    <t>Nueva contraseña</t>
  </si>
  <si>
    <t>uus salasõna</t>
  </si>
  <si>
    <t>uusi salasana</t>
  </si>
  <si>
    <t>nouveau mot de passe</t>
  </si>
  <si>
    <t>नया पासवर्ड</t>
  </si>
  <si>
    <t>kata sandi baru</t>
  </si>
  <si>
    <t>nuova password</t>
  </si>
  <si>
    <t>新しいパスワード</t>
  </si>
  <si>
    <t>ពាក្យសម្ងាត់​ថ្មី</t>
  </si>
  <si>
    <t>ಹೊಸ ಪಾಸ್‌ವರ್ಡ್</t>
  </si>
  <si>
    <t>새 비밀번호</t>
  </si>
  <si>
    <t>ລະຫັດລັບໃຫມ່</t>
  </si>
  <si>
    <t>jauna parole</t>
  </si>
  <si>
    <t>Kata laluan baharu</t>
  </si>
  <si>
    <t>nieuw paswoord</t>
  </si>
  <si>
    <t>nowe hasło</t>
  </si>
  <si>
    <t>Nova Senha</t>
  </si>
  <si>
    <t>Новый пароль</t>
  </si>
  <si>
    <t>รหัสผ่านใหม่</t>
  </si>
  <si>
    <t>Yeni Şifre</t>
  </si>
  <si>
    <t>Новий пароль</t>
  </si>
  <si>
    <t>新密码</t>
  </si>
  <si>
    <t>mật khẩu mới</t>
  </si>
  <si>
    <t>editPassword</t>
  </si>
  <si>
    <t>Edit Password</t>
  </si>
  <si>
    <t>تحرير كلمة المرور</t>
  </si>
  <si>
    <t>Upravit heslo</t>
  </si>
  <si>
    <t>Passwort bearbeiten</t>
  </si>
  <si>
    <t>Επεξεργασία κωδικού πρόσβασης</t>
  </si>
  <si>
    <t>Editar contraseña</t>
  </si>
  <si>
    <t>Redigeeri parooli</t>
  </si>
  <si>
    <t>Muokkaa salasanaa</t>
  </si>
  <si>
    <t>Modifier le mot de passe</t>
  </si>
  <si>
    <t>पासवर्ड संपादित करें</t>
  </si>
  <si>
    <t>Edit Kata Sandi</t>
  </si>
  <si>
    <t>Modifica password</t>
  </si>
  <si>
    <t>パスワードを編集します</t>
  </si>
  <si>
    <t>កែសម្រួលពាក្យសម្ងាត់</t>
  </si>
  <si>
    <t>ಪಾಸ್ವರ್ಡ್ ಸಂಪಾದಿಸಿ</t>
  </si>
  <si>
    <t>비밀번호 편집</t>
  </si>
  <si>
    <t>ແກ້ໄຂລະຫັດຜ່ານ</t>
  </si>
  <si>
    <t>Rediģēt paroli</t>
  </si>
  <si>
    <t>Edit kata laluan</t>
  </si>
  <si>
    <t>Wachtwoord bewerken</t>
  </si>
  <si>
    <t>Edytuj hasło</t>
  </si>
  <si>
    <t>Editar senha</t>
  </si>
  <si>
    <t>Редактировать пароль</t>
  </si>
  <si>
    <t>แก้ไขรหัสผ่าน</t>
  </si>
  <si>
    <t>Parolayı düzenle</t>
  </si>
  <si>
    <t>Редагувати пароль</t>
  </si>
  <si>
    <t>编辑密码</t>
  </si>
  <si>
    <t>Chỉnh sửa mật khẩu</t>
  </si>
  <si>
    <t>noPasswordTitle</t>
  </si>
  <si>
    <t>There are no passwords here!</t>
  </si>
  <si>
    <t>لا توجد كلمات مرور هنا!</t>
  </si>
  <si>
    <t>Zde nejsou žádná hesla!</t>
  </si>
  <si>
    <t>Hier gibt es keine Passwörter!</t>
  </si>
  <si>
    <t>Δεν υπάρχουν κωδικοί πρόσβασης εδώ!</t>
  </si>
  <si>
    <t>¡No hay contraseñas aquí!</t>
  </si>
  <si>
    <t>Siin pole paroole!</t>
  </si>
  <si>
    <t>Täällä ei ole salasanoja!</t>
  </si>
  <si>
    <t>Il n'y a pas de mots de passe ici!</t>
  </si>
  <si>
    <t>यहाँ कोई पासवर्ड नहीं हैं!</t>
  </si>
  <si>
    <t>Tidak ada kata sandi di sini!</t>
  </si>
  <si>
    <t>Non ci sono password qui!</t>
  </si>
  <si>
    <t>ここにはパスワードはありません！</t>
  </si>
  <si>
    <t>មិនមានពាក្យសម្ងាត់នៅទីនេះទេ!</t>
  </si>
  <si>
    <t>ಇಲ್ಲಿ ಯಾವುದೇ ಪಾಸ್‌ವರ್ಡ್‌ಗಳಿಲ್ಲ!</t>
  </si>
  <si>
    <t>여기에는 암호가 없습니다!</t>
  </si>
  <si>
    <t>ບໍ່ມີລະຫັດຜ່ານຢູ່ບ່ອນນີ້!</t>
  </si>
  <si>
    <t>Šeit nav paroļu!</t>
  </si>
  <si>
    <t>Tidak ada kata laluan di sini!</t>
  </si>
  <si>
    <t>Er zijn hier geen wachtwoorden!</t>
  </si>
  <si>
    <t>Tutaj nie ma haseł!</t>
  </si>
  <si>
    <t>Não há senhas aqui!</t>
  </si>
  <si>
    <t>Здесь нет паролей!</t>
  </si>
  <si>
    <t>ไม่มีรหัสผ่านที่นี่!</t>
  </si>
  <si>
    <t>Burada şifre yok!</t>
  </si>
  <si>
    <t>Тут немає паролів!</t>
  </si>
  <si>
    <t>这里没有密码！</t>
  </si>
  <si>
    <t>Không có mật khẩu ở đây!</t>
  </si>
  <si>
    <t>noPasswordMessage</t>
  </si>
  <si>
    <t>Tap button to add new password</t>
  </si>
  <si>
    <t>انقر فوق الزر لإضافة كلمة مرور جديدة</t>
  </si>
  <si>
    <t>Klepnutím na tlačítko přidáte nové heslo</t>
  </si>
  <si>
    <t>Tippen Sie auf die Schaltfläche, um ein neues Passwort hinzuzufügen</t>
  </si>
  <si>
    <t>Πατήστε το κουμπί για να προσθέσετε νέο κωδικό πρόσβασης</t>
  </si>
  <si>
    <t>Toque el botón para agregar una nueva contraseña</t>
  </si>
  <si>
    <t>Uue parooli lisamiseks puudutage nuppu</t>
  </si>
  <si>
    <t>Napauta -painiketta lisätäksesi uuden salasanan</t>
  </si>
  <si>
    <t>Appuyez sur le bouton pour ajouter un nouveau mot de passe</t>
  </si>
  <si>
    <t>नया पासवर्ड जोड़ने के लिए बटन टैप करें</t>
  </si>
  <si>
    <t>Tap tombol untuk menambahkan kata sandi baru</t>
  </si>
  <si>
    <t>Tocca il pulsante per aggiungere nuova password</t>
  </si>
  <si>
    <t>[ボタン]をタップして、新しいパスワードを追加します</t>
  </si>
  <si>
    <t>ប៉ះប៊ូតុងដើម្បីបន្ថែមពាក្យសម្ងាត់ថ្មី</t>
  </si>
  <si>
    <t>ಹೊಸ ಪಾಸ್‌ವರ್ಡ್ ಸೇರಿಸಲು ಬಟನ್ ಟ್ಯಾಪ್ ಮಾಡಿ</t>
  </si>
  <si>
    <t>새 비밀번호를 추가하려면 버튼을 누릅니다</t>
  </si>
  <si>
    <t>ກົດປຸ່ມເພື່ອເພີ່ມລະຫັດລັບໃຫມ່</t>
  </si>
  <si>
    <t>Pieskarieties pogai, lai pievienotu jaunu paroli</t>
  </si>
  <si>
    <t>Ketik butang untuk menambah kata laluan baru</t>
  </si>
  <si>
    <t>Tik op de knop om een ​​nieuw wachtwoord toe te voegen</t>
  </si>
  <si>
    <t>Stuknij przycisk, aby dodać nowe hasło</t>
  </si>
  <si>
    <t>Toque no botão para adicionar nova senha</t>
  </si>
  <si>
    <t>Кнопка для добавления нового пароля добавить новый пароль</t>
  </si>
  <si>
    <t>แตะปุ่มเพื่อเพิ่มรหัสผ่านใหม่</t>
  </si>
  <si>
    <t>Yeni şifre eklemek için düğmeye dokunun</t>
  </si>
  <si>
    <t>Натисніть кнопку, щоб додати новий пароль</t>
  </si>
  <si>
    <t>点击按钮添加新密码</t>
  </si>
  <si>
    <t>Nhấn vào nút để thêm mật khẩu mới</t>
  </si>
  <si>
    <t>copyUsername</t>
  </si>
  <si>
    <t>Copy UserName</t>
  </si>
  <si>
    <t>نسخ اسم المستخدم</t>
  </si>
  <si>
    <t>Zkopírujte uživatelské jméno</t>
  </si>
  <si>
    <t>Benutzername kopieren</t>
  </si>
  <si>
    <t>Αντιγραφή ονόματος χρήστη</t>
  </si>
  <si>
    <t>Copiar nombre de usuario</t>
  </si>
  <si>
    <t>Kopeeri kasutajanimi</t>
  </si>
  <si>
    <t>Kopioi käyttäjänimi</t>
  </si>
  <si>
    <t>Copier le nom d'utilisateur</t>
  </si>
  <si>
    <t>कॉपी यूजरनेम</t>
  </si>
  <si>
    <t>Salin Nama Pengguna</t>
  </si>
  <si>
    <t>Copia il nome utente</t>
  </si>
  <si>
    <t>ユーザー名をコピーします</t>
  </si>
  <si>
    <t>ចម្លងឈ្មោះអ្នកប្រើ</t>
  </si>
  <si>
    <t>ಬಳಕೆದಾರ ಹೆಸರನ್ನು ನಕಲಿಸಿ</t>
  </si>
  <si>
    <t>사용자 이름을 복사하십시오</t>
  </si>
  <si>
    <t>ສໍາເນົາຊື່ຜູ້ໃຊ້</t>
  </si>
  <si>
    <t>Kopēt lietotājvārdu</t>
  </si>
  <si>
    <t>Kopieer de gebruikersnaam</t>
  </si>
  <si>
    <t>Skopiuj nazwę użytkownika</t>
  </si>
  <si>
    <t>Copie o nome de usuário</t>
  </si>
  <si>
    <t>Скопируйте имя пользователя</t>
  </si>
  <si>
    <t>คัดลอกชื่อผู้ใช้</t>
  </si>
  <si>
    <t>Kullanıcı Adını Kopyala</t>
  </si>
  <si>
    <t>Скопіюйте ім'я користувача</t>
  </si>
  <si>
    <t>复制用户名</t>
  </si>
  <si>
    <t>Sao chép tên người dùng</t>
  </si>
  <si>
    <t>copyPassword</t>
  </si>
  <si>
    <t>Copy Password</t>
  </si>
  <si>
    <t>نسخ كلمة المرور</t>
  </si>
  <si>
    <t>Zkopírovat heslo</t>
  </si>
  <si>
    <t>Passwort kopieren</t>
  </si>
  <si>
    <t>Αντιγραφή κωδικού πρόσβασης</t>
  </si>
  <si>
    <t>Copiar contraseña</t>
  </si>
  <si>
    <t>Koopiaparool</t>
  </si>
  <si>
    <t>Kopioida salasana</t>
  </si>
  <si>
    <t>Copier le mot de passe</t>
  </si>
  <si>
    <t>पासवर्ड कॉपी करें</t>
  </si>
  <si>
    <t>Salin kata sandi</t>
  </si>
  <si>
    <t>Copia password</t>
  </si>
  <si>
    <t>パスワードをコピーします</t>
  </si>
  <si>
    <t>ចម្លងពាក្យសម្ងាត់</t>
  </si>
  <si>
    <t>ಪಾಸ್ವರ್ಡ್ ನಕಲಿಸಿ</t>
  </si>
  <si>
    <t>비밀번호를 복사하십시오</t>
  </si>
  <si>
    <t>ສໍາເນົາລະຫັດຜ່ານ</t>
  </si>
  <si>
    <t>Kopēt paroli</t>
  </si>
  <si>
    <t>Salin kata laluan</t>
  </si>
  <si>
    <t>Kopieer wachtwoord</t>
  </si>
  <si>
    <t>Kopiuj hasło</t>
  </si>
  <si>
    <t>Copiar senha</t>
  </si>
  <si>
    <t>Копировать пароль</t>
  </si>
  <si>
    <t>คัดลอกรหัสผ่าน</t>
  </si>
  <si>
    <t>Şifre kopyala</t>
  </si>
  <si>
    <t>Скопіюйте пароль</t>
  </si>
  <si>
    <t>复印密码</t>
  </si>
  <si>
    <t>Sao chép mật khẩu</t>
  </si>
  <si>
    <t>copyUrl</t>
  </si>
  <si>
    <t>Copy URL</t>
  </si>
  <si>
    <t>إنسخ الرابط</t>
  </si>
  <si>
    <t>Kopírovat URL</t>
  </si>
  <si>
    <t>URL kopieren</t>
  </si>
  <si>
    <t>Αντιγραφή URL</t>
  </si>
  <si>
    <t>Copiar URL</t>
  </si>
  <si>
    <t>Koopia URL</t>
  </si>
  <si>
    <t>Kopioida URL -osoite</t>
  </si>
  <si>
    <t>Copier le lien</t>
  </si>
  <si>
    <t>यूआरएल कॉपी करें</t>
  </si>
  <si>
    <t>Salin URL</t>
  </si>
  <si>
    <t>Copia URL</t>
  </si>
  <si>
    <t>URLをコピーします</t>
  </si>
  <si>
    <t>ចម្លង URL</t>
  </si>
  <si>
    <t>URL ಅನ್ನು ನಕಲಿಸಿ</t>
  </si>
  <si>
    <t>URL 복사</t>
  </si>
  <si>
    <t>ສໍາເນົາ URL</t>
  </si>
  <si>
    <t>Kopēt URL</t>
  </si>
  <si>
    <t>Kopie URL</t>
  </si>
  <si>
    <t>Kopiuj URL</t>
  </si>
  <si>
    <t>Копия URL</t>
  </si>
  <si>
    <t>คัดลอก URL</t>
  </si>
  <si>
    <t>Url'yi kopyala</t>
  </si>
  <si>
    <t>Скопіюйте URL -адресу</t>
  </si>
  <si>
    <t>复制URL</t>
  </si>
  <si>
    <t>Sao chép URL</t>
  </si>
  <si>
    <t>name</t>
  </si>
  <si>
    <t>Name</t>
  </si>
  <si>
    <t>اسم</t>
  </si>
  <si>
    <t>název</t>
  </si>
  <si>
    <t>Nombre</t>
  </si>
  <si>
    <t>Nimetus</t>
  </si>
  <si>
    <t>Nimi</t>
  </si>
  <si>
    <t>Nom</t>
  </si>
  <si>
    <t>नाम</t>
  </si>
  <si>
    <t>Nama</t>
  </si>
  <si>
    <t>Nome</t>
  </si>
  <si>
    <t>名前</t>
  </si>
  <si>
    <t>ឈ្ផោហ</t>
  </si>
  <si>
    <t>ಹೆಸರು</t>
  </si>
  <si>
    <t>ຊື່</t>
  </si>
  <si>
    <t>Nosaukt</t>
  </si>
  <si>
    <t>Naam</t>
  </si>
  <si>
    <t>Nazwa</t>
  </si>
  <si>
    <t>ชื่อ</t>
  </si>
  <si>
    <t>İsim</t>
  </si>
  <si>
    <t>Назва</t>
  </si>
  <si>
    <t>姓名</t>
  </si>
  <si>
    <t>userName</t>
  </si>
  <si>
    <t>User Name</t>
  </si>
  <si>
    <t>اسم المستخدم</t>
  </si>
  <si>
    <t>Uživatelské jméno</t>
  </si>
  <si>
    <t>Nutzername</t>
  </si>
  <si>
    <t>Ονομα χρήστη</t>
  </si>
  <si>
    <t>Nombre de usuario</t>
  </si>
  <si>
    <t>Kasutajanimi</t>
  </si>
  <si>
    <t>Käyttäjänimi</t>
  </si>
  <si>
    <t>Nom d'utilisateur</t>
  </si>
  <si>
    <t>उपयोगकर्ता नाम</t>
  </si>
  <si>
    <t>Nama belakang</t>
  </si>
  <si>
    <t>Nome utente</t>
  </si>
  <si>
    <t>ユーザー名</t>
  </si>
  <si>
    <t>ឈ្មោះ​អ្នកប្រើប្រាស់</t>
  </si>
  <si>
    <t>ಬಳಕೆದಾರ ಹೆಸರು</t>
  </si>
  <si>
    <t>사용자 이름</t>
  </si>
  <si>
    <t>ຊື່ຜູ້ໃຊ້</t>
  </si>
  <si>
    <t>Lietotājvārds</t>
  </si>
  <si>
    <t>Nama pengguna</t>
  </si>
  <si>
    <t>Gebruikersnaam</t>
  </si>
  <si>
    <t>Nazwa użytkownika</t>
  </si>
  <si>
    <t>Nome de usuário</t>
  </si>
  <si>
    <t>Имя пользователя</t>
  </si>
  <si>
    <t>ชื่อผู้ใช้</t>
  </si>
  <si>
    <t>Kullanıcı adı</t>
  </si>
  <si>
    <t>Ім'я користувача</t>
  </si>
  <si>
    <t>用户名</t>
  </si>
  <si>
    <t>Tên tài khoản</t>
  </si>
  <si>
    <t>deletePassword</t>
  </si>
  <si>
    <t>Delete Password</t>
  </si>
  <si>
    <t>حذف كلمة المرور</t>
  </si>
  <si>
    <t>Odstranit heslo</t>
  </si>
  <si>
    <t>Passwort löschen</t>
  </si>
  <si>
    <t>Διαγραφή κωδικού πρόσβασης</t>
  </si>
  <si>
    <t>Eliminar contraseña</t>
  </si>
  <si>
    <t>Kustuta parool</t>
  </si>
  <si>
    <t>Poista salasana</t>
  </si>
  <si>
    <t>Supprimer le mot de passe</t>
  </si>
  <si>
    <t>पासवर्ड हटाएं</t>
  </si>
  <si>
    <t>Hapus kata sandi</t>
  </si>
  <si>
    <t>Elimina la password</t>
  </si>
  <si>
    <t>パスワードを削除します</t>
  </si>
  <si>
    <t>លុបលេខសម្ងាត់</t>
  </si>
  <si>
    <t>ಪಾಸ್ವರ್ಡ್ ಅಳಿಸಿ</t>
  </si>
  <si>
    <t>비밀번호 삭제</t>
  </si>
  <si>
    <t>ລຶບລະຫັດຜ່ານ</t>
  </si>
  <si>
    <t>Dzēst paroli</t>
  </si>
  <si>
    <t>Padam kata laluan</t>
  </si>
  <si>
    <t>Wachtwoord verwijderen</t>
  </si>
  <si>
    <t>Usuń hasło</t>
  </si>
  <si>
    <t>Excluir senha</t>
  </si>
  <si>
    <t>Удалить пароль</t>
  </si>
  <si>
    <t>ลบรหัสผ่าน</t>
  </si>
  <si>
    <t>Şifreyi Sil</t>
  </si>
  <si>
    <t>Видалити пароль</t>
  </si>
  <si>
    <t>删除密码</t>
  </si>
  <si>
    <t>Xóa mật khẩu</t>
  </si>
  <si>
    <t>chooseIcon</t>
  </si>
  <si>
    <t>Choose Icon</t>
  </si>
  <si>
    <t>اختر أيقونة</t>
  </si>
  <si>
    <t>Vyberte ikonu</t>
  </si>
  <si>
    <t>Wählen Sie Icon</t>
  </si>
  <si>
    <t>Επιλέξτε εικονίδιο</t>
  </si>
  <si>
    <t>Elija icono</t>
  </si>
  <si>
    <t>Valige ikoon</t>
  </si>
  <si>
    <t>Valitse kuvake</t>
  </si>
  <si>
    <t>Choisissez l'icône</t>
  </si>
  <si>
    <t>आइकन चुनें</t>
  </si>
  <si>
    <t>Pilih Ikon</t>
  </si>
  <si>
    <t>Scegli icona</t>
  </si>
  <si>
    <t>アイコンを選択します</t>
  </si>
  <si>
    <t>ជ្រើសរើសរូបតំណាង</t>
  </si>
  <si>
    <t>ಐಕಾನ್ ಆಯ್ಕೆಮಾಡಿ</t>
  </si>
  <si>
    <t>아이콘을 선택하십시오</t>
  </si>
  <si>
    <t>ເລືອກຮູບສັນຍາລັກ</t>
  </si>
  <si>
    <t>Izvēlieties ikonu</t>
  </si>
  <si>
    <t>Pilih ikon</t>
  </si>
  <si>
    <t>Kies Pictogram</t>
  </si>
  <si>
    <t>Wybierz ikonę</t>
  </si>
  <si>
    <t>Escolha o ícone</t>
  </si>
  <si>
    <t>Выберите значок</t>
  </si>
  <si>
    <t>เลือกไอคอน</t>
  </si>
  <si>
    <t>Simgeyi seçin</t>
  </si>
  <si>
    <t>Виберіть ікону</t>
  </si>
  <si>
    <t>选择图标</t>
  </si>
  <si>
    <t>Chọn biểu tượng</t>
  </si>
  <si>
    <t>noNoteTitle</t>
  </si>
  <si>
    <t>There are no notes here!</t>
  </si>
  <si>
    <t>لا توجد ملاحظات هنا!</t>
  </si>
  <si>
    <t>Zde nejsou žádné poznámky!</t>
  </si>
  <si>
    <t>Hier gibt es keine Notizen!</t>
  </si>
  <si>
    <t>Δεν υπάρχουν σημειώσεις εδώ!</t>
  </si>
  <si>
    <t>¡No hay notas aquí!</t>
  </si>
  <si>
    <t>Siin pole märkmeid!</t>
  </si>
  <si>
    <t>Täällä ei ole muistiinpanoja!</t>
  </si>
  <si>
    <t>Il n'y a pas de notes ici!</t>
  </si>
  <si>
    <t>यहाँ कोई नोट नहीं हैं!</t>
  </si>
  <si>
    <t>Tidak ada catatan di sini!</t>
  </si>
  <si>
    <t>Non ci sono note qui!</t>
  </si>
  <si>
    <t>ここにはメモはありません！</t>
  </si>
  <si>
    <t>មិនមានកំណត់ចំណាំនៅទីនេះទេ!</t>
  </si>
  <si>
    <t>ಇಲ್ಲಿ ಯಾವುದೇ ಟಿಪ್ಪಣಿಗಳಿಲ್ಲ!</t>
  </si>
  <si>
    <t>여기에 메모가 없습니다!</t>
  </si>
  <si>
    <t>ບໍ່ມີບັນທຶກຢູ່ບ່ອນນີ້!</t>
  </si>
  <si>
    <t>Šeit nav piezīmju!</t>
  </si>
  <si>
    <t>Tidak ada nota di sini!</t>
  </si>
  <si>
    <t>Er zijn hier geen aantekeningen!</t>
  </si>
  <si>
    <t>Nie ma tu żadnych notatek!</t>
  </si>
  <si>
    <t>Não há anotações aqui!</t>
  </si>
  <si>
    <t>Здесь нет заметок!</t>
  </si>
  <si>
    <t>ไม่มีบันทึกที่นี่!</t>
  </si>
  <si>
    <t>Burada not yok!</t>
  </si>
  <si>
    <t>Тут немає нот!</t>
  </si>
  <si>
    <t>这里没有笔记！</t>
  </si>
  <si>
    <t>Không có ghi chú ở đây!</t>
  </si>
  <si>
    <t>noNoteMessage</t>
  </si>
  <si>
    <t>Tap button to add new note</t>
  </si>
  <si>
    <t>انقر فوق الزر لإضافة ملاحظة جديدة</t>
  </si>
  <si>
    <t>Klepnutím na tlačítko přidáte novou poznámku</t>
  </si>
  <si>
    <t>Tippen Sie auf die Schaltfläche, um eine neue Notiz hinzuzufügen</t>
  </si>
  <si>
    <t>Πατήστε το κουμπί για να προσθέσετε νέα σημείωση</t>
  </si>
  <si>
    <t>Toque el botón para agregar una nueva nota</t>
  </si>
  <si>
    <t>Uue märkme lisamiseks koputage nuppu</t>
  </si>
  <si>
    <t>Napauta -painiketta lisätäksesi uuden muistiinpanon</t>
  </si>
  <si>
    <t>Appuyez sur le bouton pour ajouter une nouvelle note</t>
  </si>
  <si>
    <t>नया नोट जोड़ने के लिए बटन टैप करें</t>
  </si>
  <si>
    <t>Tap tombol untuk menambahkan catatan baru</t>
  </si>
  <si>
    <t>Tocca il pulsante per aggiungere una nuova nota</t>
  </si>
  <si>
    <t>[ボタン]をタップして、新しいメモを追加します</t>
  </si>
  <si>
    <t>ប៉ះប៊ូតុងដើម្បីបន្ថែមកំណត់ត្រាថ្មី</t>
  </si>
  <si>
    <t>ಹೊಸ ಟಿಪ್ಪಣಿ ಸೇರಿಸಲು ಬಟನ್ ಟ್ಯಾಪ್ ಮಾಡಿ</t>
  </si>
  <si>
    <t>버튼을 눌러 새 메모를 추가하십시오</t>
  </si>
  <si>
    <t>ແຕະປຸ່ມເພື່ອເພີ່ມບັນທຶກໃຫມ່</t>
  </si>
  <si>
    <t>Pieskarieties, lai pievienotu jaunu piezīmi</t>
  </si>
  <si>
    <t>Ketik butang untuk menambah nota baru</t>
  </si>
  <si>
    <t>Tik op de knop om een ​​nieuwe opmerking toe te voegen</t>
  </si>
  <si>
    <t>Stuknij przycisk, aby dodać nową notatkę</t>
  </si>
  <si>
    <t>Toque no botão para adicionar nova nota</t>
  </si>
  <si>
    <t>Кнопка зацепления, чтобы добавить новую ноту</t>
  </si>
  <si>
    <t>ปุ่มแตะเพื่อเพิ่มหมายเหตุใหม่</t>
  </si>
  <si>
    <t>Yeni not eklemek için düğmeye dokunun</t>
  </si>
  <si>
    <t>Натисніть кнопку, щоб додати нову примітку</t>
  </si>
  <si>
    <t>点击按钮添加新笔记</t>
  </si>
  <si>
    <t>Nhấn vào nút (+) để thêm ghi chú mới</t>
  </si>
  <si>
    <t>deleteNote</t>
  </si>
  <si>
    <t>Delete Note</t>
  </si>
  <si>
    <t>حذف الملاحظة</t>
  </si>
  <si>
    <t>Odstranit poznámku</t>
  </si>
  <si>
    <t>Notiz löschen</t>
  </si>
  <si>
    <t>Διαγραφή σημείωμα</t>
  </si>
  <si>
    <t>Borrar nota</t>
  </si>
  <si>
    <t>Kustutage märkus</t>
  </si>
  <si>
    <t>Poista huomautus</t>
  </si>
  <si>
    <t>Supprimer la note</t>
  </si>
  <si>
    <t>नोट हटाएं</t>
  </si>
  <si>
    <t>Hapus catatan</t>
  </si>
  <si>
    <t>Elimina nota</t>
  </si>
  <si>
    <t>メモを削除します</t>
  </si>
  <si>
    <t>លុបកំណត់ចំណាំ</t>
  </si>
  <si>
    <t>ಟಿಪ್ಪಣಿ ಅಳಿಸು</t>
  </si>
  <si>
    <t>메모를 삭제하십시오</t>
  </si>
  <si>
    <t>ລຶບບັນທຶກ</t>
  </si>
  <si>
    <t>Dzēst piezīmi</t>
  </si>
  <si>
    <t>Padam nota</t>
  </si>
  <si>
    <t>Note verwijderen</t>
  </si>
  <si>
    <t>Usuń notatkę</t>
  </si>
  <si>
    <t>Excluir nota</t>
  </si>
  <si>
    <t>Удалить примечание</t>
  </si>
  <si>
    <t>ลบหมายเหตุ</t>
  </si>
  <si>
    <t>Notu sil</t>
  </si>
  <si>
    <t>Видалити примітку</t>
  </si>
  <si>
    <t>删除注释</t>
  </si>
  <si>
    <t>Xóa ghi chú</t>
  </si>
  <si>
    <t>deleteNoteMessage</t>
  </si>
  <si>
    <t>enterTitle</t>
  </si>
  <si>
    <t>Enter title...</t>
  </si>
  <si>
    <t>أدخل العنوان...</t>
  </si>
  <si>
    <t>Zadejte titul ...</t>
  </si>
  <si>
    <t>Titel eingeben ...</t>
  </si>
  <si>
    <t>Εισαγάγετε τον τίτλο ...</t>
  </si>
  <si>
    <t>Ingrese el título ...</t>
  </si>
  <si>
    <t>Sisestage pealkiri ...</t>
  </si>
  <si>
    <t>Kirjoita otsikko ...</t>
  </si>
  <si>
    <t>Entrez le titre ...</t>
  </si>
  <si>
    <t>शीर्षक दर्ज करें ...</t>
  </si>
  <si>
    <t>Masukkan judul ...</t>
  </si>
  <si>
    <t>Inserisci il titolo ...</t>
  </si>
  <si>
    <t>タイトルを入力してください...</t>
  </si>
  <si>
    <t>បញ្ចូលចំណងជើង ...</t>
  </si>
  <si>
    <t>ಶೀರ್ಷಿಕೆ ನಮೂದಿಸಿ ...</t>
  </si>
  <si>
    <t>제목 입력 ...</t>
  </si>
  <si>
    <t>ໃສ່ຫົວຂໍ້ ...</t>
  </si>
  <si>
    <t>Ievadiet virsrakstu ...</t>
  </si>
  <si>
    <t>Masukkan tajuk ...</t>
  </si>
  <si>
    <t>Voer titel in ...</t>
  </si>
  <si>
    <t>Wprowadź tytuł ...</t>
  </si>
  <si>
    <t>Digite o título ...</t>
  </si>
  <si>
    <t>Введите заголовок ...</t>
  </si>
  <si>
    <t>ป้อนชื่อ ...</t>
  </si>
  <si>
    <t>Başlığı girin ...</t>
  </si>
  <si>
    <t>Введіть назву ...</t>
  </si>
  <si>
    <t>输入标题...</t>
  </si>
  <si>
    <t>Nhập tiêu đề ...</t>
  </si>
  <si>
    <t>enterContents</t>
  </si>
  <si>
    <t>Enter contents...</t>
  </si>
  <si>
    <t>أدخل المحتويات ...</t>
  </si>
  <si>
    <t>Zadejte obsah ...</t>
  </si>
  <si>
    <t>Inhalt eingeben ...</t>
  </si>
  <si>
    <t>Εισαγάγετε περιεχόμενα ...</t>
  </si>
  <si>
    <t>Ingrese el contenido ...</t>
  </si>
  <si>
    <t>Sisestage sisu ...</t>
  </si>
  <si>
    <t>Syötä sisältö ...</t>
  </si>
  <si>
    <t>Entrez le contenu ...</t>
  </si>
  <si>
    <t>सामग्री दर्ज करें ...</t>
  </si>
  <si>
    <t>Masukkan isi ...</t>
  </si>
  <si>
    <t>Inserisci il contenuto ...</t>
  </si>
  <si>
    <t>内容を入力してください...</t>
  </si>
  <si>
    <t>បញ្ចូលមាតិកា ...</t>
  </si>
  <si>
    <t>ವಿಷಯಗಳನ್ನು ನಮೂದಿಸಿ ...</t>
  </si>
  <si>
    <t>내용을 입력하십시오 ...</t>
  </si>
  <si>
    <t>ກະລຸນາໃສ່ເນື້ອໃນ ...</t>
  </si>
  <si>
    <t>Ievadiet saturu ...</t>
  </si>
  <si>
    <t>Masukkan kandungan ...</t>
  </si>
  <si>
    <t>Voer de inhoud in ...</t>
  </si>
  <si>
    <t>Wprowadź zawartość ...</t>
  </si>
  <si>
    <t>Insira o conteúdo ...</t>
  </si>
  <si>
    <t>Введите содержимое ...</t>
  </si>
  <si>
    <t>ป้อนเนื้อหา ...</t>
  </si>
  <si>
    <t>İçeriği girin ...</t>
  </si>
  <si>
    <t>Введіть вміст ...</t>
  </si>
  <si>
    <t>输入内容...</t>
  </si>
  <si>
    <t>Nhập nội dung ...</t>
  </si>
  <si>
    <t>today</t>
  </si>
  <si>
    <t>Today</t>
  </si>
  <si>
    <t>اليوم</t>
  </si>
  <si>
    <t>Dnes</t>
  </si>
  <si>
    <t>Heute</t>
  </si>
  <si>
    <t>Σήμερα</t>
  </si>
  <si>
    <t>Hoy</t>
  </si>
  <si>
    <t>Täna</t>
  </si>
  <si>
    <t>Tänään</t>
  </si>
  <si>
    <t>Aujourd'hui</t>
  </si>
  <si>
    <t>आज</t>
  </si>
  <si>
    <t>Hari ini</t>
  </si>
  <si>
    <t>Oggi</t>
  </si>
  <si>
    <t>今日</t>
  </si>
  <si>
    <t>ថៃនេហ</t>
  </si>
  <si>
    <t>ಇಂದು</t>
  </si>
  <si>
    <t>오늘</t>
  </si>
  <si>
    <t>ມື້​ນີ້</t>
  </si>
  <si>
    <t>Šodien</t>
  </si>
  <si>
    <t>Vandaag</t>
  </si>
  <si>
    <t>Dzisiaj</t>
  </si>
  <si>
    <t>Hoje</t>
  </si>
  <si>
    <t>Сегодня</t>
  </si>
  <si>
    <t>วันนี้</t>
  </si>
  <si>
    <t>Bugün</t>
  </si>
  <si>
    <t>Сьогодні</t>
  </si>
  <si>
    <t>今天</t>
  </si>
  <si>
    <t>Hôm nay</t>
  </si>
  <si>
    <t>yesterday</t>
  </si>
  <si>
    <t>Yesterday</t>
  </si>
  <si>
    <t>أمس</t>
  </si>
  <si>
    <t>Včera</t>
  </si>
  <si>
    <t>Gestern</t>
  </si>
  <si>
    <t>Εχθές</t>
  </si>
  <si>
    <t>Ayer</t>
  </si>
  <si>
    <t>Eile</t>
  </si>
  <si>
    <t>Eilen</t>
  </si>
  <si>
    <t>Hier</t>
  </si>
  <si>
    <t>कल</t>
  </si>
  <si>
    <t>Kemarin</t>
  </si>
  <si>
    <t>Ieri</t>
  </si>
  <si>
    <t>昨日</t>
  </si>
  <si>
    <t>បីមសិលមិញ</t>
  </si>
  <si>
    <t>ನಿನ್ನೆ</t>
  </si>
  <si>
    <t>어제</t>
  </si>
  <si>
    <t>ມື້ວານນີ້</t>
  </si>
  <si>
    <t>Vakar</t>
  </si>
  <si>
    <t>Semalam</t>
  </si>
  <si>
    <t>Gisteren</t>
  </si>
  <si>
    <t>Wczoraj</t>
  </si>
  <si>
    <t>Ontem</t>
  </si>
  <si>
    <t>Вчера</t>
  </si>
  <si>
    <t>เมื่อวาน</t>
  </si>
  <si>
    <t>Dün</t>
  </si>
  <si>
    <t>Вчора</t>
  </si>
  <si>
    <t>昨天</t>
  </si>
  <si>
    <t>Hôm qua</t>
  </si>
  <si>
    <t>previous7Days</t>
  </si>
  <si>
    <t>Previous 7 Days</t>
  </si>
  <si>
    <t>7 أيام سابقة</t>
  </si>
  <si>
    <t>Předchozích 7 dní</t>
  </si>
  <si>
    <t>Vorgänger 7 Tage</t>
  </si>
  <si>
    <t>Προηγούμενες 7 ημέρες</t>
  </si>
  <si>
    <t>7 días anteriores</t>
  </si>
  <si>
    <t>Eelmised 7 päeva</t>
  </si>
  <si>
    <t>Aiemmin 7 päivää</t>
  </si>
  <si>
    <t>7 jours précédents</t>
  </si>
  <si>
    <t>पिछले 7 दिन</t>
  </si>
  <si>
    <t>7 hari sebelumnya</t>
  </si>
  <si>
    <t>Precedenti 7 giorni</t>
  </si>
  <si>
    <t>過去7日間</t>
  </si>
  <si>
    <t>7 ថ្ងៃមុន</t>
  </si>
  <si>
    <t>ಹಿಂದಿನ 7 ದಿನಗಳು</t>
  </si>
  <si>
    <t>이전 7 일</t>
  </si>
  <si>
    <t>7 ວັນທີ່ຜ່ານມາ</t>
  </si>
  <si>
    <t>Iepriekšējās 7 dienas</t>
  </si>
  <si>
    <t>Vorige 7 dagen</t>
  </si>
  <si>
    <t>Poprzednie 7 dni</t>
  </si>
  <si>
    <t>7 dias anteriores</t>
  </si>
  <si>
    <t>Предыдущие 7 дней</t>
  </si>
  <si>
    <t>7 วันก่อนหน้า</t>
  </si>
  <si>
    <t>Önceki 7 gün</t>
  </si>
  <si>
    <t>Попередні 7 днів</t>
  </si>
  <si>
    <t>前7天</t>
  </si>
  <si>
    <t>7 ngày trước</t>
  </si>
  <si>
    <t>previous30Days</t>
  </si>
  <si>
    <t>Previous 30 Days</t>
  </si>
  <si>
    <t>30 يومًا سابقة</t>
  </si>
  <si>
    <t>Předchozích 30 dní</t>
  </si>
  <si>
    <t>Vorgänger 30 Tage</t>
  </si>
  <si>
    <t>Προηγούμενες 30 ημέρες</t>
  </si>
  <si>
    <t>30 días anteriores</t>
  </si>
  <si>
    <t>Eelmised 30 päeva</t>
  </si>
  <si>
    <t>Aiemmin 30 päivää</t>
  </si>
  <si>
    <t>30 jours précédents</t>
  </si>
  <si>
    <t>पिछले 30 दिन</t>
  </si>
  <si>
    <t>30 hari sebelumnya</t>
  </si>
  <si>
    <t>Precedenti 30 giorni</t>
  </si>
  <si>
    <t>過去30日間</t>
  </si>
  <si>
    <t>មុន 30 ថ្ងៃមុន</t>
  </si>
  <si>
    <t>ಹಿಂದಿನ 30 ದಿನಗಳು</t>
  </si>
  <si>
    <t>이전 30 일</t>
  </si>
  <si>
    <t>30 ວັນທີ່ຜ່ານມາ</t>
  </si>
  <si>
    <t>Iepriekšējās 30 dienas</t>
  </si>
  <si>
    <t>Vorige 30 dagen</t>
  </si>
  <si>
    <t>Poprzednie 30 dni</t>
  </si>
  <si>
    <t>30 dias anteriores</t>
  </si>
  <si>
    <t>Предыдущие 30 дней</t>
  </si>
  <si>
    <t>30 วันก่อนหน้า</t>
  </si>
  <si>
    <t>Önceki 30 gün</t>
  </si>
  <si>
    <t>Попередні 30 днів</t>
  </si>
  <si>
    <t>前30天</t>
  </si>
  <si>
    <t>30 ngày trước</t>
  </si>
  <si>
    <t>older</t>
  </si>
  <si>
    <t>Older</t>
  </si>
  <si>
    <t>اكبر سنا</t>
  </si>
  <si>
    <t>Starší</t>
  </si>
  <si>
    <t>Älter</t>
  </si>
  <si>
    <t>Παλαιότερα</t>
  </si>
  <si>
    <t>Más viejo</t>
  </si>
  <si>
    <t>Vanem</t>
  </si>
  <si>
    <t>Vanhempi</t>
  </si>
  <si>
    <t>Plus vieux</t>
  </si>
  <si>
    <t>पुराने</t>
  </si>
  <si>
    <t>Lebih tua</t>
  </si>
  <si>
    <t>Più vecchio</t>
  </si>
  <si>
    <t>年上</t>
  </si>
  <si>
    <t>ចាស់ជាងចាស់</t>
  </si>
  <si>
    <t>ದೊಡ್ಡ</t>
  </si>
  <si>
    <t>더 오래</t>
  </si>
  <si>
    <t>ອາຍຸ</t>
  </si>
  <si>
    <t>Vecāks</t>
  </si>
  <si>
    <t>Ouder</t>
  </si>
  <si>
    <t>Starsze</t>
  </si>
  <si>
    <t>Mais velho</t>
  </si>
  <si>
    <t>Старшая</t>
  </si>
  <si>
    <t>แก่กว่า</t>
  </si>
  <si>
    <t>Daha eski</t>
  </si>
  <si>
    <t>Старший</t>
  </si>
  <si>
    <t>年龄较大</t>
  </si>
  <si>
    <t>Cũ hơn</t>
  </si>
  <si>
    <t>searchWebPlaceholder</t>
  </si>
  <si>
    <t>Enter URL or search websites</t>
  </si>
  <si>
    <t>أدخل عنوان URL أو مواقع البحث</t>
  </si>
  <si>
    <t>Zadejte webové stránky URL nebo vyhledat</t>
  </si>
  <si>
    <t>Geben Sie URL- oder Suchwebsites ein</t>
  </si>
  <si>
    <t>Εισαγάγετε ιστοσελίδες URL ή αναζήτησης</t>
  </si>
  <si>
    <t>Ingrese sitios web de URL o búsqueda</t>
  </si>
  <si>
    <t>Sisestage URL või otsige veebisaite</t>
  </si>
  <si>
    <t>Kirjoita URL- tai haku -verkkosivustot</t>
  </si>
  <si>
    <t>Entrez des sites Web d'URL ou de recherche</t>
  </si>
  <si>
    <t>URL या खोज वेबसाइट दर्ज करें</t>
  </si>
  <si>
    <t>Masukkan URL atau Cari Situs Web</t>
  </si>
  <si>
    <t>Immettere l'URL o i siti Web di ricerca</t>
  </si>
  <si>
    <t>URLまたは検索Webサイトを入力します</t>
  </si>
  <si>
    <t>បញ្ចូល URL ឬគេហទំព័រស្វែងរក</t>
  </si>
  <si>
    <t>URL ಅಥವಾ ಹುಡುಕಾಟ ವೆಬ್‌ಸೈಟ್‌ಗಳನ್ನು ನಮೂದಿಸಿ</t>
  </si>
  <si>
    <t>URL 또는 검색 웹 사이트를 입력하십시오</t>
  </si>
  <si>
    <t>ໃສ່ URL ຫຼືເວບໄຊທ໌ຄົ້ນຫາ</t>
  </si>
  <si>
    <t>Ievadiet URL vai meklējiet vietnes</t>
  </si>
  <si>
    <t>Masukkan URL atau laman web cari</t>
  </si>
  <si>
    <t>Voer URL in of zoek websites</t>
  </si>
  <si>
    <t>Wprowadź strony URL lub wyszukiwanie stron internetowych</t>
  </si>
  <si>
    <t>Insira URL ou sites de pesquisa</t>
  </si>
  <si>
    <t>Введите URL или поиск веб -сайтов</t>
  </si>
  <si>
    <t>ป้อน URL หรือเว็บไซต์ค้นหา</t>
  </si>
  <si>
    <t>URL girin veya web sitelerini arama</t>
  </si>
  <si>
    <t>Введіть URL -адресу або пошук веб -сайтів</t>
  </si>
  <si>
    <t>输入URL或搜索网站</t>
  </si>
  <si>
    <t>Nhập URL hoặc các trang web tìm kiếm</t>
  </si>
  <si>
    <t>imageDownloadedToDefaultAlbum</t>
  </si>
  <si>
    <t>Image downloaded to Default Album!</t>
  </si>
  <si>
    <t>تم تنزيل الصورة إلى الألبوم الافتراضي!</t>
  </si>
  <si>
    <t>Obrázek stažen do výchozího alba!</t>
  </si>
  <si>
    <t>Bild heruntergeladen auf Standard Album!</t>
  </si>
  <si>
    <t>Εικόνα λήψη σε προεπιλεγμένο άλμπουμ!</t>
  </si>
  <si>
    <t>Imagen descargada al álbum predeterminado!</t>
  </si>
  <si>
    <t>Pilt on alla laaditud vaikimisi albumile!</t>
  </si>
  <si>
    <t>Kuva ladattu oletusalbumille!</t>
  </si>
  <si>
    <t>Image téléchargée dans l'album par défaut!</t>
  </si>
  <si>
    <t>डिफ़ॉल्ट एल्बम में डाउनलोड की गई छवि!</t>
  </si>
  <si>
    <t>Gambar Diunduh ke Album Default!</t>
  </si>
  <si>
    <t>Immagine scaricata nell'album predefinito!</t>
  </si>
  <si>
    <t>デフォルトアルバムにダウンロードされた画像！</t>
  </si>
  <si>
    <t>រូបភាពបានទាញយកទៅអាល់ប៊ុមលំនាំដើម!</t>
  </si>
  <si>
    <t>ಚಿತ್ರವನ್ನು ಡೀಫಾಲ್ಟ್ ಆಲ್ಬಮ್‌ಗೆ ಡೌನ್‌ಲೋಡ್ ಮಾಡಲಾಗಿದೆ!</t>
  </si>
  <si>
    <t>기본 앨범으로 다운로드 된 이미지!</t>
  </si>
  <si>
    <t>ຮູບພາບທີ່ດາວໂຫລດມາເປັນອັລບັມເລີ່ມຕົ້ນ!</t>
  </si>
  <si>
    <t>Attēls lejupielādēts noklusējuma albumā!</t>
  </si>
  <si>
    <t>Imej yang dimuat turun ke album lalai!</t>
  </si>
  <si>
    <t>Afbeelding gedownload naar het standaardalbum!</t>
  </si>
  <si>
    <t>Zdjęcie pobrane do domyślnego albumu!</t>
  </si>
  <si>
    <t>Imagem baixada para o álbum padrão!</t>
  </si>
  <si>
    <t>Изображение загружено на альбом по умолчанию!</t>
  </si>
  <si>
    <t>ภาพดาวน์โหลดไปยังอัลบั้มเริ่มต้น!</t>
  </si>
  <si>
    <t>Resim varsayılan albüme indirildi!</t>
  </si>
  <si>
    <t>Зображення завантажено на альбом за замовчуванням!</t>
  </si>
  <si>
    <t>图片下载到默认专辑！</t>
  </si>
  <si>
    <t>Hình ảnh đã được tải về thư mục Mặc định</t>
  </si>
  <si>
    <t>videoDownloadedToDefaultAlbum</t>
  </si>
  <si>
    <t>Video downloaded to Default Album!</t>
  </si>
  <si>
    <t>تم تنزيل الفيديو إلى الألبوم الافتراضي!</t>
  </si>
  <si>
    <t>Video stažené do výchozího alba!</t>
  </si>
  <si>
    <t>Video heruntergeladen auf Standard Album!</t>
  </si>
  <si>
    <t>Βίντεο Λήψη σε προεπιλεγμένο άλμπουμ!</t>
  </si>
  <si>
    <t>¡Video descargado al álbum predeterminado!</t>
  </si>
  <si>
    <t>Video allalaaditud vaikealbumile!</t>
  </si>
  <si>
    <t>Video ladattu oletusalbumille!</t>
  </si>
  <si>
    <t>Vidéo téléchargée dans l'album par défaut!</t>
  </si>
  <si>
    <t>डिफ़ॉल्ट एल्बम के लिए डाउनलोड किया गया वीडियो!</t>
  </si>
  <si>
    <t>Video diunduh ke album default!</t>
  </si>
  <si>
    <t>Video scaricato all'album predefinito!</t>
  </si>
  <si>
    <t>デフォルトアルバムにダウンロードされたビデオ！</t>
  </si>
  <si>
    <t>វីដេអូទាញយកទៅអាល់ប៊ុមលំនាំដើម!</t>
  </si>
  <si>
    <t>ಡೀಫಾಲ್ಟ್ ಆಲ್ಬಮ್‌ಗೆ ವೀಡಿಯೊ ಡೌನ್‌ಲೋಡ್ ಮಾಡಲಾಗಿದೆ!</t>
  </si>
  <si>
    <t>기본 앨범으로 다운로드 된 비디오!</t>
  </si>
  <si>
    <t>ວິດີໂອທີ່ດາວໂຫລດໄປທີ່ອັລບັມເລີ່ມຕົ້ນ!</t>
  </si>
  <si>
    <t>Video lejupielādēts noklusējuma albumā!</t>
  </si>
  <si>
    <t>Video dimuat turun ke album lalai!</t>
  </si>
  <si>
    <t>Video gedownload naar het standaardalbum!</t>
  </si>
  <si>
    <t>Film pobrany do domyślnego albumu!</t>
  </si>
  <si>
    <t>Vídeo baixado para o álbum padrão!</t>
  </si>
  <si>
    <t>Видео загружено на альбом по умолчанию!</t>
  </si>
  <si>
    <t>วิดีโอดาวน์โหลดไปยังอัลบั้มเริ่มต้น!</t>
  </si>
  <si>
    <t>Video Varsayılan Albüm'e indirildi!</t>
  </si>
  <si>
    <t>Відео завантажено на альбом за замовчуванням!</t>
  </si>
  <si>
    <t>视频下载到默认专辑！</t>
  </si>
  <si>
    <t>Video đã được tải về thư mục Mặc định</t>
  </si>
  <si>
    <t>soundDownloadedToDefaultAlbum</t>
  </si>
  <si>
    <t>Sound downloaded to Default Album!</t>
  </si>
  <si>
    <t>تم تنزيل الصوت إلى الألبوم الافتراضي!</t>
  </si>
  <si>
    <t>Zvuk stažen do výchozího alba!</t>
  </si>
  <si>
    <t>Sound heruntergeladen auf Standard Album!</t>
  </si>
  <si>
    <t>Ο ήχος κατεβάστηκε σε προεπιλεγμένο άλμπουμ!</t>
  </si>
  <si>
    <t>¡Sound descargado al álbum predeterminado!</t>
  </si>
  <si>
    <t>Heli alla laaditud vaikimisi albumile!</t>
  </si>
  <si>
    <t>Ääni ladattu oletusalbumille!</t>
  </si>
  <si>
    <t>Sound téléchargé dans l'album par défaut!</t>
  </si>
  <si>
    <t>डिफ़ॉल्ट एल्बम के लिए डाउनलोड किया गया ध्वनि!</t>
  </si>
  <si>
    <t>Suara diunduh ke album default!</t>
  </si>
  <si>
    <t>Suono scaricato all'album predefinito!</t>
  </si>
  <si>
    <t>サウンドはデフォルトのアルバムにダウンロードされました！</t>
  </si>
  <si>
    <t>ស្តាប់ទៅទាញយកទៅអាល់ប៊ុមលំនាំដើម!</t>
  </si>
  <si>
    <t>ಡೀಫಾಲ್ಟ್ ಆಲ್ಬಮ್‌ಗೆ ಧ್ವನಿ ಡೌನ್‌ಲೋಡ್ ಮಾಡಲಾಗಿದೆ!</t>
  </si>
  <si>
    <t>기본 앨범으로 다운로드 된 사운드!</t>
  </si>
  <si>
    <t>ສຽງທີ່ດາວໂຫລດໄປທີ່ອັລບັມເລີ່ມຕົ້ນ!</t>
  </si>
  <si>
    <t>Skaņa lejupielādēta noklusējuma albumā!</t>
  </si>
  <si>
    <t>Bunyi dimuat turun ke album lalai!</t>
  </si>
  <si>
    <t>Geluid gedownload naar het standaardalbum!</t>
  </si>
  <si>
    <t>Dźwięk pobrany do domyślnego albumu!</t>
  </si>
  <si>
    <t>Som baixado para o álbum padrão!</t>
  </si>
  <si>
    <t>Звук загружен на альбом по умолчанию!</t>
  </si>
  <si>
    <t>เสียงดาวน์โหลดไปยังอัลบั้มเริ่มต้น!</t>
  </si>
  <si>
    <t>Varsayılan albüme ses indirildi!</t>
  </si>
  <si>
    <t>Звук завантажено на альбом за замовчуванням!</t>
  </si>
  <si>
    <t>声音下载到默认专辑！</t>
  </si>
  <si>
    <t>Âm thanh đã được tải về thư mục Mặc định</t>
  </si>
  <si>
    <t>fileDownloadedToDefaultAlbum</t>
  </si>
  <si>
    <t>File downloaded to Default Album!</t>
  </si>
  <si>
    <t>تم تنزيل ملف إلى الألبوم الافتراضي!</t>
  </si>
  <si>
    <t>Soubor stažen do výchozího alba!</t>
  </si>
  <si>
    <t>Datei heruntergeladen auf das Standardalbum!</t>
  </si>
  <si>
    <t>Αρχείο Λήψη σε προεπιλεγμένο άλμπουμ!</t>
  </si>
  <si>
    <t>Archivo descargado al álbum predeterminado!</t>
  </si>
  <si>
    <t>Faili allalaaditud vaikealbumile!</t>
  </si>
  <si>
    <t>Tiedosto ladattu oletusalbumille!</t>
  </si>
  <si>
    <t>Fichier téléchargé dans l'album par défaut!</t>
  </si>
  <si>
    <t>डिफ़ॉल्ट एल्बम में डाउनलोड की गई फ़ाइल!</t>
  </si>
  <si>
    <t>File diunduh ke album default!</t>
  </si>
  <si>
    <t>File scaricato nell'album predefinito!</t>
  </si>
  <si>
    <t>ファイルはデフォルトアルバムにダウンロードされました！</t>
  </si>
  <si>
    <t>ឯកសារដែលបានទាញយកទៅអាល់ប៊ុមលំនាំដើម!</t>
  </si>
  <si>
    <t>ಡೀಫಾಲ್ಟ್ ಆಲ್ಬಮ್‌ಗೆ ಫೈಲ್ ಡೌನ್‌ಲೋಡ್ ಮಾಡಲಾಗಿದೆ!</t>
  </si>
  <si>
    <t>기본 앨범으로 다운로드 된 파일!</t>
  </si>
  <si>
    <t>File ດາວໂຫລດໄປທີ່ອັລບັມເລີ່ມຕົ້ນ!</t>
  </si>
  <si>
    <t>Fails lejupielādēts noklusējuma albumā!</t>
  </si>
  <si>
    <t>Fail yang dimuat turun ke album lalai!</t>
  </si>
  <si>
    <t>Bestand gedownload naar het standaardalbum!</t>
  </si>
  <si>
    <t>Plik pobrany do domyślnego albumu!</t>
  </si>
  <si>
    <t>Arquivo baixado para o álbum padrão!</t>
  </si>
  <si>
    <t>Файл загружен в альбом по умолчанию!</t>
  </si>
  <si>
    <t>ไฟล์ดาวน์โหลดไปยังอัลบั้มเริ่มต้น!</t>
  </si>
  <si>
    <t>Dosya varsayılan albüme indirildi!</t>
  </si>
  <si>
    <t>Файл завантажений на альбом за замовчуванням!</t>
  </si>
  <si>
    <t>文件下载到默认专辑！</t>
  </si>
  <si>
    <t>Tập tin đã được tải về thư mục Mặc định</t>
  </si>
  <si>
    <t>appIcons</t>
  </si>
  <si>
    <t>App Icons</t>
  </si>
  <si>
    <t>أيقونات التطبيق</t>
  </si>
  <si>
    <t>Ikony aplikace</t>
  </si>
  <si>
    <t>App -Symbole</t>
  </si>
  <si>
    <t>Εικονίδια εφαρμογών</t>
  </si>
  <si>
    <t>Iconos de aplicaciones</t>
  </si>
  <si>
    <t>Rakenduse ikoonid</t>
  </si>
  <si>
    <t>Sovelluskuvakkeet</t>
  </si>
  <si>
    <t>Icônes d'application</t>
  </si>
  <si>
    <t>ऐप आइकन</t>
  </si>
  <si>
    <t>Ikon aplikasi</t>
  </si>
  <si>
    <t>Icone di app</t>
  </si>
  <si>
    <t>アプリアイコン</t>
  </si>
  <si>
    <t>រូបតំណាងកម្មវិធី</t>
  </si>
  <si>
    <t>ಅಪ್ಲಿಕೇಶನ್ ಐಕಾನ್‌ಗಳು</t>
  </si>
  <si>
    <t>앱 아이콘</t>
  </si>
  <si>
    <t>ໄອຄອນ App</t>
  </si>
  <si>
    <t>APP ikonas</t>
  </si>
  <si>
    <t>App -pictogrammen</t>
  </si>
  <si>
    <t>Ikony aplikacji</t>
  </si>
  <si>
    <t>Ícones de aplicativos</t>
  </si>
  <si>
    <t>Значки приложения</t>
  </si>
  <si>
    <t>ไอคอนแอพ</t>
  </si>
  <si>
    <t>Uygulama simgeleri</t>
  </si>
  <si>
    <t>Піктограми додатків</t>
  </si>
  <si>
    <t>应用图标</t>
  </si>
  <si>
    <t>Biểu tượng ứng dụng</t>
  </si>
  <si>
    <t>appThemes</t>
  </si>
  <si>
    <t>App Themes</t>
  </si>
  <si>
    <t>موضوعات التطبيق</t>
  </si>
  <si>
    <t>Témata aplikace</t>
  </si>
  <si>
    <t>App -Themen</t>
  </si>
  <si>
    <t>Θέματα εφαρμογών</t>
  </si>
  <si>
    <t>Temas de la aplicación</t>
  </si>
  <si>
    <t>Rakenduse teemad</t>
  </si>
  <si>
    <t>Sovellusteemat</t>
  </si>
  <si>
    <t>Thèmes de l'application</t>
  </si>
  <si>
    <t>ऐप थीम</t>
  </si>
  <si>
    <t>Tema aplikasi</t>
  </si>
  <si>
    <t>Temi di app</t>
  </si>
  <si>
    <t>アプリのテーマ</t>
  </si>
  <si>
    <t>កម្មវិធីកម្មវិធី</t>
  </si>
  <si>
    <t>ಅಪ್ಲಿಕೇಶನ್ ಥೀಮ್‌ಗಳು</t>
  </si>
  <si>
    <t>앱 테마</t>
  </si>
  <si>
    <t>ຫົວຂໍ້ app</t>
  </si>
  <si>
    <t>APP tēmas</t>
  </si>
  <si>
    <t>Tema App</t>
  </si>
  <si>
    <t>App -thema's</t>
  </si>
  <si>
    <t>Motywy aplikacji</t>
  </si>
  <si>
    <t>Temas de aplicativos</t>
  </si>
  <si>
    <t>Темы приложений</t>
  </si>
  <si>
    <t>แอปธีม</t>
  </si>
  <si>
    <t>Uygulama temaları</t>
  </si>
  <si>
    <t>Теми додатків</t>
  </si>
  <si>
    <t>应用主题</t>
  </si>
  <si>
    <t>Chủ đề ứng dụng</t>
  </si>
  <si>
    <t>facedownLock</t>
  </si>
  <si>
    <t>Facedown Lock</t>
  </si>
  <si>
    <t>قفل Facedown</t>
  </si>
  <si>
    <t>Facetown Lock</t>
  </si>
  <si>
    <t>Faestown -Schloss</t>
  </si>
  <si>
    <t>Προσκεκλημένος</t>
  </si>
  <si>
    <t>Näoga lukk</t>
  </si>
  <si>
    <t>Pintalukko</t>
  </si>
  <si>
    <t>Verrouillage face à face</t>
  </si>
  <si>
    <t>लोटे का लॉक</t>
  </si>
  <si>
    <t>Kunci wajah</t>
  </si>
  <si>
    <t>Blocco a faccia</t>
  </si>
  <si>
    <t>フェイスタウンロック</t>
  </si>
  <si>
    <t>សោហ្វេសប៊ុក</t>
  </si>
  <si>
    <t>ಮುಖದ ಲಾಕ್</t>
  </si>
  <si>
    <t>마주 닝 잠금</t>
  </si>
  <si>
    <t>ການລັອກແບບຟອມ</t>
  </si>
  <si>
    <t>Gezichtsvergrendeling</t>
  </si>
  <si>
    <t>Blokada twarzy</t>
  </si>
  <si>
    <t>Yüze Kilidi</t>
  </si>
  <si>
    <t>Лок -замок</t>
  </si>
  <si>
    <t>面锁</t>
  </si>
  <si>
    <t>customLockTheme</t>
  </si>
  <si>
    <t>Lock Themes</t>
  </si>
  <si>
    <t>قفل الموضوعات</t>
  </si>
  <si>
    <t>Témata uzamčení</t>
  </si>
  <si>
    <t>Themen sperren</t>
  </si>
  <si>
    <t>Κλείδωμα θέματα</t>
  </si>
  <si>
    <t>Temas de bloqueo</t>
  </si>
  <si>
    <t>Lukustus teemad</t>
  </si>
  <si>
    <t>Lukkoteemat</t>
  </si>
  <si>
    <t>Thèmes de verrouillage</t>
  </si>
  <si>
    <t>लॉक थीम</t>
  </si>
  <si>
    <t>Tema kunci</t>
  </si>
  <si>
    <t>Bloccare i temi</t>
  </si>
  <si>
    <t>テーマをロックします</t>
  </si>
  <si>
    <t>ចាក់សោស្បែក</t>
  </si>
  <si>
    <t>ಲಾಕ್ ಥೀಮ್‌ಗಳು</t>
  </si>
  <si>
    <t>테마를 잠그십시오</t>
  </si>
  <si>
    <t>ຫົວຂໍ້ລັອກ</t>
  </si>
  <si>
    <t>Bloķēt tēmas</t>
  </si>
  <si>
    <t>Vergrendel thema's</t>
  </si>
  <si>
    <t>Zamknij motywy</t>
  </si>
  <si>
    <t>Travar temas</t>
  </si>
  <si>
    <t>Заблокируйте темы</t>
  </si>
  <si>
    <t>ล็อคธีม</t>
  </si>
  <si>
    <t>Kilit temaları</t>
  </si>
  <si>
    <t>Зафіксувати теми</t>
  </si>
  <si>
    <t>锁定主题</t>
  </si>
  <si>
    <t>Chủ đề màn hình khóa</t>
  </si>
  <si>
    <t>chooseLockTheme</t>
  </si>
  <si>
    <t>Choose Lock Screen Type</t>
  </si>
  <si>
    <t>اختر نوع شاشة القفل</t>
  </si>
  <si>
    <t>Vyberte typ obrazovky zámku</t>
  </si>
  <si>
    <t>Wählen Sie Sperrbildschirmtyp</t>
  </si>
  <si>
    <t>Επιλέξτε τον τύπο οθόνης κλειδώματος</t>
  </si>
  <si>
    <t>Elija el tipo de pantalla de bloqueo</t>
  </si>
  <si>
    <t>Valige luku ekraani tüüp</t>
  </si>
  <si>
    <t>Valitse lukitusnäytön tyyppi</t>
  </si>
  <si>
    <t>Choisissez le type d'écran de verrouillage</t>
  </si>
  <si>
    <t>लॉक स्क्रीन प्रकार चुनें</t>
  </si>
  <si>
    <t>Pilih Jenis Layar Kunci</t>
  </si>
  <si>
    <t>Scegli il tipo di schermata di blocco</t>
  </si>
  <si>
    <t>ロック画面タイプを選択します</t>
  </si>
  <si>
    <t>ជ្រើសរើសប្រភេទអេក្រង់ចាក់សោ</t>
  </si>
  <si>
    <t>ಲಾಕ್ ಸ್ಕ್ರೀನ್ ಪ್ರಕಾರವನ್ನು ಆರಿಸಿ</t>
  </si>
  <si>
    <t>잠금 화면 유형을 선택하십시오</t>
  </si>
  <si>
    <t>ເລືອກປະເພດຫນ້າຈໍ Lock</t>
  </si>
  <si>
    <t>Izvēlieties bloķēšanas ekrāna tips</t>
  </si>
  <si>
    <t>Pilih Jenis Skrin Kunci</t>
  </si>
  <si>
    <t>Kies Lock -schermtype</t>
  </si>
  <si>
    <t>Wybierz typ ekranu blokady</t>
  </si>
  <si>
    <t>Escolha o tipo de tela de bloqueio</t>
  </si>
  <si>
    <t>Выберите тип экрана блокировки</t>
  </si>
  <si>
    <t>เลือกประเภทหน้าจอล็อค</t>
  </si>
  <si>
    <t>Kilit ekran türünü seçin</t>
  </si>
  <si>
    <t>Виберіть тип екрана блокування</t>
  </si>
  <si>
    <t>选择锁定屏幕类型</t>
  </si>
  <si>
    <t>Chọn loại màn hình khóa</t>
  </si>
  <si>
    <t>chooseLockThemeDescription</t>
  </si>
  <si>
    <t>Please choose what you wish to see when logging in.</t>
  </si>
  <si>
    <t>الرجاء اختيار ما ترغب في رؤيته عند تسجيل الدخول.</t>
  </si>
  <si>
    <t>Při přihlášení si prosím vyberte, co chcete vidět.</t>
  </si>
  <si>
    <t>Bitte wählen Sie, was Sie bei der Anmeldung sehen möchten.</t>
  </si>
  <si>
    <t>Επιλέξτε τι θέλετε να δείτε κατά τη σύνδεση.</t>
  </si>
  <si>
    <t>Elija lo que desea ver al iniciar sesión.</t>
  </si>
  <si>
    <t>Valige sisselogimisel, mida soovite näha.</t>
  </si>
  <si>
    <t>Valitse mitä haluat nähdä kirjautuessasi.</t>
  </si>
  <si>
    <t>Veuillez choisir ce que vous souhaitez voir lors de la connexion.</t>
  </si>
  <si>
    <t>कृपया लॉग इन करते समय आप क्या देखना चाहते हैं चुनें।</t>
  </si>
  <si>
    <t>Pilih apa yang ingin Anda lihat saat masuk.</t>
  </si>
  <si>
    <t>Scegli quello che desideri vedere quando accedi.</t>
  </si>
  <si>
    <t>ログインするときに見たいものを選択してください。</t>
  </si>
  <si>
    <t>សូមជ្រើសរើសអ្វីដែលអ្នកចង់ឃើញនៅពេលចូល។</t>
  </si>
  <si>
    <t>ಲಾಗ್ ಇನ್ ಮಾಡುವಾಗ ನೀವು ನೋಡಲು ಬಯಸುವದನ್ನು ದಯವಿಟ್ಟು ಆರಿಸಿ.</t>
  </si>
  <si>
    <t>로그인 할 때보고 싶은 것을 선택하십시오.</t>
  </si>
  <si>
    <t>ກະລຸນາເລືອກສິ່ງທີ່ທ່ານຕ້ອງການເບິ່ງໃນເວລາທີ່ເຂົ້າສູ່ລະບົບ.</t>
  </si>
  <si>
    <t>Lūdzu, izvēlieties, ko vēlaties redzēt, piesakoties.</t>
  </si>
  <si>
    <t>Sila pilih apa yang anda ingin lihat semasa log masuk.</t>
  </si>
  <si>
    <t>Kies wat u wilt zien bij het inloggen.</t>
  </si>
  <si>
    <t>Wybierz to, co chcesz zobaczyć podczas logowania.</t>
  </si>
  <si>
    <t>Escolha o que deseja ver ao fazer login.</t>
  </si>
  <si>
    <t>Пожалуйста, выберите то, что вы хотите увидеть при входе в систему.</t>
  </si>
  <si>
    <t>โปรดเลือกสิ่งที่คุณต้องการดูเมื่อเข้าสู่ระบบ</t>
  </si>
  <si>
    <t>Lütfen giriş yaparken ne görmek istediğinizi seçin.</t>
  </si>
  <si>
    <t>Будь ласка, виберіть те, що ви хочете побачити під час входу.</t>
  </si>
  <si>
    <t>请选择您希望在登录时看到的内容。</t>
  </si>
  <si>
    <t>Vui lòng chọn những gì bạn muốn xem khi đăng nhập.</t>
  </si>
  <si>
    <t>chooseLockThemeDescriptionPlus</t>
  </si>
  <si>
    <t>You will not be able to change this selection.</t>
  </si>
  <si>
    <t>لن تكون قادرًا على تغيير هذا الاختيار.</t>
  </si>
  <si>
    <t>Tento výběr nebudete moci změnit.</t>
  </si>
  <si>
    <t>Sie werden diese Auswahl nicht ändern können.</t>
  </si>
  <si>
    <t>Δεν θα μπορείτε να αλλάξετε αυτήν την επιλογή.</t>
  </si>
  <si>
    <t>No podrá cambiar esta selección.</t>
  </si>
  <si>
    <t>Te ei saa seda valikut muuta.</t>
  </si>
  <si>
    <t>Et voi muuttaa tätä valintaa.</t>
  </si>
  <si>
    <t>Vous ne pourrez pas modifier cette sélection.</t>
  </si>
  <si>
    <t>आप इस चयन को नहीं बदल पाएंगे।</t>
  </si>
  <si>
    <t>Anda tidak akan dapat mengubah pilihan ini.</t>
  </si>
  <si>
    <t>Non sarai in grado di cambiare questa selezione.</t>
  </si>
  <si>
    <t>この選択を変更することはできません。</t>
  </si>
  <si>
    <t>អ្នកនឹងមិនអាចផ្លាស់ប្តូរជម្រើសនេះបានទេ។</t>
  </si>
  <si>
    <t>ಈ ಆಯ್ಕೆಯನ್ನು ಬದಲಾಯಿಸಲು ನಿಮಗೆ ಸಾಧ್ಯವಾಗುವುದಿಲ್ಲ.</t>
  </si>
  <si>
    <t>이 선택을 변경할 수 없습니다.</t>
  </si>
  <si>
    <t>ທ່ານຈະບໍ່ສາມາດປ່ຽນແປງການເລືອກນີ້ໄດ້.</t>
  </si>
  <si>
    <t>Jūs nevarēsit mainīt šo atlasi.</t>
  </si>
  <si>
    <t>U kunt deze selectie niet wijzigen.</t>
  </si>
  <si>
    <t>Nie będziesz mógł zmienić tego wyboru.</t>
  </si>
  <si>
    <t>Você não poderá alterar essa seleção.</t>
  </si>
  <si>
    <t>Вы не сможете изменить этот выбор.</t>
  </si>
  <si>
    <t>คุณจะไม่สามารถเปลี่ยนการเลือกนี้ได้</t>
  </si>
  <si>
    <t>Bu seçimi değiştiremezsiniz.</t>
  </si>
  <si>
    <t>Ви не зможете змінити цей вибір.</t>
  </si>
  <si>
    <t>您将无法更改此选择。</t>
  </si>
  <si>
    <t>Bạn sẽ không thể thay đổi lựa chọn này.</t>
  </si>
  <si>
    <t>selectLanguage</t>
  </si>
  <si>
    <t>Select Language</t>
  </si>
  <si>
    <t>اختار اللغة</t>
  </si>
  <si>
    <t>Zvolte jazyk</t>
  </si>
  <si>
    <t>Sprache auswählen</t>
  </si>
  <si>
    <t>Επιλέξτε γλώσσα</t>
  </si>
  <si>
    <t>Seleccione el idioma</t>
  </si>
  <si>
    <t>Vali keel</t>
  </si>
  <si>
    <t>Valitse kieli</t>
  </si>
  <si>
    <t>Choisir la langue</t>
  </si>
  <si>
    <t>भाषा चुने</t>
  </si>
  <si>
    <t>Pilih bahasa</t>
  </si>
  <si>
    <t>Seleziona la lingua</t>
  </si>
  <si>
    <t>言語を選択する</t>
  </si>
  <si>
    <t>ជ្រើសរើស ភាសា</t>
  </si>
  <si>
    <t>ಭಾಷೆಯನ್ನು ಆಯ್ಕೆಮಾಡಿ</t>
  </si>
  <si>
    <t>언어를 선택하십시오</t>
  </si>
  <si>
    <t>ເລືອກພາສາ</t>
  </si>
  <si>
    <t>Izvēlēties valodu</t>
  </si>
  <si>
    <t>Pilih Bahasa</t>
  </si>
  <si>
    <t>Selecteer taal</t>
  </si>
  <si>
    <t>Wybierz język</t>
  </si>
  <si>
    <t>Selecione o idioma</t>
  </si>
  <si>
    <t>Выберите язык</t>
  </si>
  <si>
    <t>เลือกภาษา</t>
  </si>
  <si>
    <t>Dil Seçin</t>
  </si>
  <si>
    <t>Оберіть мову</t>
  </si>
  <si>
    <t>选择语言</t>
  </si>
  <si>
    <t>Chọn ngôn ngữ</t>
  </si>
  <si>
    <t>playMusicInBackground</t>
  </si>
  <si>
    <t>Play Music In Background</t>
  </si>
  <si>
    <t>تشغيل الموسيقى في الخلفية</t>
  </si>
  <si>
    <t>Přehrajte hudbu na pozadí</t>
  </si>
  <si>
    <t>Musik im Hintergrund spielen</t>
  </si>
  <si>
    <t>Παίξτε μουσική στο παρασκήνιο</t>
  </si>
  <si>
    <t>Reproducir música de fondo</t>
  </si>
  <si>
    <t>Esitage muusikat taustal</t>
  </si>
  <si>
    <t>Toista musiikkia taustalla</t>
  </si>
  <si>
    <t>Jouer de la musique en arrière-plan</t>
  </si>
  <si>
    <t>पृष्ठभूमि में संगीत खेलें</t>
  </si>
  <si>
    <t>Mainkan musik di latar belakang</t>
  </si>
  <si>
    <t>Riproduci musica in background</t>
  </si>
  <si>
    <t>バックグラウンドで音楽を再生します</t>
  </si>
  <si>
    <t>ចាក់តន្ត្រីក្នុងផ្ទៃខាងក្រោយ</t>
  </si>
  <si>
    <t>ಹಿನ್ನೆಲೆಯಲ್ಲಿ ಸಂಗೀತವನ್ನು ಪ್ಲೇ ಮಾಡಿ</t>
  </si>
  <si>
    <t>백그라운드에서 음악을 재생하십시오</t>
  </si>
  <si>
    <t>ຫຼີ້ນດົນຕີໃນພື້ນຫລັງ</t>
  </si>
  <si>
    <t>Spēlē mūziku fonā</t>
  </si>
  <si>
    <t>Main Muzik di Latar Belakang</t>
  </si>
  <si>
    <t>Speel muziek op de achtergrond</t>
  </si>
  <si>
    <t>Odtwarzaj muzykę w tle</t>
  </si>
  <si>
    <t>Tocar música em fundo</t>
  </si>
  <si>
    <t>Воспроизвести музыку в фоновом режиме</t>
  </si>
  <si>
    <t>เล่นเพลงในพื้นหลัง</t>
  </si>
  <si>
    <t>Arka planda müzik çal</t>
  </si>
  <si>
    <t>Грати музику у фоновому режимі</t>
  </si>
  <si>
    <t>在后台播放音乐</t>
  </si>
  <si>
    <t>Chơi nhạc trong nền</t>
  </si>
  <si>
    <t>removeAfterImportContact</t>
  </si>
  <si>
    <t>Remove After Import Contact</t>
  </si>
  <si>
    <t>إزالة بعد جهة اتصال الاستيراد</t>
  </si>
  <si>
    <t>Odstraňte po importu kontaktu</t>
  </si>
  <si>
    <t>Nach dem Import Kontakt entfernen</t>
  </si>
  <si>
    <t>Αφαιρέστε μετά την επαφή εισαγωγής</t>
  </si>
  <si>
    <t>Eliminar después del contacto de importación</t>
  </si>
  <si>
    <t>Eemaldage pärast impordi kontakti</t>
  </si>
  <si>
    <t>Poista tuontikontaktin jälkeen</t>
  </si>
  <si>
    <t>Supprimer après le contact d'importation</t>
  </si>
  <si>
    <t>आयात संपर्क के बाद निकालें</t>
  </si>
  <si>
    <t>Hapus Setelah Kontak Impor</t>
  </si>
  <si>
    <t>Rimuovere dopo l'importazione Contatto</t>
  </si>
  <si>
    <t>インポートの連絡先後に削除します</t>
  </si>
  <si>
    <t>យកចេញបន្ទាប់ពីការនាំចូល</t>
  </si>
  <si>
    <t>ಸಂಪರ್ಕವನ್ನು ಆಮದು ಮಾಡಿದ ನಂತರ ತೆಗೆದುಹಾಕಿ</t>
  </si>
  <si>
    <t>가져 오기 연락처 후 제거하십시오</t>
  </si>
  <si>
    <t>ເອົາອອກຫຼັງຈາກຕິດຕໍ່ນໍາເຂົ້າ</t>
  </si>
  <si>
    <t>Noņemt pēc importēšanas kontakta</t>
  </si>
  <si>
    <t>Keluarkan selepas kenalan import</t>
  </si>
  <si>
    <t>Verwijderen na importcontact</t>
  </si>
  <si>
    <t>Usuń po kontakcie z importem</t>
  </si>
  <si>
    <t>Remova o contato após importação</t>
  </si>
  <si>
    <t>Удалить после импорта контакта</t>
  </si>
  <si>
    <t>ลบหลังนำเข้าติดต่อ</t>
  </si>
  <si>
    <t>İthalattan sonra kaldır</t>
  </si>
  <si>
    <t>Видаліть після імпорту контакту</t>
  </si>
  <si>
    <t>进口联系后删除</t>
  </si>
  <si>
    <t>Xóa liên hệ sau khi nhập</t>
  </si>
  <si>
    <t>removeAfterImportPhoto</t>
  </si>
  <si>
    <t>Remove After Import Photo</t>
  </si>
  <si>
    <t>إزالة بعد استيراد الصورة</t>
  </si>
  <si>
    <t>Odstraňte po importu fotografie</t>
  </si>
  <si>
    <t>Nach dem Importieren von Foto entfernen</t>
  </si>
  <si>
    <t>Αφαιρέστε μετά τη φωτογραφία εισαγωγής</t>
  </si>
  <si>
    <t>Eliminar después de la foto de importación</t>
  </si>
  <si>
    <t>Eemaldage pärast importi fotot</t>
  </si>
  <si>
    <t>Poista tuontikuvan jälkeen</t>
  </si>
  <si>
    <t>Supprimer après importer la photo</t>
  </si>
  <si>
    <t>आयात फोटो के बाद निकालें</t>
  </si>
  <si>
    <t>Hapus setelah foto impor</t>
  </si>
  <si>
    <t>Rimuovere dopo l'importazione foto</t>
  </si>
  <si>
    <t>インポート後に削除します</t>
  </si>
  <si>
    <t>យកចេញបន្ទាប់ពីរូបថតនាំចូល</t>
  </si>
  <si>
    <t>ಫೋಟೋ ಆಮದು ಮಾಡಿದ ನಂತರ ತೆಗೆದುಹಾಕಿ</t>
  </si>
  <si>
    <t>가져 오기 후 제거하십시오</t>
  </si>
  <si>
    <t>ເອົາອອກຫຼັງຈາກການນໍາເຂົ້າຮູບພາບ</t>
  </si>
  <si>
    <t>Noņemt pēc importēšanas fotoattēla</t>
  </si>
  <si>
    <t>Keluarkan selepas foto import</t>
  </si>
  <si>
    <t>Verwijderen na de importfoto</t>
  </si>
  <si>
    <t>Usuń po importowaniu zdjęcia</t>
  </si>
  <si>
    <t>Remova a foto após importação</t>
  </si>
  <si>
    <t>Удалить после импорта фото</t>
  </si>
  <si>
    <t>ลบหลังนำเข้ารูปภาพ</t>
  </si>
  <si>
    <t>İçe Aktarma Fotoğrafı Kaldır</t>
  </si>
  <si>
    <t>Видаліть після імпорту фото</t>
  </si>
  <si>
    <t>在导入照片后删除</t>
  </si>
  <si>
    <t>Xóa ảnh sau khi nhập</t>
  </si>
  <si>
    <t>passcodeRecovery</t>
  </si>
  <si>
    <t>Passcode Recovery</t>
  </si>
  <si>
    <t>استرداد رمز المرور</t>
  </si>
  <si>
    <t>Obnovení přístupového kódu</t>
  </si>
  <si>
    <t>Passcode -Wiederherstellung</t>
  </si>
  <si>
    <t>Ανάκτηση κωδικού πρόσβασης</t>
  </si>
  <si>
    <t>Recuperación de código de contraseña</t>
  </si>
  <si>
    <t>Pääsukoodi taastamine</t>
  </si>
  <si>
    <t>Passikoodin palautus</t>
  </si>
  <si>
    <t>Récupération du code d'accès</t>
  </si>
  <si>
    <t>पासकोड वसूली</t>
  </si>
  <si>
    <t>Pemulihan kode sandi</t>
  </si>
  <si>
    <t>Ripristino del passcode</t>
  </si>
  <si>
    <t>パスコードリカバリ</t>
  </si>
  <si>
    <t>ការសង្គ្រោះលេខកូដសម្ងាត់</t>
  </si>
  <si>
    <t>ಪಾಸ್ಕೋಡ್ ಚೇತರಿಕೆ</t>
  </si>
  <si>
    <t>암호 복구</t>
  </si>
  <si>
    <t>ການຟື້ນຕົວ PASSCODE</t>
  </si>
  <si>
    <t>Piekļuves koda atkopšana</t>
  </si>
  <si>
    <t>Pemulihan kod laluan</t>
  </si>
  <si>
    <t>Terugwinning</t>
  </si>
  <si>
    <t>Odzyskiwanie kodu pasów</t>
  </si>
  <si>
    <t>Recuperação de código de senha</t>
  </si>
  <si>
    <t>Восстановление пароля</t>
  </si>
  <si>
    <t>การกู้คืนรหัสผ่าน</t>
  </si>
  <si>
    <t>Passod Kurtarma</t>
  </si>
  <si>
    <t>Відновлення пароля</t>
  </si>
  <si>
    <t>密码恢复</t>
  </si>
  <si>
    <t>Khôi phục mật khẩu</t>
  </si>
  <si>
    <t>restorePurchase</t>
  </si>
  <si>
    <t>Restore Purchase</t>
  </si>
  <si>
    <t>استعادة شراء</t>
  </si>
  <si>
    <t>Obnovit nákup</t>
  </si>
  <si>
    <t>Kauf wiederherstellen</t>
  </si>
  <si>
    <t>Επαναφορά αγοράς</t>
  </si>
  <si>
    <t>Compra de restauración</t>
  </si>
  <si>
    <t>Ostu taastamine</t>
  </si>
  <si>
    <t>Palauta osto</t>
  </si>
  <si>
    <t>Restaurer l'achat</t>
  </si>
  <si>
    <t>पुनःस्थापन क्रय</t>
  </si>
  <si>
    <t>Kembalikan pembelian</t>
  </si>
  <si>
    <t>Ripristinare acquisto</t>
  </si>
  <si>
    <t>購入商品を復元する</t>
  </si>
  <si>
    <t>ស្តា​រ​ការ​ទិញ</t>
  </si>
  <si>
    <t>ಖರೀದಿಯನ್ನು ಮರುಸ್ಥಾಪಿಸಿ</t>
  </si>
  <si>
    <t>구매를 복원하십시오</t>
  </si>
  <si>
    <t>ຟື້ນຟູການຊື້</t>
  </si>
  <si>
    <t>Atjaunot pirkumu</t>
  </si>
  <si>
    <t>Memulihkan pembelian</t>
  </si>
  <si>
    <t>Herstel aankoop</t>
  </si>
  <si>
    <t>Przywróć zakup</t>
  </si>
  <si>
    <t>Restaurar compra</t>
  </si>
  <si>
    <t>Восстановить покупку</t>
  </si>
  <si>
    <t>กู้คืนการซื้อ</t>
  </si>
  <si>
    <t>Satın Alma Geri Yükle</t>
  </si>
  <si>
    <t>Відновити придбання</t>
  </si>
  <si>
    <t>恢复购买</t>
  </si>
  <si>
    <t>Khôi phục mua hàng</t>
  </si>
  <si>
    <t>feedback</t>
  </si>
  <si>
    <t>Feedback</t>
  </si>
  <si>
    <t>تعليق</t>
  </si>
  <si>
    <t>Zpětná vazba</t>
  </si>
  <si>
    <t>Rückmeldung</t>
  </si>
  <si>
    <t>Ανατροφοδότηση</t>
  </si>
  <si>
    <t>Comentario</t>
  </si>
  <si>
    <t>Tagasiside</t>
  </si>
  <si>
    <t>Palaute</t>
  </si>
  <si>
    <t>Retour</t>
  </si>
  <si>
    <t>प्रतिक्रिया</t>
  </si>
  <si>
    <t>Masukan</t>
  </si>
  <si>
    <t>フィードバック</t>
  </si>
  <si>
    <t>មតិប្រតិកម្ម</t>
  </si>
  <si>
    <t>ಪ್ರತಿಕ್ರಿಯೆ</t>
  </si>
  <si>
    <t>피드백</t>
  </si>
  <si>
    <t>ຄໍາຕິຊົມ</t>
  </si>
  <si>
    <t>Atsauksmes</t>
  </si>
  <si>
    <t>Maklum balas</t>
  </si>
  <si>
    <t>Informacja zwrotna</t>
  </si>
  <si>
    <t>Opinião</t>
  </si>
  <si>
    <t>Обратная связь</t>
  </si>
  <si>
    <t>ข้อเสนอแนะ</t>
  </si>
  <si>
    <t>Geri bildirim</t>
  </si>
  <si>
    <t>Зворотний зв'язок</t>
  </si>
  <si>
    <t>反馈</t>
  </si>
  <si>
    <t>Phản hồi</t>
  </si>
  <si>
    <t>shareApp</t>
  </si>
  <si>
    <t>rateAndReview</t>
  </si>
  <si>
    <t>Rate ______ Review</t>
  </si>
  <si>
    <t>مراجعة معدل</t>
  </si>
  <si>
    <t>Sazba a recenze</t>
  </si>
  <si>
    <t>Βαθμολογία ______ κριτική</t>
  </si>
  <si>
    <t>Revisión de tasas</t>
  </si>
  <si>
    <t>Hindama ja ülevaade</t>
  </si>
  <si>
    <t>Arviointi ja arviointi</t>
  </si>
  <si>
    <t>Tarif et examen</t>
  </si>
  <si>
    <t>दर और समीक्षा</t>
  </si>
  <si>
    <t>Nilai ______ Ulasan</t>
  </si>
  <si>
    <t>Tariffa e revisione</t>
  </si>
  <si>
    <t>レートとレビュー</t>
  </si>
  <si>
    <t>អត្រានិងការត្រួតពិនិត្យ</t>
  </si>
  <si>
    <t>ದರ ಮತ್ತು ವಿಮರ್ಶೆ</t>
  </si>
  <si>
    <t>속도 및 검토</t>
  </si>
  <si>
    <t>ອັດຕາແລະການທົບທວນ</t>
  </si>
  <si>
    <t>Likme un pārskats</t>
  </si>
  <si>
    <t>Kadar ______ Kajian</t>
  </si>
  <si>
    <t>Tarief ______ beoordeling</t>
  </si>
  <si>
    <t>Stawka i przegląd</t>
  </si>
  <si>
    <t>Taxa e revisão</t>
  </si>
  <si>
    <t>Скорость и обзор</t>
  </si>
  <si>
    <t>ให้คะแนนและทบทวน</t>
  </si>
  <si>
    <t>Oran incelemesi</t>
  </si>
  <si>
    <t>Цінність та огляд</t>
  </si>
  <si>
    <t>费率和评论</t>
  </si>
  <si>
    <t>Nhận xét ______ Đánh giá</t>
  </si>
  <si>
    <t>term</t>
  </si>
  <si>
    <t>Terms and Conditions</t>
  </si>
  <si>
    <t>الأحكام والشروط</t>
  </si>
  <si>
    <t>Pravidla a podmínky</t>
  </si>
  <si>
    <t>Geschäftsbedingungen</t>
  </si>
  <si>
    <t>Οροι και Προϋποθέσεις</t>
  </si>
  <si>
    <t>Términos y condiciones</t>
  </si>
  <si>
    <t>Tingimused</t>
  </si>
  <si>
    <t>Käyttöehdot</t>
  </si>
  <si>
    <t>Termes et conditions</t>
  </si>
  <si>
    <t>नियम और शर्तें</t>
  </si>
  <si>
    <t>syarat dan Ketentuan</t>
  </si>
  <si>
    <t>Termini e Condizioni</t>
  </si>
  <si>
    <t>利用規約</t>
  </si>
  <si>
    <t>ល័ក្ខខ័ណ្ឌ</t>
  </si>
  <si>
    <t>ನಿಯಮಗಳು ಮತ್ತು ಷರತ್ತುಗಳು</t>
  </si>
  <si>
    <t>이용 약관</t>
  </si>
  <si>
    <t>ຂໍ້ກໍານົດແລະເງື່ອນໄຂ</t>
  </si>
  <si>
    <t>Noteikumi un nosacījumi</t>
  </si>
  <si>
    <t>Terma dan syarat</t>
  </si>
  <si>
    <t>Voorwaarden</t>
  </si>
  <si>
    <t>Regulamin</t>
  </si>
  <si>
    <t>Termos e Condições</t>
  </si>
  <si>
    <t>Условия и положения</t>
  </si>
  <si>
    <t>ข้อกำหนดและเงื่อนไข</t>
  </si>
  <si>
    <t>Şartlar ve koşullar</t>
  </si>
  <si>
    <t>Правила та умови</t>
  </si>
  <si>
    <t>条款和条件</t>
  </si>
  <si>
    <t>Các điều khoản và điều kiện</t>
  </si>
  <si>
    <t>policy</t>
  </si>
  <si>
    <t>Privacy Policy</t>
  </si>
  <si>
    <t>سياسة الخصوصية</t>
  </si>
  <si>
    <t>Zásady ochrany osobních údajů</t>
  </si>
  <si>
    <t>Datenschutzrichtlinie</t>
  </si>
  <si>
    <t>Πολιτική απορρήτου</t>
  </si>
  <si>
    <t>política de privacidad</t>
  </si>
  <si>
    <t>Privaatsuspoliitika</t>
  </si>
  <si>
    <t>Tietosuojakäytäntö</t>
  </si>
  <si>
    <t>politique de confidentialité</t>
  </si>
  <si>
    <t>गोपनीयता नीति</t>
  </si>
  <si>
    <t>Kebijakan pribadi</t>
  </si>
  <si>
    <t>politica sulla riservatezza</t>
  </si>
  <si>
    <t>プライバシーポリシー</t>
  </si>
  <si>
    <t>គោលការណ៍​ភាព​ឯកជន</t>
  </si>
  <si>
    <t>ಗೌಪ್ಯತಾ ನೀತಿ</t>
  </si>
  <si>
    <t>개인 정보 정책</t>
  </si>
  <si>
    <t>ນະໂຍບາຍຄວາມເປັນສ່ວນຕົວ</t>
  </si>
  <si>
    <t>Privātuma politika</t>
  </si>
  <si>
    <t>Dasar Privasi</t>
  </si>
  <si>
    <t>Privacybeleid</t>
  </si>
  <si>
    <t>Polityka prywatności</t>
  </si>
  <si>
    <t>política de Privacidade</t>
  </si>
  <si>
    <t>политика конфиденциальности</t>
  </si>
  <si>
    <t>นโยบายความเป็นส่วนตัว</t>
  </si>
  <si>
    <t>Gizlilik Politikası</t>
  </si>
  <si>
    <t>Політика конфіденційності</t>
  </si>
  <si>
    <t>隐私政策</t>
  </si>
  <si>
    <t>Chính sách bảo mật</t>
  </si>
  <si>
    <t>enterEmail</t>
  </si>
  <si>
    <t>Enter your email so we can send you your recovery password when you forget it. A popup will appear when you enter incorrectly more than 10 times.</t>
  </si>
  <si>
    <t>أدخل بريدك الإلكتروني حتى نتمكن من إرسال كلمة مرور الاسترداد لك عند نسيانها. ستظهر المنبثقة عند إدخال أكثر من 10 مرات بشكل غير صحيح.</t>
  </si>
  <si>
    <t>Zadejte svůj e -mail, abychom vám mohli poslat heslo pro obnovení, když na něj zapomenete. Vyskakovací okno se objeví, když vstoupíte nesprávně více než 10krát.</t>
  </si>
  <si>
    <t>Geben Sie Ihre E -Mail ein, damit wir Ihnen Ihr Wiederherstellungskennwort senden können, wenn Sie es vergessen. Ein Popup wird angezeigt, wenn Sie mehr als 10 Mal falsch eingeben.</t>
  </si>
  <si>
    <t>Εισαγάγετε το email σας, ώστε να μπορέσουμε να σας στείλουμε τον κωδικό πρόσβασης ανάκτησης όταν το ξεχνάτε. Ένα αναδυόμενο παράθυρο θα εμφανιστεί όταν εισάγετε λανθασμένα περισσότερο από 10 φορές.</t>
  </si>
  <si>
    <t>Ingrese su correo electrónico para que podamos enviarle su contraseña de recuperación cuando la olvide. Aparecerá una ventana emergente cuando ingrese incorrectamente más de 10 veces.</t>
  </si>
  <si>
    <t>Sisestage oma e -kiri, et saaksime teile oma taastamisparooli saata, kui selle unustate. Hüpik ilmub siis, kui sisestate valesti rohkem kui 10 korda.</t>
  </si>
  <si>
    <t>Kirjoita sähköpostiosoitteesi, jotta voimme lähettää sinulle palautussalasanasi, kun unohdat sen. Ponnahdusikkuna tulee näkyviin, kun tulet väärin yli 10 kertaa.</t>
  </si>
  <si>
    <t>Entrez votre e-mail afin que nous puissions vous envoyer votre mot de passe de récupération lorsque vous l'oubliez. Une fenêtre contextuelle apparaîtra lorsque vous entrerez incorrectement plus de 10 fois.</t>
  </si>
  <si>
    <t>अपना ईमेल दर्ज करें ताकि हम आपको अपना रिकवरी पासवर्ड भेज सकें जब आप इसे भूल जाते हैं। जब आप 10 से अधिक बार गलत तरीके से प्रवेश करेंगे तो एक पॉपअप दिखाई देगा।</t>
  </si>
  <si>
    <t>Masukkan email Anda sehingga kami dapat mengirimkan kata sandi pemulihan Anda saat Anda melupakannya. Popup akan muncul ketika Anda masuk secara tidak benar lebih dari 10 kali.</t>
  </si>
  <si>
    <t>Inserisci la tua e -mail in modo da poterti inviare la password di recupero quando la dimentichi. Un popup apparirà quando si entra in modo errato più di 10 volte.</t>
  </si>
  <si>
    <t>あなたがそれを忘れたときにあなたの回復パスワードをあなたに送ることができるようにあなたのメールを入力してください。 10回以上誤って入力するとポップアップが表示されます。</t>
  </si>
  <si>
    <t>បញ្ចូលអ៊ីមែលរបស់អ្នកដូច្នេះយើងអាចផ្ញើពាក្យសម្ងាត់ស្តារឡើងវិញរបស់អ្នកឱ្យអ្នកនៅពេលអ្នកភ្លេចវា។ ការលេចឡើងមួយនឹងលេចឡើងនៅពេលអ្នកបញ្ចូលមិនត្រឹមត្រូវជាង 10 ដង។</t>
  </si>
  <si>
    <t>ನಿಮ್ಮ ಇಮೇಲ್ ಅನ್ನು ನಮೂದಿಸಿ ಇದರಿಂದ ನಿಮ್ಮ ಚೇತರಿಕೆ ಪಾಸ್‌ವರ್ಡ್ ಅನ್ನು ನೀವು ಮರೆತಾಗ ನಾವು ನಿಮಗೆ ಕಳುಹಿಸಬಹುದು. ನೀವು 10 ಕ್ಕೂ ಹೆಚ್ಚು ಬಾರಿ ತಪ್ಪಾಗಿ ನಮೂದಿಸಿದಾಗ ಪಾಪ್ಅಪ್ ಕಾಣಿಸುತ್ತದೆ.</t>
  </si>
  <si>
    <t>잊어 버릴 때 복구 비밀번호를 보낼 수 있도록 이메일을 입력하십시오. 10 번 이상 입력하면 팝업이 나타납니다.</t>
  </si>
  <si>
    <t>ກະລຸນາໃສ່ອີເມວຂອງທ່ານເພື່ອວ່າພວກເຮົາສາມາດສົ່ງລະຫັດຜ່ານທີ່ທ່ານກູ້ຄືນໃຫ້ທ່ານເມື່ອທ່ານລືມມັນ. ປ pop ອບອັບຈະປາກົດຂຶ້ນເມື່ອທ່ານໃສ່ຫຼາຍກ່ວາ 10 ເທົ່າ.</t>
  </si>
  <si>
    <t>Ievadiet savu e -pastu, lai mēs varētu nosūtīt jūsu atkopšanas paroli, kad to aizmirstat. Uznirstošais logs parādīsies, kad ievadīsit nepareizi vairāk nekā 10 reizes.</t>
  </si>
  <si>
    <t>Masukkan e -mel anda supaya kami dapat menghantar kata laluan pemulihan anda apabila anda melupakannya. Popup akan muncul apabila anda memasuki lebih daripada 10 kali.</t>
  </si>
  <si>
    <t>Voer uw e -mail in, zodat we u uw herstelwachtwoord kunnen sturen wanneer u het vergeet. Er verschijnt een pop -up wanneer u meer dan 10 keer ten onrechte invoert.</t>
  </si>
  <si>
    <t>Wprowadź swój e -mail, abyśmy mogli wysłać Twoje hasło do odzyskiwania, gdy go zapomnisz. Wyskakujące okienko pojawi się po wprowadzeniu nieprawidłowo więcej niż 10 razy.</t>
  </si>
  <si>
    <t>Digite seu e -mail para que possamos enviar sua senha de recuperação quando você a esquece. Um pop -up aparecerá quando você entrar incorretamente mais de 10 vezes.</t>
  </si>
  <si>
    <t>Введите свою электронную почту, чтобы мы могли отправить вам ваш пароль для восстановления, когда вы забудете его. Появится всплывающее окно, когда вы введете неправильно более 10 раз.</t>
  </si>
  <si>
    <t>ป้อนอีเมลของคุณเพื่อให้เราสามารถส่งรหัสผ่านการกู้คืนของคุณเมื่อคุณลืม ป๊อปอัปจะปรากฏขึ้นเมื่อคุณป้อนไม่ถูกต้องมากกว่า 10 ครั้ง</t>
  </si>
  <si>
    <t>Unuturken kurtarma şifrenizi gönderebilmemiz için e -postanızı girin. 10 defadan fazla yanlış girdiğinizde bir açılır pencere görünecektir.</t>
  </si>
  <si>
    <t>Введіть свою електронну пошту, щоб ми могли надіслати вам пароль відновлення, коли ви його забудете. З'явиться спливаюче вікно, коли ви ввійдете неправильно більше 10 разів.</t>
  </si>
  <si>
    <t>输入您的电子邮件，以便在您忘记恢复密码时向您发送您的恢复密码。当您进入错误的10次以上时，将出现弹出窗口。</t>
  </si>
  <si>
    <t>Nhập email của bạn để chúng tôi có thể gửi cho bạn mật khẩu khôi phục khi bạn quên nó. Một thông báo sẽ xuất hiện khi bạn nhập không chính xác hơn 10 lần.</t>
  </si>
  <si>
    <t>yourEmail</t>
  </si>
  <si>
    <t>Your email</t>
  </si>
  <si>
    <t>بريدك الالكتروني</t>
  </si>
  <si>
    <t>Tvůj e-mail</t>
  </si>
  <si>
    <t>Deine E-Mail</t>
  </si>
  <si>
    <t>Η διεύθυνση του ηλεκτρονικού σου ταχυδρομείου</t>
  </si>
  <si>
    <t>Tu correo electrónico</t>
  </si>
  <si>
    <t>Sinu email</t>
  </si>
  <si>
    <t>Sähköpostisi</t>
  </si>
  <si>
    <t>Votre e-mail</t>
  </si>
  <si>
    <t>आपका ईमेल</t>
  </si>
  <si>
    <t>Email mu</t>
  </si>
  <si>
    <t>La tua email</t>
  </si>
  <si>
    <t>あなたのメール</t>
  </si>
  <si>
    <t>អ៊ីមែល​របស់​អ្នក</t>
  </si>
  <si>
    <t>ನಿಮ್ಮ ಇಮೇಲ್</t>
  </si>
  <si>
    <t>귀하의 이메일</t>
  </si>
  <si>
    <t>ອີເມວຂອງທ່ານ</t>
  </si>
  <si>
    <t>Tavs e-pasts</t>
  </si>
  <si>
    <t>Emel anda</t>
  </si>
  <si>
    <t>Jouw email</t>
  </si>
  <si>
    <t>Twój email</t>
  </si>
  <si>
    <t>Seu email</t>
  </si>
  <si>
    <t>Ваш адрес электронной почты</t>
  </si>
  <si>
    <t>อีเมลของคุณ</t>
  </si>
  <si>
    <t>E-posta adresiniz</t>
  </si>
  <si>
    <t>Ваша електронна адреса</t>
  </si>
  <si>
    <t>你的邮件</t>
  </si>
  <si>
    <t>Email của bạn</t>
  </si>
  <si>
    <t>invalid_email</t>
  </si>
  <si>
    <t>Invalid email address</t>
  </si>
  <si>
    <t>عنوان البريد الإلكتروني غير صالح</t>
  </si>
  <si>
    <t>neplatná emailová adresa</t>
  </si>
  <si>
    <t>Ungültige E-Mail-Adresse</t>
  </si>
  <si>
    <t>Μη έγκυρη διεύθυνση e-mail</t>
  </si>
  <si>
    <t>Dirección de correo electrónico no válida</t>
  </si>
  <si>
    <t>vale emaili aadress</t>
  </si>
  <si>
    <t>Virheellinen sähköpostiosoite</t>
  </si>
  <si>
    <t>Adresse e-mail invalide</t>
  </si>
  <si>
    <t>अमान्य ईमेल पता</t>
  </si>
  <si>
    <t>alamat email salah</t>
  </si>
  <si>
    <t>indirizzo email non valido</t>
  </si>
  <si>
    <t>無効なメールアドレス</t>
  </si>
  <si>
    <t>អាសយដ្ឋានអ៊ីមែលមិនត្រឹមត្រូវ</t>
  </si>
  <si>
    <t>ಅಮಾನ್ಯ ಇಮೇಲ್ ವಿಳಾಸ</t>
  </si>
  <si>
    <t>잘못된 이메일 주소</t>
  </si>
  <si>
    <t>ທີ່ຢູ່ອີເມວບໍ່ຖືກຕ້ອງ</t>
  </si>
  <si>
    <t>nederīga e-pasta adrese</t>
  </si>
  <si>
    <t>alamat email tidak sah</t>
  </si>
  <si>
    <t>Ongeldig e-mailadres</t>
  </si>
  <si>
    <t>Niepoprawny adres email</t>
  </si>
  <si>
    <t>Endereço de email invalido</t>
  </si>
  <si>
    <t>Неверный адрес электронной почты</t>
  </si>
  <si>
    <t>ที่อยู่อีเมลที่ไม่ถูกต้อง</t>
  </si>
  <si>
    <t>Geçersiz e-posta adresi</t>
  </si>
  <si>
    <t>невірна адреса електронної пошти</t>
  </si>
  <si>
    <t>无效的邮件地址</t>
  </si>
  <si>
    <t>địa chỉ email không hợp lệ</t>
  </si>
  <si>
    <t>disable</t>
  </si>
  <si>
    <t>Disable</t>
  </si>
  <si>
    <t>إبطال</t>
  </si>
  <si>
    <t>Deaktivovat</t>
  </si>
  <si>
    <t>Deaktivieren</t>
  </si>
  <si>
    <t>Καθιστώ ανίκανο</t>
  </si>
  <si>
    <t>Desactivar</t>
  </si>
  <si>
    <t>Keelama</t>
  </si>
  <si>
    <t>Poista käytöstä</t>
  </si>
  <si>
    <t>Désactiver</t>
  </si>
  <si>
    <t>अक्षम करना</t>
  </si>
  <si>
    <t>Cacat</t>
  </si>
  <si>
    <t>disattivare</t>
  </si>
  <si>
    <t>無効にします</t>
  </si>
  <si>
    <t>ផ្លាស់ប្តូរ</t>
  </si>
  <si>
    <t>ನಿಷ್ಪಲಿತಿ</t>
  </si>
  <si>
    <t>장애를 입히다</t>
  </si>
  <si>
    <t>ປິດການໃຊ້ງານ</t>
  </si>
  <si>
    <t>Atspējot</t>
  </si>
  <si>
    <t>Lumpuhkan</t>
  </si>
  <si>
    <t>Uitzetten</t>
  </si>
  <si>
    <t>Wyłączyć</t>
  </si>
  <si>
    <t>Desativar</t>
  </si>
  <si>
    <t>Запрещать</t>
  </si>
  <si>
    <t>ปิดการใช้งาน</t>
  </si>
  <si>
    <t>Devre dışı bırakmak</t>
  </si>
  <si>
    <t>Відключати</t>
  </si>
  <si>
    <t>禁用</t>
  </si>
  <si>
    <t>Tắt</t>
  </si>
  <si>
    <t>lock</t>
  </si>
  <si>
    <t>Lock</t>
  </si>
  <si>
    <t>قفل</t>
  </si>
  <si>
    <t>Zámek</t>
  </si>
  <si>
    <t>Sperren</t>
  </si>
  <si>
    <t>Κλειδαριά</t>
  </si>
  <si>
    <t>Cerrar</t>
  </si>
  <si>
    <t>Lukk</t>
  </si>
  <si>
    <t>Lukko</t>
  </si>
  <si>
    <t>Verrouillage</t>
  </si>
  <si>
    <t>ताला</t>
  </si>
  <si>
    <t>Kunci</t>
  </si>
  <si>
    <t>Serratura</t>
  </si>
  <si>
    <t>ロック</t>
  </si>
  <si>
    <t>សោ</t>
  </si>
  <si>
    <t>ಬ ೦ ದೆ</t>
  </si>
  <si>
    <t>잠그다</t>
  </si>
  <si>
    <t>ກະແຈ</t>
  </si>
  <si>
    <t>Slēdzene</t>
  </si>
  <si>
    <t>Slot</t>
  </si>
  <si>
    <t>Zamek</t>
  </si>
  <si>
    <t>Trancar</t>
  </si>
  <si>
    <t>Замок</t>
  </si>
  <si>
    <t>ล็อค</t>
  </si>
  <si>
    <t>Kilit</t>
  </si>
  <si>
    <t>锁</t>
  </si>
  <si>
    <t>Khóa</t>
  </si>
  <si>
    <t>facedownLockMessage</t>
  </si>
  <si>
    <t>DKM will automatically exit to the selected application after turning the device facedown</t>
  </si>
  <si>
    <t>ستخرج DKM تلقائيًا إلى التطبيق المحدد بعد قلب الجهاز Facedown</t>
  </si>
  <si>
    <t>DKM automaticky opustí vybranou aplikaci po otočení zařízení</t>
  </si>
  <si>
    <t>DKM beendet automatisch die ausgewählte Anwendung nach dem Drehen des Geräte -Face -Tribüns</t>
  </si>
  <si>
    <t>Το DKM θα βγει αυτόματα στην επιλεγμένη εφαρμογή μετά τη μετατροπή της συσκευής</t>
  </si>
  <si>
    <t>DKM saldrá automáticamente a la aplicación seleccionada después de girar el dispositivo FacedOwn</t>
  </si>
  <si>
    <t>DKM väljub pärast seadme FaceDowni pööramist automaatselt valitud rakendusele</t>
  </si>
  <si>
    <t>DKM poistuu automaattisesti valittuun sovellukseen laitteen kääntämisen jälkeen</t>
  </si>
  <si>
    <t>DKM quittera automatiquement l'application sélectionnée après avoir tourné le périphérique Facedown</t>
  </si>
  <si>
    <t>डिवाइस का सामना करने के बाद डीकेएम स्वचालित रूप से चयनित एप्लिकेशन से बाहर निकल जाएगा</t>
  </si>
  <si>
    <t>DKM akan secara otomatis keluar ke aplikasi yang dipilih setelah memutar perangkat dengan wajah</t>
  </si>
  <si>
    <t>DKM uscirà automaticamente sull'applicazione selezionata dopo aver girato il dispositivo</t>
  </si>
  <si>
    <t>DKMは、デバイスを向けた後、選択したアプリケーションに自動的に終了します</t>
  </si>
  <si>
    <t>DKM នឹងចាកចេញដោយស្វ័យប្រវត្តិទៅកម្មវិធីដែលបានជ្រើសរើសដោយស្វ័យប្រវត្តិបន្ទាប់ពីបើកឧបករណ៍ដែលមានរាងពងក្រពើ</t>
  </si>
  <si>
    <t>ಸಾಧನವನ್ನು ಎದುರಿಸಿದ ನಂತರ ಡಿಕೆಎಂ ಸ್ವಯಂಚಾಲಿತವಾಗಿ ಆಯ್ದ ಅಪ್ಲಿಕೇಶನ್‌ಗೆ ನಿರ್ಗಮಿಸುತ್ತದೆ</t>
  </si>
  <si>
    <t>DKM은 장치를 직면 한 후 선택된 응용 프로그램으로 자동 종료됩니다.</t>
  </si>
  <si>
    <t>DKM ຈະອອກໄປທີ່ອັດຕະໂນມັດໄປທີ່ແອັບພລິເຄຊັນທີ່ເລືອກແລ້ວຫຼັງຈາກປ່ຽນຫນ້າຂອງອຸປະກອນ</t>
  </si>
  <si>
    <t>DKM automātiski izies no izvēlētās lietojumprogrammas pēc ierīces pagriešanas Facedown</t>
  </si>
  <si>
    <t>DKM akan keluar secara automatik ke aplikasi yang dipilih setelah menghidupkan peranti yang dihadapi</t>
  </si>
  <si>
    <t>DKM gaat automatisch naar de geselecteerde applicatie na het draaien van het apparaat met de weg</t>
  </si>
  <si>
    <t>DKM automatycznie wyjdzie do wybranej aplikacji po obróceniu skierowanego urządzenia</t>
  </si>
  <si>
    <t>O DKM sairá automaticamente para o aplicativo selecionado depois de girar o dispositivo Faceredwn</t>
  </si>
  <si>
    <t>DKM автоматически выйдет в выбранное приложение после поворота устройства Facedown</t>
  </si>
  <si>
    <t>DKM จะออกจากแอปพลิเคชันที่เลือกโดยอัตโนมัติหลังจากหันหน้าเข้าหาอุปกรณ์</t>
  </si>
  <si>
    <t>DKM, Cihaz Yüzü'nü çevirdikten sonra otomatik olarak seçilen uygulamadan çıkacaktır</t>
  </si>
  <si>
    <t>DKM автоматично вийде до вибраного додатку після повернення пристрою</t>
  </si>
  <si>
    <t>DKM转动设备面向后，将自动退出所选应用程序</t>
  </si>
  <si>
    <t>DKM sẽ tự động thoát khỏi ứng dụng đã chọn sau khi lật úp thiết bị</t>
  </si>
  <si>
    <t>facedownLockSuccess</t>
  </si>
  <si>
    <t>Success!</t>
  </si>
  <si>
    <t>نجاح!</t>
  </si>
  <si>
    <t>Úspěch!</t>
  </si>
  <si>
    <t>Erfolg!</t>
  </si>
  <si>
    <t>Επιτυχία!</t>
  </si>
  <si>
    <t>¡Éxito!</t>
  </si>
  <si>
    <t>Edu!</t>
  </si>
  <si>
    <t>Menestys!</t>
  </si>
  <si>
    <t>Succès!</t>
  </si>
  <si>
    <t>सफलता!</t>
  </si>
  <si>
    <t>Kesuksesan!</t>
  </si>
  <si>
    <t>Successo!</t>
  </si>
  <si>
    <t>成功！</t>
  </si>
  <si>
    <t>ជោគជ័យ!</t>
  </si>
  <si>
    <t>ಯಶಸ್ಸು!</t>
  </si>
  <si>
    <t>성공!</t>
  </si>
  <si>
    <t>ຄວາມ​ສໍາ​ເລັດ!</t>
  </si>
  <si>
    <t>Panākumi!</t>
  </si>
  <si>
    <t>Kejayaan!</t>
  </si>
  <si>
    <t>Succes!</t>
  </si>
  <si>
    <t>Powodzenie!</t>
  </si>
  <si>
    <t>Sucesso!</t>
  </si>
  <si>
    <t>Успех!</t>
  </si>
  <si>
    <t>ความสำเร็จ!</t>
  </si>
  <si>
    <t>Başarı!</t>
  </si>
  <si>
    <t>Успіх!</t>
  </si>
  <si>
    <t>Thành công!</t>
  </si>
  <si>
    <t>facedownLockHasBeenSet</t>
  </si>
  <si>
    <t>Facedown Lock has been set.</t>
  </si>
  <si>
    <t>تم تعيين قفل Facedown.</t>
  </si>
  <si>
    <t>Facetown Lock byl nastaven.</t>
  </si>
  <si>
    <t>Faestown Lock wurde festgelegt.</t>
  </si>
  <si>
    <t>Το Facedown Lock έχει ρυθμιστεί.</t>
  </si>
  <si>
    <t>Facedown Lock se ha establecido.</t>
  </si>
  <si>
    <t>FaceDown Lock on seatud.</t>
  </si>
  <si>
    <t>Kasvatuslukko on asetettu.</t>
  </si>
  <si>
    <t>Facedown Lock a été réglé.</t>
  </si>
  <si>
    <t>फेस्डाउन लॉक सेट किया गया है।</t>
  </si>
  <si>
    <t>Kunci wajah telah ditetapkan.</t>
  </si>
  <si>
    <t>È stato fissato il blocco a faccia in giù.</t>
  </si>
  <si>
    <t>フェイスタウンロックが設定されています。</t>
  </si>
  <si>
    <t>សោហ្វ្លីងដាត្រូវបានកំណត់។</t>
  </si>
  <si>
    <t>ಫೇಸ್‌ಡೌನ್ ಲಾಕ್ ಅನ್ನು ಹೊಂದಿಸಲಾಗಿದೆ.</t>
  </si>
  <si>
    <t>Facedown Lock이 설정되었습니다.</t>
  </si>
  <si>
    <t>ການລັອກແບບຟອມໄດ້ຖືກກໍານົດໄວ້ແລ້ວ.</t>
  </si>
  <si>
    <t>Facedown slēdzene ir iestatīta.</t>
  </si>
  <si>
    <t>Facedown Lock telah ditetapkan.</t>
  </si>
  <si>
    <t>Faceedown Lock is ingesteld.</t>
  </si>
  <si>
    <t>Zamek został ustawiony.</t>
  </si>
  <si>
    <t>Facadown Lock foi definido.</t>
  </si>
  <si>
    <t>Facedown Lock был установлен.</t>
  </si>
  <si>
    <t>Facedown Lock ได้รับการตั้งค่าแล้ว</t>
  </si>
  <si>
    <t>Yüzü Kilit ayarlandı.</t>
  </si>
  <si>
    <t>Встановлено замок Faceedown.</t>
  </si>
  <si>
    <t>已经设置了面锁。</t>
  </si>
  <si>
    <t>Khóa úp màn hình đã được thiết lập.</t>
  </si>
  <si>
    <t>lockScreenHasBeenSet</t>
  </si>
  <si>
    <t>Lock screen has been setup successfully. You cannot change the lock screen after setup.</t>
  </si>
  <si>
    <t>تم إعداد شاشة القفل بنجاح. لا يمكنك تغيير شاشة القفل بعد الإعداد.</t>
  </si>
  <si>
    <t>Screen Lock byla úspěšně nastavena. Po nastavení nemůžete změnit obrazovku zámku.</t>
  </si>
  <si>
    <t>Der Sperrbildschirm wurde erfolgreich eingerichtet. Sie können den Sperrbildschirm nach dem Setup nicht ändern.</t>
  </si>
  <si>
    <t>Η οθόνη κλειδώματος έχει ρυθμιστεί με επιτυχία. Δεν μπορείτε να αλλάξετε την οθόνη κλειδώματος μετά την ρύθμιση.</t>
  </si>
  <si>
    <t>La pantalla de bloqueo se ha configurado con éxito. No puede cambiar la pantalla de bloqueo después de la configuración.</t>
  </si>
  <si>
    <t>Lukusta ekraan on edukalt seadistatud. Pärast seadistamist ei saa luku ekraani muuta.</t>
  </si>
  <si>
    <t>Lukitusnäyttö on asetettu onnistuneesti. Et voi muuttaa lukitusnäyttöä asennuksen jälkeen.</t>
  </si>
  <si>
    <t>L'écran de verrouillage a été configuré avec succès. Vous ne pouvez pas modifier l'écran de verrouillage après la configuration.</t>
  </si>
  <si>
    <t>लॉक स्क्रीन को सफलतापूर्वक सेटअप किया गया है। आप सेटअप के बाद लॉक स्क्रीन नहीं बदल सकते।</t>
  </si>
  <si>
    <t>Layar kunci telah berhasil diatur. Anda tidak dapat mengubah layar kunci setelah pengaturan.</t>
  </si>
  <si>
    <t>La schermata di blocco è stata impostata correttamente. Non è possibile modificare la schermata di blocco dopo la configurazione.</t>
  </si>
  <si>
    <t>ロック画面は正常にセットアップされました。セットアップ後にロック画面を変更することはできません。</t>
  </si>
  <si>
    <t>អេក្រង់ចាក់សោត្រូវបានរៀបចំដោយជោគជ័យ។ អ្នកមិនអាចប្តូរអេក្រង់ចាក់សោបានទេបន្ទាប់ពីតំឡើង។</t>
  </si>
  <si>
    <t>ಲಾಕ್ ಪರದೆಯನ್ನು ಯಶಸ್ವಿಯಾಗಿ ಹೊಂದಿಸಲಾಗಿದೆ. ಸೆಟಪ್ ನಂತರ ನೀವು ಲಾಕ್ ಪರದೆಯನ್ನು ಬದಲಾಯಿಸಲು ಸಾಧ್ಯವಿಲ್ಲ.</t>
  </si>
  <si>
    <t>잠금 화면이 성공적으로 설정되었습니다. 설정 후 잠금 화면을 변경할 수 없습니다.</t>
  </si>
  <si>
    <t>ຫນ້າຈໍລັອກໄດ້ຖືກຕັ້ງຄ່າຢ່າງສໍາເລັດຜົນ. ທ່ານບໍ່ສາມາດປ່ຽນຫນ້າຈໍລັອກຫຼັງຈາກການຕັ້ງຄ່າໄດ້.</t>
  </si>
  <si>
    <t>Lock ekrāns ir veiksmīgi iestatīts. Pēc iestatīšanas nevar mainīt bloķēšanas ekrānu.</t>
  </si>
  <si>
    <t>Skrin kunci telah berjaya disediakan. Anda tidak boleh menukar skrin kunci selepas persediaan.</t>
  </si>
  <si>
    <t>Lock -scherm is met succes ingesteld. U kunt het vergrendelingsscherm niet wijzigen na de installatie.</t>
  </si>
  <si>
    <t>Ekran blokady został pomyślnie skonfigurowany. Nie możesz zmienić ekranu blokady po konfiguracji.</t>
  </si>
  <si>
    <t>A tela de bloqueio foi configurada com sucesso. Você não pode alterar a tela de bloqueio após a configuração.</t>
  </si>
  <si>
    <t>Экран блокировки был успешно настроен. Вы не можете изменить экран блокировки после настройки.</t>
  </si>
  <si>
    <t>ล็อคหน้าจอได้รับการตั้งค่าสำเร็จแล้ว คุณไม่สามารถเปลี่ยนหน้าจอล็อคหลังจากการตั้งค่า</t>
  </si>
  <si>
    <t>Kilit ekranı başarıyla kuruldu. Kurulumdan sonra kilit ekranını değiştiremezsiniz.</t>
  </si>
  <si>
    <t>Екран блокування успішно налаштовано. Ви не можете змінити екран блокування після налаштування.</t>
  </si>
  <si>
    <t>锁定屏幕已成功设置。设置后您无法更改锁定屏幕。</t>
  </si>
  <si>
    <t>Màn hình khóa đã được thiết lập thành công. Bạn không thể thay đổi màn hình khóa sau khi thiết lập.</t>
  </si>
  <si>
    <t>awesome</t>
  </si>
  <si>
    <t>Awesome!</t>
  </si>
  <si>
    <t>مذهل!</t>
  </si>
  <si>
    <t>Skvělý!</t>
  </si>
  <si>
    <t>Eindrucksvoll!</t>
  </si>
  <si>
    <t>Φοβερός!</t>
  </si>
  <si>
    <t>¡Impresionante!</t>
  </si>
  <si>
    <t>Vinge!</t>
  </si>
  <si>
    <t>Mahtava!</t>
  </si>
  <si>
    <t>Génial!</t>
  </si>
  <si>
    <t>बहुत बढ़िया!</t>
  </si>
  <si>
    <t>Luar biasa!</t>
  </si>
  <si>
    <t>Eccezionale!</t>
  </si>
  <si>
    <t>素晴らしい！</t>
  </si>
  <si>
    <t>អស្ចារ្យមែន!</t>
  </si>
  <si>
    <t>ಅದ್ಭುತ!</t>
  </si>
  <si>
    <t>엄청난!</t>
  </si>
  <si>
    <t>ຫນ້າຫວາດສຽວ!</t>
  </si>
  <si>
    <t>Satriecošs!</t>
  </si>
  <si>
    <t>Hebat!</t>
  </si>
  <si>
    <t>Geweldig!</t>
  </si>
  <si>
    <t>Wspaniały!</t>
  </si>
  <si>
    <t>Incrível!</t>
  </si>
  <si>
    <t>Потрясающий!</t>
  </si>
  <si>
    <t>สุดยอด!</t>
  </si>
  <si>
    <t>Mükemmel!</t>
  </si>
  <si>
    <t>Дивовижно!</t>
  </si>
  <si>
    <t>惊人的！</t>
  </si>
  <si>
    <t>Tuyệt vời!</t>
  </si>
  <si>
    <t>darkMode</t>
  </si>
  <si>
    <t>Dark Mode</t>
  </si>
  <si>
    <t>الوضع المظلم</t>
  </si>
  <si>
    <t>Tmavý režim</t>
  </si>
  <si>
    <t>Dunkler Modus</t>
  </si>
  <si>
    <t>Σκούρα λειτουργία</t>
  </si>
  <si>
    <t>Modo oscuro</t>
  </si>
  <si>
    <t>Tume režiim</t>
  </si>
  <si>
    <t>Tumma tila</t>
  </si>
  <si>
    <t>Mode sombre</t>
  </si>
  <si>
    <t>डार्क मोड</t>
  </si>
  <si>
    <t>Mode gelap</t>
  </si>
  <si>
    <t>Modalità scura</t>
  </si>
  <si>
    <t>ダークモード</t>
  </si>
  <si>
    <t>របៀបងងឹត</t>
  </si>
  <si>
    <t>ಕತ್ತಲೆ ಕ್ರಮ</t>
  </si>
  <si>
    <t>다크 모드</t>
  </si>
  <si>
    <t>ຮູບແບບຊ້ໍາ</t>
  </si>
  <si>
    <t>Tumšais režīms</t>
  </si>
  <si>
    <t>Mod gelap</t>
  </si>
  <si>
    <t>Donkere modus</t>
  </si>
  <si>
    <t>Tryb ciemny</t>
  </si>
  <si>
    <t>Modo escuro</t>
  </si>
  <si>
    <t>Темный режим</t>
  </si>
  <si>
    <t>โหมดมืด</t>
  </si>
  <si>
    <t>Karanlık mod</t>
  </si>
  <si>
    <t>Темний режим</t>
  </si>
  <si>
    <t>黑暗模式</t>
  </si>
  <si>
    <t>Chế độ tối</t>
  </si>
  <si>
    <t>custom</t>
  </si>
  <si>
    <t>Custom</t>
  </si>
  <si>
    <t>مخصص</t>
  </si>
  <si>
    <t>Zvyk</t>
  </si>
  <si>
    <t>Brauch</t>
  </si>
  <si>
    <t>Εθιμο</t>
  </si>
  <si>
    <t>Costumbre</t>
  </si>
  <si>
    <t>Kohandatud</t>
  </si>
  <si>
    <t>Mukautettu</t>
  </si>
  <si>
    <t>Coutume</t>
  </si>
  <si>
    <t>रिवाज़</t>
  </si>
  <si>
    <t>Kebiasaan</t>
  </si>
  <si>
    <t>Costume</t>
  </si>
  <si>
    <t>カスタム</t>
  </si>
  <si>
    <t>តមន្យេមតមលាប់</t>
  </si>
  <si>
    <t>ರೂ customಿ</t>
  </si>
  <si>
    <t>관습</t>
  </si>
  <si>
    <t>ປະເພນີ</t>
  </si>
  <si>
    <t>Paraža</t>
  </si>
  <si>
    <t>Adat</t>
  </si>
  <si>
    <t>Aangepast</t>
  </si>
  <si>
    <t>Zwyczaj</t>
  </si>
  <si>
    <t>Personalizado</t>
  </si>
  <si>
    <t>Обычай</t>
  </si>
  <si>
    <t>กำหนดเอง</t>
  </si>
  <si>
    <t>Gelenek</t>
  </si>
  <si>
    <t>Звичайний</t>
  </si>
  <si>
    <t>风俗</t>
  </si>
  <si>
    <t>Tùy chỉnh</t>
  </si>
  <si>
    <t>textColor</t>
  </si>
  <si>
    <t>Text Color</t>
  </si>
  <si>
    <t>لون الخط</t>
  </si>
  <si>
    <t>Barva textu</t>
  </si>
  <si>
    <t>Textfarbe</t>
  </si>
  <si>
    <t>Χρώμα κειμένου</t>
  </si>
  <si>
    <t>Color de texto</t>
  </si>
  <si>
    <t>Tekstivärv</t>
  </si>
  <si>
    <t>Tekstinväri</t>
  </si>
  <si>
    <t>Couleur de texte</t>
  </si>
  <si>
    <t>पाठ का रंग</t>
  </si>
  <si>
    <t>Warna teks</t>
  </si>
  <si>
    <t>Colore del testo</t>
  </si>
  <si>
    <t>テキストの色</t>
  </si>
  <si>
    <t>ពណ៌អត្ថបទ</t>
  </si>
  <si>
    <t>ಪಠ್ಯ ಬಣ್ಣ</t>
  </si>
  <si>
    <t>텍스트 색상</t>
  </si>
  <si>
    <t>ສີ Text</t>
  </si>
  <si>
    <t>Teksta krāsa</t>
  </si>
  <si>
    <t>Tekst kleur</t>
  </si>
  <si>
    <t>Kolor tekstu</t>
  </si>
  <si>
    <t>Cor do texto</t>
  </si>
  <si>
    <t>Цвет текста</t>
  </si>
  <si>
    <t>สีข้อความ</t>
  </si>
  <si>
    <t>Metin rengi</t>
  </si>
  <si>
    <t>Текстовий колір</t>
  </si>
  <si>
    <t>文字颜色</t>
  </si>
  <si>
    <t>Màu văn bản</t>
  </si>
  <si>
    <t>backgroundColor</t>
  </si>
  <si>
    <t>Background Color</t>
  </si>
  <si>
    <t>لون الخلفية</t>
  </si>
  <si>
    <t>Barva pozadí</t>
  </si>
  <si>
    <t>Hintergrundfarbe</t>
  </si>
  <si>
    <t>Χρώμα του φόντου</t>
  </si>
  <si>
    <t>Color de fondo</t>
  </si>
  <si>
    <t>Taustavärv</t>
  </si>
  <si>
    <t>Taustaväri</t>
  </si>
  <si>
    <t>Couleur de l'arrière plan</t>
  </si>
  <si>
    <t>पृष्ठभूमि का रंग</t>
  </si>
  <si>
    <t>Warna latar belakang</t>
  </si>
  <si>
    <t>Colore di sfondo</t>
  </si>
  <si>
    <t>背景色</t>
  </si>
  <si>
    <t>ពណ៌ផ្ទៃខាងក្រោយ</t>
  </si>
  <si>
    <t>ಹಿನ್ನೆಲೆ ಬಣ್ಣ</t>
  </si>
  <si>
    <t>배경색</t>
  </si>
  <si>
    <t>ສີພື້ນຫລັງ</t>
  </si>
  <si>
    <t>Fona krāsa</t>
  </si>
  <si>
    <t>Achtergrond kleur</t>
  </si>
  <si>
    <t>Kolor tła</t>
  </si>
  <si>
    <t>Cor de fundo</t>
  </si>
  <si>
    <t>Фоновый цвет</t>
  </si>
  <si>
    <t>สีพื้นหลัง</t>
  </si>
  <si>
    <t>Arka plan rengi</t>
  </si>
  <si>
    <t>Колір фону</t>
  </si>
  <si>
    <t>背景颜色</t>
  </si>
  <si>
    <t>Màu nền</t>
  </si>
  <si>
    <t>boxColor</t>
  </si>
  <si>
    <t>Box Color</t>
  </si>
  <si>
    <t>لون المربع</t>
  </si>
  <si>
    <t>Barva krabice</t>
  </si>
  <si>
    <t>Boxfarbe</t>
  </si>
  <si>
    <t>Χρωματικό χρώμα</t>
  </si>
  <si>
    <t>Color de la caja</t>
  </si>
  <si>
    <t>Karbivärv</t>
  </si>
  <si>
    <t>Laatikkoväri</t>
  </si>
  <si>
    <t>Couleur de la boîte</t>
  </si>
  <si>
    <t>बक्से का रंग</t>
  </si>
  <si>
    <t>Warna kotak</t>
  </si>
  <si>
    <t>Colore della scatola</t>
  </si>
  <si>
    <t>ボックスカラー</t>
  </si>
  <si>
    <t>ពណ៌ប្រអប់</t>
  </si>
  <si>
    <t>ಬಾಕ್ಸ್ ಬಣ್ಣ</t>
  </si>
  <si>
    <t>상자 색상</t>
  </si>
  <si>
    <t>ສີຕູ້</t>
  </si>
  <si>
    <t>Kastes krāsa</t>
  </si>
  <si>
    <t>Dooskleur</t>
  </si>
  <si>
    <t>Kolor pudełka</t>
  </si>
  <si>
    <t>Cor da caixa</t>
  </si>
  <si>
    <t>Цвет коробки</t>
  </si>
  <si>
    <t>สีกล่อง</t>
  </si>
  <si>
    <t>Kutu rengi</t>
  </si>
  <si>
    <t>Коробний колір коробки</t>
  </si>
  <si>
    <t>盒子颜色</t>
  </si>
  <si>
    <t>Màu hộp</t>
  </si>
  <si>
    <t>english</t>
  </si>
  <si>
    <t>English</t>
  </si>
  <si>
    <t>إنجليزي</t>
  </si>
  <si>
    <t>Angličtina</t>
  </si>
  <si>
    <t>Englisch</t>
  </si>
  <si>
    <t>Αγγλικά</t>
  </si>
  <si>
    <t>Inglés</t>
  </si>
  <si>
    <t>Inglise</t>
  </si>
  <si>
    <t>Englanti</t>
  </si>
  <si>
    <t>Anglais</t>
  </si>
  <si>
    <t>अंग्रेज़ी</t>
  </si>
  <si>
    <t>Bahasa inggris</t>
  </si>
  <si>
    <t>Inglese</t>
  </si>
  <si>
    <t>英語</t>
  </si>
  <si>
    <t>អាលេវីម</t>
  </si>
  <si>
    <t>ಆಂಗ್ಲ</t>
  </si>
  <si>
    <t>영어</t>
  </si>
  <si>
    <t>ພາສາອັງກິດ</t>
  </si>
  <si>
    <t>Angļu</t>
  </si>
  <si>
    <t>Bahasa Inggeris</t>
  </si>
  <si>
    <t>Engels</t>
  </si>
  <si>
    <t>język angielski</t>
  </si>
  <si>
    <t>Inglês</t>
  </si>
  <si>
    <t>Английский</t>
  </si>
  <si>
    <t>ภาษาอังกฤษ</t>
  </si>
  <si>
    <t>İngilizce</t>
  </si>
  <si>
    <t>Англійська мова</t>
  </si>
  <si>
    <t>英语</t>
  </si>
  <si>
    <t>Tiếng Anh</t>
  </si>
  <si>
    <t>vietnamese</t>
  </si>
  <si>
    <t>Vietnamese</t>
  </si>
  <si>
    <t>الفيتنامي</t>
  </si>
  <si>
    <t>vietnamština</t>
  </si>
  <si>
    <t>Vietnamesisch</t>
  </si>
  <si>
    <t>Βιετναμέζος</t>
  </si>
  <si>
    <t>vietnamita</t>
  </si>
  <si>
    <t>Vietnamlane</t>
  </si>
  <si>
    <t>vietnam</t>
  </si>
  <si>
    <t>vietnamien</t>
  </si>
  <si>
    <t>वियतनामी</t>
  </si>
  <si>
    <t>Orang Vietnam</t>
  </si>
  <si>
    <t>ベトナム人</t>
  </si>
  <si>
    <t>ជនជាតិវៀតណាម</t>
  </si>
  <si>
    <t>ವಿಯೆಟ್ನಾಂ</t>
  </si>
  <si>
    <t>베트남어</t>
  </si>
  <si>
    <t>ໄທຍວນ</t>
  </si>
  <si>
    <t>Vjetnamietis</t>
  </si>
  <si>
    <t>Vietnam</t>
  </si>
  <si>
    <t>Vietnamees</t>
  </si>
  <si>
    <t>wietnamski</t>
  </si>
  <si>
    <t>вьетнамский</t>
  </si>
  <si>
    <t>เวียดนาม</t>
  </si>
  <si>
    <t>В'єтнамський</t>
  </si>
  <si>
    <t>越南人</t>
  </si>
  <si>
    <t>Tiếng Việt</t>
  </si>
  <si>
    <t>passcode</t>
  </si>
  <si>
    <t>Passcode</t>
  </si>
  <si>
    <t>رمز عبور</t>
  </si>
  <si>
    <t>Pääsukood</t>
  </si>
  <si>
    <t>Salasanne</t>
  </si>
  <si>
    <t>पासकोड</t>
  </si>
  <si>
    <t>Kode sandi</t>
  </si>
  <si>
    <t>Codice di accesso</t>
  </si>
  <si>
    <t>パスコード</t>
  </si>
  <si>
    <t>លេខកូដសម្ងាត់</t>
  </si>
  <si>
    <t>ಪಾರದವ</t>
  </si>
  <si>
    <t>암호</t>
  </si>
  <si>
    <t>Piekļuves kods</t>
  </si>
  <si>
    <t>Kod laluan</t>
  </si>
  <si>
    <t>Deelname</t>
  </si>
  <si>
    <t>Kod dostępu</t>
  </si>
  <si>
    <t>Código de senha</t>
  </si>
  <si>
    <t>Пас -код</t>
  </si>
  <si>
    <t>Parti kodu</t>
  </si>
  <si>
    <t>Mật mã</t>
  </si>
  <si>
    <t>addNewPasscode</t>
  </si>
  <si>
    <t>Add Passcode</t>
  </si>
  <si>
    <t>إضافة رمز المرور</t>
  </si>
  <si>
    <t>Přidat přístupový kód</t>
  </si>
  <si>
    <t>Passcode hinzufügen</t>
  </si>
  <si>
    <t>Προσθήκη κωδικού πρόσβασης</t>
  </si>
  <si>
    <t>Agregar código de contraseña</t>
  </si>
  <si>
    <t>Lisage pääsukood</t>
  </si>
  <si>
    <t>Lisää passikoodi</t>
  </si>
  <si>
    <t>Ajouter un code d'accès</t>
  </si>
  <si>
    <t>पासकोड जोड़ें</t>
  </si>
  <si>
    <t>Tambahkan kode sandi</t>
  </si>
  <si>
    <t>Aggiungi passcode</t>
  </si>
  <si>
    <t>パスコードを追加します</t>
  </si>
  <si>
    <t>បន្ថែមលេខកូដសម្ងាត់</t>
  </si>
  <si>
    <t>ಪಾಸ್ಕೋಡ್ ಸೇರಿಸಿ</t>
  </si>
  <si>
    <t>암호를 추가하십시오</t>
  </si>
  <si>
    <t>ເພີ່ມລະຫັດຜ່ານ</t>
  </si>
  <si>
    <t>Pievienojiet piekļuves kodu</t>
  </si>
  <si>
    <t>Tambah kod laluan</t>
  </si>
  <si>
    <t>Passcode toevoegen</t>
  </si>
  <si>
    <t>Dodaj kod Passcode</t>
  </si>
  <si>
    <t>Adicione a senha</t>
  </si>
  <si>
    <t>Добавить пароль</t>
  </si>
  <si>
    <t>เพิ่มรหัสผ่าน</t>
  </si>
  <si>
    <t>Parola ekle</t>
  </si>
  <si>
    <t>Додайте пароль</t>
  </si>
  <si>
    <t>添加密码</t>
  </si>
  <si>
    <t>Thêm mật mã</t>
  </si>
  <si>
    <t>changeCurrentPasscode</t>
  </si>
  <si>
    <t>Change Passcode</t>
  </si>
  <si>
    <t>تغيير رمز المرور</t>
  </si>
  <si>
    <t>Změnit přístupový kód</t>
  </si>
  <si>
    <t>Kennwort ändern</t>
  </si>
  <si>
    <t>Αλλαγή κωδικού πρόσβασης</t>
  </si>
  <si>
    <t>Cambiar contraseña</t>
  </si>
  <si>
    <t>Muutke pääsukoodi</t>
  </si>
  <si>
    <t>Muuttaa passikoodia</t>
  </si>
  <si>
    <t>पासकोड बदलें</t>
  </si>
  <si>
    <t>Ubah kode sandi</t>
  </si>
  <si>
    <t>Cambia passcode</t>
  </si>
  <si>
    <t>パスコードを変更します</t>
  </si>
  <si>
    <t>ផ្លាស់ប្តូរលេខកូដសម្ងាត់</t>
  </si>
  <si>
    <t>ಪಾಸ್ಕೋಡ್ ಬದಲಾಯಿಸಿ</t>
  </si>
  <si>
    <t>암호를 변경하십시오</t>
  </si>
  <si>
    <t>ປ່ຽນລະຫັດຜ່ານ</t>
  </si>
  <si>
    <t>Mainiet piekļuves kodu</t>
  </si>
  <si>
    <t>Tukar kod laluan</t>
  </si>
  <si>
    <t>Wijzig de toegangscode</t>
  </si>
  <si>
    <t>Zmień kod Passcode</t>
  </si>
  <si>
    <t>Altere a senha</t>
  </si>
  <si>
    <t>Измените парочный код</t>
  </si>
  <si>
    <t>เปลี่ยนรหัสผ่าน</t>
  </si>
  <si>
    <t>Parodu Değiştir</t>
  </si>
  <si>
    <t>Змінити пароль</t>
  </si>
  <si>
    <t>更改密码</t>
  </si>
  <si>
    <t>Đổi mật khẩu</t>
  </si>
  <si>
    <t>faceID</t>
  </si>
  <si>
    <t>Face ID</t>
  </si>
  <si>
    <t>معرف الوجه</t>
  </si>
  <si>
    <t>ID obličeje</t>
  </si>
  <si>
    <t>Gesichtsausweis</t>
  </si>
  <si>
    <t>Προσώπου</t>
  </si>
  <si>
    <t>ID de cara</t>
  </si>
  <si>
    <t>Näo ID</t>
  </si>
  <si>
    <t>Kasvojen henkilöllisyystodistus</t>
  </si>
  <si>
    <t>Id-id</t>
  </si>
  <si>
    <t>चेहरा आईडी</t>
  </si>
  <si>
    <t>ID Wajah</t>
  </si>
  <si>
    <t>Face Id</t>
  </si>
  <si>
    <t>顔ID</t>
  </si>
  <si>
    <t>លេខសម្គាល់មុខ</t>
  </si>
  <si>
    <t>ಮುಖದ ಐಡಿ</t>
  </si>
  <si>
    <t>얼굴 ID</t>
  </si>
  <si>
    <t>ບັດປະຈໍາຕົວ</t>
  </si>
  <si>
    <t>Sejas ID</t>
  </si>
  <si>
    <t>Id muka</t>
  </si>
  <si>
    <t>Twarz id</t>
  </si>
  <si>
    <t>ID do rosto</t>
  </si>
  <si>
    <t>Лицо идентификатор</t>
  </si>
  <si>
    <t>หน้ารหัส</t>
  </si>
  <si>
    <t>Yüz kimliği</t>
  </si>
  <si>
    <t>Ідентифікатор обличчя</t>
  </si>
  <si>
    <t>面对ID</t>
  </si>
  <si>
    <t>touchID</t>
  </si>
  <si>
    <t>Touch ID</t>
  </si>
  <si>
    <t>معرف اتصال</t>
  </si>
  <si>
    <t>Dotyk</t>
  </si>
  <si>
    <t>Berührungsidentifikation</t>
  </si>
  <si>
    <t>Τινάσσομαι</t>
  </si>
  <si>
    <t>Identifición de toque</t>
  </si>
  <si>
    <t>Puudutus</t>
  </si>
  <si>
    <t>TouchID</t>
  </si>
  <si>
    <t>Toudin</t>
  </si>
  <si>
    <t>टचिड</t>
  </si>
  <si>
    <t>Touchid</t>
  </si>
  <si>
    <t>TACHID</t>
  </si>
  <si>
    <t>តាបធី</t>
  </si>
  <si>
    <t>ಗಾಡಿ</t>
  </si>
  <si>
    <t>터치</t>
  </si>
  <si>
    <t>ແຕະຕ້ອງ</t>
  </si>
  <si>
    <t>Pirkstu nospiedumu lasītājs</t>
  </si>
  <si>
    <t>TouchId</t>
  </si>
  <si>
    <t>Прикосновение</t>
  </si>
  <si>
    <t>สัมผัส</t>
  </si>
  <si>
    <t>Dokunmatik kimlik</t>
  </si>
  <si>
    <t>Сенсорний</t>
  </si>
  <si>
    <t>触摸</t>
  </si>
  <si>
    <t>noBiometry</t>
  </si>
  <si>
    <t>The device does not support biometry.</t>
  </si>
  <si>
    <t>الجهاز لا يدعم القياس الحيوي.</t>
  </si>
  <si>
    <t>Zařízení nepodporuje biometrii.</t>
  </si>
  <si>
    <t>Das Gerät unterstützt die Biometrie nicht.</t>
  </si>
  <si>
    <t>Η συσκευή δεν υποστηρίζει τη βιομετρία.</t>
  </si>
  <si>
    <t>El dispositivo no admite biometría.</t>
  </si>
  <si>
    <t>Seade ei toeta biomeetriat.</t>
  </si>
  <si>
    <t>Laite ei tue biometriaa.</t>
  </si>
  <si>
    <t>L'appareil ne prend pas en charge la biométrie.</t>
  </si>
  <si>
    <t>डिवाइस बायोमेट्री का समर्थन नहीं करता है।</t>
  </si>
  <si>
    <t>Perangkat tidak mendukung biometri.</t>
  </si>
  <si>
    <t>Il dispositivo non supporta la biometria.</t>
  </si>
  <si>
    <t>デバイスは生体測定をサポートしていません。</t>
  </si>
  <si>
    <t>ឧបករណ៍នេះមិនគាំទ្រជីវមាត្រទេ។</t>
  </si>
  <si>
    <t>ಸಾಧನವು ಬಯೋಮೆಟ್ರಿಯನ್ನು ಬೆಂಬಲಿಸುವುದಿಲ್ಲ.</t>
  </si>
  <si>
    <t>장치는 생체 측정을 ​​지원하지 않습니다.</t>
  </si>
  <si>
    <t>ອຸປະກອນບໍ່ຮອງຮັບຊີວະວິທະຍາ.</t>
  </si>
  <si>
    <t>Ierīce neatbalsta biometriju.</t>
  </si>
  <si>
    <t>Peranti tidak menyokong biometri.</t>
  </si>
  <si>
    <t>Het apparaat ondersteunt geen biometrie.</t>
  </si>
  <si>
    <t>Urządzenie nie obsługuje biometrii.</t>
  </si>
  <si>
    <t>O dispositivo não suporta biometria.</t>
  </si>
  <si>
    <t>Устройство не поддерживает биометрию.</t>
  </si>
  <si>
    <t>อุปกรณ์ไม่รองรับไบโอเมตริกซ์</t>
  </si>
  <si>
    <t>Cihaz biyometriyi desteklemiyor.</t>
  </si>
  <si>
    <t>Пристрій не підтримує біометрію.</t>
  </si>
  <si>
    <t>该设备不支持生物特征。</t>
  </si>
  <si>
    <t>Thiết bị không hỗ trợ sinh trắc học.</t>
  </si>
  <si>
    <t>enterPasscode</t>
  </si>
  <si>
    <t>Enter Password</t>
  </si>
  <si>
    <t>أدخل كلمة المرور</t>
  </si>
  <si>
    <t>Zadejte heslo</t>
  </si>
  <si>
    <t>Passwort eingeben</t>
  </si>
  <si>
    <t>Εισάγετε τον κωδικό πρόσβασης</t>
  </si>
  <si>
    <t>Introducir la contraseña</t>
  </si>
  <si>
    <t>Sisestage parool</t>
  </si>
  <si>
    <t>Kirjoita salasana</t>
  </si>
  <si>
    <t>Entrer le mot de passe</t>
  </si>
  <si>
    <t>पास वर्ड दर्ज करें</t>
  </si>
  <si>
    <t>Masukkan kata kunci</t>
  </si>
  <si>
    <t>Inserire la password</t>
  </si>
  <si>
    <t>パスワードを入力する</t>
  </si>
  <si>
    <t>បញ្ចូលពាក្យសម្ងាត់</t>
  </si>
  <si>
    <t>ಪಾಸ್ವರ್ಡ್ ನಮೂದಿಸಿ</t>
  </si>
  <si>
    <t>암호를 입력</t>
  </si>
  <si>
    <t>ໃສ່ລະຫັດຜ່ານ</t>
  </si>
  <si>
    <t>Ievadi paroli</t>
  </si>
  <si>
    <t>Masukkan kata laluan</t>
  </si>
  <si>
    <t>Voer wachtwoord in</t>
  </si>
  <si>
    <t>Wprowadź hasło</t>
  </si>
  <si>
    <t>Digite a senha</t>
  </si>
  <si>
    <t>Введите пароль</t>
  </si>
  <si>
    <t>ใส่รหัสผ่าน</t>
  </si>
  <si>
    <t>Parolanı Gir</t>
  </si>
  <si>
    <t>Введіть пароль</t>
  </si>
  <si>
    <t>输入密码</t>
  </si>
  <si>
    <t>Nhập mật khẩu</t>
  </si>
  <si>
    <t>enterNewPasscode</t>
  </si>
  <si>
    <t>Enter New Password</t>
  </si>
  <si>
    <t>أدخل كلمة مرور جديدة</t>
  </si>
  <si>
    <t>Zadejte nové heslo</t>
  </si>
  <si>
    <t>Neues Passwort eingeben</t>
  </si>
  <si>
    <t>Εισάγετε νέο κωδικό</t>
  </si>
  <si>
    <t>Ingrese nueva clave</t>
  </si>
  <si>
    <t>Sisestage uus parool</t>
  </si>
  <si>
    <t>Syötä uusi salasana</t>
  </si>
  <si>
    <t>Entrez un nouveau mot de passe</t>
  </si>
  <si>
    <t>नया पासवर्ड दर्ज करें</t>
  </si>
  <si>
    <t>Masukan kata sandi baru</t>
  </si>
  <si>
    <t>Inserire una nuova password</t>
  </si>
  <si>
    <t>新しいパスワードを入力してください</t>
  </si>
  <si>
    <t>បញ្ចូលពាក្យសម្ងាត់ថ្មី</t>
  </si>
  <si>
    <t>ಹೊಸ ಪಾಸ್‌ವರ್ಡ್ ನಮೂದಿಸಿ</t>
  </si>
  <si>
    <t>새 비밀번호를 입력하십시오</t>
  </si>
  <si>
    <t>ໃສ່ລະຫັດລັບໃຫມ່</t>
  </si>
  <si>
    <t>Ievadiet jaunu paroli</t>
  </si>
  <si>
    <t>Masukkan kata laluan baru</t>
  </si>
  <si>
    <t>Voer een nieuw wachtwoord in</t>
  </si>
  <si>
    <t>Wprowadź nowe hasło</t>
  </si>
  <si>
    <t>Insira a nova senha</t>
  </si>
  <si>
    <t>Введите новый пароль</t>
  </si>
  <si>
    <t>ใส่รหัสผ่านใหม่</t>
  </si>
  <si>
    <t>Yeni şifre girin</t>
  </si>
  <si>
    <t>Введіть новий пароль</t>
  </si>
  <si>
    <t>输入新密码</t>
  </si>
  <si>
    <t>Nhập mật khẩu mới</t>
  </si>
  <si>
    <t>reEnterNewPasscode</t>
  </si>
  <si>
    <t>Re Enter New Password</t>
  </si>
  <si>
    <t>إعادة إدخال كلمة مرور جديدة</t>
  </si>
  <si>
    <t>Znovu zadejte nové heslo</t>
  </si>
  <si>
    <t>Neues Passwort erneut eingeben</t>
  </si>
  <si>
    <t>Εισαγάγετε νέο κωδικό πρόσβασης</t>
  </si>
  <si>
    <t>Re-ingrese nueva contraseña</t>
  </si>
  <si>
    <t>Kirjoita uusi salasana</t>
  </si>
  <si>
    <t>Ré-entrez le nouveau mot de passe</t>
  </si>
  <si>
    <t>नया पासवर्ड पुनः दर्ज करें</t>
  </si>
  <si>
    <t>Kembali masukkan kata sandi baru</t>
  </si>
  <si>
    <t>Reinserire la nuova password</t>
  </si>
  <si>
    <t>新しいパスワードを再入力してください</t>
  </si>
  <si>
    <t>អានពាក្យសម្ងាត់ថ្មីឡើងវិញ</t>
  </si>
  <si>
    <t>ಹೊಸ ಪಾಸ್‌ವರ್ಡ್ ಅನ್ನು ಮರು ನಮೂದಿಸಿ</t>
  </si>
  <si>
    <t>새 비밀번호를 다시 입력하십시오</t>
  </si>
  <si>
    <t>Re ເຂົ້າລະຫັດຜ່ານໃຫມ່</t>
  </si>
  <si>
    <t>Re ievadiet jaunu paroli</t>
  </si>
  <si>
    <t>Masukkan semula kata laluan baru</t>
  </si>
  <si>
    <t>Voer nieuw wachtwoord opnieuw in</t>
  </si>
  <si>
    <t>Wprowadź ponownie nowe hasło</t>
  </si>
  <si>
    <t>Re-introduza a nova palavra-passe</t>
  </si>
  <si>
    <t>Повторно введите новый пароль</t>
  </si>
  <si>
    <t>ป้อนรหัสผ่านใหม่</t>
  </si>
  <si>
    <t>Yeni şifreyi tekrar giriniz</t>
  </si>
  <si>
    <t>Re Введіть новий пароль</t>
  </si>
  <si>
    <t>重新输入新的密码</t>
  </si>
  <si>
    <t>Nhập lại mật khẩu mới</t>
  </si>
  <si>
    <t>enterCurrentPasscode</t>
  </si>
  <si>
    <t>Enter Your Current Password</t>
  </si>
  <si>
    <t>أدخل كلمة المرور الحالية</t>
  </si>
  <si>
    <t>Zadejte své současné heslo</t>
  </si>
  <si>
    <t>Gib dein aktuelles Passwort ein</t>
  </si>
  <si>
    <t>Εισάγεται τον τρέχοντα κωδικό πρόσβασής σας</t>
  </si>
  <si>
    <t>Introduce tu contraseña actual</t>
  </si>
  <si>
    <t>Sisestage oma praegune parool</t>
  </si>
  <si>
    <t>Syötä tämänhetkinen salasanasi</t>
  </si>
  <si>
    <t>Entrer votre mot de passe actuel</t>
  </si>
  <si>
    <t>अपने वर्तमान पासवर्ड को दर्ज करें</t>
  </si>
  <si>
    <t>Masukkan kata sandi Anda</t>
  </si>
  <si>
    <t>Inserisci la tua password attuale</t>
  </si>
  <si>
    <t>現在のパスワードを入力してください</t>
  </si>
  <si>
    <t>បញ្ចូលពាក្យសម្ងាត់បច្ចុប្បន្នរបស់អ្នក</t>
  </si>
  <si>
    <t>ನಿಮ್ಮ ಪ್ರಸ್ತುತ ಪಾಸ್‌ವರ್ಡ್ ಅನ್ನು ನಮೂದಿಸಿ</t>
  </si>
  <si>
    <t>현재 비밀번호를 입력하십시오</t>
  </si>
  <si>
    <t>ໃສ່ລະຫັດຜ່ານຂອງທ່ານໃນປະຈຸບັນ</t>
  </si>
  <si>
    <t>Ievadiet savu pašreizējo paroli</t>
  </si>
  <si>
    <t>Masukkan kata laluan semasa anda</t>
  </si>
  <si>
    <t>Voer uw huidige wachtwoord in</t>
  </si>
  <si>
    <t>Wprowadź swoje bieżące hasło</t>
  </si>
  <si>
    <t>Digite sua senha atual</t>
  </si>
  <si>
    <t>Введи свой текущий пароль</t>
  </si>
  <si>
    <t>ป้อนรหัสผ่านปัจจุบันของคุณ</t>
  </si>
  <si>
    <t>Mevcut şifrenizi girin</t>
  </si>
  <si>
    <t>Введіть свій поточний пароль</t>
  </si>
  <si>
    <t>输入当前密码</t>
  </si>
  <si>
    <t>Nhập mật khẩu hiện tại của bạn</t>
  </si>
  <si>
    <t>createPassword</t>
  </si>
  <si>
    <t>Create Your Password</t>
  </si>
  <si>
    <t>إنشاء كلمة مرورك</t>
  </si>
  <si>
    <t>Vytvořte vaše heslo</t>
  </si>
  <si>
    <t>Erstelle dein Passwort</t>
  </si>
  <si>
    <t>Δημιούργησε τον κωδικό σου</t>
  </si>
  <si>
    <t>Crea tu contraseña</t>
  </si>
  <si>
    <t>Looge endale parool</t>
  </si>
  <si>
    <t>Luo salasanasi</t>
  </si>
  <si>
    <t>Créez votre mot de passe</t>
  </si>
  <si>
    <t>अपना पासवर्ड बनाएं</t>
  </si>
  <si>
    <t>Buat kata sandimu</t>
  </si>
  <si>
    <t>Crea la tua password</t>
  </si>
  <si>
    <t>パスワードを作成してください</t>
  </si>
  <si>
    <t>បង្កើតពាក្យសម្ងាត់របស់អ្នក</t>
  </si>
  <si>
    <t>ನಿಮ್ಮ ಪಾಸ್ವರ್ಡ್ ರಚಿಸಿ</t>
  </si>
  <si>
    <t>비밀번호를 만듭니다</t>
  </si>
  <si>
    <t>ສ້າງລະຫັດຜ່ານຂອງທ່ານ</t>
  </si>
  <si>
    <t>Izveidojiet savu paroli</t>
  </si>
  <si>
    <t>Reka kata kunci anda</t>
  </si>
  <si>
    <t>Maak uw wachtwoord aan</t>
  </si>
  <si>
    <t>Stwórz swoje hasło</t>
  </si>
  <si>
    <t>Crie sua senha</t>
  </si>
  <si>
    <t>Создайте свой пароль</t>
  </si>
  <si>
    <t>สร้างรหัสผ่าน</t>
  </si>
  <si>
    <t>Şifreni oluştur</t>
  </si>
  <si>
    <t>Створіть свій пароль</t>
  </si>
  <si>
    <t>创建你的密码</t>
  </si>
  <si>
    <t>Tạo mật khẩu</t>
  </si>
  <si>
    <t>changePassword</t>
  </si>
  <si>
    <t>Change Your Password</t>
  </si>
  <si>
    <t>غير كلمة المرور الخاصة بك</t>
  </si>
  <si>
    <t>Změňte si své heslo</t>
  </si>
  <si>
    <t>Ändern Sie Ihr Passwort</t>
  </si>
  <si>
    <t>Αλλάξτε τον κωδικό σας</t>
  </si>
  <si>
    <t>Cambia tu contraseña</t>
  </si>
  <si>
    <t>Muutke oma parooli</t>
  </si>
  <si>
    <t>Vaihda salasanasi</t>
  </si>
  <si>
    <t>Changez votre mot de passe</t>
  </si>
  <si>
    <t>अपना पासवर्ड बदलें</t>
  </si>
  <si>
    <t>Ubah kata sandi Anda</t>
  </si>
  <si>
    <t>Cambia la tua password</t>
  </si>
  <si>
    <t>パスワードを変更してください</t>
  </si>
  <si>
    <t>ផ្លាស់ប្តូរពាក្យសម្ងាត់របស់អ្នក</t>
  </si>
  <si>
    <t>ನಿಮ್ಮ ಗುಪ್ತಪದವನ್ನು ಬದಲಾಯಿಸಿ</t>
  </si>
  <si>
    <t>비밀번호를 변경하십시오</t>
  </si>
  <si>
    <t>ປ່ຽນລະຫັດຜ່ານຂອງທ່ານ</t>
  </si>
  <si>
    <t>Nomainiet paroli</t>
  </si>
  <si>
    <t>Tukar kata laluan anda</t>
  </si>
  <si>
    <t>Verander uw wachtwoord</t>
  </si>
  <si>
    <t>Zmień swoje hasło</t>
  </si>
  <si>
    <t>Mude sua senha</t>
  </si>
  <si>
    <t>Измените свой пароль</t>
  </si>
  <si>
    <t>เปลี่ยนรหัสผ่านของคุณ</t>
  </si>
  <si>
    <t>Şifreni değiştir</t>
  </si>
  <si>
    <t>更改您的密码</t>
  </si>
  <si>
    <t>Thay đổi mật khẩu của bạn</t>
  </si>
  <si>
    <t>passIsIncorrect</t>
  </si>
  <si>
    <t>The password is incorrect</t>
  </si>
  <si>
    <t>كلمة المرور غير صحيحة</t>
  </si>
  <si>
    <t>Heslo je nesprávné</t>
  </si>
  <si>
    <t>Das Passwort ist inkorrekt</t>
  </si>
  <si>
    <t>Ο κωδικός πρόσβασης είναι λανθασμένος</t>
  </si>
  <si>
    <t>La contraseña es incorrecta</t>
  </si>
  <si>
    <t>Parool on vale</t>
  </si>
  <si>
    <t>Salasana on väärä</t>
  </si>
  <si>
    <t>Le mot de passe est incorrect</t>
  </si>
  <si>
    <t>पासवर्ड गलत है</t>
  </si>
  <si>
    <t>Kata sandi salah</t>
  </si>
  <si>
    <t>La password non è corretta</t>
  </si>
  <si>
    <t>パスワードが正しくありません</t>
  </si>
  <si>
    <t>ពាក្យសម្ងាត់មិនត្រឹមត្រូវ</t>
  </si>
  <si>
    <t>ಪಾಸ್ವರ್ಡ್ ತಪ್ಪಾಗಿದೆ</t>
  </si>
  <si>
    <t>암호가 올바르지 않습니다</t>
  </si>
  <si>
    <t>ລະຫັດຜ່ານແມ່ນບໍ່ຖືກຕ້ອງ</t>
  </si>
  <si>
    <t>Parole nav pareiza</t>
  </si>
  <si>
    <t>Kata laluan tidak betul</t>
  </si>
  <si>
    <t>Het wachtwoord is incorrect</t>
  </si>
  <si>
    <t>Hasło jest błędne</t>
  </si>
  <si>
    <t>A senha está incorreta</t>
  </si>
  <si>
    <t>Неправильный пароль</t>
  </si>
  <si>
    <t>รหัสผ่านไม่ถูกต้อง</t>
  </si>
  <si>
    <t>Şifre yanlış</t>
  </si>
  <si>
    <t>Пароль невірний</t>
  </si>
  <si>
    <t>密码不正确</t>
  </si>
  <si>
    <t>Mật khẩu không đúng</t>
  </si>
  <si>
    <t>passDoNotMatch</t>
  </si>
  <si>
    <t>Those passwords didn't match</t>
  </si>
  <si>
    <t>لا تتطابق كلمات المرور هذه</t>
  </si>
  <si>
    <t>Tato hesla se neshodovala</t>
  </si>
  <si>
    <t>Diese Passwörter stimmten nicht überein</t>
  </si>
  <si>
    <t>Αυτοί οι κωδικοί πρόσβασης δεν ταιριάζουν</t>
  </si>
  <si>
    <t>Esas contraseñas no coincidían</t>
  </si>
  <si>
    <t>Need paroolid ei vastanud</t>
  </si>
  <si>
    <t>Nuo salasanat eivät vastanneet</t>
  </si>
  <si>
    <t>Ces mots de passe ne correspondaient pas</t>
  </si>
  <si>
    <t>उन पासवर्डों से मेल नहीं खाती</t>
  </si>
  <si>
    <t>Kata sandi itu tidak cocok</t>
  </si>
  <si>
    <t>Quelle password non corrispondono</t>
  </si>
  <si>
    <t>これらのパスワードは一致しませんでした</t>
  </si>
  <si>
    <t>ពាក្យសម្ងាត់ទាំងនោះមិនត្រូវគ្នាទេ</t>
  </si>
  <si>
    <t>ಆ ಪಾಸ್‌ವರ್ಡ್‌ಗಳು ಹೊಂದಿಕೆಯಾಗಲಿಲ್ಲ</t>
  </si>
  <si>
    <t>이러한 암호는 일치하지 않았습니다</t>
  </si>
  <si>
    <t>ລະຫັດຜ່ານເຫຼົ່ານັ້ນບໍ່ກົງກັນ</t>
  </si>
  <si>
    <t>Šīs paroles neatbilda</t>
  </si>
  <si>
    <t>Kata laluan itu tidak sepadan</t>
  </si>
  <si>
    <t>Die wachtwoorden kwamen niet overeen</t>
  </si>
  <si>
    <t>Te hasła nie pasowały</t>
  </si>
  <si>
    <t>Essas senhas não correspondiam</t>
  </si>
  <si>
    <t>Эти пароли не совпадали</t>
  </si>
  <si>
    <t>รหัสผ่านเหล่านั้นไม่ตรงกัน</t>
  </si>
  <si>
    <t>Bu şifreler eşleşmedi</t>
  </si>
  <si>
    <t>Ці паролі не відповідали</t>
  </si>
  <si>
    <t>这些密码不匹配</t>
  </si>
  <si>
    <t>Những mật khẩu đó không khớp</t>
  </si>
  <si>
    <t>sameRealPass</t>
  </si>
  <si>
    <t>New password cannot be same as old password</t>
  </si>
  <si>
    <t>لا يمكن أن تكون كلمة المرور الجديدة مثل كلمة المرور القديمة</t>
  </si>
  <si>
    <t>Nové heslo nemůže být stejné jako staré heslo</t>
  </si>
  <si>
    <t>Neues Passwort kann nicht gleich sein wie altes Passwort</t>
  </si>
  <si>
    <t>Ο νέος κωδικός πρόσβασης δεν μπορεί να είναι ο ίδιος με τον παλιό κωδικό πρόσβασης</t>
  </si>
  <si>
    <t>Nueva contraseña no puede ser la misma que la contraseña antigua</t>
  </si>
  <si>
    <t>Uus parool ei saa olla sama kui vana parool</t>
  </si>
  <si>
    <t>Uusi salasana ei voi olla sama kuin vanha salasana</t>
  </si>
  <si>
    <t>Le nouveau mot de passe ne peut pas être le même que le vieux mot de passe</t>
  </si>
  <si>
    <t>नया पासवर्ड पुराने पासवर्ड के समान नहीं हो सकता</t>
  </si>
  <si>
    <t>Kata sandi baru tidak bisa sama dengan kata sandi lama</t>
  </si>
  <si>
    <t>La nuova password non può essere uguale alla vecchia password</t>
  </si>
  <si>
    <t>新しいパスワードは古いパスワードと同じではありません</t>
  </si>
  <si>
    <t>ពាក្យសម្ងាត់ថ្មីមិនអាចដូចគ្នានឹងលេខសម្ងាត់ចាស់ទេ</t>
  </si>
  <si>
    <t>ಹೊಸ ಪಾಸ್‌ವರ್ಡ್ ಹಳೆಯ ಪಾಸ್‌ವರ್ಡ್‌ನಂತೆಯೇ ಇರಬಾರದು</t>
  </si>
  <si>
    <t>새 비밀번호는 이전 비밀번호와 동일 할 수 없습니다</t>
  </si>
  <si>
    <t>ລະຫັດລັບໃຫມ່ບໍ່ສາມາດເປັນລະຫັດລັບເກົ່າ</t>
  </si>
  <si>
    <t>Jauna parole nevar būt tāda pati kā vecā parole</t>
  </si>
  <si>
    <t>Kata laluan baru tidak boleh sama dengan kata laluan lama</t>
  </si>
  <si>
    <t>Nieuw wachtwoord kan niet hetzelfde zijn als oud wachtwoord</t>
  </si>
  <si>
    <t>Nowe hasło nie może być takie samo jak stare hasło</t>
  </si>
  <si>
    <t>Nova senha não pode ser a mesma que a senha antiga</t>
  </si>
  <si>
    <t>Новый пароль не может быть таким же, как старый пароль</t>
  </si>
  <si>
    <t>รหัสผ่านใหม่ไม่เหมือนรหัสผ่านเก่า</t>
  </si>
  <si>
    <t>Yeni şifre eski şifre ile aynı olamaz</t>
  </si>
  <si>
    <t>Новий пароль не може бути таким же, як старий пароль</t>
  </si>
  <si>
    <t>新密码不能与旧密码相同</t>
  </si>
  <si>
    <t>Mật khẩu mới không thể giống như mật khẩu cũ</t>
  </si>
  <si>
    <t>currentPassIsIncorrect</t>
  </si>
  <si>
    <t>Current password is incorrect</t>
  </si>
  <si>
    <t>كلمة المرور الحالية غير صحيحة</t>
  </si>
  <si>
    <t>současné heslo je nesprávné</t>
  </si>
  <si>
    <t>Das Passwort ist falsch</t>
  </si>
  <si>
    <t>Ο τρέχων κωδικός είναι λανθασμένος</t>
  </si>
  <si>
    <t>La contraseña actual es incorrecta</t>
  </si>
  <si>
    <t>Praegune parool on vale</t>
  </si>
  <si>
    <t>Nykyinen salasana on väärä</t>
  </si>
  <si>
    <t>Ce mot de passe est incorrect</t>
  </si>
  <si>
    <t>मौजूदा पासवर्ड गलत है</t>
  </si>
  <si>
    <t>Password saat ini salah</t>
  </si>
  <si>
    <t>Password corrente non è corretta</t>
  </si>
  <si>
    <t>このパスワードは間違っています</t>
  </si>
  <si>
    <t>ពាក្យសម្ងាត់បច្ចុប្បន្នមិនត្រឹមត្រូវ</t>
  </si>
  <si>
    <t>ಪ್ರಸ್ತುತ ಪಾಸ್ವರ್ಡ್ ತಪ್ಪಾಗಿದೆ</t>
  </si>
  <si>
    <t>현재 암호가 잘못되었습니다</t>
  </si>
  <si>
    <t>ລະຫັດຜ່ານໃນປະຈຸບັນແມ່ນບໍ່ຖືກຕ້ອງ</t>
  </si>
  <si>
    <t>Pašreizējā parole nav pareiza</t>
  </si>
  <si>
    <t>Kata laluan semasa adalah tidak betul</t>
  </si>
  <si>
    <t>Huidige wachtwoord is onjuist</t>
  </si>
  <si>
    <t>Aktualne hasło jest nieprawidłowe</t>
  </si>
  <si>
    <t>A senha atual está incorreta</t>
  </si>
  <si>
    <t>Текущий пароль неверен</t>
  </si>
  <si>
    <t>รหัสผ่านปัจจุบันไม่ถูกต้อง</t>
  </si>
  <si>
    <t>Geçerli şifre yanlış</t>
  </si>
  <si>
    <t>Введений пароль невірний</t>
  </si>
  <si>
    <t>当前密码不正确</t>
  </si>
  <si>
    <t>mật khẩu hiện tại không đúng</t>
  </si>
  <si>
    <t>confirmNewPassword</t>
  </si>
  <si>
    <t>Re enter your new password and then press __ % ___</t>
  </si>
  <si>
    <t>أعد أدخل كلمة المرور الجديدة ثم اضغط على __ ٪ ___</t>
  </si>
  <si>
    <t>Znovu zadejte své nové heslo a poté stiskněte __ % ___</t>
  </si>
  <si>
    <t>Geben Sie Ihr neues Passwort ein und drücken Sie dann __ % ___</t>
  </si>
  <si>
    <t>Εισαγάγετε τον νέο σας κωδικό πρόσβασης και, στη συνέχεια, πατήστε __ % ___</t>
  </si>
  <si>
    <t>Ingrese su nueva contraseña y luego presione __ % ___</t>
  </si>
  <si>
    <t>Sisestage oma uus parool ja vajutage seejärel __ % ___</t>
  </si>
  <si>
    <t>Kirjoita uusi salasana ja paina sitten __ % ___</t>
  </si>
  <si>
    <t>Entrez votre nouveau mot de passe, puis appuyez sur __% ___</t>
  </si>
  <si>
    <t>अपना नया पासवर्ड दर्ज करें और फिर __ % ___ दबाएं</t>
  </si>
  <si>
    <t>Kembali masukkan kata sandi baru Anda dan kemudian tekan __ % ___</t>
  </si>
  <si>
    <t>Immettere la tua nuova password e quindi premere __ % ___</t>
  </si>
  <si>
    <t>新しいパスワードを入力してから、__％___を押します</t>
  </si>
  <si>
    <t>បញ្ចូលពាក្យសម្ងាត់ថ្មីរបស់អ្នកឡើងវិញហើយបន្ទាប់មកចុច __% ___</t>
  </si>
  <si>
    <t>ನಿಮ್ಮ ಹೊಸ ಪಾಸ್‌ವರ್ಡ್ ಅನ್ನು ಮರು ನಮೂದಿಸಿ ಮತ್ತು ನಂತರ __ % ___ ಒತ್ತಿರಿ</t>
  </si>
  <si>
    <t>새 비밀번호를 다시 입력 한 다음 __ % ___을 누릅니다.</t>
  </si>
  <si>
    <t>Re ກະລຸນາໃສ່ລະຫັດລັບໃຫມ່ຂອງທ່ານແລະຫຼັງຈາກນັ້ນກົດປຸ່ມ __% ___</t>
  </si>
  <si>
    <t>Re ievadiet savu jauno paroli un pēc tam nospiediet __ % ___</t>
  </si>
  <si>
    <t>Masukkan kata laluan baru anda dan kemudian tekan __ % ___</t>
  </si>
  <si>
    <t>Voer uw nieuwe wachtwoord opnieuw in en druk vervolgens op __ % ___</t>
  </si>
  <si>
    <t>Wprowadź nowe hasło, a następnie naciśnij __ % ___</t>
  </si>
  <si>
    <t>Digite sua nova senha e pressione __ % ___</t>
  </si>
  <si>
    <t>Введите свой новый пароль, а затем нажмите __ % ___</t>
  </si>
  <si>
    <t>ป้อนรหัสผ่านใหม่ของคุณอีกครั้งแล้วกด __ % ___</t>
  </si>
  <si>
    <t>Yeni şifrenizi yeniden girin ve ardından __ % ___ tuşuna basın</t>
  </si>
  <si>
    <t>Re введіть новий пароль, а потім натисніть __ % ___</t>
  </si>
  <si>
    <t>重新输入您的新密码，然后按__％___</t>
  </si>
  <si>
    <t>Nhập lại mật khẩu mới của bạn và sau đó nhấn __ % ___</t>
  </si>
  <si>
    <t>setNewPassword</t>
  </si>
  <si>
    <t>Set your new password and then press __ % ___</t>
  </si>
  <si>
    <t>اضبط كلمة المرور الجديدة ثم اضغط على __ ٪ ___</t>
  </si>
  <si>
    <t>Nastavte své nové heslo a poté stiskněte __ % ___</t>
  </si>
  <si>
    <t>Stellen Sie Ihr neues Passwort ein und drücken Sie __ % ___</t>
  </si>
  <si>
    <t>Ορίστε τον νέο σας κωδικό πρόσβασης και, στη συνέχεια, πατήστε __ % ___</t>
  </si>
  <si>
    <t>Establezca su nueva contraseña y luego presione __ % ___</t>
  </si>
  <si>
    <t>Seadke oma uus parool ja seejärel vajutage __ % ___</t>
  </si>
  <si>
    <t>Aseta uusi salasanasi ja paina sitten __ % ___</t>
  </si>
  <si>
    <t>Définissez votre nouveau mot de passe, puis appuyez sur __% ___</t>
  </si>
  <si>
    <t>अपना नया पासवर्ड सेट करें और फिर __ % ___ दबाएं</t>
  </si>
  <si>
    <t>Atur kata sandi baru Anda dan kemudian tekan __ % ___</t>
  </si>
  <si>
    <t>Imposta la tua nuova password e quindi premere __ % ___</t>
  </si>
  <si>
    <t>新しいパスワードを設定してから、__％___を押します</t>
  </si>
  <si>
    <t>កំណត់លេខសំងាត់ថ្មីរបស់អ្នកហើយបន្ទាប់មកចុច __% ___</t>
  </si>
  <si>
    <t>ನಿಮ್ಮ ಹೊಸ ಪಾಸ್‌ವರ್ಡ್ ಅನ್ನು ಹೊಂದಿಸಿ ಮತ್ತು ನಂತರ __ % ___ ಒತ್ತಿರಿ</t>
  </si>
  <si>
    <t>새 비밀번호를 설정 한 다음 __ % ___을 누릅니다.</t>
  </si>
  <si>
    <t>ຕັ້ງລະຫັດລັບໃຫມ່ຂອງທ່ານແລ້ວກົດປຸ່ມ __% ___</t>
  </si>
  <si>
    <t>Iestatiet jauno paroli un pēc tam nospiediet __ % ___</t>
  </si>
  <si>
    <t>Tetapkan kata laluan baru anda dan kemudian tekan __ % ___</t>
  </si>
  <si>
    <t>Stel uw nieuwe wachtwoord in en druk vervolgens op __ % ___</t>
  </si>
  <si>
    <t>Ustaw swoje nowe hasło, a następnie naciśnij __ % ___</t>
  </si>
  <si>
    <t>Defina sua nova senha e pressione __ % ___</t>
  </si>
  <si>
    <t>Установите свой новый пароль, а затем нажмите __ % ___</t>
  </si>
  <si>
    <t>ตั้งรหัสผ่านใหม่ของคุณแล้วกด __ % ___</t>
  </si>
  <si>
    <t>Yeni şifrenizi ayarlayın ve ardından __ % ___ tuşuna basın</t>
  </si>
  <si>
    <t>Встановіть свій новий пароль, а потім натисніть __ % ___</t>
  </si>
  <si>
    <t>设置您的新密码，然后按__％___</t>
  </si>
  <si>
    <t>Đặt mật khẩu mới của bạn và sau đó nhấn __ % ___</t>
  </si>
  <si>
    <t>pleaseEnterNewPassword</t>
  </si>
  <si>
    <t>Please enter new password!!!</t>
  </si>
  <si>
    <t>الرجاء إدخال كلمة مرور جديدة !!!</t>
  </si>
  <si>
    <t>Zadejte prosím nové heslo !!!</t>
  </si>
  <si>
    <t>Bitte geben Sie ein neues Passwort ein !!!</t>
  </si>
  <si>
    <t>Εισαγάγετε νέο κωδικό πρόσβασης !!!</t>
  </si>
  <si>
    <t>¡Ingrese la nueva contraseña!</t>
  </si>
  <si>
    <t>Palun sisestage uus parool !!!</t>
  </si>
  <si>
    <t>Anna uusi salasana !!!</t>
  </si>
  <si>
    <t>Veuillez saisir un nouveau mot de passe !!!</t>
  </si>
  <si>
    <t>कृपया नया पासवर्ड दर्ज करें !!!</t>
  </si>
  <si>
    <t>Harap masukkan kata sandi baru !!!</t>
  </si>
  <si>
    <t>Inserisci nuova password !!!</t>
  </si>
  <si>
    <t>新しいパスワードを入力してください!!!</t>
  </si>
  <si>
    <t>សូមបញ្ចូលពាក្យសម្ងាត់ថ្មី !!!</t>
  </si>
  <si>
    <t>ದಯವಿಟ್ಟು ಹೊಸ ಪಾಸ್‌ವರ್ಡ್ ನಮೂದಿಸಿ !!!</t>
  </si>
  <si>
    <t>새 비밀번호를 입력하십시오 !!!</t>
  </si>
  <si>
    <t>ກະລຸນາໃສ່ລະຫັດລັບໃຫມ່ !!!</t>
  </si>
  <si>
    <t>Lūdzu, ievadiet jaunu paroli !!!</t>
  </si>
  <si>
    <t>Sila masukkan kata laluan baru !!!</t>
  </si>
  <si>
    <t>Voer een nieuw wachtwoord in !!!</t>
  </si>
  <si>
    <t>Wprowadź nowe hasło !!!</t>
  </si>
  <si>
    <t>Por favor, digite nova senha !!!</t>
  </si>
  <si>
    <t>Пожалуйста, введите новый пароль !!!</t>
  </si>
  <si>
    <t>กรุณากรอกรหัสผ่านใหม่ !!!</t>
  </si>
  <si>
    <t>Lütfen yeni şifre girin !!!</t>
  </si>
  <si>
    <t>Введіть новий пароль !!!</t>
  </si>
  <si>
    <t>请输入新密码！！！</t>
  </si>
  <si>
    <t>Vui lòng nhập mật khẩu mới !!!</t>
  </si>
  <si>
    <t>pleaseDrawAtLeastTwoPoints</t>
  </si>
  <si>
    <t>Please draw at least two points</t>
  </si>
  <si>
    <t>يرجى رسم نقطتين على الأقل</t>
  </si>
  <si>
    <t>Nakreslete prosím alespoň dva body</t>
  </si>
  <si>
    <t>Bitte zeichnen Sie mindestens zwei Punkte</t>
  </si>
  <si>
    <t>Σχεδιάστε τουλάχιστον δύο βαθμούς</t>
  </si>
  <si>
    <t>Dibuja al menos dos puntos</t>
  </si>
  <si>
    <t>Palun joonistage vähemalt kaks punkti</t>
  </si>
  <si>
    <t>Piirrä vähintään kaksi pistettä</t>
  </si>
  <si>
    <t>Veuillez dessiner au moins deux points</t>
  </si>
  <si>
    <t>कृपया कम से कम दो अंक खींचें</t>
  </si>
  <si>
    <t>Harap gambar setidaknya dua poin</t>
  </si>
  <si>
    <t>Si prega di disegnare almeno due punti</t>
  </si>
  <si>
    <t>少なくとも2つのポイントを描いてください</t>
  </si>
  <si>
    <t>សូមគូរយ៉ាងហោចណាស់ពីរចំណុច</t>
  </si>
  <si>
    <t>ದಯವಿಟ್ಟು ಕನಿಷ್ಠ ಎರಡು ಅಂಕಗಳನ್ನು ಸೆಳೆಯಿರಿ</t>
  </si>
  <si>
    <t>최소한 두 지점을 그려주세요</t>
  </si>
  <si>
    <t>ກະລຸນາແຕ້ມຢ່າງຫນ້ອຍສອງຈຸດ</t>
  </si>
  <si>
    <t>Lūdzu, uzzīmējiet vismaz divus punktus</t>
  </si>
  <si>
    <t>Sila lukis sekurang -kurangnya dua mata</t>
  </si>
  <si>
    <t>Teken alstublieft minstens twee punten</t>
  </si>
  <si>
    <t>Proszę narysować co najmniej dwa punkty</t>
  </si>
  <si>
    <t>Por favor, desenhe pelo menos dois pontos</t>
  </si>
  <si>
    <t>Пожалуйста, нарисуйте как минимум два очка</t>
  </si>
  <si>
    <t>กรุณาวาดอย่างน้อยสองคะแนน</t>
  </si>
  <si>
    <t>Lütfen en az iki puan çizin</t>
  </si>
  <si>
    <t>Будь ласка, намалюйте щонайменше два очки</t>
  </si>
  <si>
    <t>请至少绘制两点</t>
  </si>
  <si>
    <t>Vui lòng vẽ ít nhất hai điểm</t>
  </si>
  <si>
    <t>passwordPlaceHolder</t>
  </si>
  <si>
    <t>Your password</t>
  </si>
  <si>
    <t>كلمة السر خاصتك</t>
  </si>
  <si>
    <t>Vaše heslo</t>
  </si>
  <si>
    <t>Ihr Passwort</t>
  </si>
  <si>
    <t>Ο κωδικός σας</t>
  </si>
  <si>
    <t>Tu contraseña</t>
  </si>
  <si>
    <t>Teie parool</t>
  </si>
  <si>
    <t>Salasanasi</t>
  </si>
  <si>
    <t>Votre mot de passe</t>
  </si>
  <si>
    <t>आपका पासवर्ड</t>
  </si>
  <si>
    <t>Kata sandi Anda</t>
  </si>
  <si>
    <t>La tua password</t>
  </si>
  <si>
    <t>あなたのパスワード</t>
  </si>
  <si>
    <t>លេខសំងាត់​របស់​អ្នក</t>
  </si>
  <si>
    <t>ನಿಮ್ಮ ಗುಪ್ತಪದ</t>
  </si>
  <si>
    <t>너의 비밀번호</t>
  </si>
  <si>
    <t>ລະຫັດຜ່ານຂອງທ່ານ</t>
  </si>
  <si>
    <t>Tava parole</t>
  </si>
  <si>
    <t>Kata laluan Awak</t>
  </si>
  <si>
    <t>Je wachtwoord</t>
  </si>
  <si>
    <t>Twoje hasło</t>
  </si>
  <si>
    <t>Sua senha</t>
  </si>
  <si>
    <t>Ваш пароль</t>
  </si>
  <si>
    <t>รหัสผ่านของคุณ</t>
  </si>
  <si>
    <t>Şifreniz</t>
  </si>
  <si>
    <t>你的密码</t>
  </si>
  <si>
    <t>Mật khẩu của bạn</t>
  </si>
  <si>
    <t>passcodeText</t>
  </si>
  <si>
    <t>passwordText</t>
  </si>
  <si>
    <t>pattern</t>
  </si>
  <si>
    <t>Pattern password</t>
  </si>
  <si>
    <t>كلمة مرور نمط</t>
  </si>
  <si>
    <t>Heslo vzoru</t>
  </si>
  <si>
    <t>Musterkennwort</t>
  </si>
  <si>
    <t>Contraseña de patrón</t>
  </si>
  <si>
    <t>Mustriparool</t>
  </si>
  <si>
    <t>Mot de passe du modèle</t>
  </si>
  <si>
    <t>पैटर्न पासवर्ड</t>
  </si>
  <si>
    <t>Kata sandi pola</t>
  </si>
  <si>
    <t>Password del pattern</t>
  </si>
  <si>
    <t>パターンパスワード</t>
  </si>
  <si>
    <t>ពាក្យសម្ងាត់លំនាំ</t>
  </si>
  <si>
    <t>ಪ್ಯಾಟರ್ನ್ ಪಾಸ್ವರ್ಡ್</t>
  </si>
  <si>
    <t>패턴 비밀번호</t>
  </si>
  <si>
    <t>ລະຫັດຜ່ານແບບຮູບແບບ</t>
  </si>
  <si>
    <t>Modeļa parole</t>
  </si>
  <si>
    <t>Kata laluan corak</t>
  </si>
  <si>
    <t>Patroonwachtwoord</t>
  </si>
  <si>
    <t>Hasło wzoru</t>
  </si>
  <si>
    <t>Senha de padrão</t>
  </si>
  <si>
    <t>Шаблон пароль</t>
  </si>
  <si>
    <t>รหัสผ่านรูปแบบ</t>
  </si>
  <si>
    <t>Desen şifresi</t>
  </si>
  <si>
    <t>Пароль шаблону</t>
  </si>
  <si>
    <t>模式密码</t>
  </si>
  <si>
    <t>Mẫu mật khẩu</t>
  </si>
  <si>
    <t>آلة حاسبة</t>
  </si>
  <si>
    <t>Kalkulačka</t>
  </si>
  <si>
    <t>Taschenrechner</t>
  </si>
  <si>
    <t>Αριθμομηχανή</t>
  </si>
  <si>
    <t>Calculadora</t>
  </si>
  <si>
    <t>Kalkulaator</t>
  </si>
  <si>
    <t>Laskin</t>
  </si>
  <si>
    <t>Calculatrice</t>
  </si>
  <si>
    <t>कैलकुलेटर</t>
  </si>
  <si>
    <t>Kalkulator</t>
  </si>
  <si>
    <t>Calcolatrice</t>
  </si>
  <si>
    <t>電卓</t>
  </si>
  <si>
    <t>ម៉ាសីនកិតលេខ</t>
  </si>
  <si>
    <t>ಕ್ಯಾಲ್ಕುಲೇಟರ್</t>
  </si>
  <si>
    <t>계산자</t>
  </si>
  <si>
    <t>ເຄື່ອງຄິດເລກ</t>
  </si>
  <si>
    <t>Kalkulators</t>
  </si>
  <si>
    <t>Rekenmachine</t>
  </si>
  <si>
    <t>Калькулятор</t>
  </si>
  <si>
    <t>เครื่องคิดเลข</t>
  </si>
  <si>
    <t>Hesap makinesi</t>
  </si>
  <si>
    <t>计算器</t>
  </si>
  <si>
    <t>Máy tính</t>
  </si>
  <si>
    <t>calculatorClassic</t>
  </si>
  <si>
    <t>Calculator Classic</t>
  </si>
  <si>
    <t>الآلة الحاسبة الكلاسيكية</t>
  </si>
  <si>
    <t>Kalkulačka klasika</t>
  </si>
  <si>
    <t>Taschenrechner Klassiker</t>
  </si>
  <si>
    <t>Calculators Classic</t>
  </si>
  <si>
    <t>Calculadora clásica</t>
  </si>
  <si>
    <t>Kalkulaatori klassika</t>
  </si>
  <si>
    <t>Laskurin klassikko</t>
  </si>
  <si>
    <t>Calculatrice Classic</t>
  </si>
  <si>
    <t>कैलकुलेटर क्लासिक</t>
  </si>
  <si>
    <t>Calcolatore Classico</t>
  </si>
  <si>
    <t>ការគណនាបុរាណ</t>
  </si>
  <si>
    <t>ಕ್ಯಾಲ್ಕುಲೇಟರ್ ಕ್ಲಾಸಿಕ್</t>
  </si>
  <si>
    <t>계산기 클래식</t>
  </si>
  <si>
    <t>Classic Classic</t>
  </si>
  <si>
    <t>Kalkulatora klasika</t>
  </si>
  <si>
    <t>Kalkulator Klasik</t>
  </si>
  <si>
    <t>Calculator klassieker</t>
  </si>
  <si>
    <t>Kalkulator klasyczny</t>
  </si>
  <si>
    <t>Calculadora clássica</t>
  </si>
  <si>
    <t>Калькулятор классика</t>
  </si>
  <si>
    <t>เครื่องคิดเลขคลาสสิก</t>
  </si>
  <si>
    <t>Hesap makinesi klasiği</t>
  </si>
  <si>
    <t>Класичний калькулятор</t>
  </si>
  <si>
    <t>计算器经典</t>
  </si>
  <si>
    <t>Máy tính cổ điển</t>
  </si>
  <si>
    <t>createdPasswordSuccess</t>
  </si>
  <si>
    <t>createdPasswordSuccessBody</t>
  </si>
  <si>
    <t>Your passcode has been set successfully</t>
  </si>
  <si>
    <t>تم تعيين رمز المرور الخاص بك بنجاح</t>
  </si>
  <si>
    <t>Váš přístupový kód byl úspěšně nastaven</t>
  </si>
  <si>
    <t>Ihr Passcode wurde erfolgreich eingestellt</t>
  </si>
  <si>
    <t>Ο κωδικός πρόσβασής σας έχει ρυθμιστεί με επιτυχία</t>
  </si>
  <si>
    <t>Su código de contraseña se ha establecido con éxito</t>
  </si>
  <si>
    <t>Teie pääsukood on edukalt seatud</t>
  </si>
  <si>
    <t>Salasanne on asetettu onnistuneesti</t>
  </si>
  <si>
    <t>Votre mot de passe a été défini avec succès</t>
  </si>
  <si>
    <t>आपका पासकोड सफलतापूर्वक सेट किया गया है</t>
  </si>
  <si>
    <t>Kode sandi Anda telah berhasil ditetapkan</t>
  </si>
  <si>
    <t>Il tuo passcode è stato impostato correttamente</t>
  </si>
  <si>
    <t>パスコードは正常に設定されています</t>
  </si>
  <si>
    <t>លេខកូដសម្ងាត់របស់អ្នកត្រូវបានកំណត់ដោយជោគជ័យ</t>
  </si>
  <si>
    <t>ನಿಮ್ಮ ಪಾಸ್‌ಕೋಡ್ ಅನ್ನು ಯಶಸ್ವಿಯಾಗಿ ಹೊಂದಿಸಲಾಗಿದೆ</t>
  </si>
  <si>
    <t>암 코드가 성공적으로 설정되었습니다</t>
  </si>
  <si>
    <t>ລະຫັດຜ່ານຂອງທ່ານໄດ້ຖືກກໍານົດໄວ້ຢ່າງສໍາເລັດຜົນ</t>
  </si>
  <si>
    <t>Jūsu piekļuves kods ir veiksmīgi iestatīts</t>
  </si>
  <si>
    <t>Kod laluan anda telah berjaya ditetapkan</t>
  </si>
  <si>
    <t>Uw toegangscode is met succes ingesteld</t>
  </si>
  <si>
    <t>Twój kod podań został pomyślnie ustawiony</t>
  </si>
  <si>
    <t>Sua senha foi definida com sucesso</t>
  </si>
  <si>
    <t>Ваш пароль был успешно установлен</t>
  </si>
  <si>
    <t>รหัสผ่านของคุณได้รับการตั้งค่าเรียบร้อยแล้ว</t>
  </si>
  <si>
    <t>Passodunuz başarıyla ayarlandı</t>
  </si>
  <si>
    <t>Ваш пароль встановлений успішно</t>
  </si>
  <si>
    <t>您的密码已成功设置</t>
  </si>
  <si>
    <t>Mật mã của bạn đã được đặt thành công</t>
  </si>
  <si>
    <t>changedPasswordSuccess</t>
  </si>
  <si>
    <t>Passcode Updated!</t>
  </si>
  <si>
    <t>رمز المرور المحدث!</t>
  </si>
  <si>
    <t>Aktualizováno přístupové kódy!</t>
  </si>
  <si>
    <t>Passcode aktualisiert!</t>
  </si>
  <si>
    <t>Ενημερώθηκε ο κωδικός πρόσβασης!</t>
  </si>
  <si>
    <t>¡Código de contraseña actualizado!</t>
  </si>
  <si>
    <t>Passcode värskendatud!</t>
  </si>
  <si>
    <t>Passcode päivitetty!</t>
  </si>
  <si>
    <t>Code de passe mis à jour!</t>
  </si>
  <si>
    <t>पासकोड अपडेट किया गया!</t>
  </si>
  <si>
    <t>Kode sandi diperbarui!</t>
  </si>
  <si>
    <t>Passcode aggiornato!</t>
  </si>
  <si>
    <t>パスコードが更新されました！</t>
  </si>
  <si>
    <t>លេខកូដសម្ងាត់បានធ្វើបច្ចុប្បន្នភាព!</t>
  </si>
  <si>
    <t>ಪಾಸ್ಕೋಡ್ ನವೀಕರಿಸಲಾಗಿದೆ!</t>
  </si>
  <si>
    <t>암호가 업데이트되었습니다!</t>
  </si>
  <si>
    <t>ປັບປຸງຜ່ານລະຫັດຜ່ານ!</t>
  </si>
  <si>
    <t>Passcode atjaunināts!</t>
  </si>
  <si>
    <t>Kod laluan dikemas kini!</t>
  </si>
  <si>
    <t>Passcode bijgewerkt!</t>
  </si>
  <si>
    <t>Kod Passcode zaktualizowany!</t>
  </si>
  <si>
    <t>Passcode atualizado!</t>
  </si>
  <si>
    <t>Пасс -код обновлен!</t>
  </si>
  <si>
    <t>อัปเดตรหัสผ่าน!</t>
  </si>
  <si>
    <t>Passcode güncellendi!</t>
  </si>
  <si>
    <t>Паскод оновлений!</t>
  </si>
  <si>
    <t>密码更新了！</t>
  </si>
  <si>
    <t>Cập nhật mật mã!</t>
  </si>
  <si>
    <t>changedPasswordSuccessBody</t>
  </si>
  <si>
    <t>Passcode was successfully changed!</t>
  </si>
  <si>
    <t>تم تغيير رمز المرور بنجاح!</t>
  </si>
  <si>
    <t>Passcode byl úspěšně změněn!</t>
  </si>
  <si>
    <t>Passcode wurde erfolgreich verändert!</t>
  </si>
  <si>
    <t>Ο κωδικός πρόσβασης άλλαξε με επιτυχία!</t>
  </si>
  <si>
    <t>¡El código de acceso se cambió con éxito!</t>
  </si>
  <si>
    <t>Passikoodi muudeti edukalt!</t>
  </si>
  <si>
    <t>Passi koodi muuttui onnistuneesti!</t>
  </si>
  <si>
    <t>Le mot de passe a été changé avec succès!</t>
  </si>
  <si>
    <t>पासकोड सफलतापूर्वक बदल गया था!</t>
  </si>
  <si>
    <t>Kode sandi berhasil diubah!</t>
  </si>
  <si>
    <t>Il passcode è stato cambiato correttamente!</t>
  </si>
  <si>
    <t>パスコードは正常に変更されました！</t>
  </si>
  <si>
    <t>លេខកូដសម្ងាត់ត្រូវបានផ្លាស់ប្តូរដោយជោគជ័យ!</t>
  </si>
  <si>
    <t>ಪಾಸ್ಕೋಡ್ ಅನ್ನು ಯಶಸ್ವಿಯಾಗಿ ಬದಲಾಯಿಸಲಾಗಿದೆ!</t>
  </si>
  <si>
    <t>암호 코드가 성공적으로 변경되었습니다!</t>
  </si>
  <si>
    <t>ລະຫັດຜ່ານໄດ້ຖືກປ່ຽນປະສົບຜົນສໍາເລັດ!</t>
  </si>
  <si>
    <t>Passcode tika veiksmīgi mainīts!</t>
  </si>
  <si>
    <t>Kod laluan berjaya berubah!</t>
  </si>
  <si>
    <t>Passcode is succesvol gewijzigd!</t>
  </si>
  <si>
    <t>Kod Passcode został pomyślnie zmieniony!</t>
  </si>
  <si>
    <t>Passcode foi alterado com sucesso!</t>
  </si>
  <si>
    <t>Пассный код был успешно изменен!</t>
  </si>
  <si>
    <t>รหัสผ่านถูกเปลี่ยนสำเร็จ!</t>
  </si>
  <si>
    <t>Pascode başarıyla değiştirildi!</t>
  </si>
  <si>
    <t>Паскод був успішно змінений!</t>
  </si>
  <si>
    <t>密码已成功更改！</t>
  </si>
  <si>
    <t>Mật mã đã được thay đổi thành công!</t>
  </si>
  <si>
    <t>defaultAlbum</t>
  </si>
  <si>
    <t>Default Album</t>
  </si>
  <si>
    <t>الألبوم الافتراضي</t>
  </si>
  <si>
    <t>Výchozí album</t>
  </si>
  <si>
    <t>Standardalbum</t>
  </si>
  <si>
    <t>Προεπιλεγμένο άλμπουμ</t>
  </si>
  <si>
    <t>Álbum predeterminado</t>
  </si>
  <si>
    <t>Vaikimisi album</t>
  </si>
  <si>
    <t>Oletusalbumi</t>
  </si>
  <si>
    <t>Album par défaut</t>
  </si>
  <si>
    <t>डिफ़ॉल्ट एल्बम</t>
  </si>
  <si>
    <t>Album default</t>
  </si>
  <si>
    <t>Album predefinito</t>
  </si>
  <si>
    <t>デフォルトアルバム</t>
  </si>
  <si>
    <t>អាល់ប៊ុមលំនាំដើម</t>
  </si>
  <si>
    <t>ಡೀಫಾಲ್ಟ್ ಆಲ್ಬಮ್</t>
  </si>
  <si>
    <t>기본 앨범</t>
  </si>
  <si>
    <t>ສັນຍາລັກໃນຕອນຕົ້ນ</t>
  </si>
  <si>
    <t>Noklusējuma albums</t>
  </si>
  <si>
    <t>Album lalai</t>
  </si>
  <si>
    <t>Standaardalbum</t>
  </si>
  <si>
    <t>Domyślny album</t>
  </si>
  <si>
    <t>Álbum padrão</t>
  </si>
  <si>
    <t>Альбом по умолчанию</t>
  </si>
  <si>
    <t>อัลบั้มเริ่มต้น</t>
  </si>
  <si>
    <t>Varsayılan albüm</t>
  </si>
  <si>
    <t>Альбом за замовчуванням</t>
  </si>
  <si>
    <t>默认专辑</t>
  </si>
  <si>
    <t>Album mặc định</t>
  </si>
  <si>
    <t>infomation</t>
  </si>
  <si>
    <t>Infomation</t>
  </si>
  <si>
    <t>المعلومات</t>
  </si>
  <si>
    <t>Fomation</t>
  </si>
  <si>
    <t>Έσοδα</t>
  </si>
  <si>
    <t>Infominación</t>
  </si>
  <si>
    <t>Infomatsioon</t>
  </si>
  <si>
    <t>Välitys</t>
  </si>
  <si>
    <t>Entrave</t>
  </si>
  <si>
    <t>जानकारी</t>
  </si>
  <si>
    <t>Infomasi</t>
  </si>
  <si>
    <t>インフォメーション</t>
  </si>
  <si>
    <t>ការច្យេមតា</t>
  </si>
  <si>
    <t>ನಿರ್ದಾಕ್ಷಿಣ್ಯ</t>
  </si>
  <si>
    <t>정보</t>
  </si>
  <si>
    <t>Ieslodzījums</t>
  </si>
  <si>
    <t>Inrichting</t>
  </si>
  <si>
    <t>Informação</t>
  </si>
  <si>
    <t>Инфомация</t>
  </si>
  <si>
    <t>การมีส่วนร่วม</t>
  </si>
  <si>
    <t>Aşılama</t>
  </si>
  <si>
    <t>Інформація</t>
  </si>
  <si>
    <t>Thông tin</t>
  </si>
  <si>
    <t>forText</t>
  </si>
  <si>
    <t>selectAlbum</t>
  </si>
  <si>
    <t>Select Album</t>
  </si>
  <si>
    <t>حدد الألبوم</t>
  </si>
  <si>
    <t>Vyberte album</t>
  </si>
  <si>
    <t>Album auswählen</t>
  </si>
  <si>
    <t>Επιλέξτε άλμπουμ</t>
  </si>
  <si>
    <t>Álbum seleccionado</t>
  </si>
  <si>
    <t>Vali album</t>
  </si>
  <si>
    <t>Valitse albumi</t>
  </si>
  <si>
    <t>Sélectionner l'album</t>
  </si>
  <si>
    <t>एल्बम का चयन करें</t>
  </si>
  <si>
    <t>Pilih Album</t>
  </si>
  <si>
    <t>Seleziona l'album</t>
  </si>
  <si>
    <t>アルバムを選択します</t>
  </si>
  <si>
    <t>ជ្រើសរើសអាល់ប៊ុម</t>
  </si>
  <si>
    <t>ಆಲ್ಬಮ್ ಆಯ್ಕೆಮಾಡಿ</t>
  </si>
  <si>
    <t>앨범을 선택하십시오</t>
  </si>
  <si>
    <t>ເລືອກອັນລະບັ້ມ</t>
  </si>
  <si>
    <t>Atlasīt albumu</t>
  </si>
  <si>
    <t>Pilih album</t>
  </si>
  <si>
    <t>Selecteer album</t>
  </si>
  <si>
    <t>Wybierz album</t>
  </si>
  <si>
    <t>Selecione Álbum</t>
  </si>
  <si>
    <t>Выберите альбом</t>
  </si>
  <si>
    <t>เลือกอัลบั้ม</t>
  </si>
  <si>
    <t>Albüm seçin</t>
  </si>
  <si>
    <t>Виберіть альбом</t>
  </si>
  <si>
    <t>选择专辑</t>
  </si>
  <si>
    <t>Chọn Album</t>
  </si>
  <si>
    <t>deleteFolderTitle</t>
  </si>
  <si>
    <t>Delete Folder</t>
  </si>
  <si>
    <t>احذف المجلد</t>
  </si>
  <si>
    <t>Smazat složku</t>
  </si>
  <si>
    <t>Lösche Ordner</t>
  </si>
  <si>
    <t>Διαγράψτε το φάκελο</t>
  </si>
  <si>
    <t>Eliminar carpeta</t>
  </si>
  <si>
    <t>Kustuta kaust</t>
  </si>
  <si>
    <t>Poistaa kansio</t>
  </si>
  <si>
    <t>Supprimer le dossier</t>
  </si>
  <si>
    <t>फोल्डर हटा दें</t>
  </si>
  <si>
    <t>Hapus folder</t>
  </si>
  <si>
    <t>Elimina la cartella</t>
  </si>
  <si>
    <t>フォルダーを削除します</t>
  </si>
  <si>
    <t>លុបថតឯកសារ</t>
  </si>
  <si>
    <t>ಫೋಲ್ಡರ್ ಅಳಿಸಿ</t>
  </si>
  <si>
    <t>폴더 삭제</t>
  </si>
  <si>
    <t>ລຶບໂຟນເດີ</t>
  </si>
  <si>
    <t>Dzēst mapi</t>
  </si>
  <si>
    <t>Padam folder</t>
  </si>
  <si>
    <t>Verwijder map</t>
  </si>
  <si>
    <t>Usunięty folder</t>
  </si>
  <si>
    <t>Excluir pasta</t>
  </si>
  <si>
    <t>Удалить папку</t>
  </si>
  <si>
    <t>ลบโฟลเดอร์</t>
  </si>
  <si>
    <t>Klasörü sil</t>
  </si>
  <si>
    <t>Видалити папку</t>
  </si>
  <si>
    <t>删除文件夹</t>
  </si>
  <si>
    <t>Xóa thư mục</t>
  </si>
  <si>
    <t>deleteFileTitle</t>
  </si>
  <si>
    <t>Delete File</t>
  </si>
  <si>
    <t>حذف ملف</t>
  </si>
  <si>
    <t>Smazat soubor</t>
  </si>
  <si>
    <t>Datei löschen</t>
  </si>
  <si>
    <t>Διαγραφή φακέλου</t>
  </si>
  <si>
    <t>Borrar archivo</t>
  </si>
  <si>
    <t>Kustuta fail</t>
  </si>
  <si>
    <t>Poista tiedosto</t>
  </si>
  <si>
    <t>Supprimer le fichier</t>
  </si>
  <si>
    <t>फ़ाइल नष्ट करें</t>
  </si>
  <si>
    <t>Menghapus berkas</t>
  </si>
  <si>
    <t>Cancella il file</t>
  </si>
  <si>
    <t>ファイルを削除する</t>
  </si>
  <si>
    <t>លុប​ឯកសារ</t>
  </si>
  <si>
    <t>ಫೈಲ್ ಅಳಿಸಿ</t>
  </si>
  <si>
    <t>파일 삭제</t>
  </si>
  <si>
    <t>ລຶບໄຟລ໌</t>
  </si>
  <si>
    <t>Izdzēst failu</t>
  </si>
  <si>
    <t>Padam fail</t>
  </si>
  <si>
    <t>Verwijder bestand</t>
  </si>
  <si>
    <t>Usunąć plik</t>
  </si>
  <si>
    <t>Excluir arquivo</t>
  </si>
  <si>
    <t>Удалить файл</t>
  </si>
  <si>
    <t>ลบไฟล์</t>
  </si>
  <si>
    <t>Dosyayı sil</t>
  </si>
  <si>
    <t>Видалити файл</t>
  </si>
  <si>
    <t>删除文件</t>
  </si>
  <si>
    <t>Xóa tài liệu</t>
  </si>
  <si>
    <t>deleteFolderMessage</t>
  </si>
  <si>
    <t>deleteFileMessage</t>
  </si>
  <si>
    <t>noAlbumTitle</t>
  </si>
  <si>
    <t>There are no albums here!</t>
  </si>
  <si>
    <t>لا توجد ألبومات هنا!</t>
  </si>
  <si>
    <t>Tady nejsou žádná alba!</t>
  </si>
  <si>
    <t>Es gibt hier keine Alben!</t>
  </si>
  <si>
    <t>Δεν υπάρχουν άλμπουμ εδώ!</t>
  </si>
  <si>
    <t>¡No hay álbumes aquí!</t>
  </si>
  <si>
    <t>Siin pole albumeid!</t>
  </si>
  <si>
    <t>Täällä ei ole albumeja!</t>
  </si>
  <si>
    <t>Il n'y a pas d'albums ici!</t>
  </si>
  <si>
    <t>यहाँ कोई एल्बम नहीं हैं!</t>
  </si>
  <si>
    <t>Tidak ada album di sini!</t>
  </si>
  <si>
    <t>Non ci sono album qui!</t>
  </si>
  <si>
    <t>ここにアルバムはありません！</t>
  </si>
  <si>
    <t>មិនមានអាល់ប៊ុមនៅទីនេះទេ!</t>
  </si>
  <si>
    <t>ಇಲ್ಲಿ ಯಾವುದೇ ಆಲ್ಬಮ್‌ಗಳಿಲ್ಲ!</t>
  </si>
  <si>
    <t>여기 앨범이 없습니다!</t>
  </si>
  <si>
    <t>ບໍ່ມີອັນລະບັ້ມຢູ່ທີ່ນີ້!</t>
  </si>
  <si>
    <t>Šeit nav albumu!</t>
  </si>
  <si>
    <t>Tiada album di sini!</t>
  </si>
  <si>
    <t>Er zijn hier geen albums!</t>
  </si>
  <si>
    <t>Nie ma tu żadnych albumów!</t>
  </si>
  <si>
    <t>Não há álbuns aqui!</t>
  </si>
  <si>
    <t>Здесь нет альбомов!</t>
  </si>
  <si>
    <t>ไม่มีอัลบั้มที่นี่!</t>
  </si>
  <si>
    <t>Burada albüm yok!</t>
  </si>
  <si>
    <t>Тут немає альбомів!</t>
  </si>
  <si>
    <t>这里没有专辑！</t>
  </si>
  <si>
    <t>Chưa có thư mục nào được tạo!</t>
  </si>
  <si>
    <t>noAlbumMessage</t>
  </si>
  <si>
    <t>Tap button to add new album</t>
  </si>
  <si>
    <t>انقر فوق الزر لإضافة ألبوم جديد</t>
  </si>
  <si>
    <t>Klepnutím na tlačítko přidáte nové album</t>
  </si>
  <si>
    <t>Tippen Sie auf die Schaltfläche, um ein neues Album hinzuzufügen</t>
  </si>
  <si>
    <t>Πατήστε το κουμπί για να προσθέσετε νέο άλμπουμ</t>
  </si>
  <si>
    <t>Toque el botón para agregar un nuevo álbum</t>
  </si>
  <si>
    <t>Uue albumi lisamiseks puudutage nuppu</t>
  </si>
  <si>
    <t>Napauta painiketta lisätäksesi uuden albumin</t>
  </si>
  <si>
    <t>Appuyez sur le bouton pour ajouter un nouvel album</t>
  </si>
  <si>
    <t>नया एल्बम जोड़ने के लिए बटन टैप करें</t>
  </si>
  <si>
    <t>Tap tombol untuk menambahkan album baru</t>
  </si>
  <si>
    <t>Tocca il pulsante per aggiungere un nuovo album</t>
  </si>
  <si>
    <t>[ボタン]をタップして、新しいアルバムを追加します</t>
  </si>
  <si>
    <t>ប៉ះប៊ូតុងដើម្បីបន្ថែមអាល់ប៊ុមថ្មី</t>
  </si>
  <si>
    <t>ಹೊಸ ಆಲ್ಬಮ್ ಸೇರಿಸಲು ಬಟನ್ ಟ್ಯಾಪ್ ಮಾಡಿ</t>
  </si>
  <si>
    <t>새 앨범을 추가하려면 버튼을 누릅니다</t>
  </si>
  <si>
    <t>ແຕະປຸ່ມເພື່ອເພີ່ມອັລບັມໃຫມ່</t>
  </si>
  <si>
    <t>Pieskarieties pogai, lai pievienotu jaunu albumu</t>
  </si>
  <si>
    <t>Ketik butang untuk menambah album baru</t>
  </si>
  <si>
    <t>Tik op de knop om een ​​nieuw album toe te voegen</t>
  </si>
  <si>
    <t>Stuknij przycisk, aby dodać nowy album</t>
  </si>
  <si>
    <t>Toque no botão para adicionar novo álbum</t>
  </si>
  <si>
    <t>Кнопка зацепления, чтобы добавить новый альбом</t>
  </si>
  <si>
    <t>ปุ่มแตะเพื่อเพิ่มอัลบั้มใหม่</t>
  </si>
  <si>
    <t>Yeni albüm eklemek için düğmeye dokunun</t>
  </si>
  <si>
    <t>Натисніть кнопку, щоб додати новий альбом</t>
  </si>
  <si>
    <t>点击按钮添加新专辑</t>
  </si>
  <si>
    <t>Nhấn vào nút (+) để thêm album mới</t>
  </si>
  <si>
    <t>takePhoto</t>
  </si>
  <si>
    <t>Take Photo</t>
  </si>
  <si>
    <t>تصوير</t>
  </si>
  <si>
    <t>Vyfotit</t>
  </si>
  <si>
    <t>Foto machen</t>
  </si>
  <si>
    <t>Βγάλε φωτογραφία</t>
  </si>
  <si>
    <t>Tomar foto</t>
  </si>
  <si>
    <t>Pildistama</t>
  </si>
  <si>
    <t>Ottaa valokuva</t>
  </si>
  <si>
    <t>Prendre une photo</t>
  </si>
  <si>
    <t>फोटो लो</t>
  </si>
  <si>
    <t>Memotret</t>
  </si>
  <si>
    <t>Fare foto</t>
  </si>
  <si>
    <t>写真を撮る</t>
  </si>
  <si>
    <t>ថតរូប</t>
  </si>
  <si>
    <t>ಭಾವಚಿತ್ರವನ್ನು ತೆಗಿರಿ</t>
  </si>
  <si>
    <t>사진을 찍다</t>
  </si>
  <si>
    <t>ຖ່າຍ​ຮູບ</t>
  </si>
  <si>
    <t>Uzņemt bildi</t>
  </si>
  <si>
    <t>Mengambil gambar</t>
  </si>
  <si>
    <t>Foto nemen</t>
  </si>
  <si>
    <t>Zrobić zdjęcie</t>
  </si>
  <si>
    <t>Tirar fotos</t>
  </si>
  <si>
    <t>Сделать фотографию</t>
  </si>
  <si>
    <t>ถ่ายภาพ</t>
  </si>
  <si>
    <t>Fotoğraf çek</t>
  </si>
  <si>
    <t>Сфотографувати</t>
  </si>
  <si>
    <t>拍照</t>
  </si>
  <si>
    <t>Chụp hình</t>
  </si>
  <si>
    <t>importLibrary</t>
  </si>
  <si>
    <t>Import Library</t>
  </si>
  <si>
    <t>مكتبة الاستيراد</t>
  </si>
  <si>
    <t>Bibliothek importieren</t>
  </si>
  <si>
    <t>Βιβλιοθήκη εισαγωγής</t>
  </si>
  <si>
    <t>Biblioteca de importación</t>
  </si>
  <si>
    <t>Impordiraamatukogu</t>
  </si>
  <si>
    <t>Tuontikirjasto</t>
  </si>
  <si>
    <t>Bibliothèque d'importation</t>
  </si>
  <si>
    <t>आयात पुस्तकालय</t>
  </si>
  <si>
    <t>Impor Perpustakaan</t>
  </si>
  <si>
    <t>Biblioteca di importazione</t>
  </si>
  <si>
    <t>インポートライブラリ</t>
  </si>
  <si>
    <t>បណ្ណាល័យនាំចូល</t>
  </si>
  <si>
    <t>ಗ್ರಂಥಾಲಯ</t>
  </si>
  <si>
    <t>가져 오기 도서관</t>
  </si>
  <si>
    <t>ຫ້ອງສະຫມຸດນໍາເຂົ້າ</t>
  </si>
  <si>
    <t>Importēt bibliotēku</t>
  </si>
  <si>
    <t>Import Perpustakaan</t>
  </si>
  <si>
    <t>Import bibliotheek</t>
  </si>
  <si>
    <t>Biblioteka importu</t>
  </si>
  <si>
    <t>Biblioteca de importação</t>
  </si>
  <si>
    <t>Импорт библиотека</t>
  </si>
  <si>
    <t>นำเข้าห้องสมุด</t>
  </si>
  <si>
    <t>Kütüphane İçe Aktarma</t>
  </si>
  <si>
    <t>Імпортувати бібліотеку</t>
  </si>
  <si>
    <t>导入库</t>
  </si>
  <si>
    <t>Nhập từ thư viện</t>
  </si>
  <si>
    <t>newAlbum</t>
  </si>
  <si>
    <t>New Album</t>
  </si>
  <si>
    <t>البوم جديد</t>
  </si>
  <si>
    <t>Nové album</t>
  </si>
  <si>
    <t>Neues Album</t>
  </si>
  <si>
    <t>Νέο άλμπουμ</t>
  </si>
  <si>
    <t>Nuevo album</t>
  </si>
  <si>
    <t>Uus album</t>
  </si>
  <si>
    <t>Uusi albumi</t>
  </si>
  <si>
    <t>Nouvel album</t>
  </si>
  <si>
    <t>नयी एल्बम</t>
  </si>
  <si>
    <t>Album baru</t>
  </si>
  <si>
    <t>Nuovo album</t>
  </si>
  <si>
    <t>新しいアルバム</t>
  </si>
  <si>
    <t>អាល់ប៊ុមថ្មី</t>
  </si>
  <si>
    <t>ಹೊಸ ಆಲ್ಬಮ್</t>
  </si>
  <si>
    <t>새 앨범</t>
  </si>
  <si>
    <t>ອັນລະບັ້ມໃຫມ່</t>
  </si>
  <si>
    <t>Jauns albums</t>
  </si>
  <si>
    <t>Nieuw album</t>
  </si>
  <si>
    <t>Nowy album</t>
  </si>
  <si>
    <t>Novo álbum</t>
  </si>
  <si>
    <t>Новый альбом</t>
  </si>
  <si>
    <t>อัลบั้มใหม่</t>
  </si>
  <si>
    <t>Yeni albüm</t>
  </si>
  <si>
    <t>Новий альбом</t>
  </si>
  <si>
    <t>新唱片</t>
  </si>
  <si>
    <t>Album mới</t>
  </si>
  <si>
    <t>merge</t>
  </si>
  <si>
    <t>Merge</t>
  </si>
  <si>
    <t>دمج</t>
  </si>
  <si>
    <t>Spojit</t>
  </si>
  <si>
    <t>Verschmelzen</t>
  </si>
  <si>
    <t>Συγχώνευση</t>
  </si>
  <si>
    <t>Unir</t>
  </si>
  <si>
    <t>Ühendama</t>
  </si>
  <si>
    <t>Yhdistää</t>
  </si>
  <si>
    <t>Fusionner</t>
  </si>
  <si>
    <t>मर्ज</t>
  </si>
  <si>
    <t>Menggabungkan</t>
  </si>
  <si>
    <t>Unire</t>
  </si>
  <si>
    <t>マージ</t>
  </si>
  <si>
    <t>រយបរយមក្នា</t>
  </si>
  <si>
    <t>ವಿಲೀನಗೊಳ್ಳಲು</t>
  </si>
  <si>
    <t>병합</t>
  </si>
  <si>
    <t>ຂ້ຽວອອກ</t>
  </si>
  <si>
    <t>Apvienot</t>
  </si>
  <si>
    <t>Bergabung</t>
  </si>
  <si>
    <t>Samenvoegen</t>
  </si>
  <si>
    <t>Łączyć</t>
  </si>
  <si>
    <t>Mesclar</t>
  </si>
  <si>
    <t>Слияние</t>
  </si>
  <si>
    <t>ผสาน</t>
  </si>
  <si>
    <t>Birleştirmek</t>
  </si>
  <si>
    <t>Об'єднання</t>
  </si>
  <si>
    <t>合并</t>
  </si>
  <si>
    <t>Gộp</t>
  </si>
  <si>
    <t>createAlbum</t>
  </si>
  <si>
    <t>Create Album</t>
  </si>
  <si>
    <t>إنشاء ألبوم</t>
  </si>
  <si>
    <t>Vytvořte album</t>
  </si>
  <si>
    <t>Album erstellen</t>
  </si>
  <si>
    <t>Δημιουργία άλμπουμ</t>
  </si>
  <si>
    <t>Crear albúm</t>
  </si>
  <si>
    <t>Loo album</t>
  </si>
  <si>
    <t>Luo albumi</t>
  </si>
  <si>
    <t>Créer un album</t>
  </si>
  <si>
    <t>एल्बम बनाओ</t>
  </si>
  <si>
    <t>Membuat album</t>
  </si>
  <si>
    <t>Crea album</t>
  </si>
  <si>
    <t>アルバムを作成します</t>
  </si>
  <si>
    <t>បង្កើតអាល់ប៊ុម</t>
  </si>
  <si>
    <t>ಆಲ್ಬಮ್ ರಚಿಸಿ</t>
  </si>
  <si>
    <t>앨범을 만듭니다</t>
  </si>
  <si>
    <t>ສ້າງອັລບັມ</t>
  </si>
  <si>
    <t>Izveidot albumu</t>
  </si>
  <si>
    <t>Buat album</t>
  </si>
  <si>
    <t>Maak album</t>
  </si>
  <si>
    <t>Stwórz album</t>
  </si>
  <si>
    <t>Criar álbum</t>
  </si>
  <si>
    <t>Создать альбом</t>
  </si>
  <si>
    <t>สร้างอัลบั้ม</t>
  </si>
  <si>
    <t>Albüm Oluştur</t>
  </si>
  <si>
    <t>Створити альбом</t>
  </si>
  <si>
    <t>创建专辑</t>
  </si>
  <si>
    <t>Tạo album</t>
  </si>
  <si>
    <t>createAlbumMessage</t>
  </si>
  <si>
    <t>Enter a name for this album</t>
  </si>
  <si>
    <t>أدخل اسمًا لهذا الألبوم</t>
  </si>
  <si>
    <t>Zadejte název tohoto alba</t>
  </si>
  <si>
    <t>Geben Sie einen Namen für dieses Album ein</t>
  </si>
  <si>
    <t>Εισαγάγετε ένα όνομα για αυτό το άλμπουμ</t>
  </si>
  <si>
    <t>Ingrese un nombre para este álbum</t>
  </si>
  <si>
    <t>Sisestage selle albumi nimi</t>
  </si>
  <si>
    <t>Kirjoita nimi tälle albumille</t>
  </si>
  <si>
    <t>Entrez un nom pour cet album</t>
  </si>
  <si>
    <t>इस एल्बम के लिए एक नाम दर्ज करें</t>
  </si>
  <si>
    <t>Masukkan nama untuk album ini</t>
  </si>
  <si>
    <t>Immettere un nome per questo album</t>
  </si>
  <si>
    <t>このアルバムの名前を入力してください</t>
  </si>
  <si>
    <t>បញ្ចូលឈ្មោះសម្រាប់អាល់ប៊ុមនេះ</t>
  </si>
  <si>
    <t>ಈ ಆಲ್ಬಮ್‌ಗಾಗಿ ಹೆಸರನ್ನು ನಮೂದಿಸಿ</t>
  </si>
  <si>
    <t>이 앨범의 이름을 입력하십시오</t>
  </si>
  <si>
    <t>ໃສ່ຊື່ສໍາລັບອັນລະບັ້ມນີ້</t>
  </si>
  <si>
    <t>Ievadiet šī albuma nosaukumu</t>
  </si>
  <si>
    <t>Voer een naam in voor dit album</t>
  </si>
  <si>
    <t>Wprowadź nazwę tego albumu</t>
  </si>
  <si>
    <t>Digite um nome para este álbum</t>
  </si>
  <si>
    <t>Введите имя для этого альбома</t>
  </si>
  <si>
    <t>ป้อนชื่อสำหรับอัลบั้มนี้</t>
  </si>
  <si>
    <t>Bu albüm için bir isim girin</t>
  </si>
  <si>
    <t>Введіть ім'я цього альбому</t>
  </si>
  <si>
    <t>输入这张专辑的名字</t>
  </si>
  <si>
    <t>Nhập tên cho album này</t>
  </si>
  <si>
    <t>albumName</t>
  </si>
  <si>
    <t>Album name</t>
  </si>
  <si>
    <t>اسم الألبوم</t>
  </si>
  <si>
    <t>Název alba</t>
  </si>
  <si>
    <t>Albumname</t>
  </si>
  <si>
    <t>Όνομα άλμπουμ</t>
  </si>
  <si>
    <t>Nombre del álbum</t>
  </si>
  <si>
    <t>Albumi nimi</t>
  </si>
  <si>
    <t>Albumin nimi</t>
  </si>
  <si>
    <t>Nom de l'album</t>
  </si>
  <si>
    <t>एल्बम का नाम</t>
  </si>
  <si>
    <t>Nama Album</t>
  </si>
  <si>
    <t>Nome dell'album</t>
  </si>
  <si>
    <t>アルバム名</t>
  </si>
  <si>
    <t>ឈ្មោះអាល់ប៊ុម</t>
  </si>
  <si>
    <t>ಆಲ್ಬಮ್ ಹೆಸರು</t>
  </si>
  <si>
    <t>앨범 이름</t>
  </si>
  <si>
    <t>ຊື່ອັລບັມ</t>
  </si>
  <si>
    <t>Albuma nosaukums</t>
  </si>
  <si>
    <t>Nama album</t>
  </si>
  <si>
    <t>Albumnaam</t>
  </si>
  <si>
    <t>Nazwa albumu</t>
  </si>
  <si>
    <t>Nome do álbum</t>
  </si>
  <si>
    <t>Название альбома</t>
  </si>
  <si>
    <t>ชื่ออัลบั้ม</t>
  </si>
  <si>
    <t>Albüm Adı</t>
  </si>
  <si>
    <t>Назва альбому</t>
  </si>
  <si>
    <t>专辑名称</t>
  </si>
  <si>
    <t>Tên album</t>
  </si>
  <si>
    <t>theName</t>
  </si>
  <si>
    <t>The name</t>
  </si>
  <si>
    <t>الاسم</t>
  </si>
  <si>
    <t>Název</t>
  </si>
  <si>
    <t>Der Name</t>
  </si>
  <si>
    <t>Το όνομα</t>
  </si>
  <si>
    <t>El nombre</t>
  </si>
  <si>
    <t>Le nom</t>
  </si>
  <si>
    <t>Il nome</t>
  </si>
  <si>
    <t>ឈ្មោះ</t>
  </si>
  <si>
    <t>De naam</t>
  </si>
  <si>
    <t>O nome</t>
  </si>
  <si>
    <t>名字</t>
  </si>
  <si>
    <t>nameExist</t>
  </si>
  <si>
    <t>is already taken. Are you sure you still use this name?</t>
  </si>
  <si>
    <t>تم اخده بالفعل. هل أنت متأكد أنك ما زلت تستخدم هذا الاسم؟</t>
  </si>
  <si>
    <t>je již obsazen. Jste si jisti, že stále používáte toto jméno?</t>
  </si>
  <si>
    <t>ist schon besetzt. Sind Sie sicher, dass Sie diesen Namen noch verwenden?</t>
  </si>
  <si>
    <t>έχει ήδη ληφθεί. Είστε βέβαιοι ότι εξακολουθείτε να χρησιμοποιείτε αυτό το όνομα;</t>
  </si>
  <si>
    <t>ya está elegido. ¿Estás seguro de que todavía usas este nombre?</t>
  </si>
  <si>
    <t>juba võetud. Kas olete kindel, et kasutate seda nime endiselt?</t>
  </si>
  <si>
    <t>on jo otettu. Oletko varma, että käytät edelleen tätä nimeä?</t>
  </si>
  <si>
    <t>est déjà pris. Êtes-vous sûr d'utiliser toujours ce nom?</t>
  </si>
  <si>
    <t>पहले से ही लिया जा चुका है। क्या आप सुनिश्चित हैं कि आप अभी भी इस नाम का उपयोग करते हैं?</t>
  </si>
  <si>
    <t>sudah diambil. Apakah Anda yakin masih menggunakan nama ini?</t>
  </si>
  <si>
    <t>è già stato preso. Sei sicuro di usare ancora questo nome?</t>
  </si>
  <si>
    <t>すでに使用されている。まだこの名前を使用していますか？</t>
  </si>
  <si>
    <t>ត្រូវ​បាន​យក​រួច។ តើអ្នកប្រាកដថាអ្នកនៅតែប្រើឈ្មោះនេះទេ?</t>
  </si>
  <si>
    <t>ಈಗಾಗಲೇ ತೆಗೆದುಕೊಳ್ಳಲಾಗಿದೆ. ನೀವು ಇನ್ನೂ ಈ ಹೆಸರನ್ನು ಬಳಸುತ್ತೀರಿ ಎಂದು ನಿಮಗೆ ಖಚಿತವಾಗಿದೆಯೇ?</t>
  </si>
  <si>
    <t>이미 촬영. 이 이름을 여전히 사용 하시겠습니까?</t>
  </si>
  <si>
    <t>ຖືກປະຕິບັດແລ້ວ. ທ່ານແນ່ໃຈບໍ່ວ່າທ່ານຍັງໃຊ້ຊື່ນີ້ບໍ?</t>
  </si>
  <si>
    <t>ir jau pieņemts. Vai esat pārliecināts, ka joprojām izmantojat šo vārdu?</t>
  </si>
  <si>
    <t>sudah diambil. Adakah anda pasti anda masih menggunakan nama ini?</t>
  </si>
  <si>
    <t>is al in gebruik. Weet je zeker dat je deze naam nog steeds gebruikt?</t>
  </si>
  <si>
    <t>jest już zajęta. Czy na pewno nadal używasz tej nazwy?</t>
  </si>
  <si>
    <t>já está tomado. Tem certeza de que ainda usa esse nome?</t>
  </si>
  <si>
    <t>уже взят. Вы уверены, что все еще используете это имя?</t>
  </si>
  <si>
    <t>ถูกใช้ไปแล้ว. แน่ใจหรือว่าคุณยังคงใช้ชื่อนี้อยู่?</t>
  </si>
  <si>
    <t>zaten alınmış. Hala bu adı kullandığınızdan emin misiniz?</t>
  </si>
  <si>
    <t>вже прийнято. Ви впевнені, що все ще використовуєте це ім'я?</t>
  </si>
  <si>
    <t>已经被拿掉了。您确定仍然使用此名称吗？</t>
  </si>
  <si>
    <t>đã đã được sử dụng, bạn có chắc vẫn sử dụng tên này?</t>
  </si>
  <si>
    <t>continueButton</t>
  </si>
  <si>
    <t>Continue</t>
  </si>
  <si>
    <t>يكمل</t>
  </si>
  <si>
    <t>Pokračovat</t>
  </si>
  <si>
    <t>Weitermachen</t>
  </si>
  <si>
    <t>Να συνεχίσει</t>
  </si>
  <si>
    <t>Continuar</t>
  </si>
  <si>
    <t>Jätkuma</t>
  </si>
  <si>
    <t>Jatkaa</t>
  </si>
  <si>
    <t>Continuer</t>
  </si>
  <si>
    <t>जारी रखना</t>
  </si>
  <si>
    <t>Melanjutkan</t>
  </si>
  <si>
    <t>Continua</t>
  </si>
  <si>
    <t>続く</t>
  </si>
  <si>
    <t>បន្ដ</t>
  </si>
  <si>
    <t>ಮುಂದುವರಿಸು</t>
  </si>
  <si>
    <t>계속하다</t>
  </si>
  <si>
    <t>ດໍາເນີນຕໍ່ໄປ</t>
  </si>
  <si>
    <t>Turpināt</t>
  </si>
  <si>
    <t>Teruskan</t>
  </si>
  <si>
    <t>Doorgaan</t>
  </si>
  <si>
    <t>Kontynuować</t>
  </si>
  <si>
    <t>Продолжать</t>
  </si>
  <si>
    <t>ดำเนินการต่อ</t>
  </si>
  <si>
    <t>Devam etmek</t>
  </si>
  <si>
    <t>Продовжувати</t>
  </si>
  <si>
    <t>继续</t>
  </si>
  <si>
    <t>Tiếp tục</t>
  </si>
  <si>
    <t>renameAlbum</t>
  </si>
  <si>
    <t>Rename Album</t>
  </si>
  <si>
    <t>إعادة تسمية الألبوم</t>
  </si>
  <si>
    <t>Přejmenovat album</t>
  </si>
  <si>
    <t>Album umbenennen</t>
  </si>
  <si>
    <t>Μετονομασία άλμπουμ</t>
  </si>
  <si>
    <t>Renombrar álbum</t>
  </si>
  <si>
    <t>Ümbernimetatud album</t>
  </si>
  <si>
    <t>Nimeä albumi</t>
  </si>
  <si>
    <t>Renommer l'album</t>
  </si>
  <si>
    <t>नाम बदलें एल्बम</t>
  </si>
  <si>
    <t>Ganti nama album</t>
  </si>
  <si>
    <t>Rinomina l'album</t>
  </si>
  <si>
    <t>アルバムを変更します</t>
  </si>
  <si>
    <t>ប្តូរឈ្មោះអាល់ប៊ុម</t>
  </si>
  <si>
    <t>ಆಲ್ಬಮ್ ಅನ್ನು ಮರುಹೆಸರಿಸಿ</t>
  </si>
  <si>
    <t>앨범 이름 바꾸기</t>
  </si>
  <si>
    <t>ປ່ຽນຊື່ເວັບບອດ</t>
  </si>
  <si>
    <t>Pārdēvēt albumu</t>
  </si>
  <si>
    <t>Namakan semula album</t>
  </si>
  <si>
    <t>Hernoem album</t>
  </si>
  <si>
    <t>Zmień nazwę albumu</t>
  </si>
  <si>
    <t>Renomear álbum</t>
  </si>
  <si>
    <t>Переименовать альбом</t>
  </si>
  <si>
    <t>เปลี่ยนชื่ออัลบั้ม</t>
  </si>
  <si>
    <t>Albüm olarak yeniden adlandır</t>
  </si>
  <si>
    <t>Перейменувати альбом</t>
  </si>
  <si>
    <t>重命名专辑</t>
  </si>
  <si>
    <t>Đổi tên album</t>
  </si>
  <si>
    <t>item</t>
  </si>
  <si>
    <t>غرض</t>
  </si>
  <si>
    <t>položka</t>
  </si>
  <si>
    <t>Artikel</t>
  </si>
  <si>
    <t>είδος</t>
  </si>
  <si>
    <t>artículo</t>
  </si>
  <si>
    <t>ese</t>
  </si>
  <si>
    <t>esine</t>
  </si>
  <si>
    <t>article</t>
  </si>
  <si>
    <t>वस्तु</t>
  </si>
  <si>
    <t>barang</t>
  </si>
  <si>
    <t>articolo</t>
  </si>
  <si>
    <t>アイテム</t>
  </si>
  <si>
    <t>របការ</t>
  </si>
  <si>
    <t>안건</t>
  </si>
  <si>
    <t>ລາຍການ</t>
  </si>
  <si>
    <t>lieta</t>
  </si>
  <si>
    <t>przedmiot</t>
  </si>
  <si>
    <t>элемент</t>
  </si>
  <si>
    <t>รายการ</t>
  </si>
  <si>
    <t>öğe</t>
  </si>
  <si>
    <t>предмет</t>
  </si>
  <si>
    <t>物品</t>
  </si>
  <si>
    <t>mục</t>
  </si>
  <si>
    <t>items</t>
  </si>
  <si>
    <t>أغراض</t>
  </si>
  <si>
    <t>položky</t>
  </si>
  <si>
    <t>αντικείμενα</t>
  </si>
  <si>
    <t>elementos</t>
  </si>
  <si>
    <t>esemed</t>
  </si>
  <si>
    <t>kohteet</t>
  </si>
  <si>
    <t>articles</t>
  </si>
  <si>
    <t>सामान</t>
  </si>
  <si>
    <t>elementi</t>
  </si>
  <si>
    <t>វត្ថុ</t>
  </si>
  <si>
    <t>ವಸ್ತುಗಳು</t>
  </si>
  <si>
    <t>항목</t>
  </si>
  <si>
    <t>priekšmeti</t>
  </si>
  <si>
    <t>Item</t>
  </si>
  <si>
    <t>rzeczy</t>
  </si>
  <si>
    <t>Unid</t>
  </si>
  <si>
    <t>предметы</t>
  </si>
  <si>
    <t>öğeler</t>
  </si>
  <si>
    <t>предмети</t>
  </si>
  <si>
    <t>项目</t>
  </si>
  <si>
    <t>success</t>
  </si>
  <si>
    <t>نجاح</t>
  </si>
  <si>
    <t>úspěch</t>
  </si>
  <si>
    <t>Erfolg</t>
  </si>
  <si>
    <t>επιτυχία</t>
  </si>
  <si>
    <t>éxito</t>
  </si>
  <si>
    <t>edu</t>
  </si>
  <si>
    <t>menestys</t>
  </si>
  <si>
    <t>succès</t>
  </si>
  <si>
    <t>सफलता</t>
  </si>
  <si>
    <t>kesuksesan</t>
  </si>
  <si>
    <t>successo</t>
  </si>
  <si>
    <t>成功</t>
  </si>
  <si>
    <t>ចោកច័យ</t>
  </si>
  <si>
    <t>ಯಶಸ್ಸು</t>
  </si>
  <si>
    <t>성공</t>
  </si>
  <si>
    <t>ຄວາມ​ສໍາ​ເລັດ</t>
  </si>
  <si>
    <t>panākums</t>
  </si>
  <si>
    <t>kejayaan</t>
  </si>
  <si>
    <t>succes</t>
  </si>
  <si>
    <t>powodzenie</t>
  </si>
  <si>
    <t>sucesso</t>
  </si>
  <si>
    <t>успех</t>
  </si>
  <si>
    <t>ความสำเร็จ</t>
  </si>
  <si>
    <t>başarı</t>
  </si>
  <si>
    <t>успіх</t>
  </si>
  <si>
    <t>thành công</t>
  </si>
  <si>
    <t>into</t>
  </si>
  <si>
    <t>داخل</t>
  </si>
  <si>
    <t>do</t>
  </si>
  <si>
    <t>hinein</t>
  </si>
  <si>
    <t>σε</t>
  </si>
  <si>
    <t>en</t>
  </si>
  <si>
    <t>sisse</t>
  </si>
  <si>
    <t>luona</t>
  </si>
  <si>
    <t>dans</t>
  </si>
  <si>
    <t>में</t>
  </si>
  <si>
    <t>ke dalam</t>
  </si>
  <si>
    <t>in</t>
  </si>
  <si>
    <t>の中へ</t>
  </si>
  <si>
    <t>ចុលនិយ័ត</t>
  </si>
  <si>
    <t>ಒಳಕ್ಕೆ</t>
  </si>
  <si>
    <t>~ 안으로</t>
  </si>
  <si>
    <t>ເຂົ້າໄປ</t>
  </si>
  <si>
    <t>norāda</t>
  </si>
  <si>
    <t>naar binnen</t>
  </si>
  <si>
    <t>em</t>
  </si>
  <si>
    <t>в</t>
  </si>
  <si>
    <t>เข้าไปข้างใน</t>
  </si>
  <si>
    <t>içine</t>
  </si>
  <si>
    <t>у</t>
  </si>
  <si>
    <t>进入</t>
  </si>
  <si>
    <t>vào trong</t>
  </si>
  <si>
    <t>removeAfterImport</t>
  </si>
  <si>
    <t>Remove After Import</t>
  </si>
  <si>
    <t>إزالة بعد الاستيراد</t>
  </si>
  <si>
    <t>Odstraňte po importu</t>
  </si>
  <si>
    <t>Nach dem Import entfernen</t>
  </si>
  <si>
    <t>Αφαιρέστε μετά την εισαγωγή</t>
  </si>
  <si>
    <t>Eliminar después de la importación</t>
  </si>
  <si>
    <t>Eemaldage pärast importi</t>
  </si>
  <si>
    <t>Poista tuonnin jälkeen</t>
  </si>
  <si>
    <t>Supprimer après l'importation</t>
  </si>
  <si>
    <t>आयात के बाद निकालें</t>
  </si>
  <si>
    <t>Hapus setelah impor</t>
  </si>
  <si>
    <t>Rimuovere dopo l'importazione</t>
  </si>
  <si>
    <t>យកចេញបន្ទាប់ពីនាំចូល</t>
  </si>
  <si>
    <t>ಆಮದು ಮಾಡಿದ ನಂತರ ತೆಗೆದುಹಾಕಿ</t>
  </si>
  <si>
    <t>가져온 후 제거하십시오</t>
  </si>
  <si>
    <t>ເອົາອອກຫຼັງຈາກການນໍາເຂົ້າ</t>
  </si>
  <si>
    <t>Noņemt pēc importa</t>
  </si>
  <si>
    <t>Keluarkan selepas import</t>
  </si>
  <si>
    <t>Verwijderen na import</t>
  </si>
  <si>
    <t>Usuń po imporcie</t>
  </si>
  <si>
    <t>Remova após a importação</t>
  </si>
  <si>
    <t>Удалить после импорта</t>
  </si>
  <si>
    <t>ลบหลังจากนำเข้า</t>
  </si>
  <si>
    <t>İthalat Sonra Kaldır</t>
  </si>
  <si>
    <t>Видаліть після імпорту</t>
  </si>
  <si>
    <t>导入后删除</t>
  </si>
  <si>
    <t>Xóa sau khi nhập</t>
  </si>
  <si>
    <t>removeAfterImportPhotoMessage</t>
  </si>
  <si>
    <t>In order to remove imported photos from Library, tap Remove. This will also apply to your next import sessions (can be changed in Settings)</t>
  </si>
  <si>
    <t>من أجل إزالة الصور المستوردة من المكتبة ، انقر فوق إزالة. سوف ينطبق هذا أيضًا على جلسات الاستيراد التالية (يمكن تغييرها في الإعدادات)</t>
  </si>
  <si>
    <t>Chcete -li odstranit importované fotografie z knihovny, klepněte na Odebrání. To se bude vztahovat také na vaše další importní relace (může být změněno v nastavení)</t>
  </si>
  <si>
    <t>Um importierte Fotos aus der Bibliothek zu entfernen, tippen Sie auf Entfernen. Dies gilt auch für Ihre nächsten Importsitzungen (kann in Einstellungen geändert werden).</t>
  </si>
  <si>
    <t>Για να αφαιρέσετε τις εισαγόμενες φωτογραφίες από τη βιβλιοθήκη, πατήστε Κατάργηση. Αυτό ισχύει και για τις επόμενες συνεδρίες εισαγωγής σας (μπορεί να αλλάξει στις ρυθμίσεις)</t>
  </si>
  <si>
    <t>Para eliminar las fotos importadas de la biblioteca, toque Eliminar. Esto también se aplicará a sus próximas sesiones de importación (se puede cambiar en la configuración)</t>
  </si>
  <si>
    <t>Raamatukogust imporditud fotode eemaldamiseks koputage eemalda. See kehtib ka teie järgmistele impordiseanssidele (seda saab seadetes muuta)</t>
  </si>
  <si>
    <t>Tuotettujen valokuvien poistamiseksi kirjastosta napauta Poista. Tämä koskee myös seuraavia tuontistuntoja (voidaan muuttaa asetuksissa)</t>
  </si>
  <si>
    <t>Afin de supprimer les photos importées de la bibliothèque, appuyez sur Supprimer. Cela s'appliquera également à vos prochaines sessions d'importation (peut être modifiée dans les paramètres)</t>
  </si>
  <si>
    <t>लाइब्रेरी से आयातित फ़ोटो निकालने के लिए, निकालें पर टैप करें। यह आपके अगले आयात सत्रों पर भी लागू होगा (सेटिंग्स में बदला जा सकता है)</t>
  </si>
  <si>
    <t>Untuk menghapus foto yang diimpor dari perpustakaan, ketuk Hapus. Ini juga akan berlaku untuk sesi impor Anda berikutnya (dapat diubah dalam pengaturan)</t>
  </si>
  <si>
    <t>Per rimuovere le foto importate dalla libreria, toccare Rimuovi. Questo si applicherà anche alle prossime sessioni di importazione (può essere modificata nelle impostazioni)</t>
  </si>
  <si>
    <t>ライブラリからインポートされた写真を削除するには、削除をタップします。これは、次のインポートセッションにも適用されます（設定で変更できます）</t>
  </si>
  <si>
    <t>ដើម្បីលុបរូបថតដែលបាននាំចូលពីបណ្ណាល័យយកចេញ។ នេះក៏នឹងអនុវត្តចំពោះវគ្គនាំចូលបន្ទាប់របស់អ្នក (អាចត្រូវបានផ្លាស់ប្តូរនៅក្នុងការកំណត់)</t>
  </si>
  <si>
    <t>ಆಮದು ಮಾಡಿದ ಫೋಟೋಗಳನ್ನು ಲೈಬ್ರರಿಯಿಂದ ತೆಗೆದುಹಾಕಲು, ತೆಗೆದುಹಾಕಿ ಟ್ಯಾಪ್ ಮಾಡಿ. ಇದು ನಿಮ್ಮ ಮುಂದಿನ ಆಮದು ಅವಧಿಗಳಿಗೆ ಅನ್ವಯಿಸುತ್ತದೆ (ಸೆಟ್ಟಿಂಗ್‌ಗಳಲ್ಲಿ ಬದಲಾಯಿಸಬಹುದು)</t>
  </si>
  <si>
    <t>라이브러리에서 가져온 사진을 제거하려면 제거를 누릅니다. 이것은 또한 다음 가져 오기 세션에도 적용됩니다 (설정에서 변경 될 수 있음)</t>
  </si>
  <si>
    <t>ເພື່ອກໍາຈັດຮູບພາບທີ່ນໍາເຂົ້າທີ່ນໍາເຂົ້າຈາກຫ້ອງສະຫມຸດ, ແຕະເອົາອອກ. ນີ້ຍັງຈະໃຊ້ກັບກອງປະຊຸມນໍາເຂົ້າຄັ້ງຕໍ່ໄປຂອງທ່ານ (ສາມາດປ່ຽນແປງໄດ້ໃນການຕັ້ງຄ່າ)</t>
  </si>
  <si>
    <t>Lai noņemtu importētos fotoattēlus no bibliotēkas, pieskarieties noņemt. Tas attieksies arī uz jūsu nākamajām importa sesijām (var mainīt iestatījumos)</t>
  </si>
  <si>
    <t>Untuk mengeluarkan foto yang diimport dari perpustakaan, ketik Keluarkan. Ini juga akan digunakan untuk sesi import seterusnya (boleh diubah dalam tetapan)</t>
  </si>
  <si>
    <t>Tik op Verwijderen om geïmporteerde foto's uit de bibliotheek te verwijderen. Dit is ook van toepassing op uw volgende importsessies (kan worden gewijzigd in instellingen)</t>
  </si>
  <si>
    <t>Aby usunąć importowane zdjęcia z biblioteki, dotknij Usuń. Będzie to również miało zastosowanie do następnych sesji importowych (można zmienić w ustawieniach)</t>
  </si>
  <si>
    <t>Para remover fotos importadas da biblioteca, toque em Remover. Isso também se aplicará às suas próximas sessões de importação (podem ser alteradas nas configurações)</t>
  </si>
  <si>
    <t>Чтобы удалить импортированные фотографии из библиотеки, нажмите «Удалить». Это также будет применяться к вашим следующим сессиям импорта (может быть изменено в настройках)</t>
  </si>
  <si>
    <t>ในการลบรูปภาพที่นำเข้าออกจากไลบรารีให้แตะลบ สิ่งนี้จะนำไปใช้กับเซสชันการนำเข้าครั้งต่อไปของคุณ (สามารถเปลี่ยนแปลงได้ในการตั้งค่า)</t>
  </si>
  <si>
    <t>İçe aktarılan fotoğrafları kütüphaneden kaldırmak için Kaldır'a dokunun. Bu, bir sonraki içe aktarma oturumlarınız için de geçerli olacaktır (ayarlarda değiştirilebilir)</t>
  </si>
  <si>
    <t>Щоб видалити імпортні фотографії з бібліотеки, торкніться видалення. Це також стосується ваших наступних сеансів імпорту (може бути змінено в налаштуваннях)</t>
  </si>
  <si>
    <t>为了从库中删除导入的照片，请点击“删除”。这也适用于您的下一次导入会话（可以在设置中更改）</t>
  </si>
  <si>
    <t>Để xóa ảnh đã nhập khỏi thư viện, hãy nhấn Remove. Điều này cũng sẽ áp dụng cho các phiên nhập tiếp theo của bạn (có thể được thay đổi trong cài đặt)</t>
  </si>
  <si>
    <t>Remove</t>
  </si>
  <si>
    <t>يزيل</t>
  </si>
  <si>
    <t>Odstranit</t>
  </si>
  <si>
    <t>Entfernen</t>
  </si>
  <si>
    <t>Αφαιρώ</t>
  </si>
  <si>
    <t>Eliminar</t>
  </si>
  <si>
    <t>Eemaldama</t>
  </si>
  <si>
    <t>Poista</t>
  </si>
  <si>
    <t>Retirer</t>
  </si>
  <si>
    <t>निकालना</t>
  </si>
  <si>
    <t>Rimuovere</t>
  </si>
  <si>
    <t>取り除く</t>
  </si>
  <si>
    <t>រមកមិ avad ចេញ</t>
  </si>
  <si>
    <t>ತೆಗೆದುಹಾಕು</t>
  </si>
  <si>
    <t>제거하다</t>
  </si>
  <si>
    <t>ເອົາອອກ</t>
  </si>
  <si>
    <t>Noņemt</t>
  </si>
  <si>
    <t>Keluarkan</t>
  </si>
  <si>
    <t>Usunąć</t>
  </si>
  <si>
    <t>Remover</t>
  </si>
  <si>
    <t>Удалять</t>
  </si>
  <si>
    <t>Kaldırmak</t>
  </si>
  <si>
    <t>Видалити</t>
  </si>
  <si>
    <t>消除</t>
  </si>
  <si>
    <t>GetInfo</t>
  </si>
  <si>
    <t>Get Info</t>
  </si>
  <si>
    <t>يحصل على معلومات</t>
  </si>
  <si>
    <t>Získat informace</t>
  </si>
  <si>
    <t>Informationen bekommen</t>
  </si>
  <si>
    <t>Πάρτε πληροφορίες</t>
  </si>
  <si>
    <t>Conseguir información</t>
  </si>
  <si>
    <t>Hankige teavet</t>
  </si>
  <si>
    <t>Saada tietoa</t>
  </si>
  <si>
    <t>Obtenir des informations</t>
  </si>
  <si>
    <t>जानकारी मिलना</t>
  </si>
  <si>
    <t>Mendapatkan informasi</t>
  </si>
  <si>
    <t>Ottenere informazioni</t>
  </si>
  <si>
    <t>情報を取得</t>
  </si>
  <si>
    <t>ទទួល​ព​ត៍​មាន</t>
  </si>
  <si>
    <t>ಮಾಹಿತಿ ಪಡೆಯಿರಿ</t>
  </si>
  <si>
    <t>정보를 얻다</t>
  </si>
  <si>
    <t>ໄດ້ຮັບຂໍ້ມູນ</t>
  </si>
  <si>
    <t>Iegūt informāciju</t>
  </si>
  <si>
    <t>Dapatkan maklumat</t>
  </si>
  <si>
    <t>Informatie verkrijgen</t>
  </si>
  <si>
    <t>Zdobyć informacje</t>
  </si>
  <si>
    <t>Obter informação</t>
  </si>
  <si>
    <t>Получить данные</t>
  </si>
  <si>
    <t>รับข้อมูล</t>
  </si>
  <si>
    <t>Bilgi almak</t>
  </si>
  <si>
    <t>Отримати інформацію</t>
  </si>
  <si>
    <t>获取信息</t>
  </si>
  <si>
    <t>Rename</t>
  </si>
  <si>
    <t>إعادة تسمية</t>
  </si>
  <si>
    <t>Přejmenovat</t>
  </si>
  <si>
    <t>Umbenennen</t>
  </si>
  <si>
    <t>Μετονομάζω</t>
  </si>
  <si>
    <t>Rebautizar</t>
  </si>
  <si>
    <t>Nimetage ümber nimetama</t>
  </si>
  <si>
    <t>Nimeä uudelleen</t>
  </si>
  <si>
    <t>Renommer</t>
  </si>
  <si>
    <t>नाम बदलें</t>
  </si>
  <si>
    <t>Ganti nama</t>
  </si>
  <si>
    <t>Rinominare</t>
  </si>
  <si>
    <t>名前を変更します</t>
  </si>
  <si>
    <t>រេច្យងញម</t>
  </si>
  <si>
    <t>ಮರುನಾಮಕರಣ ಮಾಡು</t>
  </si>
  <si>
    <t>이름 바꾸기</t>
  </si>
  <si>
    <t>ປ່ຽນຊື່</t>
  </si>
  <si>
    <t>Pārdēvēt</t>
  </si>
  <si>
    <t>Namakan semula</t>
  </si>
  <si>
    <t>Hernoeming</t>
  </si>
  <si>
    <t>Przemianować</t>
  </si>
  <si>
    <t>Renomear</t>
  </si>
  <si>
    <t>Переименовать</t>
  </si>
  <si>
    <t>เปลี่ยนชื่อ</t>
  </si>
  <si>
    <t>Yeniden isimlendirmek</t>
  </si>
  <si>
    <t>Перейменувати</t>
  </si>
  <si>
    <t>改名</t>
  </si>
  <si>
    <t>Đổi tên</t>
  </si>
  <si>
    <t>Move</t>
  </si>
  <si>
    <t>يتحرك</t>
  </si>
  <si>
    <t>Hýbat se</t>
  </si>
  <si>
    <t>Bewegen</t>
  </si>
  <si>
    <t>Κίνηση</t>
  </si>
  <si>
    <t>Mover</t>
  </si>
  <si>
    <t>Kolimine</t>
  </si>
  <si>
    <t>Liikkua</t>
  </si>
  <si>
    <t>Se déplacer</t>
  </si>
  <si>
    <t>कदम</t>
  </si>
  <si>
    <t>Bergerak</t>
  </si>
  <si>
    <t>Mossa</t>
  </si>
  <si>
    <t>動く</t>
  </si>
  <si>
    <t>ធេវីចលនា</t>
  </si>
  <si>
    <t>ಚಲಿಸು</t>
  </si>
  <si>
    <t>이동하다</t>
  </si>
  <si>
    <t>ເຫນັງຕີງ</t>
  </si>
  <si>
    <t>Kustēties</t>
  </si>
  <si>
    <t>Beweging</t>
  </si>
  <si>
    <t>Przenosić</t>
  </si>
  <si>
    <t>Двигаться</t>
  </si>
  <si>
    <t>เคลื่อนไหว</t>
  </si>
  <si>
    <t>Taşınmak</t>
  </si>
  <si>
    <t>Рухатися</t>
  </si>
  <si>
    <t>移动</t>
  </si>
  <si>
    <t>Di chuyển</t>
  </si>
  <si>
    <t>noFileToMove</t>
  </si>
  <si>
    <t>No files to move!</t>
  </si>
  <si>
    <t>لا توجد ملفات للتحرك!</t>
  </si>
  <si>
    <t>Žádné soubory k přesunu!</t>
  </si>
  <si>
    <t>Keine Dateien zu verschieben!</t>
  </si>
  <si>
    <t>Δεν υπάρχουν αρχεία για να μετακινήσετε!</t>
  </si>
  <si>
    <t>¡No hay archivos para moverse!</t>
  </si>
  <si>
    <t>Ei mingeid faile, mida liikuda!</t>
  </si>
  <si>
    <t>Ei tiedostoja liikkua!</t>
  </si>
  <si>
    <t>Pas de fichiers à déplacer!</t>
  </si>
  <si>
    <t>स्थानांतरित करने के लिए कोई फाइलें नहीं!</t>
  </si>
  <si>
    <t>Tidak ada file untuk dipindahkan!</t>
  </si>
  <si>
    <t>Nessun file da spostarsi!</t>
  </si>
  <si>
    <t>移動するファイルはありません！</t>
  </si>
  <si>
    <t>គ្មានឯកសារដែលត្រូវផ្លាស់ទី!</t>
  </si>
  <si>
    <t>ಸರಿಸಲು ಫೈಲ್‌ಗಳಿಲ್ಲ!</t>
  </si>
  <si>
    <t>이동할 파일이 없습니다!</t>
  </si>
  <si>
    <t>ບໍ່ມີເອກະສານໃດໆທີ່ຈະຍ້າຍອອກ!</t>
  </si>
  <si>
    <t>Nav failu, ko pārvietot!</t>
  </si>
  <si>
    <t>Tiada fail untuk bergerak!</t>
  </si>
  <si>
    <t>Geen bestanden om te verplaatsen!</t>
  </si>
  <si>
    <t>Brak plików do przeniesienia!</t>
  </si>
  <si>
    <t>Sem arquivos para mover!</t>
  </si>
  <si>
    <t>Нет файлов для перемещения!</t>
  </si>
  <si>
    <t>ไม่มีไฟล์ที่จะย้าย!</t>
  </si>
  <si>
    <t>Taşıma için dosya yok!</t>
  </si>
  <si>
    <t>Немає файлів для переміщення!</t>
  </si>
  <si>
    <t>没有文件要移动！</t>
  </si>
  <si>
    <t>Không có tập tin để di chuyển!</t>
  </si>
  <si>
    <t>noAlbumToMove</t>
  </si>
  <si>
    <t>No Albums to move</t>
  </si>
  <si>
    <t>لا توجد ألبومات للتحرك</t>
  </si>
  <si>
    <t>Žádná alba k přesunu</t>
  </si>
  <si>
    <t>Keine Alben zu bewegen</t>
  </si>
  <si>
    <t>Χωρίς άλμπουμ για μετακίνηση</t>
  </si>
  <si>
    <t>No hay álbumes para moverse</t>
  </si>
  <si>
    <t>Ei mingeid albumeid, mida liikuda</t>
  </si>
  <si>
    <t>Ei albumeja liikkua</t>
  </si>
  <si>
    <t>Pas d'albums à déplacer</t>
  </si>
  <si>
    <t>कोई एल्बम स्थानांतरित करने के लिए नहीं</t>
  </si>
  <si>
    <t>Tidak ada album untuk dipindahkan</t>
  </si>
  <si>
    <t>Nessun album da muoversi</t>
  </si>
  <si>
    <t>移動するアルバムはありません</t>
  </si>
  <si>
    <t>គ្មានអាល់ប៊ុមដើម្បីផ្លាស់ទី</t>
  </si>
  <si>
    <t>ಚಲಿಸಲು ಯಾವುದೇ ಆಲ್ಬಮ್‌ಗಳು ಇಲ್ಲ</t>
  </si>
  <si>
    <t>움직일 앨범이 없습니다</t>
  </si>
  <si>
    <t>ບໍ່ມີອັນລະບັ້ມທີ່ຈະຍ້າຍອອກ</t>
  </si>
  <si>
    <t>Nav albumu, lai pārvietotos</t>
  </si>
  <si>
    <t>Tiada album untuk bergerak</t>
  </si>
  <si>
    <t>Geen albums om te bewegen</t>
  </si>
  <si>
    <t>Brak albumów do przeprowadzki</t>
  </si>
  <si>
    <t>Sem álbuns para se mover</t>
  </si>
  <si>
    <t>Нет альбомов для движения</t>
  </si>
  <si>
    <t>ไม่มีอัลบั้มที่จะย้าย</t>
  </si>
  <si>
    <t>Harekete geçecek albüm yok</t>
  </si>
  <si>
    <t>Немає альбомів для переміщення</t>
  </si>
  <si>
    <t>没有专辑要移动</t>
  </si>
  <si>
    <t>Không có album để di chuyển</t>
  </si>
  <si>
    <t>renameForThisAlbum</t>
  </si>
  <si>
    <t>Do you want to rename this album?</t>
  </si>
  <si>
    <t>هل تريد إعادة تسمية هذا الألبوم؟</t>
  </si>
  <si>
    <t>Chcete toto album přejmenovat?</t>
  </si>
  <si>
    <t>Möchten Sie dieses Album umbenennen?</t>
  </si>
  <si>
    <t>Θέλετε να μετονομάσετε αυτό το άλμπουμ;</t>
  </si>
  <si>
    <t>¿Quieres cambiar el nombre de este álbum?</t>
  </si>
  <si>
    <t>Kas soovite selle albumi ümber nimetada?</t>
  </si>
  <si>
    <t>Haluatko nimetä tämän albumin uudelleen?</t>
  </si>
  <si>
    <t>Voulez-vous renommer cet album?</t>
  </si>
  <si>
    <t>क्या आप इस एल्बम का नाम बदलना चाहते हैं?</t>
  </si>
  <si>
    <t>Apakah Anda ingin mengganti nama album ini?</t>
  </si>
  <si>
    <t>Vuoi rinominare questo album?</t>
  </si>
  <si>
    <t>このアルバムの名前を変更しますか？</t>
  </si>
  <si>
    <t>តើអ្នកចង់ប្តូរឈ្មោះអាល់ប៊ុមនេះទេ?</t>
  </si>
  <si>
    <t>ಈ ಆಲ್ಬಮ್ ಅನ್ನು ಮರುಹೆಸರಿಸಲು ನೀವು ಬಯಸುವಿರಾ?</t>
  </si>
  <si>
    <t>이 앨범 이름을 바꾸고 싶습니까?</t>
  </si>
  <si>
    <t>ທ່ານຕ້ອງການປ່ຽນຊື່ອັນລະບັ້ມນີ້ບໍ?</t>
  </si>
  <si>
    <t>Vai vēlaties pārdēvēt šo albumu?</t>
  </si>
  <si>
    <t>Adakah anda mahu menamakan semula album ini?</t>
  </si>
  <si>
    <t>Wil je dit album hernoemen?</t>
  </si>
  <si>
    <t>Chcesz zmienić nazwę tego albumu?</t>
  </si>
  <si>
    <t>Você quer renomear este álbum?</t>
  </si>
  <si>
    <t>Вы хотите переименовать этот альбом?</t>
  </si>
  <si>
    <t>คุณต้องการเปลี่ยนชื่ออัลบั้มนี้หรือไม่?</t>
  </si>
  <si>
    <t>Bu albümü yeniden adlandırmak ister misiniz?</t>
  </si>
  <si>
    <t>Ви хочете перейменувати цей альбом?</t>
  </si>
  <si>
    <t>您想重命名这张专辑吗？</t>
  </si>
  <si>
    <t>Bạn có muốn đổi tên album này?</t>
  </si>
  <si>
    <t>somethingWentWrong</t>
  </si>
  <si>
    <t>Something went wrong!</t>
  </si>
  <si>
    <t>هناك خطأ ما!</t>
  </si>
  <si>
    <t>Něco se pokazilo!</t>
  </si>
  <si>
    <t>Etwas ist schief gelaufen!</t>
  </si>
  <si>
    <t>Κάτι πήγε στραβά!</t>
  </si>
  <si>
    <t>¡Algo salió mal!</t>
  </si>
  <si>
    <t>Midagi läks valesti!</t>
  </si>
  <si>
    <t>Jotain meni pieleen!</t>
  </si>
  <si>
    <t>Quelque chose s'est mal passé!</t>
  </si>
  <si>
    <t>कुछ गलत हो गया!</t>
  </si>
  <si>
    <t>Ada yang salah!</t>
  </si>
  <si>
    <t>Qualcosa è andato storto!</t>
  </si>
  <si>
    <t>何かがうまくいかなかった！</t>
  </si>
  <si>
    <t>មាន​អ្វីមួយ​មិន​ប្រក្រតី!</t>
  </si>
  <si>
    <t>ಏನೋ ತಪ್ಪಾಗಿದೆ!</t>
  </si>
  <si>
    <t>뭔가 잘못되었습니다!</t>
  </si>
  <si>
    <t>ມີບາງສິ່ງບາງຢ່າງຜິດພາດ!</t>
  </si>
  <si>
    <t>Kaut kas nogāja greizi!</t>
  </si>
  <si>
    <t>Ada yang tidak kena!</t>
  </si>
  <si>
    <t>Er is iets fout gegaan!</t>
  </si>
  <si>
    <t>Coś poszło nie tak!</t>
  </si>
  <si>
    <t>Algo deu errado!</t>
  </si>
  <si>
    <t>Что-то пошло не так!</t>
  </si>
  <si>
    <t>บางอย่างผิดพลาด!</t>
  </si>
  <si>
    <t>Bir şeyler yanlış gitti!</t>
  </si>
  <si>
    <t>Щось пішло не так!</t>
  </si>
  <si>
    <t>出了些问题！</t>
  </si>
  <si>
    <t>Đã có lỗi xảy ra!</t>
  </si>
  <si>
    <t>pleaseTryAgain</t>
  </si>
  <si>
    <t>Please try again</t>
  </si>
  <si>
    <t>حاول مرة اخرى</t>
  </si>
  <si>
    <t>Prosím zkuste to znovu</t>
  </si>
  <si>
    <t>Bitte versuche es erneut</t>
  </si>
  <si>
    <t>ΠΑΡΑΚΑΛΩ προσπαθησε ξανα</t>
  </si>
  <si>
    <t>Inténtalo de nuevo</t>
  </si>
  <si>
    <t>Palun proovi uuesti</t>
  </si>
  <si>
    <t>Yritä uudelleen</t>
  </si>
  <si>
    <t>Veuillez réessayer</t>
  </si>
  <si>
    <t>कृपया पुन: प्रयास करें</t>
  </si>
  <si>
    <t>Silakan coba lagi</t>
  </si>
  <si>
    <t>Per favore riprova</t>
  </si>
  <si>
    <t>もう一度やり直してください</t>
  </si>
  <si>
    <t>សូម​ព្យាយាម​ម្តង​ទៀត</t>
  </si>
  <si>
    <t>ದಯವಿಟ್ಟು ಪುನಃ ಪ್ರಯತ್ನಿಸಿ</t>
  </si>
  <si>
    <t>다시 시도하십시오</t>
  </si>
  <si>
    <t>ກະລຸນາລອງໃຫມ່ອີກຄັ້ງ</t>
  </si>
  <si>
    <t>Lūdzu mēģiniet vēlreiz</t>
  </si>
  <si>
    <t>Sila cuba lagi</t>
  </si>
  <si>
    <t>Probeer het opnieuw</t>
  </si>
  <si>
    <t>Proszę spróbuj ponownie</t>
  </si>
  <si>
    <t>Por favor, tente novamente</t>
  </si>
  <si>
    <t>Пожалуйста, попробуйте еще раз</t>
  </si>
  <si>
    <t>กรุณาลองอีกครั้ง</t>
  </si>
  <si>
    <t>Lütfen tekrar deneyin</t>
  </si>
  <si>
    <t>Будь ласка спробуйте ще раз</t>
  </si>
  <si>
    <t>请再试一次</t>
  </si>
  <si>
    <t>Vui lòng thử lại</t>
  </si>
  <si>
    <t>noFileTitle</t>
  </si>
  <si>
    <t>There are no files here!</t>
  </si>
  <si>
    <t>لا توجد ملفات هنا!</t>
  </si>
  <si>
    <t>Nejsou zde žádné soubory!</t>
  </si>
  <si>
    <t>Hier gibt es keine Dateien!</t>
  </si>
  <si>
    <t>Δεν υπάρχουν αρχεία εδώ!</t>
  </si>
  <si>
    <t>¡No hay archivos aquí!</t>
  </si>
  <si>
    <t>Siin pole faile!</t>
  </si>
  <si>
    <t>Täällä ei ole tiedostoja!</t>
  </si>
  <si>
    <t>Il n'y a pas de fichiers ici!</t>
  </si>
  <si>
    <t>यहाँ कोई फाइलें नहीं हैं!</t>
  </si>
  <si>
    <t>Tidak ada file di sini!</t>
  </si>
  <si>
    <t>Non ci sono file qui!</t>
  </si>
  <si>
    <t>ここにはファイルがありません！</t>
  </si>
  <si>
    <t>មិនមានឯកសារនៅទីនេះទេ!</t>
  </si>
  <si>
    <t>ಇಲ್ಲಿ ಯಾವುದೇ ಫೈಲ್‌ಗಳಿಲ್ಲ!</t>
  </si>
  <si>
    <t>여기에 파일이 없습니다!</t>
  </si>
  <si>
    <t>ບໍ່ມີເອກະສານຢູ່ທີ່ນີ້!</t>
  </si>
  <si>
    <t>Šeit nav failu!</t>
  </si>
  <si>
    <t>Tiada fail di sini!</t>
  </si>
  <si>
    <t>Er zijn hier geen bestanden!</t>
  </si>
  <si>
    <t>Nie ma tu żadnych plików!</t>
  </si>
  <si>
    <t>Não há arquivos aqui!</t>
  </si>
  <si>
    <t>Здесь нет файлов!</t>
  </si>
  <si>
    <t>ไม่มีไฟล์ที่นี่!</t>
  </si>
  <si>
    <t>Burada dosya yok!</t>
  </si>
  <si>
    <t>Тут немає файлів!</t>
  </si>
  <si>
    <t>这里没有文件！</t>
  </si>
  <si>
    <t>Không có tập tin ở đây!</t>
  </si>
  <si>
    <t>noFileMessage</t>
  </si>
  <si>
    <t>Tap button to import files</t>
  </si>
  <si>
    <t>انقر فوق الزر لاستيراد الملفات</t>
  </si>
  <si>
    <t>Klepnutím na tlačítko importujte soubory</t>
  </si>
  <si>
    <t>Tippen Sie auf die Schaltfläche, um Dateien zu importieren</t>
  </si>
  <si>
    <t>Πατήστε το κουμπί για εισαγωγή αρχείων</t>
  </si>
  <si>
    <t>Toque el botón para importar archivos</t>
  </si>
  <si>
    <t>Failide importimiseks puudutage nuppu</t>
  </si>
  <si>
    <t>Napauta -painiketta Tuo tiedostoja</t>
  </si>
  <si>
    <t>Appuyez sur le bouton pour importer des fichiers</t>
  </si>
  <si>
    <t>फ़ाइलों को आयात करने के लिए बटन टैप करें</t>
  </si>
  <si>
    <t>Ketuk tombol untuk mengimpor file</t>
  </si>
  <si>
    <t>Tocca il pulsante per importare i file</t>
  </si>
  <si>
    <t>[ボタン]をタップして、ファイルをインポートします</t>
  </si>
  <si>
    <t>ប៉ះប៊ូតុងដើម្បីនាំចូលឯកសារ</t>
  </si>
  <si>
    <t>ಫೈಲ್‌ಗಳನ್ನು ಆಮದು ಮಾಡಲು ಬಟನ್ ಟ್ಯಾಪ್ ಮಾಡಿ</t>
  </si>
  <si>
    <t>파일을 가져 오려면 버튼을 누릅니다</t>
  </si>
  <si>
    <t>ແຕະປຸ່ມເພື່ອນໍາເຂົ້າເອກະສານ</t>
  </si>
  <si>
    <t>Pieskarieties pogai, lai importētu failus</t>
  </si>
  <si>
    <t>Ketik butang untuk mengimport fail</t>
  </si>
  <si>
    <t>Tik op de knop om bestanden te importeren</t>
  </si>
  <si>
    <t>Stuknij przycisk, aby importować pliki</t>
  </si>
  <si>
    <t>Toque no botão para importar arquivos</t>
  </si>
  <si>
    <t>Кнопка зацепка для импорта файлов</t>
  </si>
  <si>
    <t>แตะปุ่มเพื่อนำเข้าไฟล์</t>
  </si>
  <si>
    <t>Dosyaları içe aktarmak için dokunun</t>
  </si>
  <si>
    <t>Торкніться кнопки, щоб імпортувати файли</t>
  </si>
  <si>
    <t>点击按钮以导入文件</t>
  </si>
  <si>
    <t>Nhấn vào nút để nhập tệp</t>
  </si>
  <si>
    <t>renameFile</t>
  </si>
  <si>
    <t>Rename File</t>
  </si>
  <si>
    <t>إعادة تسمية الملف</t>
  </si>
  <si>
    <t>Přejmenuj soubor</t>
  </si>
  <si>
    <t>Datei umbenennen</t>
  </si>
  <si>
    <t>Μετονόμασε το αρχείο</t>
  </si>
  <si>
    <t>Renombrar archivo</t>
  </si>
  <si>
    <t>Nimetage fail ümber</t>
  </si>
  <si>
    <t>Nimeä tiedosto uudelleen</t>
  </si>
  <si>
    <t>Renommer le fichier</t>
  </si>
  <si>
    <t>फ़ाइल का नाम बदलें</t>
  </si>
  <si>
    <t>Ganti nama file</t>
  </si>
  <si>
    <t>Rinomina il file</t>
  </si>
  <si>
    <t>ファイルの名前を変更</t>
  </si>
  <si>
    <t>ប្តូរឈ្មោះឯកសារ</t>
  </si>
  <si>
    <t>ಫೈಲ್ ಮರುಹೆಸರಿಸಿ</t>
  </si>
  <si>
    <t>파일명 변경</t>
  </si>
  <si>
    <t>ປ່ຽນຊື່ໄຟລ໌</t>
  </si>
  <si>
    <t>Pārdēvēt failu</t>
  </si>
  <si>
    <t>Namakan semula fail</t>
  </si>
  <si>
    <t>Hernoem bestand</t>
  </si>
  <si>
    <t>Zmień nazwę pliku</t>
  </si>
  <si>
    <t>Renomear o arquivo</t>
  </si>
  <si>
    <t>Переименуйте файл</t>
  </si>
  <si>
    <t>เปลี่ยนชื่อไฟล์</t>
  </si>
  <si>
    <t>Dosyayı yeniden adlandır</t>
  </si>
  <si>
    <t>Перейменувати файл</t>
  </si>
  <si>
    <t>重新命名文件</t>
  </si>
  <si>
    <t>Đổi tên tập tin</t>
  </si>
  <si>
    <t>enterNameFile</t>
  </si>
  <si>
    <t>Enter a name for this file</t>
  </si>
  <si>
    <t>أدخل اسمًا لهذا الملف</t>
  </si>
  <si>
    <t>Zadejte název tohoto souboru</t>
  </si>
  <si>
    <t>Geben Sie einen Namen für diese Datei ein</t>
  </si>
  <si>
    <t>Εισαγάγετε ένα όνομα για αυτό το αρχείο</t>
  </si>
  <si>
    <t>Ingrese un nombre para este archivo</t>
  </si>
  <si>
    <t>Sisestage selle faili nimi</t>
  </si>
  <si>
    <t>Kirjoita tämän tiedoston nimi</t>
  </si>
  <si>
    <t>Entrez un nom pour ce fichier</t>
  </si>
  <si>
    <t>इस फ़ाइल के लिए एक नाम दर्ज करें</t>
  </si>
  <si>
    <t>Masukkan nama untuk file ini</t>
  </si>
  <si>
    <t>Immettere un nome per questo file</t>
  </si>
  <si>
    <t>このファイルの名前を入力します</t>
  </si>
  <si>
    <t>បញ្ចូលឈ្មោះសម្រាប់ឯកសារនេះ</t>
  </si>
  <si>
    <t>ಈ ಫೈಲ್‌ಗಾಗಿ ಹೆಸರನ್ನು ನಮೂದಿಸಿ</t>
  </si>
  <si>
    <t>이 파일의 이름을 입력하십시오</t>
  </si>
  <si>
    <t>ໃສ່ຊື່ສໍາລັບເອກະສານນີ້</t>
  </si>
  <si>
    <t>Ievadiet šī faila nosaukumu</t>
  </si>
  <si>
    <t>Masukkan nama untuk fail ini</t>
  </si>
  <si>
    <t>Voer een naam in voor dit bestand</t>
  </si>
  <si>
    <t>Wprowadź nazwę tego pliku</t>
  </si>
  <si>
    <t>Insira um nome para este arquivo</t>
  </si>
  <si>
    <t>Введите имя для этого файла</t>
  </si>
  <si>
    <t>ป้อนชื่อสำหรับไฟล์นี้</t>
  </si>
  <si>
    <t>Bu dosya için bir ad girin</t>
  </si>
  <si>
    <t>Введіть ім'я цього файлу</t>
  </si>
  <si>
    <t>输入此文件的名称</t>
  </si>
  <si>
    <t>Nhập tên cho tệp này</t>
  </si>
  <si>
    <t>fileName</t>
  </si>
  <si>
    <t>File name</t>
  </si>
  <si>
    <t>اسم الملف</t>
  </si>
  <si>
    <t>Název souboru</t>
  </si>
  <si>
    <t>Dateiname</t>
  </si>
  <si>
    <t>Ονομα αρχείου</t>
  </si>
  <si>
    <t>Nombre del archivo</t>
  </si>
  <si>
    <t>Faili nimi</t>
  </si>
  <si>
    <t>Tiedoston nimi</t>
  </si>
  <si>
    <t>Nom de fichier</t>
  </si>
  <si>
    <t>फ़ाइल का नाम</t>
  </si>
  <si>
    <t>Nama file</t>
  </si>
  <si>
    <t>Nome del file</t>
  </si>
  <si>
    <t>ファイル名</t>
  </si>
  <si>
    <t>ឈ្មោះ​ឯកសារ</t>
  </si>
  <si>
    <t>ಕಡತದ ಹೆಸರು</t>
  </si>
  <si>
    <t>파일 이름</t>
  </si>
  <si>
    <t>ຊື່​ເອ​ກະ​ສານ</t>
  </si>
  <si>
    <t>Faila nosaukums</t>
  </si>
  <si>
    <t>Nama fail</t>
  </si>
  <si>
    <t>Bestandsnaam</t>
  </si>
  <si>
    <t>Nazwa pliku</t>
  </si>
  <si>
    <t>Nome do arquivo</t>
  </si>
  <si>
    <t>Имя файла</t>
  </si>
  <si>
    <t>ชื่อไฟล์</t>
  </si>
  <si>
    <t>Dosya adı</t>
  </si>
  <si>
    <t>Назва файлу</t>
  </si>
  <si>
    <t>文件名</t>
  </si>
  <si>
    <t>Tên tập tin</t>
  </si>
  <si>
    <t>cannotOpenFile</t>
  </si>
  <si>
    <t>Can't open this file!</t>
  </si>
  <si>
    <t>لا يمكن فتح هذا الملف!</t>
  </si>
  <si>
    <t>Nelze otevřít tento soubor!</t>
  </si>
  <si>
    <t>Ich kann diese Datei nicht öffnen!</t>
  </si>
  <si>
    <t>Δεν μπορώ να ανοίξω αυτό το αρχείο!</t>
  </si>
  <si>
    <t>¡No puedo abrir este archivo!</t>
  </si>
  <si>
    <t>Seda faili ei saa avada!</t>
  </si>
  <si>
    <t>Tätä tiedostoa ei voi avata!</t>
  </si>
  <si>
    <t>Impossible d'ouvrir ce fichier!</t>
  </si>
  <si>
    <t>इस फ़ाइल को नहीं खोल सकते!</t>
  </si>
  <si>
    <t>Tidak dapat membuka file ini!</t>
  </si>
  <si>
    <t>Non posso aprire questo file!</t>
  </si>
  <si>
    <t>このファイルを開くことができません！</t>
  </si>
  <si>
    <t>មិនអាចបើកឯកសារនេះបានទេ!</t>
  </si>
  <si>
    <t>ಈ ಫೈಲ್ ತೆರೆಯಲು ಸಾಧ್ಯವಿಲ್ಲ!</t>
  </si>
  <si>
    <t>이 파일을 열 수 없습니다!</t>
  </si>
  <si>
    <t>ບໍ່ສາມາດເປີດເອກະສານນີ້ໄດ້!</t>
  </si>
  <si>
    <t>Nevar atvērt šo failu!</t>
  </si>
  <si>
    <t>Tidak dapat membuka fail ini!</t>
  </si>
  <si>
    <t>Kan dit bestand niet openen!</t>
  </si>
  <si>
    <t>Nie można otworzyć tego pliku!</t>
  </si>
  <si>
    <t>Não posso abrir este arquivo!</t>
  </si>
  <si>
    <t>Не могу открыть этот файл!</t>
  </si>
  <si>
    <t>เปิดไฟล์นี้ไม่ได้!</t>
  </si>
  <si>
    <t>Bu dosyayı açamıyorum!</t>
  </si>
  <si>
    <t>Не вдається відкрити цей файл!</t>
  </si>
  <si>
    <t>无法打开此文件！</t>
  </si>
  <si>
    <t>Không thể mở tập tin này!</t>
  </si>
  <si>
    <t>fileFormatProblem</t>
  </si>
  <si>
    <t>There's a problem with the file format.</t>
  </si>
  <si>
    <t>هناك مشكلة في تنسيق الملف.</t>
  </si>
  <si>
    <t>S formátem souboru je problém.</t>
  </si>
  <si>
    <t>Es gibt ein Problem mit dem Dateiformat.</t>
  </si>
  <si>
    <t>Υπάρχει πρόβλημα με τη μορφή αρχείου.</t>
  </si>
  <si>
    <t>Hay un problema con el formato de archivo.</t>
  </si>
  <si>
    <t>Failivorminguga on probleem.</t>
  </si>
  <si>
    <t>Tiedostomuodossa on ongelma.</t>
  </si>
  <si>
    <t>Il y a un problème avec le format de fichier.</t>
  </si>
  <si>
    <t>फ़ाइल प्रारूप के साथ एक समस्या है।</t>
  </si>
  <si>
    <t>Ada masalah dengan format file.</t>
  </si>
  <si>
    <t>C'è un problema con il formato del file.</t>
  </si>
  <si>
    <t>ファイル形式に問題があります。</t>
  </si>
  <si>
    <t>មានបញ្ហាជាមួយនឹងទ្រង់ទ្រាយឯកសារ។</t>
  </si>
  <si>
    <t>ಫೈಲ್ ಫಾರ್ಮ್ಯಾಟ್‌ನಲ್ಲಿ ಸಮಸ್ಯೆ ಇದೆ.</t>
  </si>
  <si>
    <t>파일 형식에 문제가 있습니다.</t>
  </si>
  <si>
    <t>ມີປັນຫາກັບຮູບແບບເອກະສານ.</t>
  </si>
  <si>
    <t>Ar faila formātu ir problēma.</t>
  </si>
  <si>
    <t>Terdapat masalah dengan format fail.</t>
  </si>
  <si>
    <t>Er is een probleem met het bestandsformaat.</t>
  </si>
  <si>
    <t>Wystąpił problem z formatem pliku.</t>
  </si>
  <si>
    <t>Há um problema com o formato de arquivo.</t>
  </si>
  <si>
    <t>Есть проблема с форматом файла.</t>
  </si>
  <si>
    <t>มีปัญหากับรูปแบบไฟล์</t>
  </si>
  <si>
    <t>Dosya formatında bir sorun var.</t>
  </si>
  <si>
    <t>Існує проблема з форматом файлу.</t>
  </si>
  <si>
    <t>文件格式存在问题。</t>
  </si>
  <si>
    <t>Có một vấn đề với định dạng tệp.</t>
  </si>
  <si>
    <t>languages</t>
  </si>
  <si>
    <t>Languages</t>
  </si>
  <si>
    <t>اللغات</t>
  </si>
  <si>
    <t>Jazyky</t>
  </si>
  <si>
    <t>Sprachen</t>
  </si>
  <si>
    <t>Γλώσσες</t>
  </si>
  <si>
    <t>Lenguas</t>
  </si>
  <si>
    <t>Keeled</t>
  </si>
  <si>
    <t>Kieli (kielet</t>
  </si>
  <si>
    <t>Langues</t>
  </si>
  <si>
    <t>बोली</t>
  </si>
  <si>
    <t>Bahasa</t>
  </si>
  <si>
    <t>Le lingue</t>
  </si>
  <si>
    <t>言語</t>
  </si>
  <si>
    <t>បដា</t>
  </si>
  <si>
    <t>ಭಾಷೆಗಳ</t>
  </si>
  <si>
    <t>언어</t>
  </si>
  <si>
    <t>ພາສາ</t>
  </si>
  <si>
    <t>Valodas</t>
  </si>
  <si>
    <t>Talen</t>
  </si>
  <si>
    <t>Języki</t>
  </si>
  <si>
    <t>línguas</t>
  </si>
  <si>
    <t>Языки</t>
  </si>
  <si>
    <t>ภาษา</t>
  </si>
  <si>
    <t>Diller</t>
  </si>
  <si>
    <t>Мови</t>
  </si>
  <si>
    <t>语言</t>
  </si>
  <si>
    <t>Ngôn ngữ</t>
  </si>
  <si>
    <t>Date</t>
  </si>
  <si>
    <t>تاريخ</t>
  </si>
  <si>
    <t>datum</t>
  </si>
  <si>
    <t>Datum</t>
  </si>
  <si>
    <t>Ημερομηνία</t>
  </si>
  <si>
    <t>Fecha</t>
  </si>
  <si>
    <t>Kuupäev</t>
  </si>
  <si>
    <t>Päivämäärä</t>
  </si>
  <si>
    <t>तारीख</t>
  </si>
  <si>
    <t>Tanggal</t>
  </si>
  <si>
    <t>Data</t>
  </si>
  <si>
    <t>日付</t>
  </si>
  <si>
    <t>កាលកមនត់</t>
  </si>
  <si>
    <t>ದಿನಾಂಕ</t>
  </si>
  <si>
    <t>날짜</t>
  </si>
  <si>
    <t>ວັນທີ</t>
  </si>
  <si>
    <t>Datums</t>
  </si>
  <si>
    <t>Tarikh</t>
  </si>
  <si>
    <t>Дата</t>
  </si>
  <si>
    <t>วันที่</t>
  </si>
  <si>
    <t>Tarih</t>
  </si>
  <si>
    <t>日期</t>
  </si>
  <si>
    <t>Ngày</t>
  </si>
  <si>
    <t>Size</t>
  </si>
  <si>
    <t>مقاس</t>
  </si>
  <si>
    <t>Velikost</t>
  </si>
  <si>
    <t>Größe</t>
  </si>
  <si>
    <t>Μέγεθος</t>
  </si>
  <si>
    <t>Tamaño</t>
  </si>
  <si>
    <t>Suurus</t>
  </si>
  <si>
    <t>Koko</t>
  </si>
  <si>
    <t>Taille</t>
  </si>
  <si>
    <t>आकार</t>
  </si>
  <si>
    <t>Ukuran</t>
  </si>
  <si>
    <t>Misurare</t>
  </si>
  <si>
    <t>サイズ</t>
  </si>
  <si>
    <t>តមហម</t>
  </si>
  <si>
    <t>ಗಾತ್ರ</t>
  </si>
  <si>
    <t>크기</t>
  </si>
  <si>
    <t>ຂະຫນາດ</t>
  </si>
  <si>
    <t>Izmērs</t>
  </si>
  <si>
    <t>Saiz</t>
  </si>
  <si>
    <t>Maat</t>
  </si>
  <si>
    <t>Rozmiar</t>
  </si>
  <si>
    <t>Tamanho</t>
  </si>
  <si>
    <t>Размер</t>
  </si>
  <si>
    <t>ขนาด</t>
  </si>
  <si>
    <t>Boyut</t>
  </si>
  <si>
    <t>Розмір</t>
  </si>
  <si>
    <t>尺寸</t>
  </si>
  <si>
    <t>Kích cỡ</t>
  </si>
  <si>
    <t>noAppsTitle</t>
  </si>
  <si>
    <t>There are no apps here!</t>
  </si>
  <si>
    <t>لا توجد تطبيقات هنا!</t>
  </si>
  <si>
    <t>Nejsou zde žádné aplikace!</t>
  </si>
  <si>
    <t>Hier gibt es keine Apps!</t>
  </si>
  <si>
    <t>Δεν υπάρχουν εφαρμογές εδώ!</t>
  </si>
  <si>
    <t>¡No hay aplicaciones aquí!</t>
  </si>
  <si>
    <t>Siin pole rakendusi!</t>
  </si>
  <si>
    <t>Täällä ei ole sovelluksia!</t>
  </si>
  <si>
    <t>Il n'y a pas d'applications ici!</t>
  </si>
  <si>
    <t>यहाँ कोई ऐप नहीं हैं!</t>
  </si>
  <si>
    <t>Tidak ada aplikasi di sini!</t>
  </si>
  <si>
    <t>Non ci sono app qui!</t>
  </si>
  <si>
    <t>ここにはアプリはありません！</t>
  </si>
  <si>
    <t>មិនមានកម្មវិធីនៅទីនេះទេ!</t>
  </si>
  <si>
    <t>ಇಲ್ಲಿ ಯಾವುದೇ ಅಪ್ಲಿಕೇಶನ್‌ಗಳಿಲ್ಲ!</t>
  </si>
  <si>
    <t>여기에는 앱이 없습니다!</t>
  </si>
  <si>
    <t>ບໍ່ມີແອັບ apps ທີ່ນີ້!</t>
  </si>
  <si>
    <t>Šeit nav lietotņu!</t>
  </si>
  <si>
    <t>Tiada aplikasi di sini!</t>
  </si>
  <si>
    <t>Er zijn hier geen apps!</t>
  </si>
  <si>
    <t>Nie ma tutaj żadnych aplikacji!</t>
  </si>
  <si>
    <t>Não há aplicativos aqui!</t>
  </si>
  <si>
    <t>Здесь нет приложений!</t>
  </si>
  <si>
    <t>ไม่มีแอพที่นี่!</t>
  </si>
  <si>
    <t>Burada uygulama yok!</t>
  </si>
  <si>
    <t>Тут немає додатків!</t>
  </si>
  <si>
    <t>这里没有应用！</t>
  </si>
  <si>
    <t>Chưa có ứng dụng nào được thêm!</t>
  </si>
  <si>
    <t>noAppsMessage</t>
  </si>
  <si>
    <t>Select app to continue</t>
  </si>
  <si>
    <t>حدد التطبيق للمتابعة</t>
  </si>
  <si>
    <t>Pokračovat vyberte aplikaci</t>
  </si>
  <si>
    <t>Wählen Sie App, um fortzufahren</t>
  </si>
  <si>
    <t>Επιλέξτε την εφαρμογή για να συνεχίσετε</t>
  </si>
  <si>
    <t>Seleccione la aplicación para continuar</t>
  </si>
  <si>
    <t>Jätkamiseks valige rakendus</t>
  </si>
  <si>
    <t>Valitse sovellus jatkaaksesi</t>
  </si>
  <si>
    <t>Sélectionnez l'application pour continuer</t>
  </si>
  <si>
    <t>जारी रखने के लिए ऐप का चयन करें</t>
  </si>
  <si>
    <t>Pilih Aplikasi untuk melanjutkan</t>
  </si>
  <si>
    <t>Seleziona l'app per continuare</t>
  </si>
  <si>
    <t>続行するアプリを選択します</t>
  </si>
  <si>
    <t>ជ្រើសកម្មវិធីដើម្បីបន្ត</t>
  </si>
  <si>
    <t>ಮುಂದುವರಿಸಲು ಅಪ್ಲಿಕೇಶನ್ ಆಯ್ಕೆಮಾಡಿ</t>
  </si>
  <si>
    <t>계속하려면 앱을 선택하십시오</t>
  </si>
  <si>
    <t>ເລືອກ App ເພື່ອສືບຕໍ່</t>
  </si>
  <si>
    <t>Atlasiet lietotni, lai turpinātu</t>
  </si>
  <si>
    <t>Pilih aplikasi untuk diteruskan</t>
  </si>
  <si>
    <t>Selecteer app om door te gaan</t>
  </si>
  <si>
    <t>Wybierz aplikację, aby kontynuować</t>
  </si>
  <si>
    <t>Selecione o aplicativo para continuar</t>
  </si>
  <si>
    <t>Выберите приложение, чтобы продолжить</t>
  </si>
  <si>
    <t>เลือกแอพเพื่อดำเนินการต่อ</t>
  </si>
  <si>
    <t>Devam etmek için uygulamayı seçin</t>
  </si>
  <si>
    <t>Виберіть додаток, щоб продовжити</t>
  </si>
  <si>
    <t>选择要继续的应用</t>
  </si>
  <si>
    <t>Nhấn vào nút (+) bên dưới để tiếp tục</t>
  </si>
  <si>
    <t>disableAppInstall</t>
  </si>
  <si>
    <t>Disable app install</t>
  </si>
  <si>
    <t>تعطيل تثبيت التطبيق</t>
  </si>
  <si>
    <t>Zakázat instalaci aplikace</t>
  </si>
  <si>
    <t>App -Installation deaktivieren</t>
  </si>
  <si>
    <t>Απενεργοποίηση εγκατάστασης εφαρμογών</t>
  </si>
  <si>
    <t>Desactivar la instalación de la aplicación</t>
  </si>
  <si>
    <t>Keelake rakenduse installimine</t>
  </si>
  <si>
    <t>Poista sovelluksen asennus käytöstä</t>
  </si>
  <si>
    <t>Désactiver l'installation de l'application</t>
  </si>
  <si>
    <t>अक्षम ऐप इंस्टॉल</t>
  </si>
  <si>
    <t>Nonaktifkan Instalasi Aplikasi</t>
  </si>
  <si>
    <t>Disabilita l'installazione dell'app</t>
  </si>
  <si>
    <t>アプリのインストールを無効にします</t>
  </si>
  <si>
    <t>បិទការដំឡើងកម្មវិធី</t>
  </si>
  <si>
    <t>ಅಪ್ಲಿಕೇಶನ್ ಸ್ಥಾಪನೆ ನಿಷ್ಕ್ರಿಯಗೊಳಿಸಿ</t>
  </si>
  <si>
    <t>앱 설치를 비활성화합니다</t>
  </si>
  <si>
    <t>ປິດການຕິດຕັ້ງແອັບ app</t>
  </si>
  <si>
    <t>Atspējot lietotnes instalēšanu</t>
  </si>
  <si>
    <t>Lumpuhkan pemasangan aplikasi</t>
  </si>
  <si>
    <t>Schakel app -installatie uit</t>
  </si>
  <si>
    <t>Wyłącz instalację aplikacji</t>
  </si>
  <si>
    <t>Desativar o aplicativo instalação</t>
  </si>
  <si>
    <t>Отключить приложение установки</t>
  </si>
  <si>
    <t>ปิดการติดตั้งแอพพลิเคชั่น</t>
  </si>
  <si>
    <t>Uygulama yüklemesini devre dışı bırak</t>
  </si>
  <si>
    <t>Вимкнути встановлення додатків</t>
  </si>
  <si>
    <t>禁用应用程序安装</t>
  </si>
  <si>
    <t>Chặn cài đặt ứng dụng</t>
  </si>
  <si>
    <t>disableAppInstallMessage</t>
  </si>
  <si>
    <t>You won't be able to install more apps on your device</t>
  </si>
  <si>
    <t>لن تتمكن من تثبيت المزيد من التطبيقات على جهازك</t>
  </si>
  <si>
    <t>Nebudete moci nainstalovat více aplikací do vašeho zařízení</t>
  </si>
  <si>
    <t>Sie können nicht mehr Apps auf Ihrem Gerät installieren</t>
  </si>
  <si>
    <t>Δεν θα μπορείτε να εγκαταστήσετε περισσότερες εφαρμογές στη συσκευή σας</t>
  </si>
  <si>
    <t>No podrá instalar más aplicaciones en su dispositivo</t>
  </si>
  <si>
    <t>Te ei saa oma seadmesse rohkem rakendusi installida</t>
  </si>
  <si>
    <t>Et voi asentaa lisää sovelluksia laitteeseesi</t>
  </si>
  <si>
    <t>Vous ne pourrez pas installer plus d'applications sur votre appareil</t>
  </si>
  <si>
    <t>आप अपने डिवाइस पर अधिक ऐप इंस्टॉल नहीं कर पाएंगे</t>
  </si>
  <si>
    <t>Anda tidak akan dapat menginstal lebih banyak aplikasi di perangkat Anda</t>
  </si>
  <si>
    <t>Non sarai in grado di installare più app sul tuo dispositivo</t>
  </si>
  <si>
    <t>デバイスにもっとアプリをインストールすることはできません</t>
  </si>
  <si>
    <t>អ្នកនឹងមិនអាចដំឡើងកម្មវិធីបន្ថែមនៅលើឧបករណ៍របស់អ្នកបានទេ</t>
  </si>
  <si>
    <t>ನಿಮ್ಮ ಸಾಧನದಲ್ಲಿ ಹೆಚ್ಚಿನ ಅಪ್ಲಿಕೇಶನ್‌ಗಳನ್ನು ಸ್ಥಾಪಿಸಲು ನಿಮಗೆ ಸಾಧ್ಯವಾಗುವುದಿಲ್ಲ</t>
  </si>
  <si>
    <t>장치에 더 많은 앱을 설치할 수 없습니다.</t>
  </si>
  <si>
    <t>ທ່ານຈະບໍ່ສາມາດຕິດຕັ້ງແອັບ apps ຫຼາຍກວ່າໃນອຸປະກອນຂອງທ່ານ</t>
  </si>
  <si>
    <t>Jūs nevarēsit instalēt vairāk lietotņu savā ierīcē</t>
  </si>
  <si>
    <t>Anda tidak akan dapat memasang lebih banyak aplikasi pada peranti anda</t>
  </si>
  <si>
    <t>U kunt niet meer apps op uw apparaat installeren</t>
  </si>
  <si>
    <t>Nie będziesz w stanie zainstalować więcej aplikacji na swoim urządzeniu</t>
  </si>
  <si>
    <t>Você não poderá instalar mais aplicativos no seu dispositivo</t>
  </si>
  <si>
    <t>Вы не сможете установить больше приложений на своем устройстве</t>
  </si>
  <si>
    <t>คุณจะไม่สามารถติดตั้งแอพเพิ่มเติมบนอุปกรณ์ของคุณได้</t>
  </si>
  <si>
    <t>Cihazınıza daha fazla uygulama yükleyemezsiniz</t>
  </si>
  <si>
    <t>Ви не зможете встановити більше додатків на своєму пристрої</t>
  </si>
  <si>
    <t>您将无法在设备上安装更多应用程序</t>
  </si>
  <si>
    <t>Bạn sẽ không thể cài đặt thêm ứng dụng trên thiết bị của mình</t>
  </si>
  <si>
    <t>disableAppRemove</t>
  </si>
  <si>
    <t>Disable app remove</t>
  </si>
  <si>
    <t>تعطيل إزالة التطبيق</t>
  </si>
  <si>
    <t>Zakázat aplikaci odstranit</t>
  </si>
  <si>
    <t>App deaktivieren entfernen</t>
  </si>
  <si>
    <t>Απενεργοποίηση της εφαρμογής Αφαίρεση</t>
  </si>
  <si>
    <t>Desactivar la aplicación Eliminar</t>
  </si>
  <si>
    <t>Keelake rakendus Eemalda</t>
  </si>
  <si>
    <t>Poista sovellus käytöstä poista</t>
  </si>
  <si>
    <t>Désactiver la suppression de l'application</t>
  </si>
  <si>
    <t>APP निकालें अक्षम करें</t>
  </si>
  <si>
    <t>Nonaktifkan aplikasi hapus</t>
  </si>
  <si>
    <t>Disabilita l'app Rimuovi</t>
  </si>
  <si>
    <t>アプリの削除を無効にします</t>
  </si>
  <si>
    <t>បិទដំណើរការកម្មវិធីយកចេញ</t>
  </si>
  <si>
    <t>ಅಪ್ಲಿಕೇಶನ್ ತೆಗೆದುಹಾಕಿ ನಿಷ್ಕ್ರಿಯಗೊಳಿಸಿ</t>
  </si>
  <si>
    <t>앱 제거를 비활성화합니다</t>
  </si>
  <si>
    <t>ປິດແອັບ app ລຶບ</t>
  </si>
  <si>
    <t>Atspējot lietotni noņemt</t>
  </si>
  <si>
    <t>Lumpuhkan Aplikasi Buang</t>
  </si>
  <si>
    <t>Schakel App verwijderen uit</t>
  </si>
  <si>
    <t>Wyłącz aplikację Usuń</t>
  </si>
  <si>
    <t>Desativar o aplicativo remover</t>
  </si>
  <si>
    <t>Отключить приложение удалить</t>
  </si>
  <si>
    <t>ปิดการใช้งานแอปลบ</t>
  </si>
  <si>
    <t>Uygulamayı Devre Dışı Bırak</t>
  </si>
  <si>
    <t>Вимкнути додаток Видалити</t>
  </si>
  <si>
    <t>禁用应用程序删除</t>
  </si>
  <si>
    <t>Chặn xóa ứng dụng</t>
  </si>
  <si>
    <t>disableAppRemoveMessage</t>
  </si>
  <si>
    <t>You won't be able to delete any apps on the device</t>
  </si>
  <si>
    <t>لن تتمكن من حذف أي تطبيقات على الجهاز</t>
  </si>
  <si>
    <t>Nebudete moci smazat žádné aplikace na zařízení</t>
  </si>
  <si>
    <t>Sie können keine Apps auf dem Gerät löschen</t>
  </si>
  <si>
    <t>Δεν θα μπορείτε να διαγράψετε εφαρμογές στη συσκευή</t>
  </si>
  <si>
    <t>No podrá eliminar ninguna aplicación en el dispositivo</t>
  </si>
  <si>
    <t>Te ei saa seadme rakendusi kustutada</t>
  </si>
  <si>
    <t>Et voi poistaa laitteessa olevia sovelluksia</t>
  </si>
  <si>
    <t>Vous ne pourrez pas supprimer les applications sur l'appareil</t>
  </si>
  <si>
    <t>आप डिवाइस पर किसी भी ऐप को हटा नहीं पाएंगे</t>
  </si>
  <si>
    <t>Anda tidak akan dapat menghapus aplikasi apa pun di perangkat</t>
  </si>
  <si>
    <t>Non sarai in grado di eliminare alcuna app sul dispositivo</t>
  </si>
  <si>
    <t>デバイス上のアプリを削除することはできません</t>
  </si>
  <si>
    <t>អ្នកនឹងមិនអាចលុបកម្មវិធីណាមួយនៅលើឧបករណ៍បានទេ</t>
  </si>
  <si>
    <t>ಸಾಧನದಲ್ಲಿ ಯಾವುದೇ ಅಪ್ಲಿಕೇಶನ್‌ಗಳನ್ನು ಅಳಿಸಲು ನಿಮಗೆ ಸಾಧ್ಯವಾಗುವುದಿಲ್ಲ</t>
  </si>
  <si>
    <t>장치에서 앱을 삭제할 수 없습니다.</t>
  </si>
  <si>
    <t>ທ່ານຈະບໍ່ສາມາດລຶບແອັບ opps ໃດໆໃນອຸປະກອນ</t>
  </si>
  <si>
    <t>Jūs nevarēsit izdzēst ierīcē nevienas lietotnes</t>
  </si>
  <si>
    <t>Anda tidak akan dapat memadam sebarang aplikasi pada peranti</t>
  </si>
  <si>
    <t>U kunt geen apps op het apparaat verwijderen</t>
  </si>
  <si>
    <t>Nie będziesz mógł usunąć żadnych aplikacji na urządzeniu</t>
  </si>
  <si>
    <t>Você não poderá excluir nenhum aplicativo no dispositivo</t>
  </si>
  <si>
    <t>Вы не сможете удалить какие -либо приложения на устройстве</t>
  </si>
  <si>
    <t>คุณจะไม่สามารถลบแอพใด ๆ บนอุปกรณ์ได้</t>
  </si>
  <si>
    <t>Cihazdaki herhangi bir uygulamayı silemeyeceksiniz</t>
  </si>
  <si>
    <t>Ви не зможете видалити будь -які програми на пристрої</t>
  </si>
  <si>
    <t>您将无法删除设备上的任何应用程序</t>
  </si>
  <si>
    <t>Bạn sẽ không thể xóa bất kỳ ứng dụng nào trên thiết bị</t>
  </si>
  <si>
    <t>denyInApps</t>
  </si>
  <si>
    <t>Disable in app purchase</t>
  </si>
  <si>
    <t>تعطيل في شراء التطبيق</t>
  </si>
  <si>
    <t>Zakázat nákup aplikací</t>
  </si>
  <si>
    <t>Deaktivieren Sie im App -Kauf</t>
  </si>
  <si>
    <t>Απενεργοποιήστε την αγορά εφαρμογών</t>
  </si>
  <si>
    <t>Desactivar la compra de la aplicación</t>
  </si>
  <si>
    <t>Keelake rakenduste ostmisel</t>
  </si>
  <si>
    <t>Poista käytöstä sovellusostossa</t>
  </si>
  <si>
    <t>Désactiver l'achat d'application</t>
  </si>
  <si>
    <t>ऐप खरीद में अक्षम करें</t>
  </si>
  <si>
    <t>Nonaktifkan dalam Pembelian Aplikasi</t>
  </si>
  <si>
    <t>Disabilita nell'acquisto di app</t>
  </si>
  <si>
    <t>アプリの購入で無効にします</t>
  </si>
  <si>
    <t>បិទក្នុងការទិញកម្មវិធី</t>
  </si>
  <si>
    <t>ಅಪ್ಲಿಕೇಶನ್ ಖರೀದಿಯಲ್ಲಿ ನಿಷ್ಕ್ರಿಯಗೊಳಿಸಿ</t>
  </si>
  <si>
    <t>앱 구매를 비활성화합니다</t>
  </si>
  <si>
    <t>ປິດການຊື້ app</t>
  </si>
  <si>
    <t>Atspējot lietotņu iegādi</t>
  </si>
  <si>
    <t>Lumpuhkan dalam pembelian aplikasi</t>
  </si>
  <si>
    <t>Uitschakelen in de app -aankoop</t>
  </si>
  <si>
    <t>Wyłącz się w zakupie aplikacji</t>
  </si>
  <si>
    <t>Desativar na compra de aplicativos</t>
  </si>
  <si>
    <t>Отключить при покупке приложения</t>
  </si>
  <si>
    <t>ปิดการใช้งานในการซื้อแอพ</t>
  </si>
  <si>
    <t>Uygulama satın alımında devre dışı bırakın</t>
  </si>
  <si>
    <t>Вимкнути в придбанні додатків</t>
  </si>
  <si>
    <t>在应用程序中禁用</t>
  </si>
  <si>
    <t>Chặn mua hàng trong app</t>
  </si>
  <si>
    <t>denyInAppsMessage</t>
  </si>
  <si>
    <t>You won't be able to make any inapp purchases on the device</t>
  </si>
  <si>
    <t>لن تكون قادرًا على إجراء أي عمليات شراء INAPP على الجهاز</t>
  </si>
  <si>
    <t>Nebudete moci na zařízení provést žádné nákupy na aplikaci</t>
  </si>
  <si>
    <t>Sie können keine InApp -Einkäufe auf dem Gerät tätigen</t>
  </si>
  <si>
    <t>Δεν θα μπορείτε να πραγματοποιήσετε αγορές inapp στη συσκευή</t>
  </si>
  <si>
    <t>No podrá realizar compras de INAPP en el dispositivo</t>
  </si>
  <si>
    <t>Te ei saa seadmes mingeid INAPP oste teha</t>
  </si>
  <si>
    <t>Et voi tehdä laitteessa olevia sisäänostoksia</t>
  </si>
  <si>
    <t>Vous ne pourrez pas effectuer d'achats InApp sur l'appareil</t>
  </si>
  <si>
    <t>आप डिवाइस पर कोई भी INPAPP खरीदारी करने में सक्षम नहीं होंगे</t>
  </si>
  <si>
    <t>Anda tidak akan dapat melakukan pembelian INAPP di perangkat</t>
  </si>
  <si>
    <t>Non sarai in grado di effettuare acquisti INAPP sul dispositivo</t>
  </si>
  <si>
    <t>デバイスでINAPPを購入することはできません</t>
  </si>
  <si>
    <t>អ្នកនឹងមិនអាចធ្វើឱ្យការទិញ inapp នៅលើឧបករណ៍បានទេ</t>
  </si>
  <si>
    <t>ಸಾಧನದಲ್ಲಿ ಯಾವುದೇ ನಿರೋಧಕ ಖರೀದಿಗಳನ್ನು ಮಾಡಲು ನಿಮಗೆ ಸಾಧ್ಯವಾಗುವುದಿಲ್ಲ</t>
  </si>
  <si>
    <t>장치에서 Inapp 구매를 할 수 없습니다.</t>
  </si>
  <si>
    <t>ທ່ານຈະບໍ່ສາມາດເຮັດການຊື້ InsApp ໃດໆໃນອຸປະກອນໃດຫນຶ່ງ</t>
  </si>
  <si>
    <t>Jūs nevarēsiet veikt nekādus INPP pirkumus ierīcē</t>
  </si>
  <si>
    <t>Anda tidak akan dapat membuat pembelian inApp pada peranti</t>
  </si>
  <si>
    <t>U kunt geen InApp -aankopen doen op het apparaat</t>
  </si>
  <si>
    <t>Nie będziesz w stanie dokonywać żadnych zakupów na urządzeniu</t>
  </si>
  <si>
    <t>Você não poderá fazer nenhuma compra no App no ​​dispositivo</t>
  </si>
  <si>
    <t>Вы не сможете совершать какие -либо покупки на устройстве.</t>
  </si>
  <si>
    <t>คุณจะไม่สามารถซื้อสินค้าไม่ได้ใด ๆ บนอุปกรณ์</t>
  </si>
  <si>
    <t>Cihazda herhangi bir satın alma işlemi yapamayacaksınız</t>
  </si>
  <si>
    <t>Ви не зможете здійснити покупки Inapp на пристрої</t>
  </si>
  <si>
    <t>您将无法在设备上购买任何INAPP</t>
  </si>
  <si>
    <t>Bạn sẽ không thể thực hiện bất kỳ giao dịch mua in-app nào trên thiết bị</t>
  </si>
  <si>
    <t>PermissionDenied</t>
  </si>
  <si>
    <t>Permission Denied</t>
  </si>
  <si>
    <t>تم رفض الإذن</t>
  </si>
  <si>
    <t>Přístup odepřen</t>
  </si>
  <si>
    <t>Zugriff verweigert</t>
  </si>
  <si>
    <t>Αρνήθηκε την άδεια</t>
  </si>
  <si>
    <t>Permiso denegado</t>
  </si>
  <si>
    <t>Luba keelatud</t>
  </si>
  <si>
    <t>Lupa kielletty</t>
  </si>
  <si>
    <t>Permission refusée</t>
  </si>
  <si>
    <t>अनुमति नहीं मिली</t>
  </si>
  <si>
    <t>Izin ditolak</t>
  </si>
  <si>
    <t>Permesso negato</t>
  </si>
  <si>
    <t>許可が拒否されました</t>
  </si>
  <si>
    <t>បានបដិសេធការអនុញ្ញាត</t>
  </si>
  <si>
    <t>ಅವಕಾಶ ನೀಡಲಾಗಿಲ್ಲ</t>
  </si>
  <si>
    <t>허가 거부</t>
  </si>
  <si>
    <t>ການອະນຸຍາດຖືກປະຕິເສດ</t>
  </si>
  <si>
    <t>Atļauja noliedza</t>
  </si>
  <si>
    <t>Kebenaran ditolak</t>
  </si>
  <si>
    <t>Geen toestemming</t>
  </si>
  <si>
    <t>Zezwolenie odrzucone</t>
  </si>
  <si>
    <t>Permissão negada</t>
  </si>
  <si>
    <t>Доступ запрещен</t>
  </si>
  <si>
    <t>ปฏิเสธการอนุญาต</t>
  </si>
  <si>
    <t>İzin reddedildi</t>
  </si>
  <si>
    <t>Дозвіл заперечується</t>
  </si>
  <si>
    <t>没有权限</t>
  </si>
  <si>
    <t>Quyền bị từ chối</t>
  </si>
  <si>
    <t>Free</t>
  </si>
  <si>
    <t>حر</t>
  </si>
  <si>
    <t>Volný, uvolnit</t>
  </si>
  <si>
    <t>Frei</t>
  </si>
  <si>
    <t>Ελεύθερος</t>
  </si>
  <si>
    <t>Gratis</t>
  </si>
  <si>
    <t>Vaba</t>
  </si>
  <si>
    <t>Vapaa</t>
  </si>
  <si>
    <t>Gratuit</t>
  </si>
  <si>
    <t>मुक्त</t>
  </si>
  <si>
    <t>Bebas</t>
  </si>
  <si>
    <t>Gratuito</t>
  </si>
  <si>
    <t>無料</t>
  </si>
  <si>
    <t>ដេលមានសេរីផាប</t>
  </si>
  <si>
    <t>ಸ್ವಾರಸ್ಯವಾದ</t>
  </si>
  <si>
    <t>무료</t>
  </si>
  <si>
    <t>ອິດສະລະ</t>
  </si>
  <si>
    <t>Brīvs</t>
  </si>
  <si>
    <t>Percuma</t>
  </si>
  <si>
    <t>Vrij</t>
  </si>
  <si>
    <t>Bezpłatny</t>
  </si>
  <si>
    <t>Livre</t>
  </si>
  <si>
    <t>Бесплатно</t>
  </si>
  <si>
    <t>ฟรี</t>
  </si>
  <si>
    <t>Özgür</t>
  </si>
  <si>
    <t>Безкоштовний</t>
  </si>
  <si>
    <t>自由的</t>
  </si>
  <si>
    <t>Miễn phí</t>
  </si>
  <si>
    <t>Premium</t>
  </si>
  <si>
    <t>غالي</t>
  </si>
  <si>
    <t>Pojistné</t>
  </si>
  <si>
    <t>Prämie</t>
  </si>
  <si>
    <t>Ασφάλιστρο</t>
  </si>
  <si>
    <t>De primera calidad</t>
  </si>
  <si>
    <t>Preemia</t>
  </si>
  <si>
    <t>Palkkio</t>
  </si>
  <si>
    <t>Prime</t>
  </si>
  <si>
    <t>अधिमूल्य</t>
  </si>
  <si>
    <t>プレミアム</t>
  </si>
  <si>
    <t>បុព្វលាច</t>
  </si>
  <si>
    <t>ಪ್ರಬಲ</t>
  </si>
  <si>
    <t>프리미엄</t>
  </si>
  <si>
    <t>ເບັ້ຽກັນ</t>
  </si>
  <si>
    <t>Prēmija</t>
  </si>
  <si>
    <t>Premie</t>
  </si>
  <si>
    <t>Premia</t>
  </si>
  <si>
    <t>Prêmio</t>
  </si>
  <si>
    <t>Премиум</t>
  </si>
  <si>
    <t>พรีเมี่ยม</t>
  </si>
  <si>
    <t>Ödül</t>
  </si>
  <si>
    <t>Премія</t>
  </si>
  <si>
    <t>优质的</t>
  </si>
  <si>
    <t>Cao cấp</t>
  </si>
  <si>
    <t>Restore</t>
  </si>
  <si>
    <t>يعيد</t>
  </si>
  <si>
    <t>Obnovit</t>
  </si>
  <si>
    <t>Wiederherstellen</t>
  </si>
  <si>
    <t>Επαναφέρω</t>
  </si>
  <si>
    <t>Restaurar</t>
  </si>
  <si>
    <t>Taastama</t>
  </si>
  <si>
    <t>Palauttaa</t>
  </si>
  <si>
    <t>Restaurer</t>
  </si>
  <si>
    <t>पुनर्स्थापित करना</t>
  </si>
  <si>
    <t>Memulihkan</t>
  </si>
  <si>
    <t>Ristabilire</t>
  </si>
  <si>
    <t>復元する</t>
  </si>
  <si>
    <t>ចយសចុល</t>
  </si>
  <si>
    <t>ಪುನಃಸ್ಥಾಪಿಸು</t>
  </si>
  <si>
    <t>복원하다</t>
  </si>
  <si>
    <t>ຟື້ນຟູ</t>
  </si>
  <si>
    <t>Atjaunot</t>
  </si>
  <si>
    <t>Pulihkan</t>
  </si>
  <si>
    <t>Herstellen</t>
  </si>
  <si>
    <t>Przywrócić</t>
  </si>
  <si>
    <t>Восстановить</t>
  </si>
  <si>
    <t>คืนค่า</t>
  </si>
  <si>
    <t>Eski haline getirmek</t>
  </si>
  <si>
    <t>Відновлення</t>
  </si>
  <si>
    <t>恢复</t>
  </si>
  <si>
    <t>Khôi phục</t>
  </si>
  <si>
    <t>ChangeAppIcon</t>
  </si>
  <si>
    <t>Change App Icon</t>
  </si>
  <si>
    <t>تغيير أيقونة التطبيق</t>
  </si>
  <si>
    <t>Změnit ikonu aplikace</t>
  </si>
  <si>
    <t>App -App -Symbol ändern</t>
  </si>
  <si>
    <t>Αλλαγή εικονιδίου εφαρμογής</t>
  </si>
  <si>
    <t>Cambiar el icono de la aplicación</t>
  </si>
  <si>
    <t>Muutke rakenduse ikooni</t>
  </si>
  <si>
    <t>Vaihda sovelluskuvake</t>
  </si>
  <si>
    <t>Changer l'icône de l'application</t>
  </si>
  <si>
    <t>ऐप आइकन बदलें</t>
  </si>
  <si>
    <t>Ubah ikon aplikasi</t>
  </si>
  <si>
    <t>Cambia icona dell'app</t>
  </si>
  <si>
    <t>アプリアイコンを変更します</t>
  </si>
  <si>
    <t>ផ្លាស់ប្តូររូបតំណាងកម្មវិធី</t>
  </si>
  <si>
    <t>ಅಪ್ಲಿಕೇಶನ್ ಐಕಾನ್ ಬದಲಾಯಿಸಿ</t>
  </si>
  <si>
    <t>앱 아이콘을 변경하십시오</t>
  </si>
  <si>
    <t>ປ່ຽນຮູບສັນຍາລັກ App</t>
  </si>
  <si>
    <t>Mainīt lietotnes ikonu</t>
  </si>
  <si>
    <t>Tukar ikon aplikasi</t>
  </si>
  <si>
    <t>Wijzig het app -pictogram</t>
  </si>
  <si>
    <t>Zmień ikonę aplikacji</t>
  </si>
  <si>
    <t>Alterar o ícone do aplicativo</t>
  </si>
  <si>
    <t>Изменить значок приложения</t>
  </si>
  <si>
    <t>เปลี่ยนไอคอนแอพ</t>
  </si>
  <si>
    <t>Uygulama simgesini değiştir</t>
  </si>
  <si>
    <t>Змінити піктограму програми</t>
  </si>
  <si>
    <t>更改应用程序图标</t>
  </si>
  <si>
    <t>Đổi biểu tượng ứng dụng</t>
  </si>
  <si>
    <t>AddNewPasscode</t>
  </si>
  <si>
    <t>Add New Passcode</t>
  </si>
  <si>
    <t>إضافة رمز المرور الجديد</t>
  </si>
  <si>
    <t>Přidejte nový přístupový kód</t>
  </si>
  <si>
    <t>Neuer Passcode hinzufügen</t>
  </si>
  <si>
    <t>Προσθέστε νέο κωδικό πρόσβασης</t>
  </si>
  <si>
    <t>Agregar nuevo código de contraseña</t>
  </si>
  <si>
    <t>Lisage uus pääsukood</t>
  </si>
  <si>
    <t>Lisää uusi salasanko</t>
  </si>
  <si>
    <t>Ajouter un nouveau mot de passe</t>
  </si>
  <si>
    <t>नया पासकोड जोड़ें</t>
  </si>
  <si>
    <t>Tambahkan kode sandi baru</t>
  </si>
  <si>
    <t>Aggiungi nuovo passcode</t>
  </si>
  <si>
    <t>新しいパスコードを追加します</t>
  </si>
  <si>
    <t>បន្ថែមលេខកូដសម្ងាត់ថ្មី</t>
  </si>
  <si>
    <t>ಹೊಸ ಪಾಸ್‌ಕೋಡ್ ಸೇರಿಸಿ</t>
  </si>
  <si>
    <t>새 암호를 추가하십시오</t>
  </si>
  <si>
    <t>ເພີ່ມລະຫັດຜ່ານໃຫມ່</t>
  </si>
  <si>
    <t>Pievienojiet jaunu piekļuves kodu</t>
  </si>
  <si>
    <t>Tambah kod laluan baru</t>
  </si>
  <si>
    <t>Voeg een nieuwe toegangscode toe</t>
  </si>
  <si>
    <t>Dodaj nowy kod przełajowy</t>
  </si>
  <si>
    <t>Adicione nova senha</t>
  </si>
  <si>
    <t>Добавить новый пароль</t>
  </si>
  <si>
    <t>เพิ่มรหัสผ่านใหม่</t>
  </si>
  <si>
    <t>Yeni Parola Ekle</t>
  </si>
  <si>
    <t>Додайте новий пароль</t>
  </si>
  <si>
    <t>添加新密码</t>
  </si>
  <si>
    <t>Thêm mật mã mới</t>
  </si>
  <si>
    <t>Unlimited</t>
  </si>
  <si>
    <t>غير محدود</t>
  </si>
  <si>
    <t>Neomezený</t>
  </si>
  <si>
    <t>Unbegrenzt</t>
  </si>
  <si>
    <t>Απεριόριστος</t>
  </si>
  <si>
    <t>Ilimitado</t>
  </si>
  <si>
    <t>Piiramatu</t>
  </si>
  <si>
    <t>Rajoittamaton</t>
  </si>
  <si>
    <t>Illimité</t>
  </si>
  <si>
    <t>असीमित</t>
  </si>
  <si>
    <t>Tak terbatas</t>
  </si>
  <si>
    <t>Illimitato</t>
  </si>
  <si>
    <t>無制限</t>
  </si>
  <si>
    <t>គ្មានដែនកំណត់</t>
  </si>
  <si>
    <t>ಅನಿಯಮಿತ</t>
  </si>
  <si>
    <t>제한 없는</t>
  </si>
  <si>
    <t>ບໍ່ຈໍາກັດ</t>
  </si>
  <si>
    <t>Neierobežots</t>
  </si>
  <si>
    <t>Tidak terhad</t>
  </si>
  <si>
    <t>Onbeperkt</t>
  </si>
  <si>
    <t>Nieograniczony</t>
  </si>
  <si>
    <t>Неограниченный</t>
  </si>
  <si>
    <t>ไม่ จำกัด</t>
  </si>
  <si>
    <t>Sınırsız</t>
  </si>
  <si>
    <t>Необмежений</t>
  </si>
  <si>
    <t>无限</t>
  </si>
  <si>
    <t>Vô hạn</t>
  </si>
  <si>
    <t>Advertisements</t>
  </si>
  <si>
    <t>الإعلانات</t>
  </si>
  <si>
    <t>Reklamy</t>
  </si>
  <si>
    <t>Anzeige</t>
  </si>
  <si>
    <t>Διαφημίσεις</t>
  </si>
  <si>
    <t>Anuncios</t>
  </si>
  <si>
    <t>Reklaamid</t>
  </si>
  <si>
    <t>Mainokset</t>
  </si>
  <si>
    <t>Annonces</t>
  </si>
  <si>
    <t>विज्ञापनों</t>
  </si>
  <si>
    <t>Iklan</t>
  </si>
  <si>
    <t>Annunci</t>
  </si>
  <si>
    <t>広告</t>
  </si>
  <si>
    <t>ការផ្សាយពាណិជ្ជកម្ម</t>
  </si>
  <si>
    <t>ಜಾಹೀರಾತುಗಳು</t>
  </si>
  <si>
    <t>광고</t>
  </si>
  <si>
    <t>ການໂຄສະນາ</t>
  </si>
  <si>
    <t>Sludinājumi</t>
  </si>
  <si>
    <t>Advertenties</t>
  </si>
  <si>
    <t>Anúncios</t>
  </si>
  <si>
    <t>Рекламные объявления</t>
  </si>
  <si>
    <t>โฆษณา</t>
  </si>
  <si>
    <t>Reklamlar</t>
  </si>
  <si>
    <t>Реклама</t>
  </si>
  <si>
    <t>广告</t>
  </si>
  <si>
    <t>Quảng cáo</t>
  </si>
  <si>
    <t>NoAds</t>
  </si>
  <si>
    <t>No Ads</t>
  </si>
  <si>
    <t>لا اعلانات</t>
  </si>
  <si>
    <t>Žádné reklamy</t>
  </si>
  <si>
    <t>Keine Werbung</t>
  </si>
  <si>
    <t>Χωρίς διαφημίσεις</t>
  </si>
  <si>
    <t>Sin anuncios</t>
  </si>
  <si>
    <t>Reklaame pole</t>
  </si>
  <si>
    <t>Ei mainoksia</t>
  </si>
  <si>
    <t>Pas de pubs</t>
  </si>
  <si>
    <t>विज्ञापन नहीं</t>
  </si>
  <si>
    <t>Tanpa iklan</t>
  </si>
  <si>
    <t>Nessuna pubblicità</t>
  </si>
  <si>
    <t>広告なし</t>
  </si>
  <si>
    <t>គ្មានការផ្សព្វផ្សាយពាណិជ្ជកម្ម</t>
  </si>
  <si>
    <t>ಜಾಹೀರಾತುಗಳಿಲ್ಲ</t>
  </si>
  <si>
    <t>광고 없음</t>
  </si>
  <si>
    <t>ບໍ່ມີໂຄສະນາ</t>
  </si>
  <si>
    <t>Nav reklāmu</t>
  </si>
  <si>
    <t>Tiada iklan</t>
  </si>
  <si>
    <t>Geen advertenties</t>
  </si>
  <si>
    <t>Bez reklam</t>
  </si>
  <si>
    <t>Sem anúncios</t>
  </si>
  <si>
    <t>Без рекламы</t>
  </si>
  <si>
    <t>ไม่มีโฆษณา</t>
  </si>
  <si>
    <t>Reklamsız</t>
  </si>
  <si>
    <t>Немає оголошень</t>
  </si>
  <si>
    <t>无广告</t>
  </si>
  <si>
    <t>Không quảng cáo</t>
  </si>
  <si>
    <t>agreeTerms</t>
  </si>
  <si>
    <t>By tapping __ Continue ___, you will be charged, your subscription will auto-renew for the same package length until you cancel via App Store Settings, and you agree to our Terms.</t>
  </si>
  <si>
    <t>من خلال النقر على __ متابعة ___ ، سيتم فرض رسوم عليك ، وسيتم تجديد الاشتراك الخاص بك تلقائيًا لنفس طول الحزمة حتى تقوم بالإلغاء عبر إعدادات متجر التطبيقات ، وتوافق على شروطنا.</t>
  </si>
  <si>
    <t>Klepnutím na __ Pokračujte v ___, bude vám účtováno, vaše předplatné bude automaticky obnovit stejnou délku balíčku, dokud nezrušíte nastavení App Store, a souhlasíte s našimi podmínkami.</t>
  </si>
  <si>
    <t>Wenn Sie __ fortsetzen ___, werden Sie berechnet, Ihr Abonnement wird automatisch für dieselbe Paketlänge nachverdünnt, bis Sie über App Store-Einstellungen stornieren, und Sie stimmen unseren Bedingungen zu.</t>
  </si>
  <si>
    <t>Πατώντας __ Συνεχίστε ___, θα χρεωθείτε, η συνδρομή σας θα αναζωογονήσει αυτόματα για το ίδιο μήκος συσκευασίας μέχρι να ακυρώσετε μέσω των ρυθμίσεων αποθήκευσης εφαρμογών και συμφωνείτε με τους όρους μας.</t>
  </si>
  <si>
    <t>Al tocar __ continuar ___, se le cobrará, su suscripción se renovará automáticamente para la misma duración del paquete hasta que cancele a través de la configuración de la tienda de aplicaciones, y acepta nuestros términos.</t>
  </si>
  <si>
    <t>Koputades __ Jätka ___, võetakse teilt tasu, teie tellimus tühistab sama paketi pikkuse automaatselt, kuni tühistate App Store'i sätete kaudu, ja nõustute meie tingimustega.</t>
  </si>
  <si>
    <t>Napauttamalla __ jatka ___, sinulta veloitetaan, tilauksesi uusii uudelleen saman paketin pituuden, kunnes peruutat App Store -asetusten kautta, ja hyväksyt ehdot.</t>
  </si>
  <si>
    <t>En appuyant sur __ Continuer ___, vous serez facturé, votre abonnement sera automatiquement renouvelé pour la même longueur de package jusqu'à ce que vous annulez via les paramètres de l'App Store et vous acceptez nos conditions.</t>
  </si>
  <si>
    <t>__ को जारी रखने से ___, आपको चार्ज किया जाएगा, आपकी सदस्यता एक ही पैकेज की लंबाई के लिए ऑटो-रेन्यू होगी जब तक कि आप ऐप स्टोर सेटिंग्स के माध्यम से रद्द नहीं करते हैं, और आप हमारी शर्तों से सहमत हैं।</t>
  </si>
  <si>
    <t>Dengan mengetuk __ Lanjutkan ___, Anda akan dikenakan biaya, langganan Anda akan memperbarui secara otomatis untuk panjang paket yang sama sampai Anda membatalkan melalui pengaturan App Store, dan Anda menyetujui persyaratan kami.</t>
  </si>
  <si>
    <t>Toccando __ Continua ___, ti verrà addebitato, l'abbonamento verrà auto-rinnovato per la stessa durata del pacchetto fino a quando non si annulla le impostazioni dell'App Store e accetta i nostri termini.</t>
  </si>
  <si>
    <t>__続行___をタップすることにより、充電されます。サブスクリプションは、App Storeの設定を介してキャンセルするまで、同じパッケージの長さに対して自動レネーになり、条件に同意します。</t>
  </si>
  <si>
    <t>តាមរយៈការប៉ះ __ បន្ត ___ អ្នកនឹងត្រូវបានគិតប្រាក់ការជាវរបស់អ្នកនឹងបន្តជាការសរសេរឡើងវិញដោយស្វ័យប្រវត្តិសម្រាប់ប្រវែងកញ្ចប់ដដែលរហូតដល់អ្នកបោះបង់ការកំណត់ App Store ហើយអ្នកយល់ព្រមនឹងលក្ខខណ្ឌរបស់យើង។</t>
  </si>
  <si>
    <t>__ ಮುಂದುವರಿಸಿ ___ ಮುಂದುವರಿಸಿ, ನಿಮಗೆ ಶುಲ್ಕ ವಿಧಿಸಲಾಗುತ್ತದೆ, ನಿಮ್ಮ ಚಂದಾದಾರಿಕೆ ನೀವು ಆಪ್ ಸ್ಟೋರ್ ಸೆಟ್ಟಿಂಗ್‌ಗಳ ಮೂಲಕ ರದ್ದುಗೊಳಿಸುವವರೆಗೆ ಅದೇ ಪ್ಯಾಕೇಜ್ ಉದ್ದಕ್ಕೆ ಸ್ವಯಂಚಾಲಿತವಾಗಿ ನವೀಕರಿಸುತ್ತದೆ ಮತ್ತು ನಮ್ಮ ನಿಯಮಗಳನ್ನು ನೀವು ಒಪ್ಪುತ್ತೀರಿ.</t>
  </si>
  <si>
    <t>__ 계속 ___를 탭하면 요금이 청구되며, 구독은 App Store 설정을 통해 취소 할 때까지 동일한 패키지 길이에 대한 자동 갱신이됩니다.이 약관에 동의합니다.</t>
  </si>
  <si>
    <t>ໂດຍການແຕະ __ ສືບຕໍ່ __ ___, ທ່ານຈະຖືກຄິດຄ່າທໍານຽມ, ການສະຫມັກໃຊ້ຄວາມຍາວຂອງຊຸດດຽວກັນຈົນກວ່າທ່ານຈະເຫັນດີກັບຂໍ້ກໍານົດຂອງພວກເຮົາ.</t>
  </si>
  <si>
    <t>Pieskaroties __ turpināt ___, jums tiks iekasēta maksa, jūsu abonements automātiski atjaunos tādu pašu paketes garumu, līdz jūs atcelsit, izmantojot App Store iestatījumus, un jūs piekrītat mūsu noteikumiem.</t>
  </si>
  <si>
    <t>Dengan mengetuk __ Teruskan ___, anda akan dikenakan bayaran, langganan anda akan diperbaharui secara automatik untuk panjang pakej yang sama sehingga anda membatalkan melalui tetapan App Store, dan anda bersetuju dengan terma kami.</t>
  </si>
  <si>
    <t>Door op __ doorgaan ___ te tikken, wordt u in rekening gebracht, uw abonnement wordt automatisch vernieuwd voor dezelfde pakketlengte totdat u annuleert via App Store-instellingen en u akkoord gaat met onze voorwaarden.</t>
  </si>
  <si>
    <t>Stukając __ Kontynuuj ___, zostaniesz obciążony, Twoja subskrypcja będzie automatycznie reniw dla tej samej długości pakietu, dopóki nie anulujesz za pośrednictwem ustawień App Store i zgodzisz się na nasze warunki.</t>
  </si>
  <si>
    <t>Ao tocar __ Continue ___, você será cobrado, sua assinatura será renovada automaticamente pelo mesmo comprimento do pacote até que você cancelasse através das configurações da App Store e você concorda com nossos termos.</t>
  </si>
  <si>
    <t>Поступив __ Продолжить ___, вы будете взиматься, ваша подписка будет автоматически продлеваться по той же длине пакета, пока вы не отмените настройки приложений, и вы соглашаетесь с нашими условиями.</t>
  </si>
  <si>
    <t>โดยการแตะ __ ดำเนินการต่อ ___ คุณจะถูกเรียกเก็บเงินการสมัครสมาชิกของคุณจะต่ออายุอัตโนมัติสำหรับความยาวแพ็คเกจเดียวกันจนกว่าคุณจะยกเลิกผ่านการตั้งค่า App Store และคุณยอมรับข้อกำหนดของเรา</t>
  </si>
  <si>
    <t>__ Devam ederek ___ devam edin, tahsil edileceksiniz, aboneliğiniz App Store ayarları aracılığıyla iptal edene kadar aynı paket uzunluğu için otomatik olarak yenilenecek ve şartlarımızı kabul edersiniz.</t>
  </si>
  <si>
    <t>Накладаючи __ Продовжити ___, з вами стягуватиметься стягнуто, ваша підписка буде автоматично відновити на ту саму довжину пакету, поки ви не скасуєте через налаштування App Store, і ви погоджуєтесь з нашими умовами.</t>
  </si>
  <si>
    <t>通过点击__继续___，您将被收取费用，您的订阅将自动续订相同的软件包长度，直到您通过App Store设置取消，并同意我们的条款。</t>
  </si>
  <si>
    <t>Khi nhấn __ Tiếp tục ___, bạn đồng ý với Điều khoản của chúng tôi. Các gói đăng ký của bạn sẽ tự động gia hạn với cùng thời lượng gói cho đến khi bạn hủy thông qua cài đặt trên App Store.</t>
  </si>
  <si>
    <t>DKMPremium</t>
  </si>
  <si>
    <t>DKM Premium</t>
  </si>
  <si>
    <t>Πριμοδότηση DKM</t>
  </si>
  <si>
    <t>डीकेएम प्रीमियम</t>
  </si>
  <si>
    <t>DKMプレミアム</t>
  </si>
  <si>
    <t>បុព្វលាភ DKM</t>
  </si>
  <si>
    <t>ಡಿಕೆಎಂ ಪ್ರೀಮಿಯಂ</t>
  </si>
  <si>
    <t>DKM 프리미엄</t>
  </si>
  <si>
    <t>DKM premium</t>
  </si>
  <si>
    <t>พรีเมี่ยม DKM</t>
  </si>
  <si>
    <t>DKM Cao cấp</t>
  </si>
  <si>
    <t>SelectPlan</t>
  </si>
  <si>
    <t>Select a plan</t>
  </si>
  <si>
    <t>حدد خطة</t>
  </si>
  <si>
    <t>Vyberte plán</t>
  </si>
  <si>
    <t>Wählen Sie einen Plan aus</t>
  </si>
  <si>
    <t>Επιλέξτε ένα σχέδιο</t>
  </si>
  <si>
    <t>Seleccione un plan</t>
  </si>
  <si>
    <t>Valige plaan</t>
  </si>
  <si>
    <t>Valitse suunnitelma</t>
  </si>
  <si>
    <t>Sélectionnez un plan</t>
  </si>
  <si>
    <t>एक योजना का चयन करें</t>
  </si>
  <si>
    <t>Pilih rencana</t>
  </si>
  <si>
    <t>Seleziona un piano</t>
  </si>
  <si>
    <t>プランを選択します</t>
  </si>
  <si>
    <t>ជ្រើសរើសគំរោងមួយ</t>
  </si>
  <si>
    <t>ಯೋಜನೆಯನ್ನು ಆಯ್ಕೆಮಾಡಿ</t>
  </si>
  <si>
    <t>계획을 선택하십시오</t>
  </si>
  <si>
    <t>ເລືອກແຜນການ</t>
  </si>
  <si>
    <t>Izvēlieties plānu</t>
  </si>
  <si>
    <t>Pilih rancangan</t>
  </si>
  <si>
    <t>Selecteer een plan</t>
  </si>
  <si>
    <t>Wybierz plan</t>
  </si>
  <si>
    <t>Selecione um plano</t>
  </si>
  <si>
    <t>Выберите план</t>
  </si>
  <si>
    <t>เลือกแผน</t>
  </si>
  <si>
    <t>Bir Plan Seçin</t>
  </si>
  <si>
    <t>Виберіть план</t>
  </si>
  <si>
    <t>选择一个计划</t>
  </si>
  <si>
    <t>Chọn gói đăng ký</t>
  </si>
  <si>
    <t>IncludewithDKMPremium</t>
  </si>
  <si>
    <t>Include with DKM Premium</t>
  </si>
  <si>
    <t>تشمل مع DKM Premium</t>
  </si>
  <si>
    <t>Zahrnout s DKM Premium</t>
  </si>
  <si>
    <t>Mit DKM Premium einschließen</t>
  </si>
  <si>
    <t>Συμπεριλάβετε με το DKM Premium</t>
  </si>
  <si>
    <t>Incluir con DKM Premium</t>
  </si>
  <si>
    <t>Kaasa DKM Premium</t>
  </si>
  <si>
    <t>Sisällytä DKM Premium</t>
  </si>
  <si>
    <t>Inclure avec DKM Premium</t>
  </si>
  <si>
    <t>DKM प्रीमियम के साथ शामिल करें</t>
  </si>
  <si>
    <t>Termasuk dengan premium DKM</t>
  </si>
  <si>
    <t>Includere con DKM Premium</t>
  </si>
  <si>
    <t>DKMプレミアムに含めます</t>
  </si>
  <si>
    <t>រួមបញ្ចូលជាមួយការធ្វើបុព្វលាភ DKM</t>
  </si>
  <si>
    <t>ಡಿಕೆಎಂ ಪ್ರೀಮಿಯಂನೊಂದಿಗೆ ಸೇರಿಸಿ</t>
  </si>
  <si>
    <t>DKM 프리미엄과 함께 포함하십시오</t>
  </si>
  <si>
    <t>ປະກອບມີກັບ DKM Premium</t>
  </si>
  <si>
    <t>Iekļaujiet ar DKM premium</t>
  </si>
  <si>
    <t>Inclusief met DKM Premium</t>
  </si>
  <si>
    <t>Uwzględnij z premium DKM</t>
  </si>
  <si>
    <t>Inclua com DKM Premium</t>
  </si>
  <si>
    <t>Включить с DKM Premium</t>
  </si>
  <si>
    <t>รวมด้วย DKM Premium</t>
  </si>
  <si>
    <t>DKM Premium ile Dahil</t>
  </si>
  <si>
    <t>Включіть з DKM Premium</t>
  </si>
  <si>
    <t>包括DKM Premium</t>
  </si>
  <si>
    <t>Bao gồm với DKM Cao cấp</t>
  </si>
  <si>
    <t>Warning</t>
  </si>
  <si>
    <t>تحذير</t>
  </si>
  <si>
    <t>Varování</t>
  </si>
  <si>
    <t>Warnung</t>
  </si>
  <si>
    <t>Προειδοποίηση</t>
  </si>
  <si>
    <t>Advertencia</t>
  </si>
  <si>
    <t>Hoiatus</t>
  </si>
  <si>
    <t>Varoitus</t>
  </si>
  <si>
    <t>Avertissement</t>
  </si>
  <si>
    <t>चेतावनी</t>
  </si>
  <si>
    <t>Peringatan</t>
  </si>
  <si>
    <t>Avvertimento</t>
  </si>
  <si>
    <t>警告</t>
  </si>
  <si>
    <t>ការរបមាន</t>
  </si>
  <si>
    <t>ಎಚ್ಚರಿಕೆ</t>
  </si>
  <si>
    <t>경고</t>
  </si>
  <si>
    <t>ຄໍາເຕືອນ</t>
  </si>
  <si>
    <t>Brīdinājums</t>
  </si>
  <si>
    <t>Amaran</t>
  </si>
  <si>
    <t>Waarschuwing</t>
  </si>
  <si>
    <t>Ostrzeżenie</t>
  </si>
  <si>
    <t>Aviso</t>
  </si>
  <si>
    <t>Предупреждение</t>
  </si>
  <si>
    <t>คำเตือน</t>
  </si>
  <si>
    <t>Uyarı</t>
  </si>
  <si>
    <t>УВАГА</t>
  </si>
  <si>
    <t>Cảnh báo</t>
  </si>
  <si>
    <t>Pleasechooseanoption</t>
  </si>
  <si>
    <t>Please choose an option!</t>
  </si>
  <si>
    <t>الرجاء تحديد خيار!</t>
  </si>
  <si>
    <t>Prosím vyberte možnost!</t>
  </si>
  <si>
    <t>Bitte wähle eine Option aus!</t>
  </si>
  <si>
    <t>Παρακαλώ επιλέξτε μια επιλογή!</t>
  </si>
  <si>
    <t>¡Por favor, elija una opción!</t>
  </si>
  <si>
    <t>Valige valik!</t>
  </si>
  <si>
    <t>Valitse vaihtoehto!</t>
  </si>
  <si>
    <t>Veuillez choisir une option!</t>
  </si>
  <si>
    <t>एक विकल्प का चयन करें!</t>
  </si>
  <si>
    <t>Pilih opsi!</t>
  </si>
  <si>
    <t>Per favore, scegli un'opzione!</t>
  </si>
  <si>
    <t>オプションを選択してください！</t>
  </si>
  <si>
    <t>សូមជ្រើសរើសជំរើសមួយ!</t>
  </si>
  <si>
    <t>ದಯವಿಟ್ಟು ಆಯ್ಕೆಯನ್ನು ಆರಿಸಿ!</t>
  </si>
  <si>
    <t>옵션을 선택하십시오!</t>
  </si>
  <si>
    <t>ກະລຸນາເລືອກຕົວເລືອກ!</t>
  </si>
  <si>
    <t>Lūdzu, izvēlieties iespēju!</t>
  </si>
  <si>
    <t>Sila pilih pilihan!</t>
  </si>
  <si>
    <t>Kies een optie alstublieft!</t>
  </si>
  <si>
    <t>Wybierz opcję!</t>
  </si>
  <si>
    <t>Por favor escolha uma opção!</t>
  </si>
  <si>
    <t>Пожалуйста, выберите опцию!</t>
  </si>
  <si>
    <t>โปรดเลือกตัวเลือก!</t>
  </si>
  <si>
    <t>Bir seçeneği seçiniz!</t>
  </si>
  <si>
    <t>Будь ласка, виберіть варіант!</t>
  </si>
  <si>
    <t>请选择一个选项！</t>
  </si>
  <si>
    <t>Chọn một lựa chọn!</t>
  </si>
  <si>
    <t>NeverBuy</t>
  </si>
  <si>
    <t>This item was purchased by a different Apple ID or has expired. Sign in with that Apple ID and try again</t>
  </si>
  <si>
    <t>تم شراء هذا العنصر بواسطة معرف Apple مختلف أو انتهى به الأمر. قم بتسجيل الدخول مع معرف Apple وحاول مرة أخرى</t>
  </si>
  <si>
    <t>Tato položka byla zakoupena jiným Apple ID nebo vypršela. Přihlaste se s tímto Apple ID a zkuste to znovu</t>
  </si>
  <si>
    <t>Dieser Artikel wurde von einer anderen Apple -ID gekauft oder ist abgelaufen. Melden Sie sich mit dieser Apple -ID an und versuchen Sie es erneut</t>
  </si>
  <si>
    <t>Αυτό το αντικείμενο αγοράστηκε από διαφορετικό αναγνωριστικό της Apple ή έχει λήξει. Συνδεθείτε με αυτό το αναγνωριστικό της Apple και δοκιμάστε ξανά</t>
  </si>
  <si>
    <t>Este artículo fue comprado por una ID de Apple diferente o ha expirado. Inicie sesión con esa identificación de Apple e intente nuevamente</t>
  </si>
  <si>
    <t>Selle üksuse ostis erinev Apple ID või see on aegunud. Logige sisse selle Apple ID -ga ja proovige uuesti</t>
  </si>
  <si>
    <t>Tämän tuotteen osti eri Apple ID: n tai on vanhentunut. Kirjaudu sisään tuon Apple ID: n kanssa ja yritä uudelleen</t>
  </si>
  <si>
    <t>Cet article a été acheté par un autre identifiant Apple ou a expiré. Connectez-vous avec cet ID Apple et réessayez</t>
  </si>
  <si>
    <t>यह आइटम एक अलग Apple ID द्वारा खरीदा गया था या समाप्त हो गया है। उस Apple ID के साथ साइन इन करें और फिर से प्रयास करें</t>
  </si>
  <si>
    <t>Item ini dibeli oleh ID Apple yang berbeda atau telah kedaluwarsa. Masuk dengan ID Apple itu dan coba lagi</t>
  </si>
  <si>
    <t>Questo articolo è stato acquistato da un diverso ID Apple o è scaduto. Accedi con quell'ID Apple e riprova</t>
  </si>
  <si>
    <t>このアイテムは、別のApple IDによって購入されたか、有効期限が切れています。そのApple IDにサインインして、再試行してください</t>
  </si>
  <si>
    <t>ធាតុនេះត្រូវបានទិញដោយលេខសម្គាល់ផ្លែប៉ោមខុសគ្នាឬផុតកំណត់។ ចូលដោយប្រើលេខសម្គាល់ Apple ហើយព្យាយាមម្តងទៀត</t>
  </si>
  <si>
    <t>ಈ ಐಟಂ ಅನ್ನು ಬೇರೆ ಆಪಲ್ ಐಡಿ ಖರೀದಿಸಿದೆ ಅಥವಾ ಅವಧಿ ಮೀರಿದೆ. ಆ ಆಪಲ್ ಐಡಿಯೊಂದಿಗೆ ಸೈನ್ ಇನ್ ಮಾಡಿ ಮತ್ತು ಮತ್ತೆ ಪ್ರಯತ್ನಿಸಿ</t>
  </si>
  <si>
    <t>이 품목은 다른 Apple ID에 의해 구매되었거나 만료되었습니다. 그 Apple ID로 로그인하고 다시 시도하십시오</t>
  </si>
  <si>
    <t>ລາຍການນີ້ຖືກຊື້ໂດຍ Apple ID ທີ່ແຕກຕ່າງກັນຫຼືຫມົດອາຍຸແລ້ວ. ເຂົ້າສູ່ລະບົບດ້ວຍ Apple ID ນັ້ນແລະລອງໃຫມ່ອີກຄັ້ງ</t>
  </si>
  <si>
    <t>Šo preci iegādājās cits Apple ID vai ir beidzies derīguma termiņš. Pierakstieties ar šo Apple ID un mēģiniet vēlreiz</t>
  </si>
  <si>
    <t>Item ini dibeli oleh ID Apple yang berbeza atau telah tamat tempoh. Log masuk dengan ID Apple dan cuba lagi</t>
  </si>
  <si>
    <t>Dit artikel is gekocht door een andere Apple ID of is verlopen. Log in met die Apple ID en probeer het opnieuw</t>
  </si>
  <si>
    <t>Ten przedmiot został zakupiony przez inny identyfikator Apple ID lub wygasł. Zaloguj się z tym Apple ID i spróbuj ponownie</t>
  </si>
  <si>
    <t>Este item foi comprado por um ID da Apple diferente ou expirou. Faça login com esse ID da Apple e tente novamente</t>
  </si>
  <si>
    <t>Этот товар был приобретен другим идентификатором Apple или истек. Войдите с этим ID Apple и попробуйте еще раз</t>
  </si>
  <si>
    <t>รายการนี้ซื้อโดย Apple ID อื่นหรือหมดอายุ ลงชื่อเข้าใช้กับ Apple ID นั้นแล้วลองอีกครั้ง</t>
  </si>
  <si>
    <t>Bu ürün farklı bir Apple Kimliği tarafından satın alındı ​​veya süresi doldu. Bu Apple Kimliğiyle oturum açın ve tekrar deneyin</t>
  </si>
  <si>
    <t>Цей товар був придбаний іншим ID Apple або закінчився. Увійдіть із цим ідентифікатором Apple і спробуйте ще раз</t>
  </si>
  <si>
    <t>该项目是由其他Apple ID购买或已过期的。使用该Apple ID登录，然后重试</t>
  </si>
  <si>
    <t>Mặt hàng này được mua bởi một ID Apple khác hoặc đã hết hạn. Đăng nhập bằng ID Apple đó và thử lại</t>
  </si>
  <si>
    <t>RestoreSuccessfully</t>
  </si>
  <si>
    <t>Restore Successfully!</t>
  </si>
  <si>
    <t>استعادة بنجاح!</t>
  </si>
  <si>
    <t>Obnovte úspěšně!</t>
  </si>
  <si>
    <t>Erfolgreich wiederherstellen!</t>
  </si>
  <si>
    <t>Επαναφορά με επιτυχία!</t>
  </si>
  <si>
    <t>¡Restaurar con éxito!</t>
  </si>
  <si>
    <t>Taasta edukalt!</t>
  </si>
  <si>
    <t>Palauta onnistuneesti!</t>
  </si>
  <si>
    <t>Restaurez avec succès!</t>
  </si>
  <si>
    <t>सफलतापूर्वक पुनर्स्थापित करें!</t>
  </si>
  <si>
    <t>Kembalikan dengan sukses!</t>
  </si>
  <si>
    <t>Ripristina con successo!</t>
  </si>
  <si>
    <t>正常に復元してください！</t>
  </si>
  <si>
    <t>ស្តារដោយជោគជ័យ!</t>
  </si>
  <si>
    <t>ಯಶಸ್ವಿಯಾಗಿ ಮರುಸ್ಥಾಪಿಸಿ!</t>
  </si>
  <si>
    <t>성공적으로 복원하십시오!</t>
  </si>
  <si>
    <t>ຟື້ນຟູປະສົບຜົນສໍາເລັດ!</t>
  </si>
  <si>
    <t>Veiksmīgi atjaunot!</t>
  </si>
  <si>
    <t>Pulihkan dengan jayanya!</t>
  </si>
  <si>
    <t>Herstel succesvol!</t>
  </si>
  <si>
    <t>Przywróć z powodzeniem!</t>
  </si>
  <si>
    <t>Restaure com sucesso!</t>
  </si>
  <si>
    <t>Восстановите успешно!</t>
  </si>
  <si>
    <t>กู้คืนได้สำเร็จ!</t>
  </si>
  <si>
    <t>Başarılı bir şekilde geri yükleyin!</t>
  </si>
  <si>
    <t>Успішно відновити!</t>
  </si>
  <si>
    <t>成功恢复！</t>
  </si>
  <si>
    <t>Khôi phục thành công!</t>
  </si>
  <si>
    <t>RestoreSuccessfullyMessage</t>
  </si>
  <si>
    <t>You've successfully restored your purchase!</t>
  </si>
  <si>
    <t>لقد استعادت عملية الشراء بنجاح!</t>
  </si>
  <si>
    <t>Úspěšně jste obnovili nákup!</t>
  </si>
  <si>
    <t>Sie haben Ihren Kauf erfolgreich restauriert!</t>
  </si>
  <si>
    <t>Έχετε αποκαταστήσει με επιτυχία την αγορά σας!</t>
  </si>
  <si>
    <t>¡Has restaurado con éxito tu compra!</t>
  </si>
  <si>
    <t>Olete oma ostu edukalt taastanud!</t>
  </si>
  <si>
    <t>Olet palauttanut ostoksesi onnistuneesti!</t>
  </si>
  <si>
    <t>Vous avez réussi à restaurer votre achat!</t>
  </si>
  <si>
    <t>आपने अपनी खरीदारी को सफलतापूर्वक बहाल कर दिया है!</t>
  </si>
  <si>
    <t>Anda telah berhasil memulihkan pembelian Anda!</t>
  </si>
  <si>
    <t>Hai ripristinato con successo il tuo acquisto!</t>
  </si>
  <si>
    <t>購入を正常に復元しました！</t>
  </si>
  <si>
    <t>អ្នកបានស្តារការទិញរបស់អ្នកឡើងវិញដោយជោគជ័យ!</t>
  </si>
  <si>
    <t>ನಿಮ್ಮ ಖರೀದಿಯನ್ನು ನೀವು ಯಶಸ್ವಿಯಾಗಿ ಮರುಸ್ಥಾಪಿಸಿದ್ದೀರಿ!</t>
  </si>
  <si>
    <t>구매를 성공적으로 복원했습니다!</t>
  </si>
  <si>
    <t>ທ່ານໄດ້ຮັບການຟື້ນຟູການຊື້ຂອງທ່ານຢ່າງສໍາເລັດຜົນແລ້ວ!</t>
  </si>
  <si>
    <t>Jūs esat veiksmīgi atjaunojis pirkumu!</t>
  </si>
  <si>
    <t>Anda telah berjaya memulihkan pembelian anda!</t>
  </si>
  <si>
    <t>U hebt uw aankoop met succes hersteld!</t>
  </si>
  <si>
    <t>Z powodzeniem przywróciłeś swój zakup!</t>
  </si>
  <si>
    <t>Você restaurou com sucesso sua compra!</t>
  </si>
  <si>
    <t>Вы успешно восстановили свою покупку!</t>
  </si>
  <si>
    <t>คุณได้กู้คืนการซื้อของคุณสำเร็จ!</t>
  </si>
  <si>
    <t>Satın alma işleminizi başarıyla geri yüklediniz!</t>
  </si>
  <si>
    <t>Ви успішно відновили свою покупку!</t>
  </si>
  <si>
    <t>您已经成功恢复了购买！</t>
  </si>
  <si>
    <t>Bạn đã khôi phục thành công mua hàng của mình!</t>
  </si>
  <si>
    <t>WelcomeBack</t>
  </si>
  <si>
    <t>Welcome Back!</t>
  </si>
  <si>
    <t>مرحبًا بعودتك!</t>
  </si>
  <si>
    <t>Vítej zpět!</t>
  </si>
  <si>
    <t>Willkommen zurück!</t>
  </si>
  <si>
    <t>Καλως ορισες πισω!</t>
  </si>
  <si>
    <t>¡Bienvenido de nuevo!</t>
  </si>
  <si>
    <t>Tere tulemast tagasi!</t>
  </si>
  <si>
    <t>Tervetuloa takaisin!</t>
  </si>
  <si>
    <t>Content de te revoir!</t>
  </si>
  <si>
    <t>वापसी पर स्वागत है!</t>
  </si>
  <si>
    <t>Selamat Datang kembali!</t>
  </si>
  <si>
    <t>Bentornato!</t>
  </si>
  <si>
    <t>おかえり！</t>
  </si>
  <si>
    <t>ស្វា​គម​ន៏​ការ​ត្រ​លប់​មក​វិញ!</t>
  </si>
  <si>
    <t>ಮರಳಿ ಸ್ವಾಗತ!</t>
  </si>
  <si>
    <t>다시 오신 것을 환영합니다!</t>
  </si>
  <si>
    <t>ຍິນ​ດີ​ຕ້ອນ​ຮັບ​ກັບ!</t>
  </si>
  <si>
    <t>Laipni lūdzam atpakaļ!</t>
  </si>
  <si>
    <t>Selamat kembali!</t>
  </si>
  <si>
    <t>Welkom terug!</t>
  </si>
  <si>
    <t>Witamy spowrotem!</t>
  </si>
  <si>
    <t>Bem vindo de volta!</t>
  </si>
  <si>
    <t>Добро пожаловать!</t>
  </si>
  <si>
    <t>ยินดีต้อนรับกลับ!</t>
  </si>
  <si>
    <t>Tekrar hoşgeldiniz!</t>
  </si>
  <si>
    <t>З поверненням!</t>
  </si>
  <si>
    <t>欢迎回来！</t>
  </si>
  <si>
    <t>Chào mừng trở lại!</t>
  </si>
  <si>
    <t>letStart</t>
  </si>
  <si>
    <t>Let's Start</t>
  </si>
  <si>
    <t>لنبدأ</t>
  </si>
  <si>
    <t>Začněme</t>
  </si>
  <si>
    <t>Lasst uns beginnen</t>
  </si>
  <si>
    <t>Ας αρχίσουμε</t>
  </si>
  <si>
    <t>Empecemos</t>
  </si>
  <si>
    <t>Alustame</t>
  </si>
  <si>
    <t>Aloitetaan</t>
  </si>
  <si>
    <t>Commençons</t>
  </si>
  <si>
    <t>चलो शुरू करो</t>
  </si>
  <si>
    <t>Ayo mulai</t>
  </si>
  <si>
    <t>Iniziamo</t>
  </si>
  <si>
    <t>はじめましょう</t>
  </si>
  <si>
    <t>តោះ​ចាប់​ផ្ដើម</t>
  </si>
  <si>
    <t>ಪ್ರಾರಂಭಿಸೋಣ</t>
  </si>
  <si>
    <t>시작하자</t>
  </si>
  <si>
    <t>ໃຫ້ເລີ່ມຕົ້ນ</t>
  </si>
  <si>
    <t>Sāksim</t>
  </si>
  <si>
    <t>Mari mulakan</t>
  </si>
  <si>
    <t>Laten we beginnen</t>
  </si>
  <si>
    <t>Zaczynajmy</t>
  </si>
  <si>
    <t>Vamos começar</t>
  </si>
  <si>
    <t>Давайте начнем</t>
  </si>
  <si>
    <t>เริ่มกันเลย</t>
  </si>
  <si>
    <t>Hadi başlayalım</t>
  </si>
  <si>
    <t>Давайте розпочнемо</t>
  </si>
  <si>
    <t>开始吧</t>
  </si>
  <si>
    <t>Hãy bắt đầu</t>
  </si>
  <si>
    <t>OPEN</t>
  </si>
  <si>
    <t>يفتح</t>
  </si>
  <si>
    <t>OTEVŘENO</t>
  </si>
  <si>
    <t>OFFEN</t>
  </si>
  <si>
    <t>ΑΝΟΙΞΕ</t>
  </si>
  <si>
    <t>ABIERTO</t>
  </si>
  <si>
    <t>Lahti</t>
  </si>
  <si>
    <t>AVATA</t>
  </si>
  <si>
    <t>OUVRIR</t>
  </si>
  <si>
    <t>खुला</t>
  </si>
  <si>
    <t>MEMBUKA</t>
  </si>
  <si>
    <t>APRIRE</t>
  </si>
  <si>
    <t>開ける</t>
  </si>
  <si>
    <t>ដេលចមហរ</t>
  </si>
  <si>
    <t>ತೆರೆ</t>
  </si>
  <si>
    <t>열려 있는</t>
  </si>
  <si>
    <t>ເປີດ</t>
  </si>
  <si>
    <t>Atvērt</t>
  </si>
  <si>
    <t>BUKA</t>
  </si>
  <si>
    <t>OTWARTY</t>
  </si>
  <si>
    <t>ABRIR</t>
  </si>
  <si>
    <t>ОТКРЫТЬ</t>
  </si>
  <si>
    <t>เปิด</t>
  </si>
  <si>
    <t>AÇIK</t>
  </si>
  <si>
    <t>ВІДЧИНЕНО</t>
  </si>
  <si>
    <t>打开</t>
  </si>
  <si>
    <t>MỞ</t>
  </si>
  <si>
    <t>Kind</t>
  </si>
  <si>
    <t>عطوف</t>
  </si>
  <si>
    <t>Druh</t>
  </si>
  <si>
    <t>Art</t>
  </si>
  <si>
    <t>Είδος</t>
  </si>
  <si>
    <t>Amable</t>
  </si>
  <si>
    <t>Lahke</t>
  </si>
  <si>
    <t>Ystävällinen</t>
  </si>
  <si>
    <t>Gentil</t>
  </si>
  <si>
    <t>दयालु</t>
  </si>
  <si>
    <t>Baik</t>
  </si>
  <si>
    <t>Tipo</t>
  </si>
  <si>
    <t>親切</t>
  </si>
  <si>
    <t>ចិត្ដល្អ</t>
  </si>
  <si>
    <t>ರೀತಿಯ</t>
  </si>
  <si>
    <t>친절한</t>
  </si>
  <si>
    <t>ປະເພດ</t>
  </si>
  <si>
    <t>Veids</t>
  </si>
  <si>
    <t>Jenis</t>
  </si>
  <si>
    <t>Vriendelijk</t>
  </si>
  <si>
    <t>Uprzejmy</t>
  </si>
  <si>
    <t>Добрый</t>
  </si>
  <si>
    <t>ใจดี</t>
  </si>
  <si>
    <t>Tür</t>
  </si>
  <si>
    <t>Вид</t>
  </si>
  <si>
    <t>种类</t>
  </si>
  <si>
    <t>Loại</t>
  </si>
  <si>
    <t>Created</t>
  </si>
  <si>
    <t>مخلوق</t>
  </si>
  <si>
    <t>Vytvořené</t>
  </si>
  <si>
    <t>Erstellt</t>
  </si>
  <si>
    <t>Δημιουργηθείσα</t>
  </si>
  <si>
    <t>Creado</t>
  </si>
  <si>
    <t>Loodud</t>
  </si>
  <si>
    <t>Luotu</t>
  </si>
  <si>
    <t>Créé</t>
  </si>
  <si>
    <t>बनाया था</t>
  </si>
  <si>
    <t>Dibuat</t>
  </si>
  <si>
    <t>Creato</t>
  </si>
  <si>
    <t>作成した</t>
  </si>
  <si>
    <t>បានបង្កើត</t>
  </si>
  <si>
    <t>ರಚಿಸಿದ</t>
  </si>
  <si>
    <t>만들어진</t>
  </si>
  <si>
    <t>ສ້າງຂື້ນ</t>
  </si>
  <si>
    <t>Izveidots</t>
  </si>
  <si>
    <t>Dicipta</t>
  </si>
  <si>
    <t>Gecreëerd</t>
  </si>
  <si>
    <t>Utworzony</t>
  </si>
  <si>
    <t>Criada</t>
  </si>
  <si>
    <t>Созданный</t>
  </si>
  <si>
    <t>สร้าง</t>
  </si>
  <si>
    <t>Yaratılmış</t>
  </si>
  <si>
    <t>Створений</t>
  </si>
  <si>
    <t>创建</t>
  </si>
  <si>
    <t>Tạo</t>
  </si>
  <si>
    <t>Modified</t>
  </si>
  <si>
    <t>معدل</t>
  </si>
  <si>
    <t>Upraveno</t>
  </si>
  <si>
    <t>Geändert</t>
  </si>
  <si>
    <t>Τροποποιημένος</t>
  </si>
  <si>
    <t>Modificado</t>
  </si>
  <si>
    <t>Modifitseeritud</t>
  </si>
  <si>
    <t>Muutettu</t>
  </si>
  <si>
    <t>Modifié</t>
  </si>
  <si>
    <t>संशोधित</t>
  </si>
  <si>
    <t>Diubah</t>
  </si>
  <si>
    <t>Modificata</t>
  </si>
  <si>
    <t>修正</t>
  </si>
  <si>
    <t>ಮಾರ್ಪಡಿಸಿದ</t>
  </si>
  <si>
    <t>수정</t>
  </si>
  <si>
    <t>ແກ້ໄຂໄດ້</t>
  </si>
  <si>
    <t>Modificēts</t>
  </si>
  <si>
    <t>Diubahsuai</t>
  </si>
  <si>
    <t>Zmodyfikowane</t>
  </si>
  <si>
    <t>Модифицированный</t>
  </si>
  <si>
    <t>ดัดแปลง</t>
  </si>
  <si>
    <t>Değiştirilmiş</t>
  </si>
  <si>
    <t>Модифікований</t>
  </si>
  <si>
    <t>修改的</t>
  </si>
  <si>
    <t>Sửa đổi</t>
  </si>
  <si>
    <t>Lastopened</t>
  </si>
  <si>
    <t>Last opened</t>
  </si>
  <si>
    <t>افتتح آخر مرة</t>
  </si>
  <si>
    <t>Naposledy se otevřelo</t>
  </si>
  <si>
    <t>Zuletzt geöffnet</t>
  </si>
  <si>
    <t>Άνοιξε τελευταία</t>
  </si>
  <si>
    <t>Última apertura</t>
  </si>
  <si>
    <t>Viimati avati</t>
  </si>
  <si>
    <t>Viimeksi avattu</t>
  </si>
  <si>
    <t>Dernière ouverte</t>
  </si>
  <si>
    <t>अंतिम खोला गया</t>
  </si>
  <si>
    <t>Terakhir dibuka</t>
  </si>
  <si>
    <t>Ultimo aperto</t>
  </si>
  <si>
    <t>最後にオープンしました</t>
  </si>
  <si>
    <t>បានបើកចុងក្រោយ</t>
  </si>
  <si>
    <t>ಕೊನೆಯದಾಗಿ ತೆರೆಯಲಾಗಿದೆ</t>
  </si>
  <si>
    <t>마지막으로 열렸습니다</t>
  </si>
  <si>
    <t>ເປີດຄັ້ງສຸດທ້າຍ</t>
  </si>
  <si>
    <t>Pēdējo reizi atvērts</t>
  </si>
  <si>
    <t>Laatst geopend</t>
  </si>
  <si>
    <t>Ostatnio otwarty</t>
  </si>
  <si>
    <t>Última abertura</t>
  </si>
  <si>
    <t>Последний открылся</t>
  </si>
  <si>
    <t>เปิดล่าสุด</t>
  </si>
  <si>
    <t>Son açıldı</t>
  </si>
  <si>
    <t>Востаннє</t>
  </si>
  <si>
    <t>最后打开</t>
  </si>
  <si>
    <t>Lần mở cuối cùng</t>
  </si>
  <si>
    <t>at</t>
  </si>
  <si>
    <t>في</t>
  </si>
  <si>
    <t>na</t>
  </si>
  <si>
    <t>bei</t>
  </si>
  <si>
    <t>στο</t>
  </si>
  <si>
    <t>juures</t>
  </si>
  <si>
    <t>à</t>
  </si>
  <si>
    <t>पर</t>
  </si>
  <si>
    <t>pada</t>
  </si>
  <si>
    <t>A</t>
  </si>
  <si>
    <t>で</t>
  </si>
  <si>
    <t>ក្នុង</t>
  </si>
  <si>
    <t>ಬಳಿಗೆ</t>
  </si>
  <si>
    <t>~에</t>
  </si>
  <si>
    <t>ທີ່</t>
  </si>
  <si>
    <t>pie</t>
  </si>
  <si>
    <t>bij</t>
  </si>
  <si>
    <t>Na</t>
  </si>
  <si>
    <t>no</t>
  </si>
  <si>
    <t>ที่</t>
  </si>
  <si>
    <t>-den</t>
  </si>
  <si>
    <t>在</t>
  </si>
  <si>
    <t>lúc</t>
  </si>
  <si>
    <t>noEmail</t>
  </si>
  <si>
    <t>No Email!</t>
  </si>
  <si>
    <t>لا البريد الإلكتروني!</t>
  </si>
  <si>
    <t>Žádný e -mail!</t>
  </si>
  <si>
    <t>Keine Email!</t>
  </si>
  <si>
    <t>Χωρίς email!</t>
  </si>
  <si>
    <t>¡Sin correo electrónico!</t>
  </si>
  <si>
    <t>Pole e -posti aadressi!</t>
  </si>
  <si>
    <t>Ei sähköpostia!</t>
  </si>
  <si>
    <t>Pas de courriel!</t>
  </si>
  <si>
    <t>कोई ईमेल नहीं!</t>
  </si>
  <si>
    <t>Tidak ada email!</t>
  </si>
  <si>
    <t>Nessuna e -mail!</t>
  </si>
  <si>
    <t>メールなし！</t>
  </si>
  <si>
    <t>គ្មានអ៊ីមែលទេ!</t>
  </si>
  <si>
    <t>ಇಮೇಲ್ ಇಲ್ಲ!</t>
  </si>
  <si>
    <t>이메일 없음!</t>
  </si>
  <si>
    <t>ບໍ່ມີອີເມວ!</t>
  </si>
  <si>
    <t>Nav e -pasta!</t>
  </si>
  <si>
    <t>Tiada e -mel!</t>
  </si>
  <si>
    <t>Geen e -mail!</t>
  </si>
  <si>
    <t>Brak e -maila!</t>
  </si>
  <si>
    <t>Sem e -mail!</t>
  </si>
  <si>
    <t>Нет электронной почты!</t>
  </si>
  <si>
    <t>ไม่มีอีเมล!</t>
  </si>
  <si>
    <t>Email yok!</t>
  </si>
  <si>
    <t>Немає електронної пошти!</t>
  </si>
  <si>
    <t>没有电子邮件！</t>
  </si>
  <si>
    <t>Không có email!</t>
  </si>
  <si>
    <t>noEmailMessage</t>
  </si>
  <si>
    <t>Please install and log in to your email.</t>
  </si>
  <si>
    <t>يرجى تثبيت وتسجيل الدخول إلى بريدك الإلكتروني.</t>
  </si>
  <si>
    <t>Nainstalujte a přihlaste se do svého e -mailu.</t>
  </si>
  <si>
    <t>Bitte installieren Sie und melden Sie sich in Ihrer E -Mail an.</t>
  </si>
  <si>
    <t>Εγκαταστήστε και συνδεθείτε στο email σας.</t>
  </si>
  <si>
    <t>Instale e inicie sesión en su correo electrónico.</t>
  </si>
  <si>
    <t>Palun installige ja logige sisse oma e -posti aadressile.</t>
  </si>
  <si>
    <t>Asenna ja kirjaudu sisään sähköpostiisi.</t>
  </si>
  <si>
    <t>Veuillez installer et vous connecter à votre e-mail.</t>
  </si>
  <si>
    <t>कृपया अपने ईमेल में स्थापित करें और लॉग इन करें।</t>
  </si>
  <si>
    <t>Harap instal dan masuk ke email Anda.</t>
  </si>
  <si>
    <t>Si prega di installare e accedere alla tua email.</t>
  </si>
  <si>
    <t>メールにインストールしてログインしてください。</t>
  </si>
  <si>
    <t>សូមដំឡើងហើយចូលអ៊ីមែលរបស់អ្នក។</t>
  </si>
  <si>
    <t>ದಯವಿಟ್ಟು ನಿಮ್ಮ ಇಮೇಲ್‌ಗೆ ಸ್ಥಾಪಿಸಿ ಮತ್ತು ಲಾಗ್ ಇನ್ ಮಾಡಿ.</t>
  </si>
  <si>
    <t>이메일을 설치하고 로그인하십시오.</t>
  </si>
  <si>
    <t>ກະລຸນາຕິດຕັ້ງແລະເຂົ້າສູ່ອີເມວຂອງທ່ານ.</t>
  </si>
  <si>
    <t>Lūdzu, instalējiet un piesakieties savā e -pastā.</t>
  </si>
  <si>
    <t>Sila pasang dan log masuk ke e -mel anda.</t>
  </si>
  <si>
    <t>Installeer en log in op uw e -mail.</t>
  </si>
  <si>
    <t>Zainstaluj i zaloguj się do swojego e -maila.</t>
  </si>
  <si>
    <t>Instale e faça login no seu e -mail.</t>
  </si>
  <si>
    <t>Пожалуйста, установите и войдите в свою электронную почту.</t>
  </si>
  <si>
    <t>โปรดติดตั้งและเข้าสู่ระบบอีเมลของคุณ</t>
  </si>
  <si>
    <t>Lütfen yükleyin ve e -postanıza giriş yapın.</t>
  </si>
  <si>
    <t>Будь ласка, встановіть та увійдіть на свою електронну пошту.</t>
  </si>
  <si>
    <t>请安装并登录到您的电子邮件。</t>
  </si>
  <si>
    <t>Vui lòng cài đặt và đăng nhập vào email của bạn.</t>
  </si>
  <si>
    <t>maxSizeRealm</t>
  </si>
  <si>
    <t>File size exceeds maximum limit</t>
  </si>
  <si>
    <t>يتجاوز حجم الملف الحد الأقصى</t>
  </si>
  <si>
    <t>Velikost souboru přesahuje maximální limit</t>
  </si>
  <si>
    <t>Die Dateigröße überschreitet die maximale Grenze</t>
  </si>
  <si>
    <t>Το μέγεθος του αρχείου υπερβαίνει το μέγιστο όριο</t>
  </si>
  <si>
    <t>El tamaño del archivo excede el límite máximo</t>
  </si>
  <si>
    <t>Faili suurus ületab maksimaalse piiri</t>
  </si>
  <si>
    <t>Tiedoston koko ylittää enimmäisrajan</t>
  </si>
  <si>
    <t>La taille du fichier dépasse la limite maximale</t>
  </si>
  <si>
    <t>फ़ाइल का आकार अधिकतम सीमा से अधिक है</t>
  </si>
  <si>
    <t>Ukuran file melebihi batas maksimum</t>
  </si>
  <si>
    <t>La dimensione del file supera il limite massimo</t>
  </si>
  <si>
    <t>ファイルサイズは最大制限を超えます</t>
  </si>
  <si>
    <t>ទំហំឯកសារលើសដែនកំណត់អតិបរមា</t>
  </si>
  <si>
    <t>ಫೈಲ್ ಗಾತ್ರವು ಗರಿಷ್ಠ ಮಿತಿಯನ್ನು ಮೀರಿದೆ</t>
  </si>
  <si>
    <t>파일 크기는 최대 한계를 초과합니다</t>
  </si>
  <si>
    <t>ຂະຫນາດໄຟລ໌ເກີນຂອບເຂດຈໍາກັດສູງສຸດ</t>
  </si>
  <si>
    <t>Faila lielums pārsniedz maksimālo robežu</t>
  </si>
  <si>
    <t>Saiz fail melebihi had maksimum</t>
  </si>
  <si>
    <t>Bestandsgrootte overschrijdt de maximale limiet</t>
  </si>
  <si>
    <t>Rozmiar pliku przekracza maksymalny limit</t>
  </si>
  <si>
    <t>O tamanho do arquivo excede o limite máximo</t>
  </si>
  <si>
    <t>Размер файла превышает максимальный предел</t>
  </si>
  <si>
    <t>ขนาดไฟล์เกินขีด จำกัด สูงสุด</t>
  </si>
  <si>
    <t>Dosya boyutu maksimum sınırı aşıyor</t>
  </si>
  <si>
    <t>Розмір файлу перевищує максимальний ліміт</t>
  </si>
  <si>
    <t>文件大小超过最大限制</t>
  </si>
  <si>
    <t>Kích thước tệp vượt quá giới hạn tối đa</t>
  </si>
  <si>
    <t>recoverEmailTitle</t>
  </si>
  <si>
    <t>Need help with your password?</t>
  </si>
  <si>
    <t>هل تحتاج مساعدة مع كلمة السر خاصتك؟</t>
  </si>
  <si>
    <t>Potřebujete pomoc s heslem?</t>
  </si>
  <si>
    <t>Benötigen Sie Hilfe mit Ihrem Passwort?</t>
  </si>
  <si>
    <t>Χρειάζεστε βοήθεια με τον κωδικό πρόσβασής σας;</t>
  </si>
  <si>
    <t>¿Necesitas ayuda con tu contraseña?</t>
  </si>
  <si>
    <t>Kas vajate abi oma parooliga?</t>
  </si>
  <si>
    <t>Tarvitsetko apua salasanasi kanssa?</t>
  </si>
  <si>
    <t>Besoin d'aide avec votre mot de passe?</t>
  </si>
  <si>
    <t>अपने पासवर्ड के साथ मदद की आवश्यकता है?</t>
  </si>
  <si>
    <t>Butuh bantuan dengan kata sandi Anda?</t>
  </si>
  <si>
    <t>Hai bisogno di aiuto con la tua password?</t>
  </si>
  <si>
    <t>パスワードのサポートが必要ですか？</t>
  </si>
  <si>
    <t>ត្រូវការជំនួយដោយប្រើលេខសំងាត់របស់អ្នកទេ?</t>
  </si>
  <si>
    <t>ನಿಮ್ಮ ಪಾಸ್‌ವರ್ಡ್‌ಗೆ ಸಹಾಯ ಬೇಕೇ?</t>
  </si>
  <si>
    <t>비밀번호에 대한 도움이 필요하십니까?</t>
  </si>
  <si>
    <t>ຕ້ອງການຄວາມຊ່ວຍເຫຼືອໃນລະຫັດຜ່ານຂອງທ່ານບໍ?</t>
  </si>
  <si>
    <t>Vai nepieciešama palīdzība ar savu paroli?</t>
  </si>
  <si>
    <t>Perlukan bantuan dengan kata laluan anda?</t>
  </si>
  <si>
    <t>Hulp nodig bij uw wachtwoord?</t>
  </si>
  <si>
    <t>Potrzebujesz pomocy z hasłem?</t>
  </si>
  <si>
    <t>Precisa de ajuda com a sua senha?</t>
  </si>
  <si>
    <t>Нужна помощь с паролем?</t>
  </si>
  <si>
    <t>ต้องการความช่วยเหลือเกี่ยวกับรหัสผ่านของคุณหรือไม่?</t>
  </si>
  <si>
    <t>Şifrenizle ilgili yardıma mı ihtiyacınız var?</t>
  </si>
  <si>
    <t>Потрібна допомога з вашим паролем?</t>
  </si>
  <si>
    <t>需要密码的帮助吗？</t>
  </si>
  <si>
    <t>cần sự giúp đỡ với mật khẩu của bạn?</t>
  </si>
  <si>
    <t>recoverEmailMessage</t>
  </si>
  <si>
    <t>Enter the email you have set up for this account, we will send the password to this mailbox</t>
  </si>
  <si>
    <t>أدخل البريد الإلكتروني الذي قمت بإعداده لهذا الحساب ، وسنرسل كلمة المرور إلى صندوق البريد هذا</t>
  </si>
  <si>
    <t>Zadejte e -mail, který jste nastavili pro tento účet, zašleme heslo do této poštovní schránky</t>
  </si>
  <si>
    <t>Geben Sie die E -Mail ein, die Sie für dieses Konto eingerichtet haben. Wir senden das Passwort an diese Mailbox</t>
  </si>
  <si>
    <t>Εισαγάγετε το email που έχετε ρυθμίσει για αυτόν τον λογαριασμό, θα στείλουμε τον κωδικό πρόσβασης σε αυτό το γραμματοκιβώτιο</t>
  </si>
  <si>
    <t>Ingrese el correo electrónico que ha configurado para esta cuenta, enviaremos la contraseña a este buzón</t>
  </si>
  <si>
    <t>Sisestage selle konto jaoks seadistatud e -kiri, saadame parooli sellele postkastile</t>
  </si>
  <si>
    <t>Kirjoita tälle tilille määrittämäsi sähköposti, lähetämme salasanan tähän postilaatikkoon</t>
  </si>
  <si>
    <t>Entrez l'e-mail que vous avez configuré pour ce compte, nous enverrons le mot de passe à cette boîte aux lettres</t>
  </si>
  <si>
    <t>इस खाते के लिए आपके द्वारा सेट किए गए ईमेल को दर्ज करें, हम इस मेलबॉक्स में पासवर्ड भेजेंगे</t>
  </si>
  <si>
    <t>Masukkan email yang telah Anda atur untuk akun ini, kami akan mengirim kata sandi ke kotak surat ini</t>
  </si>
  <si>
    <t>Inserisci l'e -mail che hai impostato per questo account, invieremo la password a questa casella di posta</t>
  </si>
  <si>
    <t>このアカウントに設定したメールを入力して、このメールボックスにパスワードを送信します</t>
  </si>
  <si>
    <t>បញ្ចូលអ៊ីមែលដែលអ្នកបានបង្កើតសម្រាប់គណនីនេះយើងនឹងផ្ញើពាក្យសម្ងាត់ទៅប្រអប់សំបុត្រនេះ</t>
  </si>
  <si>
    <t>ಈ ಖಾತೆಗಾಗಿ ನೀವು ಹೊಂದಿಸಿದ ಇಮೇಲ್ ಅನ್ನು ನಮೂದಿಸಿ, ನಾವು ಪಾಸ್‌ವರ್ಡ್ ಅನ್ನು ಈ ಮೇಲ್‌ಬಾಕ್ಸ್‌ಗೆ ಕಳುಹಿಸುತ್ತೇವೆ</t>
  </si>
  <si>
    <t>이 계정을 위해 설정 한 이메일을 입력하면이 사서함에 비밀번호를 보내드립니다.</t>
  </si>
  <si>
    <t>ກະລຸນາໃສ່ອີເມວທີ່ທ່ານໄດ້ສ້າງຕັ້ງຂຶ້ນສໍາລັບບັນຊີນີ້, ພວກເຮົາຈະສົ່ງລະຫັດຜ່ານເຂົ້າໃນກ່ອງຈົດຫມາຍນີ້</t>
  </si>
  <si>
    <t>Ievadiet šim kontam iestatīto e -pastu, mēs nosūtīsim paroli uz šo pastkasti</t>
  </si>
  <si>
    <t>Masukkan e -mel yang telah anda sediakan untuk akaun ini, kami akan menghantar kata laluan ke peti mel ini</t>
  </si>
  <si>
    <t>Voer de e -mail in die u voor dit account hebt ingesteld, we sturen het wachtwoord naar deze mailbox</t>
  </si>
  <si>
    <t>Wprowadź wiadomość e -mail skonfigurowaną dla tego konta, wyślemy hasło do tej skrzynki pocztowej</t>
  </si>
  <si>
    <t>Digite o email que você configurou para esta conta, enviaremos a senha para esta caixa de correio</t>
  </si>
  <si>
    <t>Введите электронное письмо, которое вы настроили для этой учетной записи, мы отправим пароль в этот почтовый ящик</t>
  </si>
  <si>
    <t>ป้อนอีเมลที่คุณตั้งค่าสำหรับบัญชีนี้เราจะส่งรหัสผ่านไปยังกล่องจดหมายนี้</t>
  </si>
  <si>
    <t>Bu hesap için ayarladığınız e -postayı girin, şifreyi bu posta kutusuna göndereceğiz</t>
  </si>
  <si>
    <t>Введіть електронну пошту, яку ви налаштували для цього облікового запису, ми надішлемо пароль на цю поштову скриньку</t>
  </si>
  <si>
    <t>输入您为此帐户设置的电子邮件，我们将将密码发送到此邮箱</t>
  </si>
  <si>
    <t>Nhập email bạn đã thiết lập cho tài khoản, chúng tôi sẽ gửi mật khẩu đến hộp thư này</t>
  </si>
  <si>
    <t>noEmailFoundTitle</t>
  </si>
  <si>
    <t>No Emails Found!</t>
  </si>
  <si>
    <t>لم يتم العثور على رسائل بريد إلكتروني!</t>
  </si>
  <si>
    <t>Žádné e -maily!</t>
  </si>
  <si>
    <t>Keine E -Mails gefunden!</t>
  </si>
  <si>
    <t>Δεν βρέθηκαν μηνύματα ηλεκτρονικού ταχυδρομείου!</t>
  </si>
  <si>
    <t>¡No se encontraron correos electrónicos!</t>
  </si>
  <si>
    <t>E -kirju ei leitud!</t>
  </si>
  <si>
    <t>Sähköposteja ei löydy!</t>
  </si>
  <si>
    <t>Aucun e-mail trouvé!</t>
  </si>
  <si>
    <t>कोई ईमेल नहीं मिला!</t>
  </si>
  <si>
    <t>Tidak ada email yang ditemukan!</t>
  </si>
  <si>
    <t>Nessuna e -mail trovata!</t>
  </si>
  <si>
    <t>メールは見つかりません！</t>
  </si>
  <si>
    <t>រកមិនឃើញអ៊ីមែលទេ!</t>
  </si>
  <si>
    <t>ಯಾವುದೇ ಇಮೇಲ್‌ಗಳು ಕಂಡುಬಂದಿಲ್ಲ!</t>
  </si>
  <si>
    <t>이메일이 없습니다!</t>
  </si>
  <si>
    <t>ບໍ່ພົບອີເມວ!</t>
  </si>
  <si>
    <t>Nav atrasti e -pasti!</t>
  </si>
  <si>
    <t>Tiada e -mel yang dijumpai!</t>
  </si>
  <si>
    <t>Geen e -mails gevonden!</t>
  </si>
  <si>
    <t>Nie znaleziono e -maili!</t>
  </si>
  <si>
    <t>Nenhum e -mail encontrado!</t>
  </si>
  <si>
    <t>Электронные письма не найдены!</t>
  </si>
  <si>
    <t>ไม่พบอีเมล!</t>
  </si>
  <si>
    <t>E -posta bulunamadı!</t>
  </si>
  <si>
    <t>Електронних листів не знайдено!</t>
  </si>
  <si>
    <t>找不到电子邮件！</t>
  </si>
  <si>
    <t>Không tìm thấy email!</t>
  </si>
  <si>
    <t>noEmailFoundMessage</t>
  </si>
  <si>
    <t>The email you provided doesn't match any of the setup emails, please check again.</t>
  </si>
  <si>
    <t>البريد الإلكتروني الذي قدمته لا يتطابق مع أي من رسائل البريد الإلكتروني الإعداد ، يرجى التحقق مرة أخرى.</t>
  </si>
  <si>
    <t>E -mail, který jste poskytli, neodpovídá žádnému z e -mailů s nastavením, zkontrolujte prosím znovu.</t>
  </si>
  <si>
    <t>Die E -Mail, die Sie bereitgestellt haben, übereinstimmt nicht mit den Setup -E -Mails. Bitte überprüfen Sie erneut.</t>
  </si>
  <si>
    <t>Το email που δώσατε δεν ταιριάζει με κανένα από τα μηνύματα εγκαταστάσεων, ελέγξτε ξανά.</t>
  </si>
  <si>
    <t>El correo electrónico que proporcionó no coincide con ninguno de los correos electrónicos de configuración, consulte nuevamente.</t>
  </si>
  <si>
    <t>Teie esitatud e -kiri ei vasta ühelegi seadistusmeilile, palun kontrollige uuesti.</t>
  </si>
  <si>
    <t>Antamasi sähköposti ei vastaa mitään asennuspostiviestejä, tarkista uudelleen.</t>
  </si>
  <si>
    <t>L'e-mail que vous avez fourni ne correspond à aucun des e-mails de configuration, veuillez vérifier à nouveau.</t>
  </si>
  <si>
    <t>आपके द्वारा प्रदान किया गया ईमेल किसी भी सेटअप ईमेल से मेल नहीं खाता है, कृपया फिर से जांचें।</t>
  </si>
  <si>
    <t>Email yang Anda berikan tidak cocok dengan salah satu email pengaturan, silakan periksa lagi.</t>
  </si>
  <si>
    <t>L'e -mail che hai fornito non corrisponde a nessuna delle e -mail di configurazione, ricontrollare.</t>
  </si>
  <si>
    <t>提供したメールは、セットアップメールのいずれにも一致しません。もう一度確認してください。</t>
  </si>
  <si>
    <t>អ៊ីមែលដែលអ្នកបានផ្តល់មិនត្រូវនឹងអ៊ីម៉ែលតំឡើងទេសូមពិនិត្យមើលម្តងទៀត។</t>
  </si>
  <si>
    <t>ನೀವು ಒದಗಿಸಿದ ಇಮೇಲ್ ಯಾವುದೇ ಸೆಟಪ್ ಇಮೇಲ್‌ಗಳಿಗೆ ಹೊಂದಿಕೆಯಾಗುವುದಿಲ್ಲ, ದಯವಿಟ್ಟು ಮತ್ತೆ ಪರಿಶೀಲಿಸಿ.</t>
  </si>
  <si>
    <t>제공 한 이메일은 설정 이메일과 일치하지 않습니다. 다시 확인하십시오.</t>
  </si>
  <si>
    <t>ອີເມວທີ່ທ່ານສະຫນອງບໍ່ກົງກັບອີເມວທີ່ຕັ້ງໄວ້, ກະລຸນາກວດເບິ່ງອີກຄັ້ງ.</t>
  </si>
  <si>
    <t>Jūsu sniegtais e -pasts neatbilst nevienam no iestatīšanas e -pastiem, lūdzu, pārbaudiet vēlreiz.</t>
  </si>
  <si>
    <t>E -mel yang anda berikan tidak sepadan dengan mana -mana e -mel persediaan, sila semak lagi.</t>
  </si>
  <si>
    <t>De e -mail die u hebt verstrekt, komt niet overeen met de setup -e -mails, controleer opnieuw.</t>
  </si>
  <si>
    <t>Podany e -mail nie pasuje do żadnego z e -maili konfiguracyjnych, sprawdź ponownie.</t>
  </si>
  <si>
    <t>O email que você forneceu não corresponde a nenhum dos e -mails de configuração, verifique novamente.</t>
  </si>
  <si>
    <t>Предоставленное вами электронное письмо не соответствует ни одному из электронных писем, пожалуйста, проверьте еще раз.</t>
  </si>
  <si>
    <t>อีเมลที่คุณให้ไว้ไม่ตรงกับอีเมลการตั้งค่าใด ๆ โปรดตรวจสอบอีกครั้ง</t>
  </si>
  <si>
    <t>Sağladığınız e -posta kurulum e -postalarından hiçbiriyle eşleşmez, lütfen tekrar kontrol edin.</t>
  </si>
  <si>
    <t>Наданий вами електронний лист не відповідає жодному з електронних листів налаштування, будь ласка, перевірте ще раз.</t>
  </si>
  <si>
    <t>您提供的电子邮件与任何设置电子邮件都不匹配，请再次检查。</t>
  </si>
  <si>
    <t>Email bạn cung cấp không phù hợp với bất kỳ email nào đã thiết lập, vui lòng kiểm tra lại.</t>
  </si>
  <si>
    <t>PasswordRecovery</t>
  </si>
  <si>
    <t>Password Recovery</t>
  </si>
  <si>
    <t>استعادة كلمة السر</t>
  </si>
  <si>
    <t>Obnova hesla</t>
  </si>
  <si>
    <t>Passwort-Wiederherstellung</t>
  </si>
  <si>
    <t>ΑΝΑΚΤΗΣΗ ΚΩΔΙΚΟΥ</t>
  </si>
  <si>
    <t>Recuperación de contraseña</t>
  </si>
  <si>
    <t>Parooli taastamine</t>
  </si>
  <si>
    <t>Salasanan palautus</t>
  </si>
  <si>
    <t>Récupération de mot de passe</t>
  </si>
  <si>
    <t>पासवर्ड की दोबारा प्राप्ति</t>
  </si>
  <si>
    <t>Pemulihan Kata Sandi</t>
  </si>
  <si>
    <t>Recupero della password</t>
  </si>
  <si>
    <t>パスワードの復元</t>
  </si>
  <si>
    <t>ការសង្គ្រោះលេខសំងាត់</t>
  </si>
  <si>
    <t>ಪಾಸ್ವರ್ಡ್ ಮರುಪಡೆಯುವಿಕೆ</t>
  </si>
  <si>
    <t>비밀번호 복구</t>
  </si>
  <si>
    <t>ການກູ້ລະຫັດຜ່ານ</t>
  </si>
  <si>
    <t>Paroles atkopšana</t>
  </si>
  <si>
    <t>Pemulihan kata laluan</t>
  </si>
  <si>
    <t>Wachtwoord herstel</t>
  </si>
  <si>
    <t>Odzyskiwanie hasła</t>
  </si>
  <si>
    <t>Recuperação de senha</t>
  </si>
  <si>
    <t>Şifre kurtarma</t>
  </si>
  <si>
    <t>Відновлення паролю</t>
  </si>
  <si>
    <t>找回密码</t>
  </si>
  <si>
    <t>sendMessageCompletedMessage</t>
  </si>
  <si>
    <t>We've just sent you an email with password recovery. Please check your inbox.</t>
  </si>
  <si>
    <t>لقد أرسلنا لك بريدًا إلكترونيًا مع استرداد كلمة المرور. يرجى التحقق من البريد الوارد الخاص بك.</t>
  </si>
  <si>
    <t>Právě jsme vám poslali e -mail s obnovením hesla. Zkontrolujte prosím svou doručenou poštu.</t>
  </si>
  <si>
    <t>Wir haben Ihnen gerade eine E -Mail mit Passwortwiederherstellung gesendet. Bitte überprüfen Sie Ihren Posteingang.</t>
  </si>
  <si>
    <t>Μόλις σας έστειλα ένα email με ανάκτηση κωδικού πρόσβασης. Ελέγξτε τα εισερχόμενά σας.</t>
  </si>
  <si>
    <t>Acabamos de enviarle un correo electrónico con la recuperación de contraseña. Por favor revise su bandeja de entrada.</t>
  </si>
  <si>
    <t>Saatsime teile just e -kirja paroolide taastamisega. Palun kontrollige oma postkasti.</t>
  </si>
  <si>
    <t>Olemme juuri lähettäneet sinulle sähköpostin salasanan palautuksella. Tarkista postilaatikkosi.</t>
  </si>
  <si>
    <t>Nous venons de vous envoyer un e-mail avec récupération de mot de passe. Veuillez cocher votre boîte de réception.</t>
  </si>
  <si>
    <t>हमने आपको पासवर्ड रिकवरी के साथ एक ईमेल भेजा है। कृपया अपना इनबॉक्स देखें।</t>
  </si>
  <si>
    <t>Kami baru saja mengirimi Anda email dengan pemulihan kata sandi. Silakan periksa kotak masuk Anda.</t>
  </si>
  <si>
    <t>Ti abbiamo appena inviato un'e -mail con il recupero della password. Si prega di controllare la tua casella di posta.</t>
  </si>
  <si>
    <t>パスワードの回復があるメールを送信しました。受信トレイを確認してください。</t>
  </si>
  <si>
    <t>យើងទើបតែបានផ្ញើអ៊ីមែលមកអ្នកនូវការសង្គ្រោះពាក្យសម្ងាត់។ សូមពិនិត្យមើលប្រអប់ទទួលរបស់អ្នក។</t>
  </si>
  <si>
    <t>ಪಾಸ್ವರ್ಡ್ ಚೇತರಿಕೆಯೊಂದಿಗೆ ನಾವು ನಿಮಗೆ ಇಮೇಲ್ ಕಳುಹಿಸಿದ್ದೇವೆ. ದಯವಿಟ್ಟು ನಿಮ್ಮ ಇನ್‌ಬಾಕ್ಸ್ ಪರಿಶೀಲಿಸಿ.</t>
  </si>
  <si>
    <t>방금 비밀번호 복구와 함께 이메일을 보냈습니다. 받은 편지함을 확인하십시오.</t>
  </si>
  <si>
    <t>ພວກເຮົາຫາກໍ່ສົ່ງອີເມວຫາທ່ານດ້ວຍການກູ້ລະຫັດຜ່ານ. ກະລຸນາກວດເບິ່ງກ່ອງຈົດຫມາຍຂອງທ່ານ.</t>
  </si>
  <si>
    <t>Mēs tikko nosūtījām jums e -pastu ar paroles atkopšanu. Lūdzu, pārbaudiet iesūtni.</t>
  </si>
  <si>
    <t>Kami baru sahaja menghantar e -mel dengan pemulihan kata laluan. Sila periksa peti masuk anda.</t>
  </si>
  <si>
    <t>We hebben u net een e -mail gestuurd met wachtwoordherstel. Controleer uw inbox.</t>
  </si>
  <si>
    <t>Właśnie wysłaliśmy Ci wiadomość e -mail z odzyskiwaniem hasła. Proszę, sprawdź swoją skrzynkę odbiorczą.</t>
  </si>
  <si>
    <t>Acabamos de enviar um email com a recuperação de senha. Por favor, verifique sua caixa de entrada.</t>
  </si>
  <si>
    <t>Мы только что отправили вам электронное письмо с восстановлением пароля. Пожалуйста, проверьте свой почтовый ящик.</t>
  </si>
  <si>
    <t>เราเพิ่งส่งอีเมลถึงคุณพร้อมการกู้คืนรหัสผ่าน โปรดตรวจสอบกล่องจดหมายของคุณ</t>
  </si>
  <si>
    <t>Size şifre kurtarma ile ilgili bir e -posta gönderdik. Lütfen gelen kutunuzu kontrol edin.</t>
  </si>
  <si>
    <t>Ми щойно надіслали вам електронний лист із відновленням пароля. Будь ласка, перевірте свою поштову скриньку.</t>
  </si>
  <si>
    <t>我们刚刚向您发送了一封包含密码恢复的电子邮件。请检查您的收件箱。</t>
  </si>
  <si>
    <t>Chúng tôi vừa gửi cho bạn một email để khôi phục mật khẩu. Hãy kiểm tra hộp thư đến của bạn.</t>
  </si>
  <si>
    <t>expense</t>
  </si>
  <si>
    <t>Expense</t>
  </si>
  <si>
    <t>مصروف</t>
  </si>
  <si>
    <t>Δαπάνη</t>
  </si>
  <si>
    <t>Kulutus</t>
  </si>
  <si>
    <t>Frais</t>
  </si>
  <si>
    <t>व्यय</t>
  </si>
  <si>
    <t>ការចមនាយ</t>
  </si>
  <si>
    <t>비용</t>
  </si>
  <si>
    <t>Koszt</t>
  </si>
  <si>
    <t>Despesa</t>
  </si>
  <si>
    <t>Расход</t>
  </si>
  <si>
    <t>Masraf</t>
  </si>
  <si>
    <t>Витрата</t>
  </si>
  <si>
    <t>费用</t>
  </si>
  <si>
    <t>income</t>
  </si>
  <si>
    <t>Income</t>
  </si>
  <si>
    <t>دخل</t>
  </si>
  <si>
    <t>Příjem</t>
  </si>
  <si>
    <t>Einkommen</t>
  </si>
  <si>
    <t>Εισόδημα</t>
  </si>
  <si>
    <t>Ingreso</t>
  </si>
  <si>
    <t>Tulu</t>
  </si>
  <si>
    <t>Tulo</t>
  </si>
  <si>
    <t>Revenu</t>
  </si>
  <si>
    <t>आय</t>
  </si>
  <si>
    <t>Penghasilan</t>
  </si>
  <si>
    <t>Reddito</t>
  </si>
  <si>
    <t>所得</t>
  </si>
  <si>
    <t>របាក់ចមនុល</t>
  </si>
  <si>
    <t>ಆದಾಯ</t>
  </si>
  <si>
    <t>소득</t>
  </si>
  <si>
    <t>ລາຍ​ໄດ້</t>
  </si>
  <si>
    <t>Ienākums</t>
  </si>
  <si>
    <t>Pendapatan</t>
  </si>
  <si>
    <t>Inkomen</t>
  </si>
  <si>
    <t>Dochód</t>
  </si>
  <si>
    <t>Renda</t>
  </si>
  <si>
    <t>Доход</t>
  </si>
  <si>
    <t>รายได้</t>
  </si>
  <si>
    <t>Gelir</t>
  </si>
  <si>
    <t>Дохід</t>
  </si>
  <si>
    <t>收入</t>
  </si>
  <si>
    <t>Thu nhập</t>
  </si>
  <si>
    <t>currency</t>
  </si>
  <si>
    <t>$</t>
  </si>
  <si>
    <t>ps</t>
  </si>
  <si>
    <t>ដុល្លារ</t>
  </si>
  <si>
    <t>Osta</t>
  </si>
  <si>
    <t>đ</t>
  </si>
  <si>
    <t>wallet</t>
  </si>
  <si>
    <t>Wallet</t>
  </si>
  <si>
    <t>محفظة</t>
  </si>
  <si>
    <t>Peněženka</t>
  </si>
  <si>
    <t>Geldbörse</t>
  </si>
  <si>
    <t>Πορτοφόλι</t>
  </si>
  <si>
    <t>Billetera</t>
  </si>
  <si>
    <t>Rahakott</t>
  </si>
  <si>
    <t>Lompakko</t>
  </si>
  <si>
    <t>Portefeuille</t>
  </si>
  <si>
    <t>बटुआ</t>
  </si>
  <si>
    <t>Dompet</t>
  </si>
  <si>
    <t>Portafoglio</t>
  </si>
  <si>
    <t>財布</t>
  </si>
  <si>
    <t>កាបុបលុយ</t>
  </si>
  <si>
    <t>지갑</t>
  </si>
  <si>
    <t>ກະເປົາເງິນ</t>
  </si>
  <si>
    <t>Maciņš</t>
  </si>
  <si>
    <t>Portemonnee</t>
  </si>
  <si>
    <t>Portfel</t>
  </si>
  <si>
    <t>Carteira</t>
  </si>
  <si>
    <t>Кошелек</t>
  </si>
  <si>
    <t>กระเป๋าสตางค์</t>
  </si>
  <si>
    <t>Cüzdan</t>
  </si>
  <si>
    <t>Гаманець</t>
  </si>
  <si>
    <t>钱包</t>
  </si>
  <si>
    <t>Ví</t>
  </si>
  <si>
    <t>walletbalance</t>
  </si>
  <si>
    <t>Wallet balance</t>
  </si>
  <si>
    <t>توازن المحفظة</t>
  </si>
  <si>
    <t>Rovnováha peněženky</t>
  </si>
  <si>
    <t>Brieftaschenbalance</t>
  </si>
  <si>
    <t>Ισορροπία πορτοφολιού</t>
  </si>
  <si>
    <t>Equilibrio de billetera</t>
  </si>
  <si>
    <t>Rahakoti tasakaal</t>
  </si>
  <si>
    <t>Lompakon tasapaino</t>
  </si>
  <si>
    <t>Équilibre du portefeuille</t>
  </si>
  <si>
    <t>बटुआ शेष</t>
  </si>
  <si>
    <t>Keseimbangan dompet</t>
  </si>
  <si>
    <t>Equilibrio del portafoglio</t>
  </si>
  <si>
    <t>ウォレットバランス</t>
  </si>
  <si>
    <t>តុល្យភាពកាបូប</t>
  </si>
  <si>
    <t>ಕೈಚೀಲ</t>
  </si>
  <si>
    <t>지갑 균형</t>
  </si>
  <si>
    <t>ຍອດກະເປົາເງິນ</t>
  </si>
  <si>
    <t>Maka līdzsvars</t>
  </si>
  <si>
    <t>Równowaga portfela</t>
  </si>
  <si>
    <t>Balanço da carteira</t>
  </si>
  <si>
    <t>Баланс кошелька</t>
  </si>
  <si>
    <t>ความสมดุลของกระเป๋าเงิน</t>
  </si>
  <si>
    <t>Cüzdan bakiyesi</t>
  </si>
  <si>
    <t>Баланс гаманця</t>
  </si>
  <si>
    <t>钱包平衡</t>
  </si>
  <si>
    <t>Số dư ví</t>
  </si>
  <si>
    <t>locales</t>
  </si>
  <si>
    <t>Locales</t>
  </si>
  <si>
    <t>أماكن</t>
  </si>
  <si>
    <t>Lokality</t>
  </si>
  <si>
    <t>Orte</t>
  </si>
  <si>
    <t>Τοποθεσίες</t>
  </si>
  <si>
    <t>Kohad</t>
  </si>
  <si>
    <t>Paikalliset</t>
  </si>
  <si>
    <t>Localités</t>
  </si>
  <si>
    <t>स्थानों</t>
  </si>
  <si>
    <t>Lokal</t>
  </si>
  <si>
    <t>Locali</t>
  </si>
  <si>
    <t>ロケール</t>
  </si>
  <si>
    <t>នៃតាមមូលដ្ឋាន</t>
  </si>
  <si>
    <t>ಸ್ಥಳ</t>
  </si>
  <si>
    <t>로케일</t>
  </si>
  <si>
    <t>ທ້ອງຜູກ</t>
  </si>
  <si>
    <t>Apvidus</t>
  </si>
  <si>
    <t>Tempatan</t>
  </si>
  <si>
    <t>Locatie</t>
  </si>
  <si>
    <t>Lokalizacje</t>
  </si>
  <si>
    <t>Locais</t>
  </si>
  <si>
    <t>Локации</t>
  </si>
  <si>
    <t>สถานที่</t>
  </si>
  <si>
    <t>Yerel</t>
  </si>
  <si>
    <t>Місцевості</t>
  </si>
  <si>
    <t>地区</t>
  </si>
  <si>
    <t>Địa phương</t>
  </si>
  <si>
    <t>currentLocale</t>
  </si>
  <si>
    <t>Current Locale</t>
  </si>
  <si>
    <t>اللغة الحالية</t>
  </si>
  <si>
    <t>Aktuální národní prostředí</t>
  </si>
  <si>
    <t>Aktuelles Gebietsschema</t>
  </si>
  <si>
    <t>Τρέχουσα τοπική</t>
  </si>
  <si>
    <t>Localidad actual</t>
  </si>
  <si>
    <t>Praegune asukoht</t>
  </si>
  <si>
    <t>Nykyinen sijainti</t>
  </si>
  <si>
    <t>Lieu actuel</t>
  </si>
  <si>
    <t>वर्तमान स्थान</t>
  </si>
  <si>
    <t>Lokal saat ini</t>
  </si>
  <si>
    <t>Locale attuale</t>
  </si>
  <si>
    <t>現在のロケール</t>
  </si>
  <si>
    <t>មូលដ្ឋានបច្ចុប្បន្ន</t>
  </si>
  <si>
    <t>ಪ್ರಸ್ತುತ ಸ್ಥಳ</t>
  </si>
  <si>
    <t>현재 로케일</t>
  </si>
  <si>
    <t>ທ້ອງຖິ່ນປະຈຸບັນ</t>
  </si>
  <si>
    <t>Pašreizējā lokalizācija</t>
  </si>
  <si>
    <t>Lokasi semasa</t>
  </si>
  <si>
    <t>Huidige locale</t>
  </si>
  <si>
    <t>Obecny region</t>
  </si>
  <si>
    <t>Local atual</t>
  </si>
  <si>
    <t>Текущий локаль</t>
  </si>
  <si>
    <t>สถานที่ปัจจุบัน</t>
  </si>
  <si>
    <t>Mevcut yerel ayar</t>
  </si>
  <si>
    <t>Поточний локал</t>
  </si>
  <si>
    <t>当前语言环境</t>
  </si>
  <si>
    <t>Địa điểm hiện tại</t>
  </si>
  <si>
    <t>noTransactionsTitle</t>
  </si>
  <si>
    <t>There are no transactions here!</t>
  </si>
  <si>
    <t>لا توجد معاملات هنا!</t>
  </si>
  <si>
    <t>Neexistují zde žádné transakce!</t>
  </si>
  <si>
    <t>Hier gibt es keine Transaktionen!</t>
  </si>
  <si>
    <t>Δεν υπάρχουν συναλλαγές εδώ!</t>
  </si>
  <si>
    <t>¡No hay transacciones aquí!</t>
  </si>
  <si>
    <t>Siin pole tehinguid!</t>
  </si>
  <si>
    <t>Täällä ei ole tapahtumia!</t>
  </si>
  <si>
    <t>Il n'y a pas de transactions ici!</t>
  </si>
  <si>
    <t>यहाँ कोई लेनदेन नहीं हैं!</t>
  </si>
  <si>
    <t>Tidak ada transaksi di sini!</t>
  </si>
  <si>
    <t>Non ci sono transazioni qui!</t>
  </si>
  <si>
    <t>ここにはトランザクションはありません！</t>
  </si>
  <si>
    <t>មិនមានប្រតិបត្តិការនៅទីនេះទេ!</t>
  </si>
  <si>
    <t>ಇಲ್ಲಿ ಯಾವುದೇ ವಹಿವಾಟುಗಳಿಲ್ಲ!</t>
  </si>
  <si>
    <t>여기에는 거래가 없습니다!</t>
  </si>
  <si>
    <t>ບໍ່ມີການເຮັດທຸລະກໍາຢູ່ທີ່ນີ້!</t>
  </si>
  <si>
    <t>Šeit nav darījumu!</t>
  </si>
  <si>
    <t>Tiada urus niaga di sini!</t>
  </si>
  <si>
    <t>Er zijn hier geen transacties!</t>
  </si>
  <si>
    <t>Tutaj nie ma transakcji!</t>
  </si>
  <si>
    <t>Não há transações aqui!</t>
  </si>
  <si>
    <t>Здесь нет транзакций!</t>
  </si>
  <si>
    <t>ไม่มีธุรกรรมที่นี่!</t>
  </si>
  <si>
    <t>Burada işlem yok!</t>
  </si>
  <si>
    <t>Тут немає транзакцій!</t>
  </si>
  <si>
    <t>这里没有交易！</t>
  </si>
  <si>
    <t>Không có giao dịch ở đây!</t>
  </si>
  <si>
    <t>noTransactionsMessage</t>
  </si>
  <si>
    <t>Tap button to add new transaction</t>
  </si>
  <si>
    <t>اضغط على الزر لإضافة معاملة جديدة</t>
  </si>
  <si>
    <t>Klepnutím na tlačítko přidáte novou transakci</t>
  </si>
  <si>
    <t>Tippen Sie auf die Schaltfläche, um eine neue Transaktion hinzuzufügen</t>
  </si>
  <si>
    <t>Πατήστε το κουμπί για να προσθέσετε νέα συναλλαγή</t>
  </si>
  <si>
    <t>Toque el botón para agregar una nueva transacción</t>
  </si>
  <si>
    <t>Uue tehingu lisamiseks puudutage nuppu</t>
  </si>
  <si>
    <t>Napauta -painiketta lisätäksesi uuden tapahtuman</t>
  </si>
  <si>
    <t>Appuyez sur le bouton pour ajouter une nouvelle transaction</t>
  </si>
  <si>
    <t>नया लेनदेन जोड़ने के लिए बटन टैप करें</t>
  </si>
  <si>
    <t>Tap tombol untuk menambahkan transaksi baru</t>
  </si>
  <si>
    <t>Tocca il pulsante per aggiungere una nuova transazione</t>
  </si>
  <si>
    <t>[ボタン]をタップして、新しいトランザクションを追加します</t>
  </si>
  <si>
    <t>ប៉ះប៊ូតុងដើម្បីបន្ថែមប្រតិបត្តិការថ្មី</t>
  </si>
  <si>
    <t>ಹೊಸ ವಹಿವಾಟು ಸೇರಿಸಲು ಬಟನ್ ಟ್ಯಾಪ್ ಮಾಡಿ</t>
  </si>
  <si>
    <t>새 트랜잭션을 추가하려면 버튼을 누릅니다</t>
  </si>
  <si>
    <t>ແຕະປຸ່ມເພື່ອເພີ່ມການເຮັດທຸລະກໍາໃຫມ່</t>
  </si>
  <si>
    <t>Pieskarieties pogai, lai pievienotu jaunu darījumu</t>
  </si>
  <si>
    <t>Ketik butang untuk menambah urus niaga baru</t>
  </si>
  <si>
    <t>Tik op de knop om een ​​nieuwe transactie toe te voegen</t>
  </si>
  <si>
    <t>Stuknij przycisk, aby dodać nową transakcję</t>
  </si>
  <si>
    <t>Toque no botão para adicionar nova transação</t>
  </si>
  <si>
    <t>Кнопка для зацепления, чтобы добавить новую транзакцию</t>
  </si>
  <si>
    <t>ปุ่มแตะเพื่อเพิ่มธุรกรรมใหม่</t>
  </si>
  <si>
    <t>Yeni işlem eklemek için düğmeye dokunun</t>
  </si>
  <si>
    <t>Натисніть кнопку, щоб додати нову транзакцію</t>
  </si>
  <si>
    <t>点击按钮添加新事务</t>
  </si>
  <si>
    <t>Nhấn vào nút để thêm giao dịch mới</t>
  </si>
  <si>
    <t>deleteTransactionTitle</t>
  </si>
  <si>
    <t>Delete Transaction</t>
  </si>
  <si>
    <t>حذف المعاملة</t>
  </si>
  <si>
    <t>Odstranit transakci</t>
  </si>
  <si>
    <t>Transaktion löschen</t>
  </si>
  <si>
    <t>Διαγραφή συναλλαγής</t>
  </si>
  <si>
    <t>Eliminar transacción</t>
  </si>
  <si>
    <t>Kustutamise tehing</t>
  </si>
  <si>
    <t>Poistaa tapahtuma</t>
  </si>
  <si>
    <t>Supprimer la transaction</t>
  </si>
  <si>
    <t>लेन -देन हटाएं</t>
  </si>
  <si>
    <t>Hapus transaksi</t>
  </si>
  <si>
    <t>Elimina la transazione</t>
  </si>
  <si>
    <t>トランザクションを削除します</t>
  </si>
  <si>
    <t>លុបប្រតិបត្តិការ</t>
  </si>
  <si>
    <t>ವಹಿವಾಟು ಅಳಿಸಿ</t>
  </si>
  <si>
    <t>트랜잭션 삭제</t>
  </si>
  <si>
    <t>ລົບການເຮັດທຸລະກໍາ</t>
  </si>
  <si>
    <t>Dzēst darījumu</t>
  </si>
  <si>
    <t>Padam transaksi</t>
  </si>
  <si>
    <t>Verwijder transactie</t>
  </si>
  <si>
    <t>Usunąć transakcję</t>
  </si>
  <si>
    <t>Excluir transação</t>
  </si>
  <si>
    <t>Удалить транзакцию</t>
  </si>
  <si>
    <t>ลบธุรกรรม</t>
  </si>
  <si>
    <t>İşlemi Sil</t>
  </si>
  <si>
    <t>Видалити транзакцію</t>
  </si>
  <si>
    <t>删除交易</t>
  </si>
  <si>
    <t>Xóa giao dịch</t>
  </si>
  <si>
    <t>deleteTransactionMessage</t>
  </si>
  <si>
    <t>Sind Sie sicher, dass Sie löschen möchten? Sie können dadurch unzusammenhängender Daten verlieren</t>
  </si>
  <si>
    <t>Kas olete kindel, et soovite kustutada? Võite kaotada andmeid läbilaskvalt</t>
  </si>
  <si>
    <t>삭제 하시겠습니까? 당신은 데이터를 부패하게 잃을 수 있습니다</t>
  </si>
  <si>
    <t>transactions</t>
  </si>
  <si>
    <t>Transactions</t>
  </si>
  <si>
    <t>المعاملات</t>
  </si>
  <si>
    <t>Transakce</t>
  </si>
  <si>
    <t>Transaktionen</t>
  </si>
  <si>
    <t>Συναλλαγές</t>
  </si>
  <si>
    <t>Actas</t>
  </si>
  <si>
    <t>Tehingud</t>
  </si>
  <si>
    <t>Tapahtumat</t>
  </si>
  <si>
    <t>लेनदेन</t>
  </si>
  <si>
    <t>Transaksi</t>
  </si>
  <si>
    <t>Transazioni</t>
  </si>
  <si>
    <t>トランザクション</t>
  </si>
  <si>
    <t>ប្រតិបត្តិការ</t>
  </si>
  <si>
    <t>ವಹಿವಾಟು</t>
  </si>
  <si>
    <t>업무</t>
  </si>
  <si>
    <t>ການໂອນເງິນ</t>
  </si>
  <si>
    <t>Darījumi</t>
  </si>
  <si>
    <t>Urus niaga</t>
  </si>
  <si>
    <t>Transacties</t>
  </si>
  <si>
    <t>Transakcje</t>
  </si>
  <si>
    <t>Transações</t>
  </si>
  <si>
    <t>Транзакции</t>
  </si>
  <si>
    <t>การทำธุรกรรม</t>
  </si>
  <si>
    <t>İşlemler</t>
  </si>
  <si>
    <t>Транзакції</t>
  </si>
  <si>
    <t>交易</t>
  </si>
  <si>
    <t>Giao dịch</t>
  </si>
  <si>
    <t>newTransaction</t>
  </si>
  <si>
    <t>New Transaction</t>
  </si>
  <si>
    <t>صفقة جديدة</t>
  </si>
  <si>
    <t>Nová transakce</t>
  </si>
  <si>
    <t>Neue Transaktion</t>
  </si>
  <si>
    <t>Νέα συναλλαγή</t>
  </si>
  <si>
    <t>Nueva transacción</t>
  </si>
  <si>
    <t>Uus tehing</t>
  </si>
  <si>
    <t>Uusi tapahtuma</t>
  </si>
  <si>
    <t>Nouvelle transaction</t>
  </si>
  <si>
    <t>नया लेन -देन</t>
  </si>
  <si>
    <t>Transaksi baru</t>
  </si>
  <si>
    <t>Nuova transazione</t>
  </si>
  <si>
    <t>新しいトランザクション</t>
  </si>
  <si>
    <t>ប្រតិបត្តិការថ្មី</t>
  </si>
  <si>
    <t>ಹೊಸ ವಹಿವಾಟು</t>
  </si>
  <si>
    <t>새로운 거래</t>
  </si>
  <si>
    <t>ການເຮັດທຸລະກໍາໃຫມ່</t>
  </si>
  <si>
    <t>Jauns darījums</t>
  </si>
  <si>
    <t>Urus niaga baru</t>
  </si>
  <si>
    <t>Nieuwe transactie</t>
  </si>
  <si>
    <t>Nowa transakcja</t>
  </si>
  <si>
    <t>Nova transação</t>
  </si>
  <si>
    <t>Новая транзакция</t>
  </si>
  <si>
    <t>ธุรกรรมใหม่</t>
  </si>
  <si>
    <t>Yeni İşlem</t>
  </si>
  <si>
    <t>Нова транзакція</t>
  </si>
  <si>
    <t>新交易</t>
  </si>
  <si>
    <t>Giao dịch mới</t>
  </si>
  <si>
    <t>amount</t>
  </si>
  <si>
    <t>Amount</t>
  </si>
  <si>
    <t>كمية</t>
  </si>
  <si>
    <t>Množství</t>
  </si>
  <si>
    <t>Menge</t>
  </si>
  <si>
    <t>Ποσό</t>
  </si>
  <si>
    <t>Cantidad</t>
  </si>
  <si>
    <t>Summa</t>
  </si>
  <si>
    <t>Määrä</t>
  </si>
  <si>
    <t>Montant</t>
  </si>
  <si>
    <t>मात्रा</t>
  </si>
  <si>
    <t>Jumlah</t>
  </si>
  <si>
    <t>Quantità</t>
  </si>
  <si>
    <t>額</t>
  </si>
  <si>
    <t>ចមនយន</t>
  </si>
  <si>
    <t>ಮೊತ್ತ</t>
  </si>
  <si>
    <t>양</t>
  </si>
  <si>
    <t>ຈໍາ​ນວນ</t>
  </si>
  <si>
    <t>Hoeveelheid</t>
  </si>
  <si>
    <t>Kwota</t>
  </si>
  <si>
    <t>Quantia</t>
  </si>
  <si>
    <t>Количество</t>
  </si>
  <si>
    <t>จำนวน</t>
  </si>
  <si>
    <t>Miktar</t>
  </si>
  <si>
    <t>Обсяг</t>
  </si>
  <si>
    <t>数量</t>
  </si>
  <si>
    <t>Số lượng</t>
  </si>
  <si>
    <t>transactionType</t>
  </si>
  <si>
    <t>Transaction Type</t>
  </si>
  <si>
    <t>نوع المعاملة</t>
  </si>
  <si>
    <t>typ transakce</t>
  </si>
  <si>
    <t>Art der Transaktion</t>
  </si>
  <si>
    <t>Τύπος συναλλαγής</t>
  </si>
  <si>
    <t>tipo de transacción</t>
  </si>
  <si>
    <t>Tehingutüüp</t>
  </si>
  <si>
    <t>Maksutavan tyyppi</t>
  </si>
  <si>
    <t>Type de transaction</t>
  </si>
  <si>
    <t>सौदे का प्रकार</t>
  </si>
  <si>
    <t>tipe transaksi</t>
  </si>
  <si>
    <t>Tipo di transazione</t>
  </si>
  <si>
    <t>トランザクションタイプ</t>
  </si>
  <si>
    <t>ប្រភេទប្រតិបត្តិការ</t>
  </si>
  <si>
    <t>ವಹಿವಾಟು ಪ್ರಕಾರ</t>
  </si>
  <si>
    <t>거래 유형</t>
  </si>
  <si>
    <t>ປະເພດການເຮັດທຸລະກໍາ</t>
  </si>
  <si>
    <t>Darījuma tips</t>
  </si>
  <si>
    <t>Jenis transaksi</t>
  </si>
  <si>
    <t>Transactie Type</t>
  </si>
  <si>
    <t>typ transakcji</t>
  </si>
  <si>
    <t>Tipo de transação</t>
  </si>
  <si>
    <t>Тип операции</t>
  </si>
  <si>
    <t>ประเภทธุรกรรม</t>
  </si>
  <si>
    <t>işlem tipi</t>
  </si>
  <si>
    <t>Тип транзакції</t>
  </si>
  <si>
    <t>交易类型</t>
  </si>
  <si>
    <t>Loại giao dịch</t>
  </si>
  <si>
    <t>deleteWallet</t>
  </si>
  <si>
    <t>Delete Wallet</t>
  </si>
  <si>
    <t>حذف محفظة</t>
  </si>
  <si>
    <t>Odstranit peněženku</t>
  </si>
  <si>
    <t>Brieftasche löschen</t>
  </si>
  <si>
    <t>Διαγραφή πορτοφολιού</t>
  </si>
  <si>
    <t>Eliminar la billetera</t>
  </si>
  <si>
    <t>Kustuta rahakott</t>
  </si>
  <si>
    <t>Poista lompakko</t>
  </si>
  <si>
    <t>Supprimer le portefeuille</t>
  </si>
  <si>
    <t>बटुए हटाएं</t>
  </si>
  <si>
    <t>Hapus dompet</t>
  </si>
  <si>
    <t>Elimina il portafoglio</t>
  </si>
  <si>
    <t>ウォレットを削除します</t>
  </si>
  <si>
    <t>លុបកាបូប</t>
  </si>
  <si>
    <t>ವ್ಯಾಲೆಟ್ ಅಳಿಸಿ</t>
  </si>
  <si>
    <t>지갑을 삭제하십시오</t>
  </si>
  <si>
    <t>ລົບ Wallet</t>
  </si>
  <si>
    <t>Dzēst maku</t>
  </si>
  <si>
    <t>Padam dompet</t>
  </si>
  <si>
    <t>Verwijder portemonnee</t>
  </si>
  <si>
    <t>Usuń portfel</t>
  </si>
  <si>
    <t>Excluir carteira</t>
  </si>
  <si>
    <t>Удалить кошелек</t>
  </si>
  <si>
    <t>ลบกระเป๋าเงิน</t>
  </si>
  <si>
    <t>Cüzdanı sil</t>
  </si>
  <si>
    <t>Видалити гаманець</t>
  </si>
  <si>
    <t>删除钱包</t>
  </si>
  <si>
    <t>Xóa ví</t>
  </si>
  <si>
    <t>deleteWalletTitle</t>
  </si>
  <si>
    <t>deleteWalletMessage</t>
  </si>
  <si>
    <t>Are you sure you want to delete? All transactions will be deleted.</t>
  </si>
  <si>
    <t>هل أنت متأكد أنك تريد حذف؟ سيتم حذف جميع المعاملات.</t>
  </si>
  <si>
    <t>Jste si jistí, že to chcete smazat? Všechny transakce budou odstraněny.</t>
  </si>
  <si>
    <t>Sind Sie sicher, dass Sie löschen möchten? Alle Transaktionen werden gelöscht.</t>
  </si>
  <si>
    <t>Είστε βέβαιοι ότι θέλετε να διαγράψετε; Όλες οι συναλλαγές θα διαγραφούν.</t>
  </si>
  <si>
    <t>¿Estas seguro que quieres borrarlo? Todas las transacciones serán eliminadas.</t>
  </si>
  <si>
    <t>Kas olete kindel, et soovite kustutada? Kõik tehingud kustutatakse.</t>
  </si>
  <si>
    <t>Haluatko varmasti poistaa? Kaikki tapahtumat poistetaan.</t>
  </si>
  <si>
    <t>Etes-vous sûr que vous voulez supprimer? Toutes les transactions seront supprimées.</t>
  </si>
  <si>
    <t>क्या आप आश्वस्त है कि आपको डिलीट करना है? सभी लेनदेन हटा दिए जाएंगे।</t>
  </si>
  <si>
    <t>Apakah Anda yakin ingin menghapus? Semua transaksi akan dihapus.</t>
  </si>
  <si>
    <t>Sei sicuro di voler eliminare? Tutte le transazioni verranno eliminate.</t>
  </si>
  <si>
    <t>消去してもよろしいですか？すべてのトランザクションが削除されます。</t>
  </si>
  <si>
    <t>តើអ្នកពិតជាចង់លុបមែនទេ? រាល់ប្រតិបត្តិការទាំងអស់នឹងត្រូវលុបចោល។</t>
  </si>
  <si>
    <t>ನೀವು ಅಳಿಸಲು ಬಯಸುತ್ತೀರಾ? ಎಲ್ಲಾ ವಹಿವಾಟುಗಳನ್ನು ಅಳಿಸಲಾಗುತ್ತದೆ.</t>
  </si>
  <si>
    <t>삭제 하시겠습니까? 모든 거래는 삭제됩니다.</t>
  </si>
  <si>
    <t>ທ່ານແນ່ໃຈບໍ່ວ່າທ່ານຕ້ອງການລຶບ? ການເຮັດທຸລະກໍາທັງຫມົດຈະຖືກລຶບອອກ.</t>
  </si>
  <si>
    <t>Vai esat pārliecināts, ka vēlaties izdzēst? Visi darījumi tiks izdzēsti.</t>
  </si>
  <si>
    <t>Adakah anda pasti ingin memadam? Semua urus niaga akan dipadamkan.</t>
  </si>
  <si>
    <t>Weet je zeker dat je wilt verwijderen? Alle transacties worden verwijderd.</t>
  </si>
  <si>
    <t>Czy jesteś pewien, że chcesz usunąć? Wszystkie transakcje zostaną usunięte.</t>
  </si>
  <si>
    <t>Tem certeza de que deseja excluir? Todas as transações serão excluídas.</t>
  </si>
  <si>
    <t>Вы уверены, что хотите удалить? Все транзакции будут удалены.</t>
  </si>
  <si>
    <t>คุณแน่ใจหรือว่าต้องการลบ? การทำธุรกรรมทั้งหมดจะถูกลบ</t>
  </si>
  <si>
    <t>Silmek istediğine emin misin? Tüm işlemler silinecektir.</t>
  </si>
  <si>
    <t>Ви впевнені, що хочете видалити? Усі транзакції будуть видалені.</t>
  </si>
  <si>
    <t>你确定你要删除？所有交易将被删除。</t>
  </si>
  <si>
    <t>Bạn có chắc chắn muốn xóa? Tất cả các giao dịch sẽ bị xóa.</t>
  </si>
  <si>
    <t>changeLocale</t>
  </si>
  <si>
    <t>Change Locale</t>
  </si>
  <si>
    <t>تغيير اللغة</t>
  </si>
  <si>
    <t>Změnit národní prostředí</t>
  </si>
  <si>
    <t>Gebietsschema ändern</t>
  </si>
  <si>
    <t>Αλλαγή τοπικής</t>
  </si>
  <si>
    <t>Cambiar local</t>
  </si>
  <si>
    <t>Vahetage lokaali</t>
  </si>
  <si>
    <t>Muuttaa paikkaa</t>
  </si>
  <si>
    <t>Changer les paramètres régionaux</t>
  </si>
  <si>
    <t>स्थान बदलें</t>
  </si>
  <si>
    <t>Ubah lokal</t>
  </si>
  <si>
    <t>Cambia locale</t>
  </si>
  <si>
    <t>ロケールを変更します</t>
  </si>
  <si>
    <t>ផ្លាស់ប្តូរមូលដ្ឋាន</t>
  </si>
  <si>
    <t>ಲೊಕೇಲ್ ಅನ್ನು ಬದಲಾಯಿಸಿ</t>
  </si>
  <si>
    <t>로케일을 변경하십시오</t>
  </si>
  <si>
    <t>ປ່ຽນທ້ອງຖິ່ນ</t>
  </si>
  <si>
    <t>Mainīt lokalizāciju</t>
  </si>
  <si>
    <t>Tukar locale</t>
  </si>
  <si>
    <t>Verander van de locale</t>
  </si>
  <si>
    <t>Zmień regionę</t>
  </si>
  <si>
    <t>Alterar o local</t>
  </si>
  <si>
    <t>Изменить локаль</t>
  </si>
  <si>
    <t>เปลี่ยนสถานที่</t>
  </si>
  <si>
    <t>Yerel Ayrıyı Değiştir</t>
  </si>
  <si>
    <t>Змінити місцевість</t>
  </si>
  <si>
    <t>更改语言环境</t>
  </si>
  <si>
    <t>Thay đổi địa phương</t>
  </si>
  <si>
    <t>enterLanguage</t>
  </si>
  <si>
    <t>Enter your language</t>
  </si>
  <si>
    <t>أدخل لغتك</t>
  </si>
  <si>
    <t>Zadejte svůj jazyk</t>
  </si>
  <si>
    <t>Geben Sie Ihre Sprache ein</t>
  </si>
  <si>
    <t>Εισαγάγετε τη γλώσσα σας</t>
  </si>
  <si>
    <t>Ingrese su idioma</t>
  </si>
  <si>
    <t>Sisestage oma keel</t>
  </si>
  <si>
    <t>Kirjoita kielesi</t>
  </si>
  <si>
    <t>Entrez votre langue</t>
  </si>
  <si>
    <t>अपनी भाषा दर्ज करें</t>
  </si>
  <si>
    <t>Masukkan bahasa Anda</t>
  </si>
  <si>
    <t>Inserisci la tua lingua</t>
  </si>
  <si>
    <t>あなたの言語を入力してください</t>
  </si>
  <si>
    <t>បញ្ចូលភាសារបស់អ្នក</t>
  </si>
  <si>
    <t>ನಿಮ್ಮ ಭಾಷೆಯನ್ನು ನಮೂದಿಸಿ</t>
  </si>
  <si>
    <t>언어를 입력하십시오</t>
  </si>
  <si>
    <t>ກະລຸນາໃສ່ພາສາຂອງທ່ານ</t>
  </si>
  <si>
    <t>Ievadiet savu valodu</t>
  </si>
  <si>
    <t>Masukkan bahasa anda</t>
  </si>
  <si>
    <t>Voer uw taal in</t>
  </si>
  <si>
    <t>Wprowadź swój język</t>
  </si>
  <si>
    <t>Digite seu idioma</t>
  </si>
  <si>
    <t>Введите свой язык</t>
  </si>
  <si>
    <t>ป้อนภาษาของคุณ</t>
  </si>
  <si>
    <t>Dilinizi girin</t>
  </si>
  <si>
    <t>Введіть свою мову</t>
  </si>
  <si>
    <t>输入您的语言</t>
  </si>
  <si>
    <t>Nhập ngôn ngữ của bạn</t>
  </si>
  <si>
    <t>all</t>
  </si>
  <si>
    <t>All</t>
  </si>
  <si>
    <t>الجميع</t>
  </si>
  <si>
    <t>Všechno</t>
  </si>
  <si>
    <t>Alle</t>
  </si>
  <si>
    <t>Ολα</t>
  </si>
  <si>
    <t>Todo</t>
  </si>
  <si>
    <t>Kõik</t>
  </si>
  <si>
    <t>Kaikki</t>
  </si>
  <si>
    <t>Tous</t>
  </si>
  <si>
    <t>सभी</t>
  </si>
  <si>
    <t>Semua</t>
  </si>
  <si>
    <t>Tutto</t>
  </si>
  <si>
    <t>全て</t>
  </si>
  <si>
    <t>តាមងអស់</t>
  </si>
  <si>
    <t>ಎಲ್ಲರೂ</t>
  </si>
  <si>
    <t>모두</t>
  </si>
  <si>
    <t>ທັງຫມົດ</t>
  </si>
  <si>
    <t>Viss</t>
  </si>
  <si>
    <t>Wszystko</t>
  </si>
  <si>
    <t>Todos</t>
  </si>
  <si>
    <t>Все</t>
  </si>
  <si>
    <t>ทั้งหมด</t>
  </si>
  <si>
    <t>Tüm</t>
  </si>
  <si>
    <t>全部</t>
  </si>
  <si>
    <t>Tất cả</t>
  </si>
  <si>
    <t>fileSizeLimit</t>
  </si>
  <si>
    <t>File size limit</t>
  </si>
  <si>
    <t>حد حجم الملف</t>
  </si>
  <si>
    <t>Limit velikosti souboru</t>
  </si>
  <si>
    <t>Dateigrößenbegrenzung</t>
  </si>
  <si>
    <t>Όριο μεγέθους αρχείου</t>
  </si>
  <si>
    <t>Límite de tamaño de archivo</t>
  </si>
  <si>
    <t>Faili suuruse piirmäär</t>
  </si>
  <si>
    <t>Tiedostokoon raja</t>
  </si>
  <si>
    <t>Limite de taille de fichier</t>
  </si>
  <si>
    <t>संचिका आकार सीमा</t>
  </si>
  <si>
    <t>Batas ukuran file</t>
  </si>
  <si>
    <t>Limite di dimensioni del file</t>
  </si>
  <si>
    <t>ファイルサイズ制限</t>
  </si>
  <si>
    <t>ដែនកំណត់ទំហំឯកសារ</t>
  </si>
  <si>
    <t>ಫೈಲ್ ಗಾತ್ರದ ಮಿತಿ</t>
  </si>
  <si>
    <t>파일 크기 제한</t>
  </si>
  <si>
    <t>ຂອບເຂດຈໍາກັດຂະຫນາດ File</t>
  </si>
  <si>
    <t>Faila lieluma ierobežojums</t>
  </si>
  <si>
    <t>Had saiz fail</t>
  </si>
  <si>
    <t>Bestandsgrootte limiet</t>
  </si>
  <si>
    <t>Limit wielkości pliku</t>
  </si>
  <si>
    <t>Limite de tamanho do arquivo</t>
  </si>
  <si>
    <t>Предел размера файла</t>
  </si>
  <si>
    <t>ขีด จำกัด ขนาดไฟล์</t>
  </si>
  <si>
    <t>Dosya Boyut Sınırı</t>
  </si>
  <si>
    <t>Обмеження розміру файлу</t>
  </si>
  <si>
    <t>文件大小限制</t>
  </si>
  <si>
    <t>Giới hạn kích thước tệp</t>
  </si>
  <si>
    <t>fileSizeLimitMessage</t>
  </si>
  <si>
    <t>The file is too large and cannot be saved. Please reduce the size of the file and try again.</t>
  </si>
  <si>
    <t>الملف كبير جدًا ولا يمكن حفظه. يرجى تقليل حجم الملف ومحاولة مرة أخرى.</t>
  </si>
  <si>
    <t>Soubor je příliš velký a nelze jej uložit. Snižte velikost souboru a zkuste to znovu.</t>
  </si>
  <si>
    <t>Die Datei ist zu groß und kann nicht gespeichert werden. Bitte reduzieren Sie die Größe der Datei und versuchen Sie es erneut.</t>
  </si>
  <si>
    <t>Το αρχείο είναι πολύ μεγάλο και δεν μπορεί να αποθηκευτεί. Μειώστε το μέγεθος του αρχείου και δοκιμάστε ξανά.</t>
  </si>
  <si>
    <t>El archivo es demasiado grande y no se puede guardar. Reduzca el tamaño del archivo y vuelva a intentarlo.</t>
  </si>
  <si>
    <t>Fail on liiga suur ja seda ei saa salvestada. Palun vähendage faili suurust ja proovige uuesti.</t>
  </si>
  <si>
    <t>Tiedosto on liian suuri, eikä sitä voida tallentaa. Pienennä tiedoston kokoa ja yritä uudelleen.</t>
  </si>
  <si>
    <t>Le fichier est trop grand et ne peut pas être enregistré. Veuillez réduire la taille du fichier et réessayer.</t>
  </si>
  <si>
    <t>फ़ाइल बहुत बड़ी है और इसे सहेजा नहीं जा सकता है। कृपया फ़ाइल के आकार को कम करें और पुनः प्रयास करें।</t>
  </si>
  <si>
    <t>File terlalu besar dan tidak dapat disimpan. Harap kurangi ukuran file dan coba lagi.</t>
  </si>
  <si>
    <t>Il file è troppo grande e non può essere salvato. Riduci le dimensioni del file e riprova.</t>
  </si>
  <si>
    <t>ファイルが大きすぎて保存することはできません。ファイルのサイズを小さくして、再試行してください。</t>
  </si>
  <si>
    <t>ឯកសារគឺធំពេកហើយមិនអាចរក្សាទុកបានទេ។ សូមកាត់បន្ថយទំហំឯកសារហើយព្យាយាមម្តងទៀត។</t>
  </si>
  <si>
    <t>ಫೈಲ್ ತುಂಬಾ ದೊಡ್ಡದಾಗಿದೆ ಮತ್ತು ಅದನ್ನು ಉಳಿಸಲಾಗುವುದಿಲ್ಲ. ದಯವಿಟ್ಟು ಫೈಲ್‌ನ ಗಾತ್ರವನ್ನು ಕಡಿಮೆ ಮಾಡಿ ಮತ್ತು ಮತ್ತೆ ಪ್ರಯತ್ನಿಸಿ.</t>
  </si>
  <si>
    <t>파일이 너무 커서 저장할 수 없습니다. 파일의 크기를 줄이고 다시 시도하십시오.</t>
  </si>
  <si>
    <t>ເອກະສານແມ່ນໃຫຍ່ເກີນໄປແລະບໍ່ສາມາດບັນທືກໄດ້. ກະລຸນາຫຼຸດຂະຫນາດຂອງເອກະສານແລະລອງໃຫມ່ອີກຄັ້ງ.</t>
  </si>
  <si>
    <t>Fails ir pārāk liels, un to nevar saglabāt. Lūdzu, samaziniet faila lielumu un mēģiniet vēlreiz.</t>
  </si>
  <si>
    <t>Fail terlalu besar dan tidak dapat disimpan. Sila kurangkan saiz fail dan cuba lagi.</t>
  </si>
  <si>
    <t>Het bestand is te groot en kan niet worden opgeslagen. Verminder de grootte van het bestand en probeer het opnieuw.</t>
  </si>
  <si>
    <t>Plik jest zbyt duży i nie można go zapisać. Proszę zmniejszyć rozmiar pliku i spróbuj ponownie.</t>
  </si>
  <si>
    <t>O arquivo é muito grande e não pode ser salvo. Reduza o tamanho do arquivo e tente novamente.</t>
  </si>
  <si>
    <t>Файл слишком большой и не может быть сохранен. Пожалуйста, уменьшите размер файла и попробуйте еще раз.</t>
  </si>
  <si>
    <t>ไฟล์มีขนาดใหญ่เกินไปและไม่สามารถบันทึกได้ โปรดลดขนาดของไฟล์และลองอีกครั้ง</t>
  </si>
  <si>
    <t>Dosya çok büyük ve kaydedilemiyor. Lütfen dosyanın boyutunu azaltın ve tekrar deneyin.</t>
  </si>
  <si>
    <t>Файл занадто великий і його неможливо зберегти. Зменшіть розмір файлу та повторіть спробу.</t>
  </si>
  <si>
    <t>该文件太大，无法保存。请减小文件的大小，然后重试。</t>
  </si>
  <si>
    <t>Các tập tin quá lớn và không thể lưu. Vui lòng giảm kích thước của tệp và thử lại.</t>
  </si>
  <si>
    <t>closeAll</t>
  </si>
  <si>
    <t>Close all</t>
  </si>
  <si>
    <t>أغلق كل شيء</t>
  </si>
  <si>
    <t>Zavřete všechny</t>
  </si>
  <si>
    <t>Alle schließen</t>
  </si>
  <si>
    <t>Κλείσ'τα όλα</t>
  </si>
  <si>
    <t>Cierra todo</t>
  </si>
  <si>
    <t>Sulgege kõik</t>
  </si>
  <si>
    <t>Sulje kaikki</t>
  </si>
  <si>
    <t>Ferme tout</t>
  </si>
  <si>
    <t>सब बंद करें</t>
  </si>
  <si>
    <t>Tutup semua</t>
  </si>
  <si>
    <t>Chiudi tutto</t>
  </si>
  <si>
    <t>すべてを閉じます</t>
  </si>
  <si>
    <t>បិទទាំងអស់</t>
  </si>
  <si>
    <t>ಎಲ್ಲವನ್ನು ಮುಚ್ಚಿ</t>
  </si>
  <si>
    <t>모두 닫으십시오</t>
  </si>
  <si>
    <t>ປິດທັງຫມົດ</t>
  </si>
  <si>
    <t>Aizvērt visu</t>
  </si>
  <si>
    <t>Sluit alles</t>
  </si>
  <si>
    <t>Zamknij wszystko</t>
  </si>
  <si>
    <t>Feche tudo</t>
  </si>
  <si>
    <t>Закрыть все</t>
  </si>
  <si>
    <t>ปิดทั้งหมด</t>
  </si>
  <si>
    <t>Hepsini kapat</t>
  </si>
  <si>
    <t>Закрити все</t>
  </si>
  <si>
    <t>关闭所有</t>
  </si>
  <si>
    <t>Đóng tất cả</t>
  </si>
  <si>
    <t>wallPaper</t>
  </si>
  <si>
    <t>Live Wallpaper</t>
  </si>
  <si>
    <t>خلفية حية</t>
  </si>
  <si>
    <t>Živá tapeta</t>
  </si>
  <si>
    <t>Live Hintergrund</t>
  </si>
  <si>
    <t>Ζωντανή ταπετσαρία</t>
  </si>
  <si>
    <t>Papel tapiz en vivo</t>
  </si>
  <si>
    <t>Elav tapeet</t>
  </si>
  <si>
    <t>Elävä taustakuva</t>
  </si>
  <si>
    <t>Fond d'écran en direct</t>
  </si>
  <si>
    <t>लाइव वॉलपेपर</t>
  </si>
  <si>
    <t>Wallpaper hidup</t>
  </si>
  <si>
    <t>Sfondo dal vivo</t>
  </si>
  <si>
    <t>ライブの壁紙</t>
  </si>
  <si>
    <t>ផ្ទាំងរូបភាពបន្តផ្ទាល់</t>
  </si>
  <si>
    <t>ಲೈವ್ ವಾಲ್‌ಪೇಪರ್</t>
  </si>
  <si>
    <t>라이브 배경 화면</t>
  </si>
  <si>
    <t>ພາບວໍເປເປີທີ່ມີຊີວິດ</t>
  </si>
  <si>
    <t>Live Fape</t>
  </si>
  <si>
    <t>Kertas dinding hidup</t>
  </si>
  <si>
    <t>Live achtergrond</t>
  </si>
  <si>
    <t>Żywa tapeta</t>
  </si>
  <si>
    <t>Papel de parede viva</t>
  </si>
  <si>
    <t>Живые обои</t>
  </si>
  <si>
    <t>วอลล์เปเปอร์สด</t>
  </si>
  <si>
    <t>Canlı duvar kağıdı</t>
  </si>
  <si>
    <t>Живі шпалери</t>
  </si>
  <si>
    <t>动态壁纸</t>
  </si>
  <si>
    <t>Hình nền động</t>
  </si>
  <si>
    <t>live_photo_has_been_save</t>
  </si>
  <si>
    <t>Live Photo has been saved!</t>
  </si>
  <si>
    <t>تم حفظ الصورة الحية!</t>
  </si>
  <si>
    <t>Živá fotka byla uložena!</t>
  </si>
  <si>
    <t>Live -Foto wurde gerettet!</t>
  </si>
  <si>
    <t>Η ζωντανή φωτογραφία έχει αποθηκευτεί!</t>
  </si>
  <si>
    <t>¡Se ha guardado una foto en vivo!</t>
  </si>
  <si>
    <t>Elav foto on salvestatud!</t>
  </si>
  <si>
    <t>Live -valokuva on tallennettu!</t>
  </si>
  <si>
    <t>La photo en direct a été enregistrée!</t>
  </si>
  <si>
    <t>लाइव फोटो बच गया है!</t>
  </si>
  <si>
    <t>Foto langsung telah disimpan!</t>
  </si>
  <si>
    <t>La foto dal vivo è stata salvata!</t>
  </si>
  <si>
    <t>ライブ写真が保存されました！</t>
  </si>
  <si>
    <t>រូបថតផ្ទាល់ត្រូវបានរក្សាទុក!</t>
  </si>
  <si>
    <t>ಲೈವ್ ಫೋಟೋವನ್ನು ಉಳಿಸಲಾಗಿದೆ!</t>
  </si>
  <si>
    <t>라이브 사진이 저장되었습니다!</t>
  </si>
  <si>
    <t>ຮູບຖ່າຍທີ່ມີຊີວິດໄດ້ຖືກບັນທຶກແລ້ວ!</t>
  </si>
  <si>
    <t>Tiešraide ir saglabāta!</t>
  </si>
  <si>
    <t>Live foto is opgeslagen!</t>
  </si>
  <si>
    <t>Zdjęcie na żywo zostało zapisane!</t>
  </si>
  <si>
    <t>A foto ao vivo foi salva!</t>
  </si>
  <si>
    <t>Живое фото было спасено!</t>
  </si>
  <si>
    <t>ภาพถ่ายสดได้รับการบันทึกแล้ว!</t>
  </si>
  <si>
    <t>Canlı fotoğraf kaydedildi!</t>
  </si>
  <si>
    <t>Жива фотографія збережена!</t>
  </si>
  <si>
    <t>现场照片已保存！</t>
  </si>
  <si>
    <t>Ảnh động đã được lưu!</t>
  </si>
  <si>
    <t>download</t>
  </si>
  <si>
    <t>Download</t>
  </si>
  <si>
    <t>تحميل</t>
  </si>
  <si>
    <t>Stažení</t>
  </si>
  <si>
    <t>Herunterladen</t>
  </si>
  <si>
    <t>Κατεβάστε</t>
  </si>
  <si>
    <t>Descargar</t>
  </si>
  <si>
    <t>Lae alla</t>
  </si>
  <si>
    <t>ladata</t>
  </si>
  <si>
    <t>Télécharger</t>
  </si>
  <si>
    <t>डाउनलोड करना</t>
  </si>
  <si>
    <t>Unduh</t>
  </si>
  <si>
    <t>Scaricamento</t>
  </si>
  <si>
    <t>ダウンロード</t>
  </si>
  <si>
    <t>របចាបរេកា</t>
  </si>
  <si>
    <t>ಡೌನ್‌ಲೋಡ್</t>
  </si>
  <si>
    <t>다운로드</t>
  </si>
  <si>
    <t>ດາວໂຫລດ</t>
  </si>
  <si>
    <t>Lejupielādēt</t>
  </si>
  <si>
    <t>Muat turun</t>
  </si>
  <si>
    <t>Downloaden</t>
  </si>
  <si>
    <t>Pobierać</t>
  </si>
  <si>
    <t>Скачать</t>
  </si>
  <si>
    <t>การดาวน์โหลด</t>
  </si>
  <si>
    <t>İndirmek</t>
  </si>
  <si>
    <t>Завантажувати</t>
  </si>
  <si>
    <t>下载</t>
  </si>
  <si>
    <t>Tải xuống</t>
  </si>
  <si>
    <t>preview</t>
  </si>
  <si>
    <t>Preview</t>
  </si>
  <si>
    <t>معاينة</t>
  </si>
  <si>
    <t>Náhled</t>
  </si>
  <si>
    <t>Vorschau</t>
  </si>
  <si>
    <t>Προεπισκόπηση</t>
  </si>
  <si>
    <t>Avance</t>
  </si>
  <si>
    <t>Eelvaade</t>
  </si>
  <si>
    <t>Esikatselu</t>
  </si>
  <si>
    <t>Aperçu</t>
  </si>
  <si>
    <t>पूर्व दर्शन</t>
  </si>
  <si>
    <t>Pratinjau</t>
  </si>
  <si>
    <t>Anteprima</t>
  </si>
  <si>
    <t>プレビュー</t>
  </si>
  <si>
    <t>បុរេតសសន៍</t>
  </si>
  <si>
    <t>ಮುನ್ನೋಟ</t>
  </si>
  <si>
    <t>시사</t>
  </si>
  <si>
    <t>ການສະແດງຕົວຢ່າງ</t>
  </si>
  <si>
    <t>Priekšskatījums</t>
  </si>
  <si>
    <t>Pratonton</t>
  </si>
  <si>
    <t>Voorbeeld</t>
  </si>
  <si>
    <t>Zapowiedź</t>
  </si>
  <si>
    <t>Visualização</t>
  </si>
  <si>
    <t>Предварительный просмотр</t>
  </si>
  <si>
    <t>ดูตัวอย่าง</t>
  </si>
  <si>
    <t>Ön izleme</t>
  </si>
  <si>
    <t>Попередній перегляд</t>
  </si>
  <si>
    <t>预览</t>
  </si>
  <si>
    <t>Xem trước</t>
  </si>
  <si>
    <t>loadingMore</t>
  </si>
  <si>
    <t>Loading more</t>
  </si>
  <si>
    <t>تحميل المزيد</t>
  </si>
  <si>
    <t>Načítání více</t>
  </si>
  <si>
    <t>Mehr laden</t>
  </si>
  <si>
    <t>Φόρτωση περισσότερων</t>
  </si>
  <si>
    <t>Cargando más</t>
  </si>
  <si>
    <t>Laadige rohkem</t>
  </si>
  <si>
    <t>Lataamalla enemmän</t>
  </si>
  <si>
    <t>Chargement plus</t>
  </si>
  <si>
    <t>अधिक लोड हो रहा है</t>
  </si>
  <si>
    <t>Memuat lebih banyak</t>
  </si>
  <si>
    <t>Caricamento di più</t>
  </si>
  <si>
    <t>もっと読み込みます</t>
  </si>
  <si>
    <t>កំពុងផ្ទុកកាន់តែច្រើន</t>
  </si>
  <si>
    <t>ಹೆಚ್ಚು ಲೋಡ್ ಮಾಡಲಾಗುತ್ತಿದೆ</t>
  </si>
  <si>
    <t>더 많이로드</t>
  </si>
  <si>
    <t>ກໍາລັງໂຫລດເພີ່ມເຕີມ</t>
  </si>
  <si>
    <t>Iekraušana vairāk</t>
  </si>
  <si>
    <t>Meer laden</t>
  </si>
  <si>
    <t>Ładowanie więcej</t>
  </si>
  <si>
    <t>Carregando mais</t>
  </si>
  <si>
    <t>Загрузка больше</t>
  </si>
  <si>
    <t>กำลังโหลดมากขึ้น</t>
  </si>
  <si>
    <t>Daha fazla yükleme</t>
  </si>
  <si>
    <t>Завантаження більше</t>
  </si>
  <si>
    <t>加载更多</t>
  </si>
  <si>
    <t>Tải thêm</t>
  </si>
  <si>
    <t>noMoreData</t>
  </si>
  <si>
    <t>No more data!</t>
  </si>
  <si>
    <t>لا مزيد من البيانات!</t>
  </si>
  <si>
    <t>Žádné další data!</t>
  </si>
  <si>
    <t>Keine Daten mehr!</t>
  </si>
  <si>
    <t>Δεν υπάρχουν άλλα δεδομένα!</t>
  </si>
  <si>
    <t>¡No más datos!</t>
  </si>
  <si>
    <t>Enam pole andmeid!</t>
  </si>
  <si>
    <t>Ei enää tietoja!</t>
  </si>
  <si>
    <t>Plus de données!</t>
  </si>
  <si>
    <t>कोई और डेटा नहीं!</t>
  </si>
  <si>
    <t>Tidak ada lagi data!</t>
  </si>
  <si>
    <t>Niente più dati!</t>
  </si>
  <si>
    <t>これ以上のデータはありません！</t>
  </si>
  <si>
    <t>គ្មានទិន្នន័យទៀតទេ!</t>
  </si>
  <si>
    <t>ಹೆಚ್ಚಿನ ಡೇಟಾ ಇಲ್ಲ!</t>
  </si>
  <si>
    <t>더 이상 데이터가 없습니다!</t>
  </si>
  <si>
    <t>ບໍ່ມີຂໍ້ມູນອີກຕໍ່ໄປ!</t>
  </si>
  <si>
    <t>Vairs nav datu!</t>
  </si>
  <si>
    <t>Tiada lagi data!</t>
  </si>
  <si>
    <t>Geen gegevens meer!</t>
  </si>
  <si>
    <t>Brak danych!</t>
  </si>
  <si>
    <t>Não há mais dados!</t>
  </si>
  <si>
    <t>Нет больше данных!</t>
  </si>
  <si>
    <t>ไม่มีข้อมูลเพิ่มเติม!</t>
  </si>
  <si>
    <t>Artık veri yok!</t>
  </si>
  <si>
    <t>Більше немає даних!</t>
  </si>
  <si>
    <t>没有更多数据！</t>
  </si>
  <si>
    <t>Đã hết dữ liệu!</t>
  </si>
  <si>
    <t>loading</t>
  </si>
  <si>
    <t>Loading ...</t>
  </si>
  <si>
    <t>تحميل ...</t>
  </si>
  <si>
    <t>Načítání ...</t>
  </si>
  <si>
    <t>Wird geladen ...</t>
  </si>
  <si>
    <t>Φόρτωση ...</t>
  </si>
  <si>
    <t>Cargando ...</t>
  </si>
  <si>
    <t>Laadimine ...</t>
  </si>
  <si>
    <t>Ladataan ...</t>
  </si>
  <si>
    <t>Chargement ...</t>
  </si>
  <si>
    <t>लोड हो रहा है ...</t>
  </si>
  <si>
    <t>Memuat ...</t>
  </si>
  <si>
    <t>Caricamento ...</t>
  </si>
  <si>
    <t>読み込み...</t>
  </si>
  <si>
    <t>កំពុងផ្ទុក ...</t>
  </si>
  <si>
    <t>ಲೋಡ್ ಮಾಡಲಾಗುತ್ತಿದೆ ...</t>
  </si>
  <si>
    <t>로딩 ...</t>
  </si>
  <si>
    <t>ກໍາລັງໂຫລດ ...</t>
  </si>
  <si>
    <t>Iekraušana ...</t>
  </si>
  <si>
    <t>Memuatkan ...</t>
  </si>
  <si>
    <t>Bezig met laden ...</t>
  </si>
  <si>
    <t>Ładowanie ...</t>
  </si>
  <si>
    <t>Carregando ...</t>
  </si>
  <si>
    <t>Загрузка ...</t>
  </si>
  <si>
    <t>กำลังโหลด ...</t>
  </si>
  <si>
    <t>Yükleniyor ...</t>
  </si>
  <si>
    <t>Завантаження ...</t>
  </si>
  <si>
    <t>加载中 ...</t>
  </si>
  <si>
    <t>Đang tải ...</t>
  </si>
  <si>
    <t>unknown</t>
  </si>
  <si>
    <t>Unknown</t>
  </si>
  <si>
    <t>مجهول</t>
  </si>
  <si>
    <t>Neznámý</t>
  </si>
  <si>
    <t>Unbekannt</t>
  </si>
  <si>
    <t>Αγνωστος</t>
  </si>
  <si>
    <t>Desconocido</t>
  </si>
  <si>
    <t>Teadmata</t>
  </si>
  <si>
    <t>Tuntematon</t>
  </si>
  <si>
    <t>Inconnu</t>
  </si>
  <si>
    <t>अज्ञात</t>
  </si>
  <si>
    <t>Tidak dikenal</t>
  </si>
  <si>
    <t>Sconosciuto</t>
  </si>
  <si>
    <t>未知</t>
  </si>
  <si>
    <t>ដេលមិនស្គាល់</t>
  </si>
  <si>
    <t>ಅಜ್ಞಾತ</t>
  </si>
  <si>
    <t>알려지지 않은</t>
  </si>
  <si>
    <t>ບໍ່ຮູ້</t>
  </si>
  <si>
    <t>Nezināms</t>
  </si>
  <si>
    <t>Tidak diketahui</t>
  </si>
  <si>
    <t>Onbekend</t>
  </si>
  <si>
    <t>Nieznany</t>
  </si>
  <si>
    <t>Desconhecido</t>
  </si>
  <si>
    <t>Неизвестный</t>
  </si>
  <si>
    <t>ไม่รู้จัก</t>
  </si>
  <si>
    <t>Bilinmeyen</t>
  </si>
  <si>
    <t>Невідомий</t>
  </si>
  <si>
    <t>không xác định</t>
  </si>
  <si>
    <t>noInternetMessage</t>
  </si>
  <si>
    <t>Unable to connect to the server. Check your connection and try again.</t>
  </si>
  <si>
    <t>غير قادر على الاتصال بالخادم. تحقق من اتصالك وحاول مرة أخرى.</t>
  </si>
  <si>
    <t>Nelze se připojit k serveru. Zkontrolujte své připojení a zkuste to znovu.</t>
  </si>
  <si>
    <t>Ich kann keine Verbindung zum Server herstellen. Überprüfen Sie Ihre Verbindung und versuchen Sie es erneut.</t>
  </si>
  <si>
    <t>Δεν είναι δυνατή η σύνδεση στον διακομιστή. Ελέγξτε τη σύνδεσή σας και δοκιμάστε ξανά.</t>
  </si>
  <si>
    <t>No es posible conectarse al servidor. Revise su conexión y vuelva a intentarlo.</t>
  </si>
  <si>
    <t>Ei saa serveriga ühendust luua. Kontrollige oma ühendust ja proovige uuesti.</t>
  </si>
  <si>
    <t>Ei voi muodostaa yhteyttä palvelimeen. Tarkista yhteys ja yritä uudelleen.</t>
  </si>
  <si>
    <t>Impossible de se connecter au serveur. Vérifiez votre connexion et réessayez.</t>
  </si>
  <si>
    <t>सर्वर से कनेक्ट करने में अक्षम। अपने कनेक्शन की जाँच करें और फिर से प्रयास करें।</t>
  </si>
  <si>
    <t>Tidak dapat terhubung ke server. Periksa koneksi Anda dan coba lagi.</t>
  </si>
  <si>
    <t>Impossibile connettersi al server. Controlla la tua connessione e riprova.</t>
  </si>
  <si>
    <t>サーバーに接続できません。接続を確認して、再試行してください。</t>
  </si>
  <si>
    <t>មិនអាចភ្ជាប់ទៅម៉ាស៊ីនមេបានទេ។ ពិនិត្យមើលការភ្ជាប់របស់អ្នកហើយព្យាយាមម្តងទៀត។</t>
  </si>
  <si>
    <t>ಸರ್ವರ್‌ಗೆ ಸಂಪರ್ಕಿಸಲು ಸಾಧ್ಯವಿಲ್ಲ. ನಿಮ್ಮ ಸಂಪರ್ಕವನ್ನು ಪರಿಶೀಲಿಸಿ ಮತ್ತು ಮತ್ತೆ ಪ್ರಯತ್ನಿಸಿ.</t>
  </si>
  <si>
    <t>서버에 연결할 수 없습니다. 연결을 확인하고 다시 시도하십시오.</t>
  </si>
  <si>
    <t>ບໍ່ສາມາດເຊື່ອມຕໍ່ກັບເຊີບເວີໄດ້. ກວດເບິ່ງການເຊື່ອມຕໍ່ຂອງທ່ານແລະລອງໃຫມ່ອີກຄັ້ງ.</t>
  </si>
  <si>
    <t>Nevar izveidot savienojumu ar serveri. Pārbaudiet savu savienojumu un mēģiniet vēlreiz.</t>
  </si>
  <si>
    <t>Tidak dapat menyambung ke pelayan. Periksa sambungan anda dan cuba lagi.</t>
  </si>
  <si>
    <t>Kan niet verbinden met de server. Controleer uw verbinding en probeer het opnieuw.</t>
  </si>
  <si>
    <t>Nie można połączyć się z serwerem. Sprawdź swoje połączenie i spróbuj ponownie.</t>
  </si>
  <si>
    <t>Não é possível conectar ao servidor. Verifique sua conexão e tente novamente.</t>
  </si>
  <si>
    <t>Невозможно подключиться к серверу. Проверьте свое соединение и попробуйте еще раз.</t>
  </si>
  <si>
    <t>ไม่สามารถเชื่อมต่อกับเซิร์ฟเวอร์ได้ ตรวจสอบการเชื่อมต่อของคุณและลองอีกครั้ง</t>
  </si>
  <si>
    <t>Sunucuya bağlanılamıyor. Bağlantınızı kontrol edin ve tekrar deneyin.</t>
  </si>
  <si>
    <t>Неможливо підключитися до сервера. Перевірте своє з'єднання та повторіть спробу.</t>
  </si>
  <si>
    <t>无法连接到服务器。检查您的连接，然后重试。</t>
  </si>
  <si>
    <t>Không thể kết nối đến máy chủ. Kiểm tra kết nối của bạn và thử lại.</t>
  </si>
  <si>
    <t>retry</t>
  </si>
  <si>
    <t>Retry</t>
  </si>
  <si>
    <t>إعادة المحاولة</t>
  </si>
  <si>
    <t>Opakovat</t>
  </si>
  <si>
    <t>Wiederholen</t>
  </si>
  <si>
    <t>Ξαναδοκιμάσετε</t>
  </si>
  <si>
    <t>Rever</t>
  </si>
  <si>
    <t>Uuesti proovima</t>
  </si>
  <si>
    <t>Tehdä uudelleen</t>
  </si>
  <si>
    <t>Recommencez</t>
  </si>
  <si>
    <t>पुन: प्रयास करें</t>
  </si>
  <si>
    <t>Mencoba kembali</t>
  </si>
  <si>
    <t>Riprovare</t>
  </si>
  <si>
    <t>リトライ</t>
  </si>
  <si>
    <t>ាប់រេគ្រប់យ៉ាងបី</t>
  </si>
  <si>
    <t>ಮರುಪ್ರಯತ್ನಿಸಿ</t>
  </si>
  <si>
    <t>다시 해 보다</t>
  </si>
  <si>
    <t>ລອງໃຫມ່</t>
  </si>
  <si>
    <t>Atkārtot</t>
  </si>
  <si>
    <t>Cuba semula</t>
  </si>
  <si>
    <t>Opnieuw proberen</t>
  </si>
  <si>
    <t>Spróbować ponownie</t>
  </si>
  <si>
    <t>Tente novamente</t>
  </si>
  <si>
    <t>Повторно</t>
  </si>
  <si>
    <t>ลองอีกครั้ง</t>
  </si>
  <si>
    <t>Yeniden yapmak</t>
  </si>
  <si>
    <t>Повторити</t>
  </si>
  <si>
    <t>重试</t>
  </si>
  <si>
    <t>Thử lại</t>
  </si>
  <si>
    <t>requestCookieTitle</t>
  </si>
  <si>
    <t>Our use of Cookies</t>
  </si>
  <si>
    <t>استخدامنا لملفات تعريف الارتباط</t>
  </si>
  <si>
    <t>Naše použití cookies</t>
  </si>
  <si>
    <t>Unsere Verwendung von Keksen</t>
  </si>
  <si>
    <t>Η χρήση των cookies μας</t>
  </si>
  <si>
    <t>Nuestro uso de cookies</t>
  </si>
  <si>
    <t>Meie küpsiste kasutamine</t>
  </si>
  <si>
    <t>Evästeiden käyttö</t>
  </si>
  <si>
    <t>Notre utilisation des cookies</t>
  </si>
  <si>
    <t>कुकीज़ का हमारा उपयोग</t>
  </si>
  <si>
    <t>Penggunaan cookie kami</t>
  </si>
  <si>
    <t>Il nostro uso dei biscotti</t>
  </si>
  <si>
    <t>クッキーの使用</t>
  </si>
  <si>
    <t>ការប្រើប្រាស់ខូឃីស៍របស់យើង</t>
  </si>
  <si>
    <t>ನಮ್ಮ ಕುಕೀಗಳ ಬಳಕೆ</t>
  </si>
  <si>
    <t>쿠키 사용</t>
  </si>
  <si>
    <t>ການນໍາໃຊ້ cookies ຂອງພວກເຮົາ</t>
  </si>
  <si>
    <t>Mūsu sīkdatņu izmantošana</t>
  </si>
  <si>
    <t>Penggunaan kuki kami</t>
  </si>
  <si>
    <t>Ons gebruik van cookies</t>
  </si>
  <si>
    <t>Nasze użycie plików cookie</t>
  </si>
  <si>
    <t>Nosso uso de cookies</t>
  </si>
  <si>
    <t>Наше использование куки</t>
  </si>
  <si>
    <t>การใช้คุกกี้ของเรา</t>
  </si>
  <si>
    <t>Çerez kullanımımız</t>
  </si>
  <si>
    <t>Наше використання печива</t>
  </si>
  <si>
    <t>我们对饼干的使用</t>
  </si>
  <si>
    <t>Về việc sử dụng cookie</t>
  </si>
  <si>
    <t>requestCookieMessage</t>
  </si>
  <si>
    <t>Tracking cookies are used for marketing and advertising purposes, additionally we also use them for the purpose of cleaning up your browsing history, every time you open your browser it will always be a new, clean browser. That helps you stay more secure.</t>
  </si>
  <si>
    <t>تتبع ملفات تعريف الارتباط تتبع لأغراض التسويق والإعلان ، بالإضافة إلى ذلك ، نستخدمها أيضًا لغرض تنظيف تاريخ التصفح الخاص بك ، في كل مرة تفتح فيها متصفحك ، سيكون دائمًا متصفحًا جديدًا ونظيفًا. هذا يساعدك على البقاء أكثر أمانًا.</t>
  </si>
  <si>
    <t>Sledování souborů cookie se používají pro účely marketingu a reklamy, navíc je také používáme za účelem vyčištění vaší historie prohlížení, pokaždé, když otevřete prohlížeč, bude to vždy nový, čistý prohlížeč. To vám pomůže zůstat bezpečnější.</t>
  </si>
  <si>
    <t>Tracking Cookies werden für Marketing- und Werbezwecke verwendet. Außerdem verwenden wir sie auch, um Ihre Browserhistorie zu bereinigen. Jedes Mal, wenn Sie Ihren Browser öffnen, wird er immer ein neuer, sauberer Browser sein. Das hilft Ihnen, sicherer zu bleiben.</t>
  </si>
  <si>
    <t>Η παρακολούθηση cookies χρησιμοποιούνται για σκοπούς μάρκετινγκ και διαφήμισης, επιπλέον τα χρησιμοποιούμε επίσης για τον καθαρισμό του ιστορικού περιήγησης, κάθε φορά που ανοίγετε το πρόγραμμα περιήγησής σας, θα είναι πάντα ένα νέο, καθαρό πρόγραμμα περιήγησης. Αυτό σας βοηθά να μείνετε πιο ασφαλείς.</t>
  </si>
  <si>
    <t>El seguimiento de las cookies se utilizan para fines de marketing y publicidad, además también las usamos con el fin de limpiar su historial de navegación, cada vez que abra su navegador siempre será un navegador nuevo y limpio. Eso te ayuda a mantenerte más seguro.</t>
  </si>
  <si>
    <t>Jälgimisküpsiseid kasutatakse turunduse ja reklaami eesmärgil, lisaks kasutame neid ka sirvimisajaloo puhastamiseks, iga kord, kui avate oma brauseri, on see alati uus, puhas brauser. See aitab teil turvalisemaks jääda.</t>
  </si>
  <si>
    <t>Seuranta- ja mainontatarkoituksiin käytetään evästeiden seuranta, lisäksi käytämme niitä myös selaushistorian puhdistamiseen, selaimen avaamiseen joka kerta, se on aina uusi, puhdas selain. Se auttaa sinua pysymään turvallisempana.</t>
  </si>
  <si>
    <t>Les cookies de suivi sont utilisés à des fins de marketing et de publicité, nous les utilisons également dans le but de nettoyer votre historique de navigation, chaque fois que vous ouvrez votre navigateur, ce sera toujours un nouveau navigateur propre. Cela vous aide à rester plus en sécurité.</t>
  </si>
  <si>
    <t>ट्रैकिंग कुकीज़ का उपयोग विपणन और विज्ञापन उद्देश्यों के लिए किया जाता है, इसके अलावा हम उन्हें आपके ब्राउज़िंग इतिहास को साफ करने के उद्देश्य से भी उपयोग करते हैं, हर बार जब आप अपने ब्राउज़र को खोलते हैं तो यह हमेशा एक नया, स्वच्छ ब्राउज़र होगा। जो आपको अधिक सुरक्षित रहने में मदद करता है।</t>
  </si>
  <si>
    <t>Lacak cookie digunakan untuk tujuan pemasaran dan periklanan, juga kami juga menggunakannya untuk tujuan membersihkan riwayat penelusuran Anda, setiap kali Anda membuka browser Anda, itu akan selalu menjadi browser yang bersih dan bersih. Itu membantu Anda tetap lebih aman.</t>
  </si>
  <si>
    <t>I cookie di monitoraggio vengono utilizzati per scopi di marketing e pubblicità, inoltre li usiamo anche allo scopo di ripulire la cronologia della navigazione, ogni volta che aprirai il browser sarà sempre un nuovo browser pulito. Questo ti aiuta a rimanere più sicuro.</t>
  </si>
  <si>
    <t>Cookieの追跡はマーケティングおよび広告の目的で使用されます。さらに、ブラウザを開くたびに、閲覧履歴をクリーンアップする目的でも使用します。常に新しいクリーンブラウザになります。それはあなたがより安全に保つのに役立ちます。</t>
  </si>
  <si>
    <t>ខូឃីស៍តាមដានត្រូវបានប្រើសម្រាប់គោលបំណងទីផ្សារនិងការផ្សាយពាណិជ្ជកម្មបន្ថែមទៀតយើងក៏ប្រើវាសម្រាប់គោលបំណងក្នុងការសម្អាតប្រវត្តិរុករករបស់អ្នករាល់ពេលដែលអ្នកបើកកម្មវិធីរុករករបស់អ្នកជានិច្ច។ ដែលជួយអ្នកឱ្យមានសុវត្ថិភាពជាងមុន។</t>
  </si>
  <si>
    <t>ಟ್ರ್ಯಾಕಿಂಗ್ ಕುಕೀಗಳನ್ನು ಮಾರ್ಕೆಟಿಂಗ್ ಮತ್ತು ಜಾಹೀರಾತು ಉದ್ದೇಶಗಳಿಗಾಗಿ ಬಳಸಲಾಗುತ್ತದೆ, ಹೆಚ್ಚುವರಿಯಾಗಿ ನಿಮ್ಮ ಬ್ರೌಸಿಂಗ್ ಇತಿಹಾಸವನ್ನು ಸ್ವಚ್ cleaning ಗೊಳಿಸುವ ಉದ್ದೇಶದಿಂದ ನಾವು ಅವುಗಳನ್ನು ಬಳಸುತ್ತೇವೆ, ನೀವು ನಿಮ್ಮ ಬ್ರೌಸರ್ ಅನ್ನು ತೆರೆದಾಗಲೆಲ್ಲಾ ಅದು ಯಾವಾಗಲೂ ಹೊಸ, ಸ್ವಚ್ brow ಬ್ರೌಸರ್ ಆಗಿರುತ್ತದೆ. ಅದು ಹೆಚ್ಚು ಸುರಕ್ಷಿತವಾಗಿರಲು ನಿಮಗೆ ಸಹಾಯ ಮಾಡುತ್ತದೆ.</t>
  </si>
  <si>
    <t>추적 쿠키는 마케팅 및 광고 목적으로 사용되며 또한 브라우징 기록을 정리하기 위해 사용합니다. 브라우저를 열 때마다 항상 새롭고 깨끗한 브라우저가됩니다. 이는 더 안전한 상태를 유지하는 데 도움이됩니다.</t>
  </si>
  <si>
    <t>ເຄື່ອງຕິດຕາມການຕິດຕາມແມ່ນໃຊ້ສໍາລັບຈຸດປະສົງການຕະຫຼາດແລະການໂຄສະນາ, ນອກຈາກນັ້ນພວກເຮົາຍັງໃຊ້ປະຫວັດສາດການຊອກຫາຂອງທ່ານ, ທຸກໆຄັ້ງທີ່ທ່ານຈະເປັນຕົວທ່ອງເວັບໃຫມ່ທີ່ສະອາດ. ທີ່ຊ່ວຍໃຫ້ທ່ານມີຄວາມປອດໄພກວ່າ.</t>
  </si>
  <si>
    <t>Sīkdatņu izsekošana tiek izmantota mārketinga un reklāmas nolūkos, papildus mēs tos izmantojam arī, lai sakoptu jūsu pārlūkošanas vēsturi, katru reizi, kad atverat pārlūkprogrammu, tas vienmēr būs jauns, tīrs pārlūks. Tas palīdz jums saglabāt drošāku.</t>
  </si>
  <si>
    <t>Kuki penjejakan digunakan untuk tujuan pemasaran dan pengiklanan, selain itu kami juga menggunakannya untuk tujuan membersihkan sejarah pelayaran anda, setiap kali anda membuka penyemak imbas anda, ia akan menjadi pelayar yang baru dan bersih. Itu membantu anda tetap lebih selamat.</t>
  </si>
  <si>
    <t>Het volgen van cookies worden gebruikt voor marketing- en advertentiedoeleinden, bovendien gebruiken we ze ook om uw browsegeschiedenis op te ruimen, elke keer dat u uw browser opent, wordt het altijd een nieuwe, schone browser. Dat helpt je om veiliger te blijven.</t>
  </si>
  <si>
    <t>Śledzenie plików cookie są wykorzystywane do celów marketingowych i reklamowych, dodatkowo używamy ich również do wyczyszczenia historii przeglądania, za każdym razem, gdy otwierasz przeglądarkę, zawsze będzie to nowa, czysta przeglądarka. To pomaga zachować bezpieczeństwo.</t>
  </si>
  <si>
    <t>Os cookies de rastreamento são usados ​​para fins de marketing e publicidade, além disso, também os usamos com o objetivo de limpar seu histórico de navegação, toda vez que você abrir seu navegador, sempre será um navegador novo e limpo. Isso ajuda você a permanecer mais seguro.</t>
  </si>
  <si>
    <t>Отслеживание файлов cookie используется для маркетинговых и рекламных целей, дополнительно мы также используем их для очистки вашей истории просмотра, каждый раз, когда вы открываете браузер, это всегда будет новый, чистый браузер. Это поможет вам оставаться в безопасности.</t>
  </si>
  <si>
    <t>การติดตามคุกกี้ใช้เพื่อการตลาดและการโฆษณานอกจากนี้เรายังใช้มันเพื่อจุดประสงค์ในการทำความสะอาดประวัติการเรียกดูของคุณทุกครั้งที่คุณเปิดเบราว์เซอร์ของคุณมันจะเป็นเบราว์เซอร์ใหม่ที่สะอาด ที่ช่วยให้คุณรักษาความปลอดภัยได้มากขึ้น</t>
  </si>
  <si>
    <t>İzleme çerezleri pazarlama ve reklam amaçlı kullanılır, ayrıca bunları tarama geçmişinizi temizlemek amacıyla da kullanırız, tarayıcınızı her açtığınızda her zaman yeni, temiz bir tarayıcı olacaktır. Bu daha güvenli kalmanıza yardımcı olur.</t>
  </si>
  <si>
    <t>Відстеження файлів cookie використовується для маркетингових та рекламних цілей, крім того, ми також використовуємо їх з метою очищення історії вашого перегляду, кожного разу, коли ви відкриваєте браузер, це завжди буде новим чистим браузером. Це допомагає вам залишатися більш безпечними.</t>
  </si>
  <si>
    <t>跟踪饼干用于营销和广告目的，此外，我们还将它们用于清理您的浏览历史记录，每次您打开浏览器时，它将永远是一个新的，干净的浏览器。这可以帮助您保持更安全。</t>
  </si>
  <si>
    <t>Theo dõi cookie được sử dụng cho mục đích tiếp thị và quảng cáo, ngoài ra chúng tôi cũng sử dụng chúng cho mục đích làm sạch lịch sử duyệt web của bạn, mỗi khi bạn mở trình duyệt của mình, nó sẽ luôn là một trình duyệt mới. Điều đó giúp bạn giữ an toàn hơn.</t>
  </si>
  <si>
    <t>acceptCookie</t>
  </si>
  <si>
    <t>Accept</t>
  </si>
  <si>
    <t>يقبل</t>
  </si>
  <si>
    <t>Akceptovat</t>
  </si>
  <si>
    <t>Akzeptieren</t>
  </si>
  <si>
    <t>Αποδέχομαι</t>
  </si>
  <si>
    <t>Aceptar</t>
  </si>
  <si>
    <t>Aktsepteerima</t>
  </si>
  <si>
    <t>Hyväksyä</t>
  </si>
  <si>
    <t>Accepter</t>
  </si>
  <si>
    <t>स्वीकार करना</t>
  </si>
  <si>
    <t>Menerima</t>
  </si>
  <si>
    <t>Accettare</t>
  </si>
  <si>
    <t>受け入れる</t>
  </si>
  <si>
    <t>តតយល</t>
  </si>
  <si>
    <t>ಒಪ್ಪಿಕೊಳ್ಳಿ</t>
  </si>
  <si>
    <t>수용하다</t>
  </si>
  <si>
    <t>ຍອມ​ຮັບ</t>
  </si>
  <si>
    <t>Pieņemt</t>
  </si>
  <si>
    <t>Aanvaarden</t>
  </si>
  <si>
    <t>Zaakceptować</t>
  </si>
  <si>
    <t>Aceitar</t>
  </si>
  <si>
    <t>Принимать</t>
  </si>
  <si>
    <t>ยอมรับ</t>
  </si>
  <si>
    <t>Kabul etmek</t>
  </si>
  <si>
    <t>Приймати</t>
  </si>
  <si>
    <t>接受</t>
  </si>
  <si>
    <t>Chấp nhận</t>
  </si>
  <si>
    <t>rejectCookie</t>
  </si>
  <si>
    <t>Decline</t>
  </si>
  <si>
    <t>انخفاض</t>
  </si>
  <si>
    <t>Pokles</t>
  </si>
  <si>
    <t>Abfall</t>
  </si>
  <si>
    <t>Πτώση</t>
  </si>
  <si>
    <t>Rechazar</t>
  </si>
  <si>
    <t>Langus</t>
  </si>
  <si>
    <t>Heikkeneminen</t>
  </si>
  <si>
    <t>Déclin</t>
  </si>
  <si>
    <t>गिरावट</t>
  </si>
  <si>
    <t>Menolak</t>
  </si>
  <si>
    <t>Declino</t>
  </si>
  <si>
    <t>衰退</t>
  </si>
  <si>
    <t>ការបដិសេធ</t>
  </si>
  <si>
    <t>ಕ್ಷೀಣತೆ</t>
  </si>
  <si>
    <t>감소</t>
  </si>
  <si>
    <t>ຮ່ວງໂຮຍ</t>
  </si>
  <si>
    <t>Pasliktināšanās</t>
  </si>
  <si>
    <t>Penurunan</t>
  </si>
  <si>
    <t>Afwijzen</t>
  </si>
  <si>
    <t>Spadek</t>
  </si>
  <si>
    <t>Declínio</t>
  </si>
  <si>
    <t>Отклонить</t>
  </si>
  <si>
    <t>ปฏิเสธ</t>
  </si>
  <si>
    <t>Reddetmek</t>
  </si>
  <si>
    <t>Зниження</t>
  </si>
  <si>
    <t>Từ chối</t>
  </si>
  <si>
    <t>arabic</t>
  </si>
  <si>
    <t>Arabic</t>
  </si>
  <si>
    <t>عربي</t>
  </si>
  <si>
    <t>arabština</t>
  </si>
  <si>
    <t>Arabisch</t>
  </si>
  <si>
    <t>αραβικός</t>
  </si>
  <si>
    <t>Arábica</t>
  </si>
  <si>
    <t>Araabia</t>
  </si>
  <si>
    <t>arabialainen</t>
  </si>
  <si>
    <t>arabe</t>
  </si>
  <si>
    <t>अरबी</t>
  </si>
  <si>
    <t>Arab</t>
  </si>
  <si>
    <t>Arabo</t>
  </si>
  <si>
    <t>アラビア語</t>
  </si>
  <si>
    <t>អារ៉ាប់</t>
  </si>
  <si>
    <t>ಅರೇಬಿಕ್</t>
  </si>
  <si>
    <t>아라비아 말</t>
  </si>
  <si>
    <t>ພາສາອາຣັບ</t>
  </si>
  <si>
    <t>Arābu</t>
  </si>
  <si>
    <t>arabski</t>
  </si>
  <si>
    <t>árabe</t>
  </si>
  <si>
    <t>арабский</t>
  </si>
  <si>
    <t>ภาษาอาหรับ</t>
  </si>
  <si>
    <t>Arapça</t>
  </si>
  <si>
    <t>Арабський</t>
  </si>
  <si>
    <t>阿拉伯</t>
  </si>
  <si>
    <t>tiếng Ả Rập</t>
  </si>
  <si>
    <t>ukrainian</t>
  </si>
  <si>
    <t>Ukrainian</t>
  </si>
  <si>
    <t>الأوكرانية</t>
  </si>
  <si>
    <t>ukrajinština</t>
  </si>
  <si>
    <t>ukrainisch</t>
  </si>
  <si>
    <t>Ουκρανός</t>
  </si>
  <si>
    <t>ucranio</t>
  </si>
  <si>
    <t>Ukraina</t>
  </si>
  <si>
    <t>Ukrainalainen</t>
  </si>
  <si>
    <t>ukrainien</t>
  </si>
  <si>
    <t>यूक्रेनी</t>
  </si>
  <si>
    <t>Orang Ukraina</t>
  </si>
  <si>
    <t>ucraino</t>
  </si>
  <si>
    <t>ウクライナ人</t>
  </si>
  <si>
    <t>ជនជាតិអ៊ុយក្រែន</t>
  </si>
  <si>
    <t>ಯುಕೆರಿನ</t>
  </si>
  <si>
    <t>우크라이나 인</t>
  </si>
  <si>
    <t>ອູແກຣນ</t>
  </si>
  <si>
    <t>Ukraiņu</t>
  </si>
  <si>
    <t>Ukraine</t>
  </si>
  <si>
    <t>Oekraïens</t>
  </si>
  <si>
    <t>ukraiński</t>
  </si>
  <si>
    <t>ucraniano</t>
  </si>
  <si>
    <t>украинец</t>
  </si>
  <si>
    <t>ชาวยูเครน</t>
  </si>
  <si>
    <t>Ukrayna</t>
  </si>
  <si>
    <t>Український</t>
  </si>
  <si>
    <t>乌克兰</t>
  </si>
  <si>
    <t>Tiếng Ukraine</t>
  </si>
  <si>
    <t>turkish</t>
  </si>
  <si>
    <t>Turkish</t>
  </si>
  <si>
    <t>اللغة التركية</t>
  </si>
  <si>
    <t>turečtina</t>
  </si>
  <si>
    <t>Türkisch</t>
  </si>
  <si>
    <t>τούρκικος</t>
  </si>
  <si>
    <t>turco</t>
  </si>
  <si>
    <t>Türgi</t>
  </si>
  <si>
    <t>Turkkilainen</t>
  </si>
  <si>
    <t>turc</t>
  </si>
  <si>
    <t>तुर्की</t>
  </si>
  <si>
    <t>Turki</t>
  </si>
  <si>
    <t>Turco</t>
  </si>
  <si>
    <t>トルコ語</t>
  </si>
  <si>
    <t>ទួរគី</t>
  </si>
  <si>
    <t>ಟರ್ಕಿಯ</t>
  </si>
  <si>
    <t>터키</t>
  </si>
  <si>
    <t>ພາສາຕຸລະກີ</t>
  </si>
  <si>
    <t>Turku</t>
  </si>
  <si>
    <t>Turks</t>
  </si>
  <si>
    <t>turecki</t>
  </si>
  <si>
    <t>турецкий</t>
  </si>
  <si>
    <t>ตุรกี</t>
  </si>
  <si>
    <t>Türkçe</t>
  </si>
  <si>
    <t>Турецький</t>
  </si>
  <si>
    <t>土耳其</t>
  </si>
  <si>
    <t>Tiếng Thổ Nhĩ Kỳ</t>
  </si>
  <si>
    <t>thai</t>
  </si>
  <si>
    <t>Thai</t>
  </si>
  <si>
    <t>التايلاندية</t>
  </si>
  <si>
    <t>Ταϊλάνδης</t>
  </si>
  <si>
    <t>tailandés</t>
  </si>
  <si>
    <t>Tai</t>
  </si>
  <si>
    <t>Thaimaalainen</t>
  </si>
  <si>
    <t>thaïlandais</t>
  </si>
  <si>
    <t>थाई</t>
  </si>
  <si>
    <t>tailandese</t>
  </si>
  <si>
    <t>タイ</t>
  </si>
  <si>
    <t>ថៃ</t>
  </si>
  <si>
    <t>ದರ್ಜೆ</t>
  </si>
  <si>
    <t>태국</t>
  </si>
  <si>
    <t>ຄົນໄທ</t>
  </si>
  <si>
    <t>Taizemiete</t>
  </si>
  <si>
    <t>Thais</t>
  </si>
  <si>
    <t>tajski</t>
  </si>
  <si>
    <t>tailandês</t>
  </si>
  <si>
    <t>Тайский</t>
  </si>
  <si>
    <t>แบบไทย</t>
  </si>
  <si>
    <t>Tayland</t>
  </si>
  <si>
    <t>Тайський</t>
  </si>
  <si>
    <t>泰国</t>
  </si>
  <si>
    <t>Tiếng Thái</t>
  </si>
  <si>
    <t>spanish</t>
  </si>
  <si>
    <t>Spanish</t>
  </si>
  <si>
    <t>الأسبانية</t>
  </si>
  <si>
    <t>španělština</t>
  </si>
  <si>
    <t>Spanisch</t>
  </si>
  <si>
    <t>Ισπανικά</t>
  </si>
  <si>
    <t>Español</t>
  </si>
  <si>
    <t>Hispaania keel</t>
  </si>
  <si>
    <t>Espanja</t>
  </si>
  <si>
    <t>Espagnol</t>
  </si>
  <si>
    <t>स्पैनिश</t>
  </si>
  <si>
    <t>Orang Spanyol</t>
  </si>
  <si>
    <t>spagnolo</t>
  </si>
  <si>
    <t>スペイン語</t>
  </si>
  <si>
    <t>អេស្ប៉ាញ</t>
  </si>
  <si>
    <t>ಸ್ಪೋರ್ಯ</t>
  </si>
  <si>
    <t>스페인의</t>
  </si>
  <si>
    <t>ສະເປນ</t>
  </si>
  <si>
    <t>Spāņu valoda</t>
  </si>
  <si>
    <t>Sepanyol</t>
  </si>
  <si>
    <t>Spaans</t>
  </si>
  <si>
    <t>hiszpański</t>
  </si>
  <si>
    <t>Espanhol</t>
  </si>
  <si>
    <t>испанский</t>
  </si>
  <si>
    <t>ภาษาสเปน</t>
  </si>
  <si>
    <t>İspanyol</t>
  </si>
  <si>
    <t>Іспанська мова</t>
  </si>
  <si>
    <t>西班牙语</t>
  </si>
  <si>
    <t>Tiếng Tây Ban Nha</t>
  </si>
  <si>
    <t>russian</t>
  </si>
  <si>
    <t>Russian</t>
  </si>
  <si>
    <t>الروسية</t>
  </si>
  <si>
    <t>ruština</t>
  </si>
  <si>
    <t>Russisch</t>
  </si>
  <si>
    <t>Ρωσική</t>
  </si>
  <si>
    <t>ruso</t>
  </si>
  <si>
    <t>Vene</t>
  </si>
  <si>
    <t>Venäjän kieli</t>
  </si>
  <si>
    <t>russe</t>
  </si>
  <si>
    <t>रूसी</t>
  </si>
  <si>
    <t>Rusia</t>
  </si>
  <si>
    <t>russo</t>
  </si>
  <si>
    <t>ロシア</t>
  </si>
  <si>
    <t>រុស្ស៊ី</t>
  </si>
  <si>
    <t>ರಷ್ಯಾದ</t>
  </si>
  <si>
    <t>러시아인</t>
  </si>
  <si>
    <t>ພາສາລັດເຊຍ</t>
  </si>
  <si>
    <t>Krievs</t>
  </si>
  <si>
    <t>Rosyjski</t>
  </si>
  <si>
    <t>Русский</t>
  </si>
  <si>
    <t>ชาวรัสเซีย</t>
  </si>
  <si>
    <t>Rusça</t>
  </si>
  <si>
    <t>російський</t>
  </si>
  <si>
    <t>俄语</t>
  </si>
  <si>
    <t>tiếng Nga</t>
  </si>
  <si>
    <t>portuguese</t>
  </si>
  <si>
    <t>Portuguese</t>
  </si>
  <si>
    <t>البرتغالية</t>
  </si>
  <si>
    <t>portugalština</t>
  </si>
  <si>
    <t>Portugiesisch</t>
  </si>
  <si>
    <t>Πορτογαλικά</t>
  </si>
  <si>
    <t>portugués</t>
  </si>
  <si>
    <t>Portugali keel</t>
  </si>
  <si>
    <t>Portugalin kieli</t>
  </si>
  <si>
    <t>Portugais</t>
  </si>
  <si>
    <t>पुर्तगाली</t>
  </si>
  <si>
    <t>Portugis</t>
  </si>
  <si>
    <t>portoghese</t>
  </si>
  <si>
    <t>ポルトガル語</t>
  </si>
  <si>
    <t>ព័រទុយហ្កាល់</t>
  </si>
  <si>
    <t>ಪೋರ್ಚುಗೀಸ್</t>
  </si>
  <si>
    <t>포르투갈 인</t>
  </si>
  <si>
    <t>ປອກຕຸຍການ</t>
  </si>
  <si>
    <t>Portugāļu valoda</t>
  </si>
  <si>
    <t>Portugees</t>
  </si>
  <si>
    <t>portugalski</t>
  </si>
  <si>
    <t>Português</t>
  </si>
  <si>
    <t>португальский</t>
  </si>
  <si>
    <t>ชาวโปรตุเกส</t>
  </si>
  <si>
    <t>Portekizce</t>
  </si>
  <si>
    <t>Португальський</t>
  </si>
  <si>
    <t>葡萄牙语</t>
  </si>
  <si>
    <t>Tiếng Bồ Đào Nha</t>
  </si>
  <si>
    <t>polish</t>
  </si>
  <si>
    <t>Polish</t>
  </si>
  <si>
    <t>تلميع</t>
  </si>
  <si>
    <t>polština</t>
  </si>
  <si>
    <t>Polieren</t>
  </si>
  <si>
    <t>Στίλβωση</t>
  </si>
  <si>
    <t>Polaco</t>
  </si>
  <si>
    <t>Poola</t>
  </si>
  <si>
    <t>Kiillottaa</t>
  </si>
  <si>
    <t>polonais</t>
  </si>
  <si>
    <t>पोलिश</t>
  </si>
  <si>
    <t>Polandia</t>
  </si>
  <si>
    <t>Polacco</t>
  </si>
  <si>
    <t>研磨</t>
  </si>
  <si>
    <t>ធេវីអាេយរលោង</t>
  </si>
  <si>
    <t>ಹೊಳಪು ಕೊಡು</t>
  </si>
  <si>
    <t>광택</t>
  </si>
  <si>
    <t>ໂປໂລຍ</t>
  </si>
  <si>
    <t>Pulēt</t>
  </si>
  <si>
    <t>Menggilap</t>
  </si>
  <si>
    <t>Pools</t>
  </si>
  <si>
    <t>Polski</t>
  </si>
  <si>
    <t>polonês</t>
  </si>
  <si>
    <t>Лак</t>
  </si>
  <si>
    <t>ขัด</t>
  </si>
  <si>
    <t>Lehçe</t>
  </si>
  <si>
    <t>Польський</t>
  </si>
  <si>
    <t>抛光</t>
  </si>
  <si>
    <t>Tiếng Ba Lan</t>
  </si>
  <si>
    <t>latvian</t>
  </si>
  <si>
    <t>Latvian</t>
  </si>
  <si>
    <t>لاتفيا</t>
  </si>
  <si>
    <t>lotyšský</t>
  </si>
  <si>
    <t>lettisch</t>
  </si>
  <si>
    <t>Λετονική</t>
  </si>
  <si>
    <t>letón</t>
  </si>
  <si>
    <t>Läti</t>
  </si>
  <si>
    <t>Latvialainen</t>
  </si>
  <si>
    <t>letton</t>
  </si>
  <si>
    <t>लात्वीयावासी</t>
  </si>
  <si>
    <t>Latvia</t>
  </si>
  <si>
    <t>lettone</t>
  </si>
  <si>
    <t>ラトビアン</t>
  </si>
  <si>
    <t>ឡាតវីយ៉ា</t>
  </si>
  <si>
    <t>ಲಾಟ್ವಿಯದ</t>
  </si>
  <si>
    <t>라트비아 사람</t>
  </si>
  <si>
    <t>ລັດເວຍ</t>
  </si>
  <si>
    <t>Latviešu</t>
  </si>
  <si>
    <t>Letland</t>
  </si>
  <si>
    <t>łotewski</t>
  </si>
  <si>
    <t>letão</t>
  </si>
  <si>
    <t>Латышский</t>
  </si>
  <si>
    <t>เกี่ยวกับลัตเวีย</t>
  </si>
  <si>
    <t>Letonyalı</t>
  </si>
  <si>
    <t>Латвійський</t>
  </si>
  <si>
    <t>拉脱维亚</t>
  </si>
  <si>
    <t>Tiếng Latvia</t>
  </si>
  <si>
    <t>lao</t>
  </si>
  <si>
    <t>Lao</t>
  </si>
  <si>
    <t>لاو</t>
  </si>
  <si>
    <t>Λάος</t>
  </si>
  <si>
    <t>लाओ</t>
  </si>
  <si>
    <t>ラオス</t>
  </si>
  <si>
    <t>ឡាវ</t>
  </si>
  <si>
    <t>ಲಾವನ</t>
  </si>
  <si>
    <t>라오</t>
  </si>
  <si>
    <t>ພາສາລາວ</t>
  </si>
  <si>
    <t>Laos</t>
  </si>
  <si>
    <t>Лаос</t>
  </si>
  <si>
    <t>ลาว</t>
  </si>
  <si>
    <t>Лао</t>
  </si>
  <si>
    <t>老挝</t>
  </si>
  <si>
    <t>Tiếng Lào</t>
  </si>
  <si>
    <t>malay</t>
  </si>
  <si>
    <t>Malay</t>
  </si>
  <si>
    <t>لغة الملايو</t>
  </si>
  <si>
    <t>malaiisch</t>
  </si>
  <si>
    <t>Μαλαισία</t>
  </si>
  <si>
    <t>malayo</t>
  </si>
  <si>
    <t>Malai</t>
  </si>
  <si>
    <t>Malaijilainen</t>
  </si>
  <si>
    <t>malais</t>
  </si>
  <si>
    <t>मलायी</t>
  </si>
  <si>
    <t>Melayu</t>
  </si>
  <si>
    <t>malese</t>
  </si>
  <si>
    <t>マレー</t>
  </si>
  <si>
    <t>ម៉ាឡេ</t>
  </si>
  <si>
    <t>ಮಲಯ</t>
  </si>
  <si>
    <t>말레이 사람</t>
  </si>
  <si>
    <t>ມາເລ</t>
  </si>
  <si>
    <t>Malajiešu valoda</t>
  </si>
  <si>
    <t>Maleis</t>
  </si>
  <si>
    <t>malajski</t>
  </si>
  <si>
    <t>malaio</t>
  </si>
  <si>
    <t>малайский</t>
  </si>
  <si>
    <t>มลายู</t>
  </si>
  <si>
    <t>Малайський</t>
  </si>
  <si>
    <t>马来语</t>
  </si>
  <si>
    <t>Tiếng Mã lai</t>
  </si>
  <si>
    <t>korean</t>
  </si>
  <si>
    <t>Korean</t>
  </si>
  <si>
    <t>الكورية</t>
  </si>
  <si>
    <t>korejština</t>
  </si>
  <si>
    <t>Koreanisch</t>
  </si>
  <si>
    <t>κορεάτης</t>
  </si>
  <si>
    <t>coreano</t>
  </si>
  <si>
    <t>Korea</t>
  </si>
  <si>
    <t>Korealainen</t>
  </si>
  <si>
    <t>coréen</t>
  </si>
  <si>
    <t>कोरियाई</t>
  </si>
  <si>
    <t>韓国語</t>
  </si>
  <si>
    <t>កូរ៉េ</t>
  </si>
  <si>
    <t>ಕೊರಿಯಾದ</t>
  </si>
  <si>
    <t>한국인</t>
  </si>
  <si>
    <t>ເກົາຫຼີ</t>
  </si>
  <si>
    <t>Korejiešu</t>
  </si>
  <si>
    <t>Koreaans</t>
  </si>
  <si>
    <t>koreański</t>
  </si>
  <si>
    <t>Корейский</t>
  </si>
  <si>
    <t>เกาหลี</t>
  </si>
  <si>
    <t>Koreli</t>
  </si>
  <si>
    <t>Корейський</t>
  </si>
  <si>
    <t>韩国人</t>
  </si>
  <si>
    <t>Tiếng Hàn Quốc</t>
  </si>
  <si>
    <t>khmer</t>
  </si>
  <si>
    <t>Khmer</t>
  </si>
  <si>
    <t>الخمير</t>
  </si>
  <si>
    <t>Χμερ</t>
  </si>
  <si>
    <t>Jemer</t>
  </si>
  <si>
    <t>Khme</t>
  </si>
  <si>
    <t>खमेर</t>
  </si>
  <si>
    <t>クメール</t>
  </si>
  <si>
    <t>ខ្មែរ</t>
  </si>
  <si>
    <t>ಖಮೇರ್</t>
  </si>
  <si>
    <t>크메르</t>
  </si>
  <si>
    <t>ໄທຣາ</t>
  </si>
  <si>
    <t>Khmers</t>
  </si>
  <si>
    <t>Кхмер</t>
  </si>
  <si>
    <t>เขมรตัว</t>
  </si>
  <si>
    <t>高棉</t>
  </si>
  <si>
    <t>Tiếng Khmer</t>
  </si>
  <si>
    <t>kannada</t>
  </si>
  <si>
    <t>Kannada</t>
  </si>
  <si>
    <t>الكانادا</t>
  </si>
  <si>
    <t>Κανάντα</t>
  </si>
  <si>
    <t>कन्नडा</t>
  </si>
  <si>
    <t>カンナダ</t>
  </si>
  <si>
    <t>ಕನ್ನಡಿ</t>
  </si>
  <si>
    <t>칸나다어</t>
  </si>
  <si>
    <t>Kannāda</t>
  </si>
  <si>
    <t>Каннада</t>
  </si>
  <si>
    <t>ภาษากันนาดา</t>
  </si>
  <si>
    <t>Канада</t>
  </si>
  <si>
    <t>卡纳达语</t>
  </si>
  <si>
    <t>Tiếng Kannada</t>
  </si>
  <si>
    <t>japanese</t>
  </si>
  <si>
    <t>Japanese</t>
  </si>
  <si>
    <t>اليابانية</t>
  </si>
  <si>
    <t>japonský</t>
  </si>
  <si>
    <t>japanisch</t>
  </si>
  <si>
    <t>Ιαπωνικά</t>
  </si>
  <si>
    <t>japonés</t>
  </si>
  <si>
    <t>Jaapani keel</t>
  </si>
  <si>
    <t>japanilainen</t>
  </si>
  <si>
    <t>Japonais</t>
  </si>
  <si>
    <t>जापानी</t>
  </si>
  <si>
    <t>Jepang</t>
  </si>
  <si>
    <t>giapponese</t>
  </si>
  <si>
    <t>日本語</t>
  </si>
  <si>
    <t>ជនជាតិជប៉ុន</t>
  </si>
  <si>
    <t>ಜಪಾನೀಸ್</t>
  </si>
  <si>
    <t>일본어</t>
  </si>
  <si>
    <t>ຍີ່ປຸ່ນ</t>
  </si>
  <si>
    <t>Japānis</t>
  </si>
  <si>
    <t>Jepun</t>
  </si>
  <si>
    <t>Japans</t>
  </si>
  <si>
    <t>język japoński</t>
  </si>
  <si>
    <t>japonês</t>
  </si>
  <si>
    <t>Японский</t>
  </si>
  <si>
    <t>ญี่ปุ่น</t>
  </si>
  <si>
    <t>Japonca</t>
  </si>
  <si>
    <t>Японський</t>
  </si>
  <si>
    <t>日本人</t>
  </si>
  <si>
    <t>tiếng Nhật</t>
  </si>
  <si>
    <t>italian</t>
  </si>
  <si>
    <t>Italian</t>
  </si>
  <si>
    <t>إيطالي</t>
  </si>
  <si>
    <t>italština</t>
  </si>
  <si>
    <t>Italienisch</t>
  </si>
  <si>
    <t>ιταλικός</t>
  </si>
  <si>
    <t>italiano</t>
  </si>
  <si>
    <t>Itaallane</t>
  </si>
  <si>
    <t>italialainen</t>
  </si>
  <si>
    <t>italien</t>
  </si>
  <si>
    <t>इतालवी</t>
  </si>
  <si>
    <t>Italia</t>
  </si>
  <si>
    <t>Italiano</t>
  </si>
  <si>
    <t>イタリアの</t>
  </si>
  <si>
    <t>អ៊ីតាលី</t>
  </si>
  <si>
    <t>ಇಟಲಿಯ</t>
  </si>
  <si>
    <t>이탈리아 사람</t>
  </si>
  <si>
    <t>ອິຕາລຽນ</t>
  </si>
  <si>
    <t>Itālietis</t>
  </si>
  <si>
    <t>Bahasa Itali</t>
  </si>
  <si>
    <t>Italiaans</t>
  </si>
  <si>
    <t>Włoski</t>
  </si>
  <si>
    <t>Итальянский</t>
  </si>
  <si>
    <t>อิตาลี</t>
  </si>
  <si>
    <t>İtalyan</t>
  </si>
  <si>
    <t>Італійський</t>
  </si>
  <si>
    <t>意大利人</t>
  </si>
  <si>
    <t>Tiếng Ý</t>
  </si>
  <si>
    <t>indonesian</t>
  </si>
  <si>
    <t>Indonesian</t>
  </si>
  <si>
    <t>إندونيسي</t>
  </si>
  <si>
    <t>indonéština</t>
  </si>
  <si>
    <t>Indonesisch</t>
  </si>
  <si>
    <t>Ινδονησιακός</t>
  </si>
  <si>
    <t>indonesio</t>
  </si>
  <si>
    <t>Indoneesia</t>
  </si>
  <si>
    <t>Indonesialainen</t>
  </si>
  <si>
    <t>indonésien</t>
  </si>
  <si>
    <t>इन्डोनेशियाई</t>
  </si>
  <si>
    <t>bahasa Indonesia</t>
  </si>
  <si>
    <t>indonesiano</t>
  </si>
  <si>
    <t>インドネシア語</t>
  </si>
  <si>
    <t>ឥណ្ឌូនេស៊ី</t>
  </si>
  <si>
    <t>ಇಂಡೋನೀಷಿಯ</t>
  </si>
  <si>
    <t>인도네시아 인</t>
  </si>
  <si>
    <t>ອິນໂດເນເຊຍ</t>
  </si>
  <si>
    <t>Indonēzietis</t>
  </si>
  <si>
    <t>Indonesia</t>
  </si>
  <si>
    <t>indonezyjski</t>
  </si>
  <si>
    <t>indonésio</t>
  </si>
  <si>
    <t>индонезийский</t>
  </si>
  <si>
    <t>ชาวอินโดนีเซีย</t>
  </si>
  <si>
    <t>Endonezyalı</t>
  </si>
  <si>
    <t>Індонезійський</t>
  </si>
  <si>
    <t>印度尼西亚</t>
  </si>
  <si>
    <t>Tiếng Indonesia</t>
  </si>
  <si>
    <t>hindi</t>
  </si>
  <si>
    <t>Hindi</t>
  </si>
  <si>
    <t>الهندية</t>
  </si>
  <si>
    <t>hindština</t>
  </si>
  <si>
    <t>Χίντι</t>
  </si>
  <si>
    <t>Hindi keel</t>
  </si>
  <si>
    <t>हिंदी</t>
  </si>
  <si>
    <t>ヒンディー語</t>
  </si>
  <si>
    <t>ហិណ្ឌូ</t>
  </si>
  <si>
    <t>ಹಿಂದಿ</t>
  </si>
  <si>
    <t>힌디 어</t>
  </si>
  <si>
    <t>ຮິນດູ</t>
  </si>
  <si>
    <t>Hindu valoda</t>
  </si>
  <si>
    <t>hinduski</t>
  </si>
  <si>
    <t>хинди</t>
  </si>
  <si>
    <t>ภาษาฮินดี</t>
  </si>
  <si>
    <t>Hintçe</t>
  </si>
  <si>
    <t>Хінді</t>
  </si>
  <si>
    <t>印地语</t>
  </si>
  <si>
    <t>Tiếng Hindi</t>
  </si>
  <si>
    <t>greek</t>
  </si>
  <si>
    <t>Greek</t>
  </si>
  <si>
    <t>اليونانية</t>
  </si>
  <si>
    <t>řecký</t>
  </si>
  <si>
    <t>griechisch</t>
  </si>
  <si>
    <t>Ελληνικά</t>
  </si>
  <si>
    <t>Griego</t>
  </si>
  <si>
    <t>Kreeka keel</t>
  </si>
  <si>
    <t>Kreikka</t>
  </si>
  <si>
    <t>grec</t>
  </si>
  <si>
    <t>यूनानी</t>
  </si>
  <si>
    <t>Orang yunani</t>
  </si>
  <si>
    <t>greco</t>
  </si>
  <si>
    <t>ギリシャ語</t>
  </si>
  <si>
    <t>ក្រិក</t>
  </si>
  <si>
    <t>ಗ್ರೀಕ್</t>
  </si>
  <si>
    <t>그리스 어</t>
  </si>
  <si>
    <t>ກເຣັກ</t>
  </si>
  <si>
    <t>Grieķu valoda</t>
  </si>
  <si>
    <t>Grieks</t>
  </si>
  <si>
    <t>grecki</t>
  </si>
  <si>
    <t>grego</t>
  </si>
  <si>
    <t>Греческий</t>
  </si>
  <si>
    <t>กรีก</t>
  </si>
  <si>
    <t>Yunan</t>
  </si>
  <si>
    <t>Грецький</t>
  </si>
  <si>
    <t>希腊语</t>
  </si>
  <si>
    <t>Tiếng Hy Lạp</t>
  </si>
  <si>
    <t>german</t>
  </si>
  <si>
    <t>German</t>
  </si>
  <si>
    <t>ألمانية</t>
  </si>
  <si>
    <t>Němec</t>
  </si>
  <si>
    <t>Deutsch</t>
  </si>
  <si>
    <t>Γερμανός</t>
  </si>
  <si>
    <t>Alemán</t>
  </si>
  <si>
    <t>Sakslane</t>
  </si>
  <si>
    <t>Saksan kieli</t>
  </si>
  <si>
    <t>Allemand</t>
  </si>
  <si>
    <t>जर्मन</t>
  </si>
  <si>
    <t>Jerman</t>
  </si>
  <si>
    <t>Tedesco</t>
  </si>
  <si>
    <t>ドイツ人</t>
  </si>
  <si>
    <t>អាឡឺម៉ង់</t>
  </si>
  <si>
    <t>ಜರ್ಮನ್ ಭಾಷೆಯ</t>
  </si>
  <si>
    <t>독일 사람</t>
  </si>
  <si>
    <t>ເຢຍລະມັນ</t>
  </si>
  <si>
    <t>Vācu valoda</t>
  </si>
  <si>
    <t>Duits</t>
  </si>
  <si>
    <t>Niemiecki</t>
  </si>
  <si>
    <t>Alemão</t>
  </si>
  <si>
    <t>Немецкий</t>
  </si>
  <si>
    <t>ชาวเยอรมัน</t>
  </si>
  <si>
    <t>Almanca</t>
  </si>
  <si>
    <t>Німецький</t>
  </si>
  <si>
    <t>德语</t>
  </si>
  <si>
    <t>tiếng Đức</t>
  </si>
  <si>
    <t>french</t>
  </si>
  <si>
    <t>French</t>
  </si>
  <si>
    <t>فرنسي</t>
  </si>
  <si>
    <t>francouzština</t>
  </si>
  <si>
    <t>Französisch</t>
  </si>
  <si>
    <t>γαλλική γλώσσα</t>
  </si>
  <si>
    <t>Francés</t>
  </si>
  <si>
    <t>Prantsuse</t>
  </si>
  <si>
    <t>Ranskan kieli</t>
  </si>
  <si>
    <t>Français</t>
  </si>
  <si>
    <t>फ्रांसीसी</t>
  </si>
  <si>
    <t>Perancis</t>
  </si>
  <si>
    <t>francese</t>
  </si>
  <si>
    <t>フランス語</t>
  </si>
  <si>
    <t>បារាំង</t>
  </si>
  <si>
    <t>ಫ್ರೆಂಚ್</t>
  </si>
  <si>
    <t>프랑스 국민</t>
  </si>
  <si>
    <t>ຝຣັ່ງ</t>
  </si>
  <si>
    <t>Franču valoda</t>
  </si>
  <si>
    <t>Frans</t>
  </si>
  <si>
    <t>Francuski</t>
  </si>
  <si>
    <t>Francês</t>
  </si>
  <si>
    <t>Французский</t>
  </si>
  <si>
    <t>ภาษาฝรั่งเศส</t>
  </si>
  <si>
    <t>Fransızca</t>
  </si>
  <si>
    <t>Французький</t>
  </si>
  <si>
    <t>法语</t>
  </si>
  <si>
    <t>Tiếng Pháp</t>
  </si>
  <si>
    <t>finnish</t>
  </si>
  <si>
    <t>Finnish</t>
  </si>
  <si>
    <t>الفنلندية</t>
  </si>
  <si>
    <t>Finštinu</t>
  </si>
  <si>
    <t>finnisch</t>
  </si>
  <si>
    <t>φινλανδικός</t>
  </si>
  <si>
    <t>finlandés</t>
  </si>
  <si>
    <t>Soomlane</t>
  </si>
  <si>
    <t>Suomalainen</t>
  </si>
  <si>
    <t>finlandais</t>
  </si>
  <si>
    <t>फिनिश</t>
  </si>
  <si>
    <t>Finlandia</t>
  </si>
  <si>
    <t>finlandese</t>
  </si>
  <si>
    <t>フィンランド語</t>
  </si>
  <si>
    <t>ហ្វាំងឡង់</t>
  </si>
  <si>
    <t>ಲೋಕದ</t>
  </si>
  <si>
    <t>핀란드</t>
  </si>
  <si>
    <t>ແຟງລັງ</t>
  </si>
  <si>
    <t>Somu</t>
  </si>
  <si>
    <t>Finland</t>
  </si>
  <si>
    <t>Fins</t>
  </si>
  <si>
    <t>fiński</t>
  </si>
  <si>
    <t>finlandês</t>
  </si>
  <si>
    <t>Финский</t>
  </si>
  <si>
    <t>ภาษาฟินแลนด์</t>
  </si>
  <si>
    <t>Fince</t>
  </si>
  <si>
    <t>Фінський</t>
  </si>
  <si>
    <t>芬兰</t>
  </si>
  <si>
    <t>Tiếng Phần Lan</t>
  </si>
  <si>
    <t>estonian</t>
  </si>
  <si>
    <t>Estonian</t>
  </si>
  <si>
    <t>الإستونية</t>
  </si>
  <si>
    <t>estonština</t>
  </si>
  <si>
    <t>estnisch</t>
  </si>
  <si>
    <t>Εσθονικός</t>
  </si>
  <si>
    <t>Estonio</t>
  </si>
  <si>
    <t>Eestonian</t>
  </si>
  <si>
    <t>Virolainen</t>
  </si>
  <si>
    <t>estonien</t>
  </si>
  <si>
    <t>एस्तोनियावासी</t>
  </si>
  <si>
    <t>Estonia</t>
  </si>
  <si>
    <t>Estone</t>
  </si>
  <si>
    <t>エストニアン</t>
  </si>
  <si>
    <t>អេស្តូនី</t>
  </si>
  <si>
    <t>ಎಸ್ಟೋನದ</t>
  </si>
  <si>
    <t>에스토니아 사람</t>
  </si>
  <si>
    <t>Igauņu</t>
  </si>
  <si>
    <t>Estlands</t>
  </si>
  <si>
    <t>estoński</t>
  </si>
  <si>
    <t>estoniano</t>
  </si>
  <si>
    <t>эстонский</t>
  </si>
  <si>
    <t>เอสโตเนีย</t>
  </si>
  <si>
    <t>Estonya</t>
  </si>
  <si>
    <t>Естонський</t>
  </si>
  <si>
    <t>爱沙尼亚人</t>
  </si>
  <si>
    <t>Tiếng Estonia</t>
  </si>
  <si>
    <t>dutch</t>
  </si>
  <si>
    <t>Dutch</t>
  </si>
  <si>
    <t>هولندي</t>
  </si>
  <si>
    <t>holandský</t>
  </si>
  <si>
    <t>Niederländisch</t>
  </si>
  <si>
    <t>Ολλανδός</t>
  </si>
  <si>
    <t>Holandés</t>
  </si>
  <si>
    <t>Hollandlane</t>
  </si>
  <si>
    <t>Hollannin kieli</t>
  </si>
  <si>
    <t>Néerlandais</t>
  </si>
  <si>
    <t>डच</t>
  </si>
  <si>
    <t>Belanda</t>
  </si>
  <si>
    <t>Olandese</t>
  </si>
  <si>
    <t>オランダの</t>
  </si>
  <si>
    <t>ហូឡង់</t>
  </si>
  <si>
    <t>ಡಚ್ಚರ</t>
  </si>
  <si>
    <t>네덜란드 사람</t>
  </si>
  <si>
    <t>ໂຮນລັງ</t>
  </si>
  <si>
    <t>Holandieši</t>
  </si>
  <si>
    <t>Nederlands</t>
  </si>
  <si>
    <t>Holenderski</t>
  </si>
  <si>
    <t>Holandês</t>
  </si>
  <si>
    <t>Голландский</t>
  </si>
  <si>
    <t>ชาวดัตช์</t>
  </si>
  <si>
    <t>Flemenkçe</t>
  </si>
  <si>
    <t>Голландський</t>
  </si>
  <si>
    <t>荷兰</t>
  </si>
  <si>
    <t>Tiếng Hà Lan</t>
  </si>
  <si>
    <t>czech</t>
  </si>
  <si>
    <t>Czech</t>
  </si>
  <si>
    <t>التشيكية</t>
  </si>
  <si>
    <t>čeština</t>
  </si>
  <si>
    <t>Tschechisch</t>
  </si>
  <si>
    <t>Τσέχος</t>
  </si>
  <si>
    <t>checo</t>
  </si>
  <si>
    <t>Tšehhi</t>
  </si>
  <si>
    <t>Tšekin</t>
  </si>
  <si>
    <t>tchèque</t>
  </si>
  <si>
    <t>चेक</t>
  </si>
  <si>
    <t>Ceko</t>
  </si>
  <si>
    <t>ceco</t>
  </si>
  <si>
    <t>チェコ</t>
  </si>
  <si>
    <t>ឆែក</t>
  </si>
  <si>
    <t>ಜೆಕ್</t>
  </si>
  <si>
    <t>체코 사람</t>
  </si>
  <si>
    <t>ເຊັກ</t>
  </si>
  <si>
    <t>Čehu valoda</t>
  </si>
  <si>
    <t>Tsjechisch</t>
  </si>
  <si>
    <t>Tcheco</t>
  </si>
  <si>
    <t>Чешский</t>
  </si>
  <si>
    <t>ภาษาเช็ก</t>
  </si>
  <si>
    <t>Çek</t>
  </si>
  <si>
    <t>Чеський</t>
  </si>
  <si>
    <t>捷克</t>
  </si>
  <si>
    <t>Tiếng Séc</t>
  </si>
  <si>
    <t>chinese</t>
  </si>
  <si>
    <t>Chinese</t>
  </si>
  <si>
    <t>صينى</t>
  </si>
  <si>
    <t>čínština</t>
  </si>
  <si>
    <t>Chinesisch</t>
  </si>
  <si>
    <t>κινέζικα</t>
  </si>
  <si>
    <t>Chino</t>
  </si>
  <si>
    <t>Hiinlane</t>
  </si>
  <si>
    <t>Kiinalainen</t>
  </si>
  <si>
    <t>Chinois</t>
  </si>
  <si>
    <t>चीनी</t>
  </si>
  <si>
    <t>Cina</t>
  </si>
  <si>
    <t>Cinese</t>
  </si>
  <si>
    <t>中国語</t>
  </si>
  <si>
    <t>ចិន</t>
  </si>
  <si>
    <t>ಚೀನಾದ</t>
  </si>
  <si>
    <t>중국인</t>
  </si>
  <si>
    <t>ຈີນ</t>
  </si>
  <si>
    <t>Ķīnietis</t>
  </si>
  <si>
    <t>chiński</t>
  </si>
  <si>
    <t>chinês</t>
  </si>
  <si>
    <t>Китайский</t>
  </si>
  <si>
    <t>ชาวจีน</t>
  </si>
  <si>
    <t>Çince</t>
  </si>
  <si>
    <t>Китайський</t>
  </si>
  <si>
    <t>中国人</t>
  </si>
  <si>
    <t>Tiếng Trung Quốc</t>
  </si>
  <si>
    <t>toolTipBlockApp</t>
  </si>
  <si>
    <t>The selected apps will not be used because it is restricted.</t>
  </si>
  <si>
    <t>لن يتم استخدام التطبيقات المحددة لأنها مقيدة.</t>
  </si>
  <si>
    <t>Vybrané aplikace nebudou použity, protože jsou omezeny.</t>
  </si>
  <si>
    <t>Die ausgewählten Apps werden nicht verwendet, da sie eingeschränkt sind.</t>
  </si>
  <si>
    <t>Οι επιλεγμένες εφαρμογές δεν θα χρησιμοποιηθούν επειδή είναι περιορισμένες.</t>
  </si>
  <si>
    <t>Las aplicaciones seleccionadas no se utilizarán porque está restringida.</t>
  </si>
  <si>
    <t>Valitud rakendusi ei kasutata, kuna see on piiratud.</t>
  </si>
  <si>
    <t>Valittuja sovelluksia ei käytetä, koska sitä on rajoitettu.</t>
  </si>
  <si>
    <t>Les applications sélectionnées ne seront pas utilisées car elles sont restreintes.</t>
  </si>
  <si>
    <t>चयनित ऐप्स का उपयोग नहीं किया जाएगा क्योंकि यह प्रतिबंधित है।</t>
  </si>
  <si>
    <t>Aplikasi yang dipilih tidak akan digunakan karena dibatasi.</t>
  </si>
  <si>
    <t>Le app selezionate non verranno utilizzate perché è limitata.</t>
  </si>
  <si>
    <t>選択したアプリは、制限されているため使用されません。</t>
  </si>
  <si>
    <t>កម្មវិធីដែលបានជ្រើសរើសនឹងមិនត្រូវបានប្រើទេពីព្រោះវាត្រូវបានដាក់កម្រិត។</t>
  </si>
  <si>
    <t>ಆಯ್ದ ಅಪ್ಲಿಕೇಶನ್‌ಗಳನ್ನು ನಿರ್ಬಂಧಿಸಲಾಗಿರುವುದರಿಂದ ಅದನ್ನು ಬಳಸಲಾಗುವುದಿಲ್ಲ.</t>
  </si>
  <si>
    <t>선택한 앱은 제한되어 있으므로 사용되지 않습니다.</t>
  </si>
  <si>
    <t>ແອັບ apps ທີ່ຖືກຄັດເລືອກຈະບໍ່ຖືກນໍາໃຊ້ເພາະວ່າມັນຖືກຈໍາກັດ.</t>
  </si>
  <si>
    <t>Atlasītās lietotnes netiks izmantotas, jo tās ir ierobežotas.</t>
  </si>
  <si>
    <t>Apl yang dipilih tidak akan digunakan kerana ia terhad.</t>
  </si>
  <si>
    <t>De geselecteerde apps worden niet gebruikt omdat deze is beperkt.</t>
  </si>
  <si>
    <t>Wybrane aplikacje nie będą używane, ponieważ są ograniczone.</t>
  </si>
  <si>
    <t>Os aplicativos selecionados não serão usados ​​porque são restritos.</t>
  </si>
  <si>
    <t>Выбранные приложения не будут использоваться, потому что оно ограничено.</t>
  </si>
  <si>
    <t>แอพที่เลือกจะไม่ถูกใช้เพราะถูก จำกัด</t>
  </si>
  <si>
    <t>Seçilen uygulamalar kısıtlandığı için kullanılmayacaktır.</t>
  </si>
  <si>
    <t>Вибрані додатки не будуть використовуватися, оскільки вони обмежені.</t>
  </si>
  <si>
    <t>由于限制了所选的应用程序，因此不会使用所选的应用程序。</t>
  </si>
  <si>
    <t>Các ứng dụng đã chọn sẽ không được sử dụng vì bị hạn chế.</t>
  </si>
  <si>
    <t>toolTipHideApp</t>
  </si>
  <si>
    <t>The selected apps will not show on your home screen and app library.</t>
  </si>
  <si>
    <t>لن تظهر التطبيقات المحددة على شاشتك الرئيسية ومكتبة التطبيقات.</t>
  </si>
  <si>
    <t>Vybrané aplikace se nebudou zobrazovat na vaší domovské obrazovce a knihovně aplikací.</t>
  </si>
  <si>
    <t>Die ausgewählten Apps werden nicht auf Ihrem Startbildschirm und Ihrer App -Bibliothek angezeigt.</t>
  </si>
  <si>
    <t>Οι επιλεγμένες εφαρμογές δεν θα εμφανίζονται στην αρχική οθόνη και τη βιβλιοθήκη εφαρμογών.</t>
  </si>
  <si>
    <t>Las aplicaciones seleccionadas no se mostrarán en su pantalla de inicio y biblioteca de aplicaciones.</t>
  </si>
  <si>
    <t>Valitud rakendusi ei kuvata teie avaekraanil ja rakenduste teegis.</t>
  </si>
  <si>
    <t>Valitut sovellukset eivät näy aloitusnäytöllä ja sovelluskirjastossa.</t>
  </si>
  <si>
    <t>Les applications sélectionnées ne s'afficheront pas sur votre écran d'accueil et votre bibliothèque d'applications.</t>
  </si>
  <si>
    <t>चयनित ऐप आपके होम स्क्रीन और ऐप लाइब्रेरी पर नहीं दिखेंगे।</t>
  </si>
  <si>
    <t>Aplikasi yang dipilih tidak akan tampil di layar beranda dan perpustakaan aplikasi Anda.</t>
  </si>
  <si>
    <t>Le app selezionate non verranno visualizzate nella schermata iniziale e nella libreria delle app.</t>
  </si>
  <si>
    <t>選択したアプリは、ホーム画面とアプリライブラリに表示されません。</t>
  </si>
  <si>
    <t>កម្មវិធីដែលបានជ្រើសរើសនឹងមិនបង្ហាញនៅលើអេក្រង់ផ្ទះនិងបណ្ណាល័យកម្មវិធីរបស់អ្នកទេ។</t>
  </si>
  <si>
    <t>ಆಯ್ದ ಅಪ್ಲಿಕೇಶನ್‌ಗಳು ನಿಮ್ಮ ಮುಖಪುಟ ಮತ್ತು ಅಪ್ಲಿಕೇಶನ್ ಲೈಬ್ರರಿಯಲ್ಲಿ ತೋರಿಸುವುದಿಲ್ಲ.</t>
  </si>
  <si>
    <t>선택한 앱은 홈 화면 및 앱 라이브러리에 표시되지 않습니다.</t>
  </si>
  <si>
    <t>ແອັບ apps ທີ່ຖືກຄັດເລືອກຈະບໍ່ສະແດງໃນຫນ້າຈໍຫນ້າທໍາອິດຂອງທ່ານແລະຫ້ອງສະຫມຸດ app.</t>
  </si>
  <si>
    <t>Atlasītās lietotnes netiks parādītas jūsu sākuma ekrānā un lietotņu bibliotēkā.</t>
  </si>
  <si>
    <t>Apl yang dipilih tidak akan dipaparkan di skrin utama dan perpustakaan aplikasi anda.</t>
  </si>
  <si>
    <t>De geselecteerde apps worden niet weergegeven op uw startscherm en app -bibliotheek.</t>
  </si>
  <si>
    <t>Wybrane aplikacje nie będą wyświetlane na ekranie głównym i bibliotece aplikacji.</t>
  </si>
  <si>
    <t>Os aplicativos selecionados não serão exibidos na tela inicial e na biblioteca de aplicativos.</t>
  </si>
  <si>
    <t>Выбранные приложения не будут отображаться на домашнем экране и библиотеке приложений.</t>
  </si>
  <si>
    <t>แอพที่เลือกจะไม่แสดงบนหน้าจอหลักและไลบรารีแอพของคุณ</t>
  </si>
  <si>
    <t>Seçilen uygulamalar ana ekranınızda ve uygulama kütüphanenizde gösterilmeyecektir.</t>
  </si>
  <si>
    <t>Вибрані програми не відображатимуться на вашому головному екрані та бібліотеці додатків.</t>
  </si>
  <si>
    <t>所选的应用不会在您的主屏幕和应用程序库上显示。</t>
  </si>
  <si>
    <t>Các ứng dụng đã chọn sẽ không hiển thị trên thư viện ứng dụng và màn hình chính của bạn.</t>
  </si>
  <si>
    <t>addNewPasscodeSuccess</t>
  </si>
  <si>
    <t>You are logging in with the password you just created. To sign back in, lock your screen then reopen it and sign in with old password.</t>
  </si>
  <si>
    <t>أنت تقوم بتسجيل الدخول باستخدام كلمة المرور التي قمت بإنشائها للتو. للتسجيل مرة أخرى ، قفل شاشتك ثم أعد فتحها وتسجيل الدخول بكلمة مرور قديمة.</t>
  </si>
  <si>
    <t>Přihlašujete se s právě vytvořeným heslem. Chcete -li se přihlásit, zamkněte obrazovku a poté ji znovu otevřete a přihlaste se starým heslem.</t>
  </si>
  <si>
    <t>Sie melden sich mit dem gerade erstellten Passwort an. Um sich wieder anzumelden, sperren Sie Ihren Bildschirm dann erneut und öffnen Sie ihn und melden Sie sich mit einem alten Passwort an.</t>
  </si>
  <si>
    <t>Συνδεθείτε με τον κωδικό πρόσβασης που μόλις δημιουργήσατε. Για να συνδεθείτε ξανά, κλειδώστε την οθόνη σας, στη συνέχεια ανοίξτε ξανά και συνδεθείτε με παλιό κωδικό πρόσβασης.</t>
  </si>
  <si>
    <t>Está iniciando sesión con la contraseña que acaba de crear. Para volver a iniciar sesión, bloquear su pantalla y luego volver a abrirla e iniciar sesión con contraseña antigua.</t>
  </si>
  <si>
    <t>Logige sisse äsja loodud parooliga. Tagasi sisse logimiseks lukustage ekraan ja avage see uuesti ja logige sisse vana parooliga.</t>
  </si>
  <si>
    <t>Kirjaudut sisään juuri luomasi salasanan kanssa. Jos haluat kirjautua sisään, lukitse näyttö sitten avata se uudelleen ja kirjaudu sisään vanhalla salasanalla.</t>
  </si>
  <si>
    <t>Vous vous connectez avec le mot de passe que vous venez de créer. Pour vous connecter, verrouillez votre écran, puis rouvrez-le et connectez-vous avec l'ancien mot de passe.</t>
  </si>
  <si>
    <t>आप अपने द्वारा बनाए गए पासवर्ड के साथ लॉग इन कर रहे हैं। वापस साइन इन करने के लिए, अपनी स्क्रीन को लॉक करें फिर इसे फिर से खोलें और पुराने पासवर्ड के साथ साइन इन करें।</t>
  </si>
  <si>
    <t>Anda masuk dengan kata sandi yang baru saja Anda buat. Untuk masuk kembali, kunci layar Anda lalu membuka kembali dan masuk dengan kata sandi lama.</t>
  </si>
  <si>
    <t>Stai accedendo con la password che hai appena creato. Per accedere, bloccare lo schermo, quindi riaprirlo e accedere con vecchia password.</t>
  </si>
  <si>
    <t>作成したばかりのパスワードでログインしています。サインインするには、画面をロックしてから再開し、古いパスワードでサインインします。</t>
  </si>
  <si>
    <t>អ្នកកំពុងចូលដោយប្រើពាក្យសម្ងាត់ដែលអ្នកទើបតែបានបង្កើត។ ដើម្បីចុះឈ្មោះចូលចាក់សោចាក់សោរអេក្រង់របស់អ្នកបន្ទាប់មកបើកវាឡើងវិញហើយចូលដោយប្រើពាក្យសម្ងាត់ចាស់។</t>
  </si>
  <si>
    <t>ನೀವು ಇದೀಗ ರಚಿಸಿದ ಪಾಸ್‌ವರ್ಡ್‌ನೊಂದಿಗೆ ನೀವು ಲಾಗ್ ಇನ್ ಆಗುತ್ತಿದ್ದೀರಿ. ಮತ್ತೆ ಸೈನ್ ಇನ್ ಮಾಡಲು, ನಿಮ್ಮ ಪರದೆಯನ್ನು ಲಾಕ್ ಮಾಡಿ ನಂತರ ಅದನ್ನು ಮತ್ತೆ ತೆರೆಯಿರಿ ಮತ್ತು ಹಳೆಯ ಪಾಸ್‌ವರ್ಡ್‌ನೊಂದಿಗೆ ಸೈನ್ ಇನ್ ಮಾಡಿ.</t>
  </si>
  <si>
    <t>방금 만든 비밀번호로 로그인하고 있습니다. 다시 로그인하려면 화면을 잠그고 다시 열고 이전 비밀번호로 로그인하십시오.</t>
  </si>
  <si>
    <t>ທ່ານກໍາລັງເຂົ້າສູ່ລະບົບດ້ວຍລະຫັດຜ່ານທີ່ທ່ານຫາກໍ່ສ້າງຂື້ນ. ເພື່ອລົງລາຍເຊັນເຂົ້າ, ລັອກຫນ້າຈໍຂອງທ່ານຫຼັງຈາກນັ້ນເປີດມັນແລະເຂົ້າສູ່ລະບົບດ້ວຍລະຫັດລັບເກົ່າ.</t>
  </si>
  <si>
    <t>Jūs piesakāties ar tikko izveidoto paroli. Lai pierakstītos atpakaļ, bloķētu ekrānu, pēc tam to no jauna atvēra un pierakstās ar veco paroli.</t>
  </si>
  <si>
    <t>Anda sedang log masuk dengan kata laluan yang baru anda buat. Untuk mendaftar masuk, kunci skrin anda kemudian membuka semula dan log masuk dengan kata laluan lama.</t>
  </si>
  <si>
    <t>U logt in met het wachtwoord dat u zojuist hebt gemaakt. Om je weer aan te melden, vergrendelt u uw scherm en heropen deze vervolgens en logt u in met het oude wachtwoord.</t>
  </si>
  <si>
    <t>Logujesz się z właśnie utworzonym hasłem. Aby się ponownie zalogować, zablokuj ekran, a następnie ponownie go otwórz i zaloguj się ze starym hasłem.</t>
  </si>
  <si>
    <t>Você está fazendo login com a senha que acabou de criar. Para entrar, bloqueie a tela e reabrir e fazer login com senha antiga.</t>
  </si>
  <si>
    <t>Вы входите в систему с только что созданным паролем. Чтобы войти обратно, заблокируйте экран, а затем снова откройте его и войдите со старым паролем.</t>
  </si>
  <si>
    <t>คุณกำลังเข้าสู่ระบบด้วยรหัสผ่านที่คุณเพิ่งสร้าง หากต้องการลงชื่อเข้าใช้ล็อคหน้าจอจากนั้นเปิดใหม่และลงชื่อเข้าใช้ด้วยรหัสผ่านเก่า</t>
  </si>
  <si>
    <t>Yeni oluşturduğunuz şifreyi oturtuyorsunuz. Giriş yapmak için ekranınızı kilitleyin, ardından yeniden açın ve eski şifreyle oturum açın.</t>
  </si>
  <si>
    <t>Ви входите в систему за допомогою створеного вами пароля. Щоб увійти назад, заблокуйте екран, а потім знову відкрийте його та увійдіть зі старим паролем.</t>
  </si>
  <si>
    <t>您正在使用刚创建的密码登录。要重新登录，请锁定您的屏幕，然后重新打开并使用旧密码登录。</t>
  </si>
  <si>
    <t>Bạn đang đăng nhập bằng mật khẩu bạn vừa tạo. Để đăng nhập lại, hãy khóa màn hình sau đó mở lại và đăng nhập bằng mật khẩu cũ.</t>
  </si>
  <si>
    <t>txt_enter_album_name</t>
  </si>
  <si>
    <t>Enter album name</t>
  </si>
  <si>
    <t>أدخل اسم الألبوم</t>
  </si>
  <si>
    <t>Zadejte název alba</t>
  </si>
  <si>
    <t>Albumname eingeben</t>
  </si>
  <si>
    <t>Εισαγάγετε το όνομα άλμπουμ</t>
  </si>
  <si>
    <t>Ingrese el nombre del álbum</t>
  </si>
  <si>
    <t>Sisestage albumi nimi</t>
  </si>
  <si>
    <t>Kirjoita albumin nimi</t>
  </si>
  <si>
    <t>Entrez le nom de l'album</t>
  </si>
  <si>
    <t>एल्बम का नाम दर्ज करें</t>
  </si>
  <si>
    <t>Masukkan nama album</t>
  </si>
  <si>
    <t>Immettere il nome dell'album</t>
  </si>
  <si>
    <t>アルバム名を入力してください</t>
  </si>
  <si>
    <t>បញ្ចូលឈ្មោះអាល់ប៊ុម</t>
  </si>
  <si>
    <t>ಆಲ್ಬಮ್ ಹೆಸರನ್ನು ನಮೂದಿಸಿ</t>
  </si>
  <si>
    <t>앨범 이름을 입력하십시오</t>
  </si>
  <si>
    <t>ໃສ່ຊື່ອັລບັມ</t>
  </si>
  <si>
    <t>Ievadiet albuma nosaukumu</t>
  </si>
  <si>
    <t>Voer albumnaam in</t>
  </si>
  <si>
    <t>Wprowadź nazwę albumu</t>
  </si>
  <si>
    <t>Digite o nome do álbum</t>
  </si>
  <si>
    <t>Введите название альбома</t>
  </si>
  <si>
    <t>ป้อนชื่ออัลบั้ม</t>
  </si>
  <si>
    <t>Albüm Adını Girin</t>
  </si>
  <si>
    <t>Введіть назву альбому</t>
  </si>
  <si>
    <t>输入专辑名称</t>
  </si>
  <si>
    <t>Nhập tên album</t>
  </si>
  <si>
    <t>txt_give_5_stars_message</t>
  </si>
  <si>
    <t>If you enjoy using DKM, would you give us a 5 stars rating in the App Store? It will only take a moment. Thanks for your support!</t>
  </si>
  <si>
    <t>إذا كنت تستمتع باستخدام DKM ، فهل ستمنحنا تصنيفًا 5 نجوم في متجر التطبيقات؟ سيستغرق الأمر لحظة فقط. شكرا لدعمك!</t>
  </si>
  <si>
    <t>Pokud se vám líbí používání DKM, dali byste nám hodnocení 5 hvězdiček v obchodě s aplikacemi? Bude to trvat jen chvilku. Děkuji za vaši podporu!</t>
  </si>
  <si>
    <t>Wenn Sie gerne DKM verwenden, würden Sie uns eine 5 -Sterne -Bewertung im App Store geben? Es wird nur einen Moment dauern. Danke für deine Unterstützung!</t>
  </si>
  <si>
    <t>Εάν σας αρέσει να χρησιμοποιείτε το DKM, θα μας δώσατε μια βαθμολογία 5 αστέρων στο App Store; Θα πάρει μόνο μια στιγμή. Ευχαριστώ για την υποστήριξη!</t>
  </si>
  <si>
    <t>Si disfrutas usando DKM, ¿nos darías una calificación de 5 estrellas en la App Store? Solo tomará un momento. ¡Gracias por su apoyo!</t>
  </si>
  <si>
    <t>Kui teile meeldib DKM -i kasutamine, kas annaksite meile App Store'is 5 tärni? See võtab ainult hetke. Tänan toetuse eest!</t>
  </si>
  <si>
    <t>Jos nautit DKM: n käytöstä, antaisitko meille 5 tähden luokituksen App Storessa? Se vie vain hetken. Kiitos tuestasi!</t>
  </si>
  <si>
    <t>Si vous aimez utiliser DKM, vous donneriez-vous une note de 5 étoiles dans l'App Store? Cela ne prendra qu'un moment. Merci pour votre aide!</t>
  </si>
  <si>
    <t>यदि आप DKM का उपयोग करने का आनंद लेते हैं, तो क्या आप हमें ऐप स्टोर में 5 स्टार रेटिंग देंगे? इसमें मात्र एक क्षण लगेगा। आपके समर्थन के लिए धन्यवाद!</t>
  </si>
  <si>
    <t>Jika Anda menikmati menggunakan DKM, apakah Anda akan memberi kami peringkat 5 bintang di App Store? Ini hanya akan memakan waktu sejenak. Terima kasih atas dukunganmu!</t>
  </si>
  <si>
    <t>Se ti piace usare DKM, ci daresti una valutazione di 5 stelle nell'App Store? Ci vorrà solo un momento. Grazie per il vostro sostegno!</t>
  </si>
  <si>
    <t>DKMを使用するのが好きなら、App Storeで5つ星の評価を与えていただけますか？ほんの少し時間がかかります。ご協力ありがとうございました！</t>
  </si>
  <si>
    <t>ប្រសិនបើអ្នកចូលចិត្តប្រើ DKM តើអ្នកនឹងផ្តល់ចំណាត់ថ្នាក់ផ្កាយ 5 ដល់យើងនៅក្នុង App Store ដែរឬទេ? វានឹងចំណាយពេលតែមួយភ្លែតប៉ុណ្ណោះ។ សូម​អរគុណ​សម្រាប់​ការ​គាំទ្រ​របស់​អ្នក!</t>
  </si>
  <si>
    <t>ನೀವು ಡಿಕೆಎಂ ಬಳಸುವುದನ್ನು ಆನಂದಿಸಿದರೆ, ಆಪ್ ಸ್ಟೋರ್‌ನಲ್ಲಿ ನೀವು ನಮಗೆ 5 ಸ್ಟಾರ್ಸ್ ರೇಟಿಂಗ್ ನೀಡುತ್ತೀರಾ? ಇದು ಸ್ವಲ್ಪ ಸಮಯ ತೆಗೆದುಕೊಳ್ಳುತ್ತದೆ. ನಿಮ್ಮ ಬೆಂಬಲಕ್ಕಾಗಿ ಧನ್ಯವಾದಗಳು!</t>
  </si>
  <si>
    <t>DKM을 사용하는 것을 좋아한다면 App Store에서 5 개의 별 등급을 주시겠습니까? 잠시만 걸릴 것입니다. 지원해 주셔서 감사합니다!</t>
  </si>
  <si>
    <t>ຖ້າທ່ານມັກໃຊ້ DKM, ທ່ານຈະໃຫ້ການໃຫ້ຄະແນນ 5 ດາວຢູ່ໃນ App Store ບໍ? ມັນຈະໃຊ້ເວລາເທົ່ານັ້ນ. ຂໍຂອບໃຈສໍາລັບການສະຫນັບສະຫນູນຂອງທ່ານ!</t>
  </si>
  <si>
    <t>Ja jums patīk izmantot DKM, vai jūs mums piešķirtu 5 zvaigžņu vērtējumu App Store? Tas prasīs tikai brīdi. Paldies par atbalstu!</t>
  </si>
  <si>
    <t>Jika anda suka menggunakan DKM, adakah anda akan memberi kami penarafan 5 bintang di App Store? Ia hanya akan mengambil sedikit masa. Terima kasih atas sokongan anda!</t>
  </si>
  <si>
    <t>Als je het leuk vindt om DKM te gebruiken, zou je ons dan een 5 -sterren rating geven in de App Store? Het zal maar even duren. Bedankt voor je steun!</t>
  </si>
  <si>
    <t>Jeśli lubisz korzystać z DKM, czy dałbyś nam ocenę 5 gwiazdek w App Store? To zajmie tylko chwilę. Dziękuję za wsparcie!</t>
  </si>
  <si>
    <t>Se você gosta de usar o DKM, você nos daria uma classificação de 5 estrelas na App Store? Só levará um momento. Obrigado por seu apoio!</t>
  </si>
  <si>
    <t>Если вам нравится использовать DKM, вы бы дали нам рейтинг 5 звезд в магазине приложений? Это займет всего минуту. Спасибо за вашу поддержку!</t>
  </si>
  <si>
    <t>หากคุณสนุกกับการใช้ DKM คุณจะให้คะแนน 5 ดาวใน App Store หรือไม่? มันจะใช้เวลาเพียงชั่วครู่ ขอบคุณสำหรับการสนับสนุน!</t>
  </si>
  <si>
    <t>DKM kullanmaktan hoşlanıyorsanız, bize App Store'da 5 yıldız derecesi verir misiniz? Sadece biraz zaman alacak. Desteğin için teşekkürler!</t>
  </si>
  <si>
    <t>Якщо вам подобається користуватися DKM, чи дасте ви нам рейтинг 5 зірок у магазині додатків? Це займе лише хвилину. Дякую за твою підтримку!</t>
  </si>
  <si>
    <t>如果您喜欢使用DKM，您会在App Store中给我们5星评级吗？这只会花一点时间。感谢您的支持！</t>
  </si>
  <si>
    <t>Nếu bạn thích sử dụng DKM, hãy cho chúng tôi 1 đánh giá 5 sao trong App Store? Nó chỉ tốn một chút thời gian. Cảm ơn sự hỗ trợ của bạn!</t>
  </si>
  <si>
    <t>txt_rate</t>
  </si>
  <si>
    <t>Rate DKM</t>
  </si>
  <si>
    <t>معدل DKM</t>
  </si>
  <si>
    <t>Ohodnoťte dkm</t>
  </si>
  <si>
    <t>Βαθμολογία DKM</t>
  </si>
  <si>
    <t>Calificar DKM</t>
  </si>
  <si>
    <t>Hinnata dkm</t>
  </si>
  <si>
    <t>Korko DKM</t>
  </si>
  <si>
    <t>Noter dkm</t>
  </si>
  <si>
    <t>दर डीकेएम</t>
  </si>
  <si>
    <t>Nilai DKM</t>
  </si>
  <si>
    <t>Valuta DKM</t>
  </si>
  <si>
    <t>レートdkm</t>
  </si>
  <si>
    <t>វាយតម្លៃ DKM</t>
  </si>
  <si>
    <t>ದರ ಡಿಕೆಎಂ</t>
  </si>
  <si>
    <t>속도 DKM</t>
  </si>
  <si>
    <t>ອັດຕາ DKM</t>
  </si>
  <si>
    <t>Novērtēt DKM</t>
  </si>
  <si>
    <t>Kadar DKM</t>
  </si>
  <si>
    <t>Beoordeel DKM</t>
  </si>
  <si>
    <t>Oceń DKM</t>
  </si>
  <si>
    <t>Avalie DKM</t>
  </si>
  <si>
    <t>Оцените DKM</t>
  </si>
  <si>
    <t>ให้คะแนน DKM</t>
  </si>
  <si>
    <t>DKM oran</t>
  </si>
  <si>
    <t>Оцініть DKM</t>
  </si>
  <si>
    <t>费率dkm</t>
  </si>
  <si>
    <t>Đánh giá DKM</t>
  </si>
  <si>
    <t>txt_give_5_stars</t>
  </si>
  <si>
    <t>Give us 5 stars!</t>
  </si>
  <si>
    <t>أعطنا 5 نجوم!</t>
  </si>
  <si>
    <t>Dejte nám 5 hvězdiček!</t>
  </si>
  <si>
    <t>Gib uns 5 Sterne!</t>
  </si>
  <si>
    <t>Δώστε μας 5 αστέρια!</t>
  </si>
  <si>
    <t>¡Danos 5 estrellas!</t>
  </si>
  <si>
    <t>Andke meile 5 tärni!</t>
  </si>
  <si>
    <t>Anna meille 5 tähteä!</t>
  </si>
  <si>
    <t>Donnez-nous 5 étoiles!</t>
  </si>
  <si>
    <t>हमें 5 सितारे दें!</t>
  </si>
  <si>
    <t>Beri kami 5 bintang!</t>
  </si>
  <si>
    <t>Dacci 5 stelle!</t>
  </si>
  <si>
    <t>5つ星をください！</t>
  </si>
  <si>
    <t>ផ្តល់ឱ្យយើងនូវផ្កាយចំនួន 5!</t>
  </si>
  <si>
    <t>ನಮಗೆ 5 ನಕ್ಷತ್ರಗಳನ್ನು ನೀಡಿ!</t>
  </si>
  <si>
    <t>별 5 개를주세요!</t>
  </si>
  <si>
    <t>ໃຫ້ 5 ດາວ!</t>
  </si>
  <si>
    <t>Dodiet mums 5 zvaigznes!</t>
  </si>
  <si>
    <t>Geef ons 5 sterren!</t>
  </si>
  <si>
    <t>Daj nam 5 gwiazdek!</t>
  </si>
  <si>
    <t>Dê -nos 5 estrelas!</t>
  </si>
  <si>
    <t>Дай нам 5 звезд!</t>
  </si>
  <si>
    <t>ให้เรา 5 ดาว!</t>
  </si>
  <si>
    <t>Bize 5 yıldız ver!</t>
  </si>
  <si>
    <t>Дайте нам 5 зірок!</t>
  </si>
  <si>
    <t>给我们5星！</t>
  </si>
  <si>
    <t>Cho chúng tôi 5 sao!</t>
  </si>
  <si>
    <t>txt_no_thanks</t>
  </si>
  <si>
    <t>No, thanks</t>
  </si>
  <si>
    <t>ًلا شكرا</t>
  </si>
  <si>
    <t>Ne, díky</t>
  </si>
  <si>
    <t>Nein danke</t>
  </si>
  <si>
    <t>Οχι ευχαριστώ</t>
  </si>
  <si>
    <t>No, gracias</t>
  </si>
  <si>
    <t>Ei aitäh</t>
  </si>
  <si>
    <t>Ei kiitos</t>
  </si>
  <si>
    <t>Non merci</t>
  </si>
  <si>
    <t>जी नहीं, धन्यवाद</t>
  </si>
  <si>
    <t>Tidak, terima kasih</t>
  </si>
  <si>
    <t>No grazie</t>
  </si>
  <si>
    <t>結構です</t>
  </si>
  <si>
    <t>អត់អី​ទេ​អរគុណ​ហើយ</t>
  </si>
  <si>
    <t>ಬೇಡ ಧನ್ಯವಾದಗಳು</t>
  </si>
  <si>
    <t>고맙지 만 사양 할게</t>
  </si>
  <si>
    <t>ບໍ່​ຂອບ​ໃຈ</t>
  </si>
  <si>
    <t>Nē paldies</t>
  </si>
  <si>
    <t>Tidak, Terima kasih</t>
  </si>
  <si>
    <t>Nee bedankt</t>
  </si>
  <si>
    <t>Nie, dziękuję</t>
  </si>
  <si>
    <t>Não, obrigado</t>
  </si>
  <si>
    <t>Нет, спасибо</t>
  </si>
  <si>
    <t>ไม่เป็นไรขอบคุณ</t>
  </si>
  <si>
    <t>Hayır, teşekkürler</t>
  </si>
  <si>
    <t>Ні, дякую</t>
  </si>
  <si>
    <t>不，谢谢</t>
  </si>
  <si>
    <t>Không, cám ơn</t>
  </si>
  <si>
    <t>txt_enter_url_message</t>
  </si>
  <si>
    <t>Enter the below URL in your browser. Make sure your PC/ Device and current device are connected to the same WiFi network.</t>
  </si>
  <si>
    <t>أدخل عنوان URL أدناه في متصفحك. تأكد من توصيل جهاز الكمبيوتر/ الجهاز والجهاز الحالي بنفس شبكة WiFi.</t>
  </si>
  <si>
    <t>Do prohlížeče zadejte níže uvedenou adresu URL. Ujistěte se, že váš počítač/ zařízení a aktuální zařízení jsou připojeny ke stejné síti WiFi.</t>
  </si>
  <si>
    <t>Geben Sie die folgende URL in Ihrem Browser ein. Stellen Sie sicher, dass Ihr PC/ Gerät und das aktuelle Gerät mit demselben WLAN -Netzwerk verbunden sind.</t>
  </si>
  <si>
    <t>Εισαγάγετε την παρακάτω διεύθυνση URL στο πρόγραμμα περιήγησής σας. Βεβαιωθείτε ότι ο υπολογιστής/ η συσκευή και η τρέχουσα συσκευή σας συνδέονται με το ίδιο δίκτυο WiFi.</t>
  </si>
  <si>
    <t>Ingrese la siguiente URL en su navegador. Asegúrese de que su PC/ dispositivo y dispositivo actual estén conectados a la misma red WiFi.</t>
  </si>
  <si>
    <t>Sisestage oma brauserisse allpool olev URL. Veenduge, et teie arvuti/ seade ja praegune seade oleks ühendatud sama WiFi -võrguga.</t>
  </si>
  <si>
    <t>Kirjoita selaimeen alla oleva URL -osoite. Varmista, että tietokone/ laite ja nykyinen laite on kytketty samaan WiFi -verkkoon.</t>
  </si>
  <si>
    <t>Entrez l'URL ci-dessous dans votre navigateur. Assurez-vous que votre PC / appareil et votre appareil actuel sont connectés au même réseau WiFi.</t>
  </si>
  <si>
    <t>अपने ब्राउज़र में नीचे URL दर्ज करें। सुनिश्चित करें कि आपका पीसी/ डिवाइस और वर्तमान डिवाइस एक ही वाईफाई नेटवर्क से जुड़े हैं।</t>
  </si>
  <si>
    <t>Masukkan URL di bawah ini di browser Anda. Pastikan PC/ perangkat Anda dan perangkat saat ini terhubung ke jaringan WiFi yang sama.</t>
  </si>
  <si>
    <t>Inserisci l'URL seguente nel browser. Assicurarsi che il tuo PC/ dispositivo e il dispositivo corrente siano collegati alla stessa rete WiFi.</t>
  </si>
  <si>
    <t>ブラウザに以下のURLを入力します。 PC/デバイスと現在のデバイスが同じWiFiネットワークに接続されていることを確認してください。</t>
  </si>
  <si>
    <t>បញ្ចូល URL ខាងក្រោមនៅក្នុងកម្មវិធីរុករករបស់អ្នក។ ត្រូវប្រាកដថាកុំព្យូទ័រ / ឧបករណ៍របស់អ្នកនិងឧបករណ៍បច្ចុប្បន្នរបស់អ្នកភ្ជាប់ទៅនឹងបណ្តាញវ៉ាយហ្វាយតែមួយ។</t>
  </si>
  <si>
    <t>ನಿಮ್ಮ ಬ್ರೌಸರ್‌ನಲ್ಲಿ ಕೆಳಗಿನ URL ಅನ್ನು ನಮೂದಿಸಿ. ನಿಮ್ಮ ಪಿಸಿ/ ಸಾಧನ ಮತ್ತು ಪ್ರಸ್ತುತ ಸಾಧನವು ಒಂದೇ ವೈಫೈ ನೆಟ್‌ವರ್ಕ್‌ಗೆ ಸಂಪರ್ಕಗೊಂಡಿದೆ ಎಂದು ಖಚಿತಪಡಿಸಿಕೊಳ್ಳಿ.</t>
  </si>
  <si>
    <t>브라우저에 아래 URL을 입력하십시오. PC/ 장치 및 현재 장치가 동일한 WiFi 네트워크에 연결되어 있는지 확인하십시오.</t>
  </si>
  <si>
    <t>ໃສ່ URL ຂ້າງລຸ່ມນີ້ໃນ browser ຂອງທ່ານ. ຮັບປະກັນໃຫ້ແນ່ໃຈວ່າ PC / ອຸປະກອນຂອງທ່ານແລະອຸປະກອນປັດຈຸບັນແມ່ນເຊື່ອມຕໍ່ກັບເຄືອຂ່າຍ WiFi ດຽວກັນ.</t>
  </si>
  <si>
    <t>Pārlūkprogrammā ievadiet zemāk esošo URL. Pārliecinieties, vai jūsu dators/ ierīce un pašreizējā ierīce ir savienoti ar to pašu WiFi tīklu.</t>
  </si>
  <si>
    <t>Masukkan URL di bawah dalam penyemak imbas anda. Pastikan PC/ peranti dan peranti semasa anda disambungkan ke rangkaian WiFi yang sama.</t>
  </si>
  <si>
    <t>Voer de onderstaande URL in uw browser in. Zorg ervoor dat uw pc/ apparaat en het huidige apparaat zijn aangesloten op hetzelfde wifi -netwerk.</t>
  </si>
  <si>
    <t>Wprowadź poniższy adres URL w przeglądarce. Upewnij się, że komputer/ urządzenie i aktualne urządzenie są podłączone do tej samej sieci Wi -Fi.</t>
  </si>
  <si>
    <t>Digite o URL abaixo no seu navegador. Verifique se o seu PC/ dispositivo e o dispositivo atual estão conectados à mesma rede WiFi.</t>
  </si>
  <si>
    <t>Введите приведенный ниже URL в своем браузере. Убедитесь, что ваш компьютер/ устройство и текущее устройство подключены к одной и той же сети Wi -Fi.</t>
  </si>
  <si>
    <t>ป้อน URL ด้านล่างในเบราว์เซอร์ของคุณ ตรวจสอบให้แน่ใจว่าพีซี/ อุปกรณ์และอุปกรณ์ปัจจุบันของคุณเชื่อมต่อกับเครือข่าย WiFi เดียวกัน</t>
  </si>
  <si>
    <t>Aşağıdaki URL'yi tarayıcınıza girin. PC'nizin/ cihazınızın ve geçerli cihazınızın aynı WiFi ağına bağlı olduğundan emin olun.</t>
  </si>
  <si>
    <t>Введіть нижче URL -адресу у своєму браузері. Переконайтесь, що ваш ПК/ пристрій та поточний пристрій підключені до однієї мережі Wi -Fi.</t>
  </si>
  <si>
    <t>在浏览器中输入下面的URL。确保您的PC/设备和当前设备连接到同一WiFi网络。</t>
  </si>
  <si>
    <t>Nhập URL dưới đây vào trình duyệt của bạn. Đảm bảo PC/ thiết bị và thiết bị hiện tại của bạn được kết nối với cùng một mạng WiFi.</t>
  </si>
  <si>
    <t>password_name</t>
  </si>
  <si>
    <t>Password Name</t>
  </si>
  <si>
    <t>اسم كلمة المرور</t>
  </si>
  <si>
    <t>Název hesla</t>
  </si>
  <si>
    <t>Passwortname</t>
  </si>
  <si>
    <t>Όνομα κωδικού πρόσβασης</t>
  </si>
  <si>
    <t>Nombre de contraseña</t>
  </si>
  <si>
    <t>Parooli nimi</t>
  </si>
  <si>
    <t>Salasananimi</t>
  </si>
  <si>
    <t>Nom de mot de passe</t>
  </si>
  <si>
    <t>पासवर्ड नाम</t>
  </si>
  <si>
    <t>Nama Kata Sandi</t>
  </si>
  <si>
    <t>Nome password</t>
  </si>
  <si>
    <t>パスワード名</t>
  </si>
  <si>
    <t>ឈ្មោះពាក្យសម្ងាត់</t>
  </si>
  <si>
    <t>ಪಾಸ್ವರ್ಡ್ ಹೆಸರು</t>
  </si>
  <si>
    <t>비밀번호 이름</t>
  </si>
  <si>
    <t>ຊື່ລະຫັດຜ່ານ</t>
  </si>
  <si>
    <t>Paroles nosaukums</t>
  </si>
  <si>
    <t>Nama Kata Laluan</t>
  </si>
  <si>
    <t>Wachtwoordnaam</t>
  </si>
  <si>
    <t>Nazwa hasła</t>
  </si>
  <si>
    <t>Nome da senha</t>
  </si>
  <si>
    <t>Название пароля</t>
  </si>
  <si>
    <t>ชื่อรหัสผ่าน</t>
  </si>
  <si>
    <t>Şifre Adı</t>
  </si>
  <si>
    <t>Назва пароля</t>
  </si>
  <si>
    <t>密码名称</t>
  </si>
  <si>
    <t>Tên mật khẩu</t>
  </si>
  <si>
    <t>welcomeDKM</t>
  </si>
  <si>
    <t>Welcome to</t>
  </si>
  <si>
    <t>مرحبا بك في</t>
  </si>
  <si>
    <t>Vítejte v</t>
  </si>
  <si>
    <t>Willkommen zu</t>
  </si>
  <si>
    <t>Καλωσήρθες στο</t>
  </si>
  <si>
    <t>Bienvenido a</t>
  </si>
  <si>
    <t>Tere tulemast</t>
  </si>
  <si>
    <t>Tervetuloa</t>
  </si>
  <si>
    <t>Bienvenue à</t>
  </si>
  <si>
    <t>आपका स्वागत है</t>
  </si>
  <si>
    <t>Selamat Datang di</t>
  </si>
  <si>
    <t>Benvenuto a</t>
  </si>
  <si>
    <t>ようこそ</t>
  </si>
  <si>
    <t>ស្វាគមន៍​មកកាន់</t>
  </si>
  <si>
    <t>ಸುಸ್ವಾಗತ</t>
  </si>
  <si>
    <t>에 오신 것을 환영합니다</t>
  </si>
  <si>
    <t>ຍິນ​ດີ​ຕ້ອນ​ຮັບ​ສູ່</t>
  </si>
  <si>
    <t>Laipni lūdzam</t>
  </si>
  <si>
    <t>Selamat datang ke</t>
  </si>
  <si>
    <t>Welkom bij</t>
  </si>
  <si>
    <t>Witamy w</t>
  </si>
  <si>
    <t>Bem-vindo ao</t>
  </si>
  <si>
    <t>Добро пожаловать в</t>
  </si>
  <si>
    <t>ยินดีต้อนรับสู่</t>
  </si>
  <si>
    <t>Hoşgeldiniz</t>
  </si>
  <si>
    <t>Ласкаво просимо до</t>
  </si>
  <si>
    <t>欢迎来到</t>
  </si>
  <si>
    <t>Chào mừng bạn đến với</t>
  </si>
  <si>
    <t>welcomeDKM_description</t>
  </si>
  <si>
    <t>Store and protect documents, images, videos</t>
  </si>
  <si>
    <t>تخزين وحماية المستندات والصور ومقاطع الفيديو</t>
  </si>
  <si>
    <t>Ukládejte a chrání dokumenty, obrázky, videa</t>
  </si>
  <si>
    <t>Speichern und schützen Sie Dokumente, Bilder, Videos</t>
  </si>
  <si>
    <t>Αποθηκεύστε και προστατεύστε τα έγγραφα, τις εικόνες, τα βίντεο</t>
  </si>
  <si>
    <t>Almacenar y proteger documentos, imágenes, videos</t>
  </si>
  <si>
    <t>Salvestage ja kaitske dokumente, pilte, videoid</t>
  </si>
  <si>
    <t>Säilytä ja suojaa asiakirjoja, kuvia, videoita</t>
  </si>
  <si>
    <t>Stocker et protéger les documents, les images, les vidéos</t>
  </si>
  <si>
    <t>दस्तावेज़ों, चित्रों, वीडियो को स्टोर और सुरक्षित करें</t>
  </si>
  <si>
    <t>Simpan dan lindungi dokumen, gambar, video</t>
  </si>
  <si>
    <t>Abbona e proteggi documenti, immagini, video</t>
  </si>
  <si>
    <t>ドキュメント、画像、ビデオを保存および保護します</t>
  </si>
  <si>
    <t>រក្សាទុកនិងការពារឯកសាររូបភាពវីដេអូ</t>
  </si>
  <si>
    <t>ದಾಖಲೆಗಳು, ಚಿತ್ರಗಳು, ವೀಡಿಯೊಗಳನ್ನು ಸಂಗ್ರಹಿಸಿ ಮತ್ತು ರಕ್ಷಿಸಿ</t>
  </si>
  <si>
    <t>문서, 이미지, 비디오를 저장하고 보호하십시오</t>
  </si>
  <si>
    <t>ເກັບຮັກສາແລະປົກປ້ອງເອກະສານ, ຮູບພາບ, ວິດີໂອ</t>
  </si>
  <si>
    <t>Uzglabājiet un aizsargājiet dokumentus, attēlus, videoklipus</t>
  </si>
  <si>
    <t>Bewaar en bescherm documenten, afbeeldingen, video's</t>
  </si>
  <si>
    <t>Przechowuj i chroń dokumenty, obrazy, filmy</t>
  </si>
  <si>
    <t>Armazene e proteja documentos, imagens, vídeos</t>
  </si>
  <si>
    <t>Хранить и защищать документы, изображения, видео</t>
  </si>
  <si>
    <t>จัดเก็บและปกป้องเอกสารรูปภาพวิดีโอ</t>
  </si>
  <si>
    <t>Belgeleri, resimleri, videoları saklayın ve koruyun</t>
  </si>
  <si>
    <t>Зберігайте та захищайте документи, зображення, відеоролики</t>
  </si>
  <si>
    <t>存储和保护文档，图像，视频</t>
  </si>
  <si>
    <t>Lưu trữ và bảo vệ tài liệu, hình ảnh, video</t>
  </si>
  <si>
    <t>fullAppAccess</t>
  </si>
  <si>
    <t>Block all apps</t>
  </si>
  <si>
    <t>منع جميع التطبيقات</t>
  </si>
  <si>
    <t>Blokujte všechny aplikace</t>
  </si>
  <si>
    <t>Blockieren Sie alle Apps</t>
  </si>
  <si>
    <t>Αποκλείστε όλες τις εφαρμογές</t>
  </si>
  <si>
    <t>Bloquear todas las aplicaciones</t>
  </si>
  <si>
    <t>Blokeerige kõik rakendused</t>
  </si>
  <si>
    <t>Estää kaikki sovellukset</t>
  </si>
  <si>
    <t>Bloquer toutes les applications</t>
  </si>
  <si>
    <t>सभी ऐप्स को ब्लॉक करें</t>
  </si>
  <si>
    <t>Blokir semua aplikasi</t>
  </si>
  <si>
    <t>Blocca tutte le app</t>
  </si>
  <si>
    <t>すべてのアプリをブロックします</t>
  </si>
  <si>
    <t>រារាំងកម្មវិធីទាំងអស់</t>
  </si>
  <si>
    <t>ಎಲ್ಲಾ ಅಪ್ಲಿಕೇಶನ್‌ಗಳನ್ನು ನಿರ್ಬಂಧಿಸಿ</t>
  </si>
  <si>
    <t>모든 앱을 차단하십시오</t>
  </si>
  <si>
    <t>block apps ທັງຫມົດ</t>
  </si>
  <si>
    <t>Bloķēt visas lietotnes</t>
  </si>
  <si>
    <t>Sekat semua aplikasi</t>
  </si>
  <si>
    <t>Blokkeer alle apps</t>
  </si>
  <si>
    <t>Zablokować wszystkie aplikacje</t>
  </si>
  <si>
    <t>Bloqueie todos os aplicativos</t>
  </si>
  <si>
    <t>Блокировать все приложения</t>
  </si>
  <si>
    <t>บล็อกแอพทั้งหมด</t>
  </si>
  <si>
    <t>Tüm uygulamaları engelleyin</t>
  </si>
  <si>
    <t>Блокуйте всі програми</t>
  </si>
  <si>
    <t>阻止所有应用程序</t>
  </si>
  <si>
    <t>Chặn tất cả các ứng dụng</t>
  </si>
  <si>
    <t>cloakSelectedApp</t>
  </si>
  <si>
    <t>Block selected apps</t>
  </si>
  <si>
    <t>حظر التطبيقات المحددة</t>
  </si>
  <si>
    <t>Blokujte vybrané aplikace</t>
  </si>
  <si>
    <t>Block ausgewählte Apps</t>
  </si>
  <si>
    <t>Μπλοκ επιλεγμένες εφαρμογές</t>
  </si>
  <si>
    <t>Bloquear aplicaciones seleccionadas</t>
  </si>
  <si>
    <t>Blokeerige valitud rakendused</t>
  </si>
  <si>
    <t>Estää valittuja sovelluksia</t>
  </si>
  <si>
    <t>Bloquer les applications sélectionnées</t>
  </si>
  <si>
    <t>चयनित ऐप्स ब्लॉक</t>
  </si>
  <si>
    <t>Blok aplikasi yang dipilih</t>
  </si>
  <si>
    <t>Blocca app selezionate</t>
  </si>
  <si>
    <t>選択したアプリをブロックします</t>
  </si>
  <si>
    <t>រារាំងកម្មវិធីដែលបានជ្រើសរើស</t>
  </si>
  <si>
    <t>ಆಯ್ದ ಅಪ್ಲಿಕೇಶನ್‌ಗಳನ್ನು ನಿರ್ಬಂಧಿಸಿ</t>
  </si>
  <si>
    <t>선택한 앱을 차단합니다</t>
  </si>
  <si>
    <t>ບລັອກແອັບ apps ທີ່ເລືອກ</t>
  </si>
  <si>
    <t>Bloķēt atlasītās lietotnes</t>
  </si>
  <si>
    <t>Blokkeer geselecteerde apps</t>
  </si>
  <si>
    <t>Blokuj wybrane aplikacje</t>
  </si>
  <si>
    <t>Bloqueie aplicativos selecionados</t>
  </si>
  <si>
    <t>Блокировать выбранные приложения</t>
  </si>
  <si>
    <t>บล็อกแอพที่เลือก</t>
  </si>
  <si>
    <t>Seçilen uygulamaları engelleyin</t>
  </si>
  <si>
    <t>Блокувати вибрані програми</t>
  </si>
  <si>
    <t>块选择的应用程序</t>
  </si>
  <si>
    <t>Chặn các ứng dụng đã chọn</t>
  </si>
  <si>
    <t>blockSelectedApp</t>
  </si>
  <si>
    <t>Restrict selected apps</t>
  </si>
  <si>
    <t>تقييد التطبيقات المحددة</t>
  </si>
  <si>
    <t>Omezte vybrané aplikace</t>
  </si>
  <si>
    <t>Beschränken Sie ausgewählte Apps</t>
  </si>
  <si>
    <t>Περιορίστε τις επιλεγμένες εφαρμογές</t>
  </si>
  <si>
    <t>Restringir las aplicaciones seleccionadas</t>
  </si>
  <si>
    <t>Piirake valitud rakendusi</t>
  </si>
  <si>
    <t>Rajoita valittuja sovelluksia</t>
  </si>
  <si>
    <t>Restreindre les applications sélectionnées</t>
  </si>
  <si>
    <t>चयनित ऐप्स को प्रतिबंधित करें</t>
  </si>
  <si>
    <t>Membatasi aplikasi yang dipilih</t>
  </si>
  <si>
    <t>Limitare le app selezionate</t>
  </si>
  <si>
    <t>選択したアプリを制限します</t>
  </si>
  <si>
    <t>ដាក់កម្រិតកម្មវិធីដែលបានជ្រើសរើស</t>
  </si>
  <si>
    <t>선택한 앱을 제한합니다</t>
  </si>
  <si>
    <t>ຈໍາກັດແອັບ apps ທີ່ຖືກຄັດເລືອກ</t>
  </si>
  <si>
    <t>Ierobežojiet atlasītās lietotnes</t>
  </si>
  <si>
    <t>Hadkan aplikasi yang dipilih</t>
  </si>
  <si>
    <t>Beperk geselecteerde apps</t>
  </si>
  <si>
    <t>Ogranicz wybrane aplikacje</t>
  </si>
  <si>
    <t>Restringir aplicativos selecionados</t>
  </si>
  <si>
    <t>Ограничить выбранные приложения</t>
  </si>
  <si>
    <t>จำกัด แอพที่เลือก</t>
  </si>
  <si>
    <t>Seçilen uygulamaları kısıtlayın</t>
  </si>
  <si>
    <t>Обмеження вибраних додатків</t>
  </si>
  <si>
    <t>限制选定的应用程序</t>
  </si>
  <si>
    <t>Hạn chế các ứng dụng đã chọn</t>
  </si>
  <si>
    <t>AssignedPermissions</t>
  </si>
  <si>
    <t>Assigned Permissions</t>
  </si>
  <si>
    <t>أذونات مخصصة</t>
  </si>
  <si>
    <t>Přiřazená oprávnění</t>
  </si>
  <si>
    <t>Zugewiesene Berechtigungen</t>
  </si>
  <si>
    <t>Εκχωρημένα δικαιώματα</t>
  </si>
  <si>
    <t>Permisos asignados</t>
  </si>
  <si>
    <t>Määratud õigused</t>
  </si>
  <si>
    <t>Määritetyt käyttöoikeudet</t>
  </si>
  <si>
    <t>Autorisations attribuées</t>
  </si>
  <si>
    <t>सौंपा अनुमतियाँ</t>
  </si>
  <si>
    <t>Izin yang ditugaskan</t>
  </si>
  <si>
    <t>Autorizzazioni assegnate</t>
  </si>
  <si>
    <t>割り当てられた権限</t>
  </si>
  <si>
    <t>ការអនុញ្ញាតដែលបានកំណត់</t>
  </si>
  <si>
    <t>ನಿಯೋಜಿಸಲಾದ ಅನುಮತಿಗಳು</t>
  </si>
  <si>
    <t>할당 된 권한</t>
  </si>
  <si>
    <t>ການອະນຸຍາດທີ່ຖືກມອບຫມາຍ</t>
  </si>
  <si>
    <t>Piešķirtās atļaujas</t>
  </si>
  <si>
    <t>Keizinan yang diberikan</t>
  </si>
  <si>
    <t>Toegewezen machtigingen</t>
  </si>
  <si>
    <t>Przypisane uprawnienia</t>
  </si>
  <si>
    <t>Permissões atribuídas</t>
  </si>
  <si>
    <t>Назначенные разрешения</t>
  </si>
  <si>
    <t>สิทธิ์ที่ได้รับมอบหมาย</t>
  </si>
  <si>
    <t>Atanan izinler</t>
  </si>
  <si>
    <t>Призначені дозволи</t>
  </si>
  <si>
    <t>分配的权限</t>
  </si>
  <si>
    <t>Cấp quyền cho tài khoản</t>
  </si>
  <si>
    <t>RequiresAtLeast1Permission</t>
  </si>
  <si>
    <t>Requires at least 1 permission to use</t>
  </si>
  <si>
    <t>يتطلب إذن 1 على الأقل للاستخدام</t>
  </si>
  <si>
    <t>Vyžaduje alespoň 1 povolení k použití</t>
  </si>
  <si>
    <t>Erfordert mindestens 1 Erlaubnis zur Verwendung</t>
  </si>
  <si>
    <t>Απαιτεί τουλάχιστον 1 άδεια χρήσης</t>
  </si>
  <si>
    <t>Requiere al menos 1 permiso para usar</t>
  </si>
  <si>
    <t>Nõuab kasutamiseks vähemalt ühte luba</t>
  </si>
  <si>
    <t>Vaatii vähintään yhden luvan käyttöä</t>
  </si>
  <si>
    <t>Nécessite au moins 1 autorisation d'utilisation</t>
  </si>
  <si>
    <t>उपयोग करने के लिए कम से कम 1 अनुमति की आवश्यकता है</t>
  </si>
  <si>
    <t>Membutuhkan setidaknya 1 izin untuk digunakan</t>
  </si>
  <si>
    <t>Richiede almeno 1 permesso di utilizzare</t>
  </si>
  <si>
    <t>使用するには、少なくとも1つの許可が必要です</t>
  </si>
  <si>
    <t>តម្រូវឱ្យមានការអនុញ្ញាតយ៉ាងហោចណាស់ 1 ដែលត្រូវប្រើ</t>
  </si>
  <si>
    <t>ಬಳಸಲು ಕನಿಷ್ಠ 1 ಅನುಮತಿ ಅಗತ್ಯವಿದೆ</t>
  </si>
  <si>
    <t>사용 권한이 1 회 이상 필요합니다</t>
  </si>
  <si>
    <t>ຕ້ອງການຢ່າງຫນ້ອຍ 1 ການອະນຸຍາດໃຫ້ໃຊ້</t>
  </si>
  <si>
    <t>Nepieciešama vismaz 1 atļauja, lai izmantotu</t>
  </si>
  <si>
    <t>Memerlukan sekurang -kurangnya 1 kebenaran untuk digunakan</t>
  </si>
  <si>
    <t>Vereist ten minste 1 toestemming om te gebruiken</t>
  </si>
  <si>
    <t>Wymaga co najmniej 1 zgody na użycie</t>
  </si>
  <si>
    <t>Requer pelo menos 1 permissão para usar</t>
  </si>
  <si>
    <t>Требуется не менее 1 разрешения на использование</t>
  </si>
  <si>
    <t>ต้องได้รับอนุญาตอย่างน้อย 1 ครั้ง</t>
  </si>
  <si>
    <t>Kullanım için en az 1 izin gerektirir</t>
  </si>
  <si>
    <t>Вимагає щонайменше 1 дозволу на використання</t>
  </si>
  <si>
    <t>至少需要1个许可才能使用</t>
  </si>
  <si>
    <t>Yêu cầu ít nhất 1 quyền để được sử dụng</t>
  </si>
  <si>
    <t>TheNewlyCreatedUserCan</t>
  </si>
  <si>
    <t>The newly created user can only access the features enabled below:</t>
  </si>
  <si>
    <t>يمكن للمستخدم الذي تم إنشاؤه حديثًا الوصول إلى الميزات الممكّنة أدناه:</t>
  </si>
  <si>
    <t>Nově vytvořený uživatel má přístup k funkcím povoleným níže:</t>
  </si>
  <si>
    <t>Der neu erstellte Benutzer kann nur auf die unten aktivierten Funktionen zugreifen:</t>
  </si>
  <si>
    <t>Ο νέος χρήστης μπορεί να έχει πρόσβαση μόνο στις λειτουργίες που είναι ενεργοποιημένες παρακάτω:</t>
  </si>
  <si>
    <t>El usuario recién creado solo puede acceder a las características habilitadas a continuación:</t>
  </si>
  <si>
    <t>Äsja loodud kasutaja pääseb juurde ainult allpool olevatele funktsioonidele:</t>
  </si>
  <si>
    <t>Äskettäin luotu käyttäjä voi käyttää vain alla olevia ominaisuuksia:</t>
  </si>
  <si>
    <t>L'utilisateur nouvellement créé ne peut accéder aux fonctionnalités activées ci-dessous:</t>
  </si>
  <si>
    <t>नया बनाया गया उपयोगकर्ता केवल नीचे दिए गए सुविधाओं तक पहुंच सकता है:</t>
  </si>
  <si>
    <t>Pengguna yang baru dibuat hanya dapat mengakses fitur yang diaktifkan di bawah ini:</t>
  </si>
  <si>
    <t>L'utente appena creato può accedere solo alle funzionalità abilitate di seguito:</t>
  </si>
  <si>
    <t>新しく作成されたユーザーは、以下で有効な機能にのみアクセスできます。</t>
  </si>
  <si>
    <t>អ្នកប្រើដែលបានបង្កើតថ្មីអាចចូលប្រើបានតែលក្ខណៈដែលបានបើកខាងក្រោម:</t>
  </si>
  <si>
    <t>ಹೊಸದಾಗಿ ರಚಿಸಲಾದ ಬಳಕೆದಾರರು ಕೆಳಗೆ ಸಕ್ರಿಯಗೊಳಿಸಿದ ವೈಶಿಷ್ಟ್ಯಗಳನ್ನು ಮಾತ್ರ ಪ್ರವೇಶಿಸಬಹುದು:</t>
  </si>
  <si>
    <t>새로 생성 된 사용자는 아래에 사용 가능한 기능에만 액세스 할 수 있습니다.</t>
  </si>
  <si>
    <t>ຜູ້ໃຊ້ທີ່ສ້າງຂື້ນໃຫມ່ສາມາດເຂົ້າເຖິງຄຸນລັກສະນະຕ່າງໆທີ່ໃຊ້ໃນດ້ານລຸ່ມນີ້:</t>
  </si>
  <si>
    <t>Jaunizveidotais lietotājs var piekļūt tikai zemāk iespējotajām funkcijām:</t>
  </si>
  <si>
    <t>Pengguna yang baru dibuat hanya boleh mengakses ciri yang diaktifkan di bawah:</t>
  </si>
  <si>
    <t>De nieuw gemaakte gebruiker heeft alleen toegang tot de onderstaande functies:</t>
  </si>
  <si>
    <t>Nowo utworzony użytkownik może uzyskać dostęp tylko do funkcji włączonych poniżej:</t>
  </si>
  <si>
    <t>O usuário recém -criado pode acessar apenas os recursos ativados abaixo:</t>
  </si>
  <si>
    <t>Недавно созданный пользователь может получить доступ только к функциям, включенным ниже:</t>
  </si>
  <si>
    <t>ผู้ใช้ที่สร้างขึ้นใหม่สามารถเข้าถึงคุณสมบัติที่เปิดใช้งานด้านล่างเท่านั้น:</t>
  </si>
  <si>
    <t>Yeni oluşturulan kullanıcı yalnızca aşağıda etkinleştirilen özelliklere erişebilir:</t>
  </si>
  <si>
    <t>Нещодавно створений користувач може отримати доступ лише до функцій, включених нижче:</t>
  </si>
  <si>
    <t>新创建的用户只能访问启用以下启用的功能：</t>
  </si>
  <si>
    <t>Người dùng mới được tạo chỉ có thể truy cập các tính năng được bật dưới đây:</t>
  </si>
  <si>
    <t>follow_the_change_at</t>
  </si>
  <si>
    <t>Follow the changes at:</t>
  </si>
  <si>
    <t>اتبع التغييرات على:</t>
  </si>
  <si>
    <t>Sledujte změny na:</t>
  </si>
  <si>
    <t>Verfolgen Sie die Änderungen unter:</t>
  </si>
  <si>
    <t>Ακολουθήστε τις αλλαγές στο:</t>
  </si>
  <si>
    <t>Siga los cambios en:</t>
  </si>
  <si>
    <t>Jälgige muudatusi aadressil:</t>
  </si>
  <si>
    <t>Seuraa muutoksia osoitteessa:</t>
  </si>
  <si>
    <t>Suivez les changements sur :</t>
  </si>
  <si>
    <t>यहां परिवर्तनों का पालन करें:</t>
  </si>
  <si>
    <t>Ikuti perubahannya di:</t>
  </si>
  <si>
    <t>Segui le modifiche su:</t>
  </si>
  <si>
    <t>次の変更点に従ってください。</t>
  </si>
  <si>
    <t>តាមដានការផ្លាស់ប្តូរនៅ៖</t>
  </si>
  <si>
    <t>ಬದಲಾವಣೆಗಳನ್ನು ಅನುಸರಿಸಿ:</t>
  </si>
  <si>
    <t>다음에서 변경 사항을 따르세요.</t>
  </si>
  <si>
    <t>ຕິດຕາມການປ່ຽນແປງໄດ້ທີ່:</t>
  </si>
  <si>
    <t>Sekojiet izmaiņām vietnē:</t>
  </si>
  <si>
    <t>Ikuti perubahan di:</t>
  </si>
  <si>
    <t>Volg de wijzigingen op:</t>
  </si>
  <si>
    <t>Śledź zmiany na stronie:</t>
  </si>
  <si>
    <t>Acompanhe as mudanças em:</t>
  </si>
  <si>
    <t>Следите за изменениями по адресу:</t>
  </si>
  <si>
    <t>ติดตามการเปลี่ยนแปลงได้ที่:</t>
  </si>
  <si>
    <t>Değişiklikleri şuradan takip edin:</t>
  </si>
  <si>
    <t>Слідкуйте за змінами за адресою:</t>
  </si>
  <si>
    <t>请遵循以下更改：</t>
  </si>
  <si>
    <t>Theo dõi các thay đổi tại:</t>
  </si>
  <si>
    <t>blockapp_notice_message</t>
  </si>
  <si>
    <t>This feature base on the the public Screen Time API. Since there is no accurate way of predicting how an API may be modified and what effects those modifications may have, this feature may be modified/ replaced/ removed depending on changes in the Screen Time API.</t>
  </si>
  <si>
    <t>تعتمد هذه الميزة على واجهة برمجة تطبيقات Screen Time العامة. نظرًا لعدم وجود طريقة دقيقة للتنبؤ بكيفية تعديل واجهة برمجة التطبيقات (API) والتأثيرات التي قد تحدثها هذه التعديلات، فقد يتم تعديل/استبدال/إزالة هذه الميزة اعتمادًا على التغييرات في Screen Time API.</t>
  </si>
  <si>
    <t>Tato funkce je založena na veřejném rozhraní Screen Time API. Vzhledem k tomu, že neexistuje žádný přesný způsob, jak předpovědět, jak může být rozhraní API změněno a jaké účinky mohou tyto úpravy mít, může být tato funkce upravena/nahrazena/odebrána v závislosti na změnách v rozhraní Screen Time API.</t>
  </si>
  <si>
    <t>Diese Funktion basiert auf der öffentlichen Screen Time API. Da es keine genaue Möglichkeit gibt, vorherzusagen, wie eine API geändert werden kann und welche Auswirkungen diese Änderungen haben können, kann diese Funktion je nach Änderungen in der Screen Time API geändert/ersetzt/entfernt werden.</t>
  </si>
  <si>
    <t>Αυτή η δυνατότητα βασίζεται στο δημόσιο API χρόνου οθόνης. Δεδομένου ότι δεν υπάρχει ακριβής τρόπος πρόβλεψης του τρόπου τροποποίησης ενός API και των επιπτώσεων που μπορεί να έχουν αυτές οι τροποποιήσεις, αυτή η δυνατότητα μπορεί να τροποποιηθεί/αντικατασταθεί/καταργηθεί ανάλογα με τις αλλαγές στο Screen Time API.</t>
  </si>
  <si>
    <t>Esta función se basa en la API pública Screen Time. Dado que no existe una forma precisa de predecir cómo se puede modificar una API y qué efectos pueden tener esas modificaciones, esta función puede modificarse, reemplazarse o eliminarse según los cambios en la API Screen Time.</t>
  </si>
  <si>
    <t>See funktsioon põhineb avalikul ekraaniaja API-l. Kuna puudub täpne viis ennustada, kuidas API-d võidakse muuta ja millist mõju need modifikatsioonid võivad avaldada, võidakse seda funktsiooni muuta/asendada/eemaldada olenevalt ekraaniaja API muudatustest.</t>
  </si>
  <si>
    <t>Tämä ominaisuus perustuu julkiseen näyttöajan sovellusliittymään. Koska ei ole tarkkaa tapaa ennustaa, kuinka APIa voidaan muokata ja mitä vaikutuksia näillä muokkauksilla voi olla, tätä ominaisuutta voidaan muokata/korvaa/poistaa riippuen Screen Time API:n muutoksista.</t>
  </si>
  <si>
    <t>Cette fonctionnalité est basée sur l'API publique Screen Time. Puisqu'il n'existe aucun moyen précis de prédire comment une API peut être modifiée et quels effets ces modifications peuvent avoir, cette fonctionnalité peut être modifiée/remplacée/supprimée en fonction des modifications apportées à l'API Screen Time.</t>
  </si>
  <si>
    <t>यह सुविधा सार्वजनिक स्क्रीन टाइम एपीआई पर आधारित है। चूंकि यह अनुमान लगाने का कोई सटीक तरीका नहीं है कि एपीआई को कैसे संशोधित किया जा सकता है और उन संशोधनों का क्या प्रभाव हो सकता है, स्क्रीन टाइम एपीआई में बदलाव के आधार पर इस सुविधा को संशोधित/प्रतिस्थापित/हटाया जा सकता है।</t>
  </si>
  <si>
    <t>Fitur ini didasarkan pada API Waktu Layar publik. Karena tidak ada cara yang akurat untuk memprediksi bagaimana API dapat dimodifikasi dan dampak apa yang mungkin ditimbulkan oleh modifikasi tersebut, fitur ini dapat dimodifikasi/diganti/dihapus tergantung pada perubahan dalam API Waktu Layar.</t>
  </si>
  <si>
    <t>Questa funzionalità si basa sull'API pubblica Screen Time. Poiché non esiste un modo accurato per prevedere come un'API potrebbe essere modificata e quali effetti potrebbero avere tali modifiche, questa funzionalità potrebbe essere modificata/sostituita/rimossa a seconda delle modifiche nell'API Screen Time.</t>
  </si>
  <si>
    <t>この機能は、パブリック スクリーン タイム API に基づいています。 API がどのように変更されるか、またその変更がどのような影響を与えるかを正確に予測する方法はないため、この機能は、Screen Time API の変更に応じて変更、置き換え、削除される可能性があります。</t>
  </si>
  <si>
    <t>លក្ខណៈពិសេសនេះផ្អែកលើ API ពេលវេលាអេក្រង់សាធារណៈ។ ដោយសារមិនមានវិធីត្រឹមត្រូវក្នុងការទស្សន៍ទាយពីរបៀបដែល API អាចត្រូវបានកែប្រែ និងឥទ្ធិពលនៃការកែប្រែទាំងនោះអាចមាន លក្ខណៈពិសេសនេះអាចត្រូវបានកែប្រែ / ជំនួស / ដកចេញ អាស្រ័យលើការផ្លាស់ប្តូរនៅក្នុង Screen Time API ។</t>
  </si>
  <si>
    <t>ಈ ವೈಶಿಷ್ಟ್ಯವು ಸಾರ್ವಜನಿಕ ಪರದೆಯ ಸಮಯದ API ಮೇಲೆ ಆಧಾರವಾಗಿದೆ. API ಅನ್ನು ಹೇಗೆ ಮಾರ್ಪಡಿಸಬಹುದು ಮತ್ತು ಆ ಮಾರ್ಪಾಡುಗಳು ಯಾವ ಪರಿಣಾಮಗಳನ್ನು ಬೀರಬಹುದು ಎಂಬುದನ್ನು ಊಹಿಸಲು ಯಾವುದೇ ನಿಖರವಾದ ಮಾರ್ಗವಿಲ್ಲದ ಕಾರಣ, ಈ ವೈಶಿಷ್ಟ್ಯವನ್ನು ಸ್ಕ್ರೀನ್ ಟೈಮ್ API ನಲ್ಲಿನ ಬದಲಾವಣೆಗಳನ್ನು ಅವಲಂಬಿಸಿ ಮಾರ್ಪಡಿಸಬಹುದು/ ಬದಲಾಯಿಸಬಹುದು/ ತೆಗೆದುಹಾಕಬಹುದು.</t>
  </si>
  <si>
    <t>이 기능은 공개 Screen Time API를 기반으로 합니다. API가 어떻게 수정될 수 있는지, 수정이 어떤 영향을 미칠 수 있는지 예측할 수 있는 정확한 방법이 없기 때문에 이 기능은 Screen Time API의 변경 사항에 따라 수정/교체/제거될 수 있습니다.</t>
  </si>
  <si>
    <t>ຄຸນສົມບັດນີ້ອີງໃສ່ API ເວລາໜ້າຈໍສາທາລະນະ. ເນື່ອງຈາກບໍ່ມີວິທີທີ່ຖືກຕ້ອງໃນການຄາດເດົາວ່າ API ອາດຈະຖືກແກ້ໄຂແນວໃດ ແລະຜົນກະທົບທີ່ການດັດແກ້ເຫຼົ່ານັ້ນອາດມີຜົນແນວໃດ, ຄຸນສົມບັດນີ້ອາດຈະຖືກດັດແກ້/ປ່ຽນແທນ/ເອົາອອກ ຂຶ້ນກັບການປ່ຽນແປງໃນ Screen Time API.</t>
  </si>
  <si>
    <t>Šī funkcija ir balstīta uz publisko ekrāna laika API. Tā kā nav precīza veida, kā paredzēt, kā API var tikt modificēts un kāda var būt šo modifikāciju ietekme, šo līdzekli var mainīt/aizstāt/noņemt atkarībā no izmaiņām ekrāna laika API.</t>
  </si>
  <si>
    <t>Ciri ini berdasarkan API Masa Skrin awam. Memandangkan tiada cara yang tepat untuk meramalkan cara API boleh diubah suai dan apakah kesan pengubahsuaian tersebut, ciri ini boleh diubah suai/diganti/dialih keluar bergantung pada perubahan dalam API Masa Skrin.</t>
  </si>
  <si>
    <t>Deze functie is gebaseerd op de openbare Screen Time API. Omdat er geen nauwkeurige manier is om te voorspellen hoe een API kan worden gewijzigd en welke effecten deze wijzigingen kunnen hebben, kan deze functie worden aangepast/vervangen/verwijderd, afhankelijk van wijzigingen in de Screen Time API.</t>
  </si>
  <si>
    <t>Ta funkcja opiera się na publicznym interfejsie API Screen Time. Ponieważ nie ma dokładnego sposobu przewidzenia, w jaki sposób interfejs API może zostać zmodyfikowany i jakie skutki mogą mieć te modyfikacje, funkcja ta może zostać zmodyfikowana/wymieniona/usunięta w zależności od zmian w interfejsie API Czasu ekranu.</t>
  </si>
  <si>
    <t>Este recurso é baseado na API pública Screen Time. Como não há uma maneira precisa de prever como uma API pode ser modificada e quais efeitos essas modificações podem ter, esse recurso pode ser modificado/substituído/removido dependendo das alterações na API Screen Time.</t>
  </si>
  <si>
    <t>Эта функция основана на общедоступном API Screen Time. Поскольку не существует точного способа предсказать, как API может быть изменен и какие последствия могут иметь эти модификации, эта функция может быть изменена, заменена или удалена в зависимости от изменений в API экранного времени.</t>
  </si>
  <si>
    <t>ฟีเจอร์นี้อิงตาม Screen Time API สาธารณะ เนื่องจากไม่มีวิธีที่แม่นยำในการทำนายว่า API จะได้รับการแก้ไขอย่างไร และผลกระทบใดที่การปรับเปลี่ยนเหล่านั้นอาจมี ฟีเจอร์นี้อาจมีการแก้ไข/ แทนที่/ ลบออก ทั้งนี้ขึ้นอยู่กับการเปลี่ยนแปลงใน API เวลาหน้าจอ</t>
  </si>
  <si>
    <t>Bu özellik genel Ekran Süresi API'sini temel alır. Bir API'nin nasıl değiştirilebileceğini ve bu değişikliklerin ne gibi etkileri olabileceğini tahmin etmenin kesin bir yolu olmadığından, Screen Time API'deki değişikliklere bağlı olarak bu özellik değiştirilebilir/değiştirilebilir/kaldırılabilir.</t>
  </si>
  <si>
    <t>Ця функція заснована на загальнодоступному API часу екрану. Оскільки немає точного способу передбачити, як API може бути змінено та які наслідки можуть мати ці зміни, ця функція може бути змінена/замінена/видалена залежно від змін в API Screen Time.</t>
  </si>
  <si>
    <t>此功能基于公共屏幕时间 API。由于没有准确的方法来预测 API 可能如何修改以及这些修改可能产生什么影响，因此此功能可能会根据屏幕时间 API 的变化进行修改/替换/删除。</t>
  </si>
  <si>
    <t>Tính năng này dựa trên Screen Time API. Vì không có cách dự đoán chính xác cách một API có thể được sửa đổi và những sửa đổi đó có thể gây ra những ảnh hưởng gì nên tính năng này có thể được sửa đổi/ thay thế/ loại bỏ tùy thuộc vào những thay đổi của Screen Time API.</t>
  </si>
  <si>
    <t>txt_notice</t>
  </si>
  <si>
    <t>Notice!</t>
  </si>
  <si>
    <t>يلاحظ!</t>
  </si>
  <si>
    <t>Oznámení!</t>
  </si>
  <si>
    <t>Beachten!</t>
  </si>
  <si>
    <t>Ειδοποίηση!</t>
  </si>
  <si>
    <t>¡Aviso!</t>
  </si>
  <si>
    <t>Pange tähele!</t>
  </si>
  <si>
    <t>Ilmoitus!</t>
  </si>
  <si>
    <t>Avis!</t>
  </si>
  <si>
    <t>सूचना!</t>
  </si>
  <si>
    <t>Melihat!</t>
  </si>
  <si>
    <t>Avviso!</t>
  </si>
  <si>
    <t>知らせ！</t>
  </si>
  <si>
    <t>សេចក្តីជូនដំណឹង!</t>
  </si>
  <si>
    <t>ಗಮನಿಸಿ!</t>
  </si>
  <si>
    <t>알아채다!</t>
  </si>
  <si>
    <t>ແຈ້ງການ!</t>
  </si>
  <si>
    <t>Paziņojums!</t>
  </si>
  <si>
    <t>Notis!</t>
  </si>
  <si>
    <t>Kennisgeving!</t>
  </si>
  <si>
    <t>Ogłoszenie!</t>
  </si>
  <si>
    <t>Perceber!</t>
  </si>
  <si>
    <t>Уведомление!</t>
  </si>
  <si>
    <t>สังเกต!</t>
  </si>
  <si>
    <t>Fark etme!</t>
  </si>
  <si>
    <t>Зверніть увагу!</t>
  </si>
  <si>
    <t>注意！</t>
  </si>
  <si>
    <t>Chú ý!</t>
  </si>
  <si>
    <t>get_7_days_for_free</t>
  </si>
  <si>
    <t>Get 7 days for free</t>
  </si>
  <si>
    <t>احصل على 7 أيام مجانًا</t>
  </si>
  <si>
    <t>Získejte 7 dní zdarma</t>
  </si>
  <si>
    <t>Erhalten Sie 7 Tage gratis</t>
  </si>
  <si>
    <t>Αποκτήστε 7 ημέρες δωρεάν</t>
  </si>
  <si>
    <t>Consigue 7 días gratis</t>
  </si>
  <si>
    <t>Hankige 7 päeva tasuta</t>
  </si>
  <si>
    <t>Saat 7 päivää ilmaiseksi</t>
  </si>
  <si>
    <t>Obtenez 7 jours gratuits</t>
  </si>
  <si>
    <t>7 दिन निःशुल्क प्राप्त करें</t>
  </si>
  <si>
    <t>Dapatkan 7 hari gratis</t>
  </si>
  <si>
    <t>Ottieni 7 giorni gratis</t>
  </si>
  <si>
    <t>7 日間無料で利用可能</t>
  </si>
  <si>
    <t>ទទួលបាន 7 ថ្ងៃដោយឥតគិតថ្លៃ</t>
  </si>
  <si>
    <t>7 ದಿನಗಳನ್ನು ಉಚಿತವಾಗಿ ಪಡೆಯಿರಿ</t>
  </si>
  <si>
    <t>7일 동안 무료로 이용하세요</t>
  </si>
  <si>
    <t>ຮັບ 7 ມື້ຟຣີ</t>
  </si>
  <si>
    <t>Saņemiet 7 dienas bez maksas</t>
  </si>
  <si>
    <t>Dapatkan 7 hari secara percuma</t>
  </si>
  <si>
    <t>Ontvang 7 dagen gratis</t>
  </si>
  <si>
    <t>Uzyskaj 7 dni za darmo</t>
  </si>
  <si>
    <t>Ganhe 7 dias grátis</t>
  </si>
  <si>
    <t>Получите 7 дней бесплатно</t>
  </si>
  <si>
    <t>รับฟรี 7 วัน</t>
  </si>
  <si>
    <t>7 gün ücretsiz kazanın</t>
  </si>
  <si>
    <t>Отримайте 7 днів безкоштовно</t>
  </si>
  <si>
    <t>免费获得 7 天</t>
  </si>
  <si>
    <t>Nhận 7 ngày miễn phí</t>
  </si>
  <si>
    <t>super_promotion</t>
  </si>
  <si>
    <t>Super promotion</t>
  </si>
  <si>
    <t>ترقية فائقة</t>
  </si>
  <si>
    <t>Super propagace</t>
  </si>
  <si>
    <t>Super Werbung</t>
  </si>
  <si>
    <t>Σούπερ προώθηση</t>
  </si>
  <si>
    <t>Súper promoción</t>
  </si>
  <si>
    <t>Super reklaam</t>
  </si>
  <si>
    <t>Super promootio</t>
  </si>
  <si>
    <t>सुपर प्रमोशन</t>
  </si>
  <si>
    <t>Promosi super</t>
  </si>
  <si>
    <t>Super promozione</t>
  </si>
  <si>
    <t>スーパープロモーション</t>
  </si>
  <si>
    <t>ការផ្សព្វផ្សាយដ៏អស្ចារ្យ</t>
  </si>
  <si>
    <t>ಸೂಪರ್ ಪ್ರಚಾರ</t>
  </si>
  <si>
    <t>슈퍼 프로모션</t>
  </si>
  <si>
    <t>ໂປຣໂມຊັນສຸດຍອດ</t>
  </si>
  <si>
    <t>Super akcija</t>
  </si>
  <si>
    <t>Promosi hebat</t>
  </si>
  <si>
    <t>Superpromotie</t>
  </si>
  <si>
    <t>Super promocja</t>
  </si>
  <si>
    <t>Super promoção</t>
  </si>
  <si>
    <t>Супер акция</t>
  </si>
  <si>
    <t>โปรโมชั่นสุดๆ</t>
  </si>
  <si>
    <t>Süper promosyon</t>
  </si>
  <si>
    <t>Супер акція</t>
  </si>
  <si>
    <t>超级促销</t>
  </si>
  <si>
    <t>Siêu khuyến mãi</t>
  </si>
  <si>
    <t>get_3_days_for_free</t>
  </si>
  <si>
    <t>Get 3 days for free</t>
  </si>
  <si>
    <t>احصل على 3 أيام مجانًا</t>
  </si>
  <si>
    <t>Získejte 3 dny zdarma</t>
  </si>
  <si>
    <t>Erhalten Sie 3 Tage gratis</t>
  </si>
  <si>
    <t>Αποκτήστε 3 ημέρες δωρεάν</t>
  </si>
  <si>
    <t>Consigue 3 días gratis</t>
  </si>
  <si>
    <t>Hankige 3 päeva tasuta</t>
  </si>
  <si>
    <t>Saat 3 päivää ilmaiseksi</t>
  </si>
  <si>
    <t>Obtenez 3 jours gratuits</t>
  </si>
  <si>
    <t>3 दिन मुफ़्त पाएं</t>
  </si>
  <si>
    <t>Dapatkan 3 hari gratis</t>
  </si>
  <si>
    <t>Ottieni 3 giorni gratis</t>
  </si>
  <si>
    <t>3 日間無料で利用可能</t>
  </si>
  <si>
    <t>ទទួលបាន 3 ថ្ងៃដោយឥតគិតថ្លៃ</t>
  </si>
  <si>
    <t>3 ದಿನಗಳನ್ನು ಉಚಿತವಾಗಿ ಪಡೆಯಿರಿ</t>
  </si>
  <si>
    <t>3일 동안 무료로 이용하세요</t>
  </si>
  <si>
    <t>ຮັບ 3 ມື້ຟຣີ</t>
  </si>
  <si>
    <t>Saņemiet 3 dienas bez maksas</t>
  </si>
  <si>
    <t>Dapatkan 3 hari secara percuma</t>
  </si>
  <si>
    <t>Ontvang 3 dagen gratis</t>
  </si>
  <si>
    <t>Uzyskaj 3 dni za darmo</t>
  </si>
  <si>
    <t>Ganhe 3 dias grátis</t>
  </si>
  <si>
    <t>Получите 3 дня бесплатно</t>
  </si>
  <si>
    <t>รับฟรี 3 วัน</t>
  </si>
  <si>
    <t>3 gün ücretsiz kazanın</t>
  </si>
  <si>
    <t>Отримайте 3 дні безкоштовно</t>
  </si>
  <si>
    <t>免费获得 3 天</t>
  </si>
  <si>
    <t>Nhận 3 ngày miễn phí</t>
  </si>
  <si>
    <t>weekly_premium</t>
  </si>
  <si>
    <t>Weekly</t>
  </si>
  <si>
    <t>أسبوعي</t>
  </si>
  <si>
    <t>Týdně</t>
  </si>
  <si>
    <t>Wöchentlich</t>
  </si>
  <si>
    <t>Εβδομαδιαίος</t>
  </si>
  <si>
    <t>Semanalmente</t>
  </si>
  <si>
    <t>Iganädalane</t>
  </si>
  <si>
    <t>Viikoittain</t>
  </si>
  <si>
    <t>Hebdomadaire</t>
  </si>
  <si>
    <t>साप्ताहिक</t>
  </si>
  <si>
    <t>Mingguan</t>
  </si>
  <si>
    <t>settimanalmente</t>
  </si>
  <si>
    <t>毎週</t>
  </si>
  <si>
    <t>ប្រចាំសប្តាហ៍</t>
  </si>
  <si>
    <t>ಸಾಪ್ತಾಹಿಕ</t>
  </si>
  <si>
    <t>주간</t>
  </si>
  <si>
    <t>ອາທິດ</t>
  </si>
  <si>
    <t>Iknedēļas</t>
  </si>
  <si>
    <t>Setiap minggu</t>
  </si>
  <si>
    <t>Wekelijks</t>
  </si>
  <si>
    <t>Co tydzień</t>
  </si>
  <si>
    <t>Еженедельно</t>
  </si>
  <si>
    <t>รายสัปดาห์</t>
  </si>
  <si>
    <t>Haftalık</t>
  </si>
  <si>
    <t>Щотижня</t>
  </si>
  <si>
    <t>每周</t>
  </si>
  <si>
    <t>hàng tuần</t>
  </si>
  <si>
    <t>monthly_premium</t>
  </si>
  <si>
    <t>Monthly</t>
  </si>
  <si>
    <t>شهريا</t>
  </si>
  <si>
    <t>Měsíční</t>
  </si>
  <si>
    <t>Monatlich</t>
  </si>
  <si>
    <t>Μηνιαίο</t>
  </si>
  <si>
    <t>Mensual</t>
  </si>
  <si>
    <t>Igakuine</t>
  </si>
  <si>
    <t>Kuukausittain</t>
  </si>
  <si>
    <t>Mensuel</t>
  </si>
  <si>
    <t>महीने के</t>
  </si>
  <si>
    <t>Bulanan</t>
  </si>
  <si>
    <t>Mensile</t>
  </si>
  <si>
    <t>毎月</t>
  </si>
  <si>
    <t>ប្រចាំខែ</t>
  </si>
  <si>
    <t>ಮಾಸಿಕ</t>
  </si>
  <si>
    <t>월간 간행물</t>
  </si>
  <si>
    <t>ປະຈໍາເດືອນ</t>
  </si>
  <si>
    <t>Ikmēneša</t>
  </si>
  <si>
    <t>Maandelijks</t>
  </si>
  <si>
    <t>Miesięczny</t>
  </si>
  <si>
    <t>Por mês</t>
  </si>
  <si>
    <t>Ежемесячно</t>
  </si>
  <si>
    <t>รายเดือน</t>
  </si>
  <si>
    <t>Aylık</t>
  </si>
  <si>
    <t>Щомісяця</t>
  </si>
  <si>
    <t>每月</t>
  </si>
  <si>
    <t>hàng tháng</t>
  </si>
  <si>
    <t>yearly_premium</t>
  </si>
  <si>
    <t>Yearly</t>
  </si>
  <si>
    <t>سنوي</t>
  </si>
  <si>
    <t>Roční</t>
  </si>
  <si>
    <t>Jährlich</t>
  </si>
  <si>
    <t>Ετήσια</t>
  </si>
  <si>
    <t>Anual</t>
  </si>
  <si>
    <t>Aastane</t>
  </si>
  <si>
    <t>Vuosittain</t>
  </si>
  <si>
    <t>Annuel</t>
  </si>
  <si>
    <t>सालाना</t>
  </si>
  <si>
    <t>Tahunan</t>
  </si>
  <si>
    <t>Annuale</t>
  </si>
  <si>
    <t>毎年</t>
  </si>
  <si>
    <t>ប្រចាំឆ្នាំ</t>
  </si>
  <si>
    <t>ವಾರ್ಷಿಕ</t>
  </si>
  <si>
    <t>매년</t>
  </si>
  <si>
    <t>ປະຈຳປີ</t>
  </si>
  <si>
    <t>Ik gadu</t>
  </si>
  <si>
    <t>setiap tahun</t>
  </si>
  <si>
    <t>Jaarlijks</t>
  </si>
  <si>
    <t>Rocznie</t>
  </si>
  <si>
    <t>Ежегодно</t>
  </si>
  <si>
    <t>เป็นประจำทุกปี</t>
  </si>
  <si>
    <t>Yıllık</t>
  </si>
  <si>
    <t>Щорічно</t>
  </si>
  <si>
    <t>每年</t>
  </si>
  <si>
    <t>Hàng năm</t>
  </si>
  <si>
    <t>weekly_premium_sale_off</t>
  </si>
  <si>
    <t>Sale 50% off</t>
  </si>
  <si>
    <t>بيع خصم 50%</t>
  </si>
  <si>
    <t>Výprodej s 50% slevou</t>
  </si>
  <si>
    <t>Ausverkauf 50 % Rabatt</t>
  </si>
  <si>
    <t>Έκπτωση 50% έκπτωση</t>
  </si>
  <si>
    <t>Venta 50% de descuento</t>
  </si>
  <si>
    <t>Müük 50% soodsamalt</t>
  </si>
  <si>
    <t>Myynti 50% alennus</t>
  </si>
  <si>
    <t>Vente 50% de réduction</t>
  </si>
  <si>
    <t>बिक्री पर 50% की छूट</t>
  </si>
  <si>
    <t>Dijual diskon 50%.</t>
  </si>
  <si>
    <t>Saldi scontati del 50%.</t>
  </si>
  <si>
    <t>セール 50% オフ</t>
  </si>
  <si>
    <t>លក់បញ្ចុះតម្លៃ 50%</t>
  </si>
  <si>
    <t>50% ರಿಯಾಯಿತಿ ಮಾರಾಟ</t>
  </si>
  <si>
    <t>판매 50% 할인</t>
  </si>
  <si>
    <t>ຂາຍຫຼຸດ 50%.</t>
  </si>
  <si>
    <t>Izpārdošana ar 50% atlaidi</t>
  </si>
  <si>
    <t>Jualan 50% diskaun</t>
  </si>
  <si>
    <t>Uitverkoop 50% korting</t>
  </si>
  <si>
    <t>Wyprzedaż 50% taniej</t>
  </si>
  <si>
    <t>Venda com 50% de desconto</t>
  </si>
  <si>
    <t>Распродажа со скидкой 50%</t>
  </si>
  <si>
    <t>ลดราคา 50%</t>
  </si>
  <si>
    <t>Satış %50 indirim</t>
  </si>
  <si>
    <t>Знижка 50%.</t>
  </si>
  <si>
    <t>促销 50% 折扣</t>
  </si>
  <si>
    <t>Giảm giá 50%</t>
  </si>
  <si>
    <t>If you enjoy using Feet Frenzy, would you give us a 5 stars rating in the App Store? It will only take a moment. Thanks for your support!</t>
  </si>
  <si>
    <t>إذا كنت تستمتع باستخدام Feet Frenzy، فهل ستمنحنا تقييمًا بـ 5 نجوم في متجر التطبيقات؟ سوف يستغرق الأمر لحظة واحدة فقط. شكرا لدعمك!</t>
  </si>
  <si>
    <t>Pokud rádi používáte Feet Frenzy, ohodnotili byste nás 5 hvězdičkami v App Store? Bude to trvat jen chvilku. Děkuji za vaši podporu!</t>
  </si>
  <si>
    <t>Wenn Sie Feet Frenzy gerne nutzen, würden Sie uns im App Store eine 5-Sterne-Bewertung geben? Es wird nur einen Moment dauern. Danke für deine Unterstützung!</t>
  </si>
  <si>
    <t>Εάν σας αρέσει να χρησιμοποιείτε το Feet Frenzy, θα μας δίνατε μια βαθμολογία 5 αστέρων στο App Store; Θα πάρει μόνο μια στιγμή. Ευχαριστώ για την υποστήριξη!</t>
  </si>
  <si>
    <t>Si te gusta usar Feet Frenzy, ¿nos darías una calificación de 5 estrellas en la App Store? Solo tomará un momento. ¡Gracias por su apoyo!</t>
  </si>
  <si>
    <t>Kui teile meeldib Feet Frenzy kasutamine, kas annaksite meile App Store'is 5 tärni hinnangu? See võtab vaid hetke. Tänan toetuse eest!</t>
  </si>
  <si>
    <t>Jos pidät Feet Frenzyn käyttämisestä, antaisitko meille App Storessa 5 tähteä? Se kestää vain hetken. Kiitos tuestasi!</t>
  </si>
  <si>
    <t>Si vous aimez utiliser Feet Frenzy, nous donneriez-vous une note de 5 étoiles dans l’App Store ? Cela ne prendra qu'un instant. Merci pour votre aide!</t>
  </si>
  <si>
    <t>यदि आप फ़ीट फ़्रेंज़ी का उपयोग करना पसंद करते हैं, तो क्या आप हमें ऐप स्टोर में 5 स्टार रेटिंग देंगे? इसमें मात्र एक क्षण लगेगा। आपके समर्थन के लिए धन्यवाद!</t>
  </si>
  <si>
    <t>Jika Anda senang menggunakan Feet Frenzy, maukah Anda memberi kami peringkat 5 bintang di App Store? Ini hanya akan memakan waktu beberapa saat. Terima kasih atas dukunganmu!</t>
  </si>
  <si>
    <t>Se ti piace usare Foot Frenzy, ci daresti una valutazione di 5 stelle nell'App Store? Ci vorrà solo un momento. Grazie per il vostro sostegno!</t>
  </si>
  <si>
    <t>Feet Frenzy の使用を気に入っていただけましたら、App Store で 5 つ星の評価をいただけませんか?ほんの少し時間がかかります。ご協力ありがとうございました！</t>
  </si>
  <si>
    <t>ប្រសិនបើអ្នកចូលចិត្តប្រើ Feet Frenzy តើអ្នកនឹងផ្តល់ឱ្យយើងនូវចំណាត់ថ្នាក់ផ្កាយ 5 នៅក្នុង App Store ទេ? វានឹងចំណាយពេលតែបន្តិចប៉ុណ្ណោះ។ សូម​អរគុណ​សម្រាប់​ការ​គាំទ្រ​របស់​អ្នក!</t>
  </si>
  <si>
    <t>ನೀವು Feet Frenzy ಅನ್ನು ಬಳಸುವುದನ್ನು ಆನಂದಿಸುತ್ತಿದ್ದರೆ, ನೀವು ಆಪ್ ಸ್ಟೋರ್‌ನಲ್ಲಿ ನಮಗೆ 5 ನಕ್ಷತ್ರಗಳ ರೇಟಿಂಗ್ ನೀಡುತ್ತೀರಾ? ಇದು ಕೇವಲ ಒಂದು ಕ್ಷಣ ತೆಗೆದುಕೊಳ್ಳುತ್ತದೆ. ನಿಮ್ಮ ಬೆಂಬಲಕ್ಕಾಗಿ ಧನ್ಯವಾದಗಳು!</t>
  </si>
  <si>
    <t>Feet Frenzy를 즐겨 사용하신다면 App Store에서 별 5개 평점을 주실 수 있나요? 잠시만 시간이 걸립니다. 귀하의 지원에 감사드립니다!</t>
  </si>
  <si>
    <t>ຖ້າທ່ານມັກໃຊ້ Feet Frenzy, ທ່ານຈະໃຫ້ຄະແນນ 5 ດາວແກ່ພວກເຮົາໃນ App Store ບໍ? ມັນຈະໃຊ້ເວລາເລັກນ້ອຍເທົ່ານັ້ນ. ຂອບໃຈສໍາລັບການສະຫນັບສະຫນູນຂອງທ່ານ!</t>
  </si>
  <si>
    <t>Ja jums patīk lietot Feet Frenzy, vai jūs App Store mums piešķirtu 5 zvaigžņu vērtējumu? Tas prasīs tikai brīdi. Paldies par atbalstu!</t>
  </si>
  <si>
    <t>Jika anda gemar menggunakan Feet Frenzy, adakah anda akan memberi kami penarafan 5 bintang di App Store? Ia hanya akan mengambil masa seketika. Terima kasih atas sokongan anda!</t>
  </si>
  <si>
    <t>Als je Feet Frenzy graag gebruikt, zou je ons dan een beoordeling van 5 sterren geven in de App Store? Het duurt maar even. Bedankt voor uw steun!</t>
  </si>
  <si>
    <t>Jeśli lubisz korzystać z Feet Frenzy, czy przyznałbyś nam 5 gwiazdek w App Store? To zajmie tylko chwilę. Dziękuję za wsparcie!</t>
  </si>
  <si>
    <t>Se você gosta de usar o Feet Frenzy, você nos daria uma classificação de 5 estrelas na App Store? Levará apenas um momento. Obrigado por seu apoio!</t>
  </si>
  <si>
    <t>Если вам нравится Feet Frenzy, не могли бы вы дать нам оценку 5 звезд в App Store? Это займет всего мгновение. Спасибо за вашу поддержку!</t>
  </si>
  <si>
    <t>หากคุณสนุกกับการใช้ Feet Frenzy คุณจะให้คะแนนเรา 5 ดาวใน App Store หรือไม่ จะใช้เวลาสักครู่เท่านั้น ขอบคุณสำหรับการสนับสนุน!</t>
  </si>
  <si>
    <t>Feet Frenzy'yi kullanmaktan hoşlanıyorsanız App Store'da bize 5 yıldız verir misiniz? Sadece bir dakikanızı alacak. Desteğin için teşekkürler!</t>
  </si>
  <si>
    <t>Якщо вам подобається використовувати Feet Frenzy, ви б поставили нам 5 зірок у App Store? Це займе лише мить. Дякую за твою підтримку!</t>
  </si>
  <si>
    <t>如果您喜欢使用 Feet Frenzy，您愿意在 App Store 中给我们 5 星评级吗？只需要一会儿。感谢您的支持！</t>
  </si>
  <si>
    <t>Nếu bạn thích sử dụng Feet Frenzy, bạn có xếp hạng 5 sao cho chúng tôi trong App Store không? Nó chỉ tốn một chút thời gian. Cảm ơn sự hỗ trợ của bạn!</t>
  </si>
  <si>
    <t>Rate Feet Frenzy</t>
  </si>
  <si>
    <t>معدل قدم الهيجان</t>
  </si>
  <si>
    <t>Bewerte Feet Frenzy</t>
  </si>
  <si>
    <t>Βαθμολογήστε το Feet Frenzy</t>
  </si>
  <si>
    <t>Califica el frenesí de los pies</t>
  </si>
  <si>
    <t>Évaluez la frénésie des pieds</t>
  </si>
  <si>
    <t>दर पैर उन्माद</t>
  </si>
  <si>
    <t>Nilai Kegilaan Kaki</t>
  </si>
  <si>
    <t>Vota la frenesia dei piedi</t>
  </si>
  <si>
    <t>レートフィートフレンジー</t>
  </si>
  <si>
    <t>វាយ​តម្លៃ Frenzy ជើង</t>
  </si>
  <si>
    <t>ರೇಟ್ ಫೀಟ್ ಫ್ರೆಂಜಿ</t>
  </si>
  <si>
    <t>피트 프렌지 평가</t>
  </si>
  <si>
    <t>ອັດຕາ Frenzy ຕີນ</t>
  </si>
  <si>
    <t>Novērtējiet Feet Frenzy</t>
  </si>
  <si>
    <t>Kadar Kegilaan Kaki</t>
  </si>
  <si>
    <t>Beoordeel Voeten Frenzy</t>
  </si>
  <si>
    <t>Oceń Feet Frenzy</t>
  </si>
  <si>
    <t>Avalie Pés Frenesi</t>
  </si>
  <si>
    <t>Оцените безумие ног</t>
  </si>
  <si>
    <t>อัตรา Frenzy เท้า</t>
  </si>
  <si>
    <t>Hız Ayak Çılgınlığı</t>
  </si>
  <si>
    <t>Оцініть Feet Frenzy</t>
  </si>
  <si>
    <t>费率脚疯狂</t>
  </si>
  <si>
    <t>Đánh Giá Chân Điên Cuồng</t>
  </si>
  <si>
    <t>welcomeFeetFrenzy</t>
  </si>
  <si>
    <t>welcomeFeetFrenzy_description</t>
  </si>
  <si>
    <t>Share your best photos with confidence</t>
  </si>
  <si>
    <t>شارك أفضل صورك بكل ثقة</t>
  </si>
  <si>
    <t>Sdílejte své nejlepší fotografie s důvěrou</t>
  </si>
  <si>
    <t>Teilen Sie Ihre besten Fotos mit Zuversicht</t>
  </si>
  <si>
    <t>Μοιραστείτε τις καλύτερες φωτογραφίες σας με αυτοπεποίθηση</t>
  </si>
  <si>
    <t>Comparte tus mejores fotos con confianza</t>
  </si>
  <si>
    <t>Jagage oma parimaid fotosid enesekindlalt</t>
  </si>
  <si>
    <t>Jaa parhaat kuvasi luottavaisin mielin</t>
  </si>
  <si>
    <t>Partagez vos plus belles photos en toute confiance</t>
  </si>
  <si>
    <t>आत्मविश्वास के साथ अपनी सर्वश्रेष्ठ तस्वीरें साझा करें</t>
  </si>
  <si>
    <t>Bagikan foto terbaik Anda dengan percaya diri</t>
  </si>
  <si>
    <t>Condividi le tue foto migliori con sicurezza</t>
  </si>
  <si>
    <t>最高の写真を自信を持って共有しましょう</t>
  </si>
  <si>
    <t>ចែករំលែករូបថតដ៏ល្អបំផុតរបស់អ្នកដោយភាពជឿជាក់</t>
  </si>
  <si>
    <t>ನಿಮ್ಮ ಉತ್ತಮ ಫೋಟೋಗಳನ್ನು ವಿಶ್ವಾಸದಿಂದ ಹಂಚಿಕೊಳ್ಳಿ</t>
  </si>
  <si>
    <t>자신있게 최고의 사진을 공유하세요</t>
  </si>
  <si>
    <t>ແບ່ງປັນຮູບພາບທີ່ດີທີ່ສຸດຂອງທ່ານດ້ວຍຄວາມໝັ້ນໃຈ</t>
  </si>
  <si>
    <t>Kopīgojiet savus labākos fotoattēlus ar pārliecību</t>
  </si>
  <si>
    <t>Kongsi foto terbaik anda dengan yakin</t>
  </si>
  <si>
    <t>Deel uw beste foto's met vertrouwen</t>
  </si>
  <si>
    <t>Dziel się swoimi najlepszymi zdjęciami bez obaw</t>
  </si>
  <si>
    <t>Compartilhe suas melhores fotos com confiança</t>
  </si>
  <si>
    <t>Делитесь своими лучшими фотографиями с уверенностью</t>
  </si>
  <si>
    <t>แบ่งปันภาพถ่ายที่ดีที่สุดของคุณด้วยความมั่นใจ</t>
  </si>
  <si>
    <t>En iyi fotoğraflarınızı güvenle paylaşın</t>
  </si>
  <si>
    <t>Поділіться своїми найкращими фотографіями з упевненістю</t>
  </si>
  <si>
    <t>自信地分享您最好的照片</t>
  </si>
  <si>
    <t>Tự tin chia sẻ những bức ảnh đẹp nhất của bạn</t>
  </si>
  <si>
    <t>create_account_notice</t>
  </si>
  <si>
    <t>By tapping __ Signin ___, you agree with our Terms. Learn how we process your data in our</t>
  </si>
  <si>
    <t>بالضغط على __ تسجيل الدخول ___، فإنك توافق على شروطنا. تعرف على كيفية معالجة بياناتك في موقعنا</t>
  </si>
  <si>
    <t>Klepnutím na __ Přihlásit se ___ souhlasíte s našimi Podmínkami. Přečtěte si, jak zpracováváme vaše údaje v našem</t>
  </si>
  <si>
    <t>Indem Sie auf __ Signin ___ tippen, stimmen Sie unseren Bedingungen zu. Erfahren Sie in unserem, wie wir Ihre Daten verarbeiten</t>
  </si>
  <si>
    <t>Πατώντας __ Είσοδος ___, συμφωνείτε με τους Όρους μας. Μάθετε πώς επεξεργαζόμαστε τα δεδομένα σας στο δικό μας</t>
  </si>
  <si>
    <t>Al tocar __ Iniciar sesión ___, acepta nuestros Términos. Conozca cómo procesamos sus datos en nuestro</t>
  </si>
  <si>
    <t>Puudutades __ Logi sisse ___, nõustute meie tingimustega. Lugege, kuidas me teie andmeid meie lehel töötleme</t>
  </si>
  <si>
    <t>Napauttamalla __ Kirjaudu ___ hyväksyt ehdot. Opi kuinka käsittelemme tietojasi</t>
  </si>
  <si>
    <t>En appuyant sur __ Connexion ___, vous acceptez nos Conditions. Découvrez comment nous traitons vos données dans notre</t>
  </si>
  <si>
    <t>__साइनइन___ टैप करके, आप हमारी शर्तों से सहमत हैं। जानें कि हम आपके डेटा को कैसे संसाधित करते हैं</t>
  </si>
  <si>
    <t>Dengan mengetuk __ Masuk ___, Anda menyetujui Ketentuan kami. Pelajari bagaimana kami memproses data Anda di kami</t>
  </si>
  <si>
    <t>Toccando __ Accedi ___, accetti i nostri Termini. Scopri come trattiamo i tuoi dati nel ns</t>
  </si>
  <si>
    <t>「__ サインイン ___」をタップすると、利用規約に同意したことになります。当社がお客様のデータをどのように処理するかについては、</t>
  </si>
  <si>
    <t>ដោយចុច __ ចូល ___ អ្នកយល់ព្រមជាមួយលក្ខខណ្ឌរបស់យើង។ ស្វែងយល់ពីរបៀបដែលយើងដំណើរការទិន្នន័យរបស់អ្នកនៅក្នុងរបស់យើង។</t>
  </si>
  <si>
    <t>__ ಸೈನ್ ಇನ್ ___ ಅನ್ನು ಟ್ಯಾಪ್ ಮಾಡುವ ಮೂಲಕ, ನೀವು ನಮ್ಮ ನಿಯಮಗಳನ್ನು ಒಪ್ಪುತ್ತೀರಿ. ನಮ್ಮಲ್ಲಿ ನಿಮ್ಮ ಡೇಟಾವನ್ನು ನಾವು ಹೇಗೆ ಪ್ರಕ್ರಿಯೆಗೊಳಿಸುತ್ತೇವೆ ಎಂಬುದನ್ನು ತಿಳಿಯಿರಿ</t>
  </si>
  <si>
    <t>__ 로그인 ___을 탭하면 약관에 동의하게 됩니다. 당사가 귀하의 데이터를 처리하는 방법을 알아보세요.</t>
  </si>
  <si>
    <t>ໂດຍການແຕະທີ່ __ ເຂົ້າສູ່ລະບົບ ___, ທ່ານເຫັນດີກັບເງື່ອນໄຂຂອງພວກເຮົາ. ຮຽນຮູ້ວິທີທີ່ພວກເຮົາປະມວນຜົນຂໍ້ມູນຂອງທ່ານໃນຂອງພວກເຮົາ</t>
  </si>
  <si>
    <t>Pieskaroties __ Pierakstīties ___, jūs piekrītat mūsu noteikumiem. Uzziniet, kā mēs apstrādājam jūsu datus mūsu</t>
  </si>
  <si>
    <t>Dengan mengetik __ Log Masuk ___, anda bersetuju dengan Syarat kami. Ketahui cara kami memproses data anda dalam kami</t>
  </si>
  <si>
    <t>Door op __ Aanmelden ___ te tikken, gaat u akkoord met onze Voorwaarden. Lees hoe wij uw gegevens verwerken in onze</t>
  </si>
  <si>
    <t>Klikając __ Zaloguj się ___, zgadzasz się z naszymi Warunkami. Dowiedz się jak przetwarzamy Twoje dane w naszym</t>
  </si>
  <si>
    <t>Ao tocar em __ Entrar ___, você concorda com nossos Termos. Saiba como processamos seus dados em nosso</t>
  </si>
  <si>
    <t>Нажимая __ Войти ___, вы соглашаетесь с нашими Условиями. Узнайте, как мы обрабатываем ваши данные в нашем</t>
  </si>
  <si>
    <t>การแตะ __ ลงชื่อเข้าใช้ ___ แสดงว่าคุณยอมรับข้อกำหนดของเรา เรียนรู้ว่าเราประมวลผลข้อมูลของคุณอย่างไรในของเรา</t>
  </si>
  <si>
    <t>__ Oturum Aç ____ seçeneğine dokunarak Şartlarımızı kabul etmiş olursunuz. Verilerinizi nasıl işlediğimizi öğrenin</t>
  </si>
  <si>
    <t>Натискаючи __ Увійти ___, ви погоджуєтеся з нашими Умовами. Дізнайтеся, як ми обробляємо ваші дані в нашому</t>
  </si>
  <si>
    <t>点击 __ 登录 ___，即表示您同意我们的条款。了解我们如何处理您的数据</t>
  </si>
  <si>
    <t>Bằng cách nhấn vào __ Đăng nhập ___, bạn đồng ý với Điều khoản của chúng tôi. Tìm hiểu cách chúng tôi xử lý dữ liệu của bạn trong</t>
  </si>
  <si>
    <t>and</t>
  </si>
  <si>
    <t>And</t>
  </si>
  <si>
    <t>و</t>
  </si>
  <si>
    <t>Und</t>
  </si>
  <si>
    <t>Και</t>
  </si>
  <si>
    <t>Y</t>
  </si>
  <si>
    <t>Ja</t>
  </si>
  <si>
    <t>Et</t>
  </si>
  <si>
    <t>और</t>
  </si>
  <si>
    <t>Dan</t>
  </si>
  <si>
    <t>E</t>
  </si>
  <si>
    <t>そして</t>
  </si>
  <si>
    <t>និង</t>
  </si>
  <si>
    <t>ಮತ್ತು</t>
  </si>
  <si>
    <t>그리고</t>
  </si>
  <si>
    <t>ແລະ</t>
  </si>
  <si>
    <t>Un</t>
  </si>
  <si>
    <t>En</t>
  </si>
  <si>
    <t>I</t>
  </si>
  <si>
    <t>И</t>
  </si>
  <si>
    <t>และ</t>
  </si>
  <si>
    <t>Ve</t>
  </si>
  <si>
    <t>І</t>
  </si>
  <si>
    <t>和</t>
  </si>
  <si>
    <t>Và</t>
  </si>
  <si>
    <t>Portuguese (pt)</t>
  </si>
  <si>
    <t>Chinese (zh)</t>
  </si>
  <si>
    <t>language</t>
  </si>
  <si>
    <t>Idiomas</t>
  </si>
  <si>
    <t>ភាសា</t>
  </si>
  <si>
    <t>ಭಾಷೆಗಳು</t>
  </si>
  <si>
    <t>app_name</t>
  </si>
  <si>
    <t>Edge Lighting</t>
  </si>
  <si>
    <t>إضاءة الحافة</t>
  </si>
  <si>
    <t>Osvětlení okraje</t>
  </si>
  <si>
    <t>Kantenbeleuchtung</t>
  </si>
  <si>
    <t>Φωτισμός άκρων</t>
  </si>
  <si>
    <t>Iluminación de borde</t>
  </si>
  <si>
    <t>Äärevalgustus</t>
  </si>
  <si>
    <t>Reunan valaistus</t>
  </si>
  <si>
    <t>Éclairage de bord</t>
  </si>
  <si>
    <t>किनारे की रोशनी</t>
  </si>
  <si>
    <t>Pencahayaan Tepi</t>
  </si>
  <si>
    <t>Illuminazione dei bordi</t>
  </si>
  <si>
    <t>エッジライティング</t>
  </si>
  <si>
    <t>ភ្លើងបំភ្លឺគែម</t>
  </si>
  <si>
    <t>ಎಡ್ಜ್ ಲೈಟಿಂಗ್</t>
  </si>
  <si>
    <t>엣지 라이팅</t>
  </si>
  <si>
    <t>ແສງຂອບ</t>
  </si>
  <si>
    <t>Malu apgaismojums</t>
  </si>
  <si>
    <t>Randverlichting</t>
  </si>
  <si>
    <t>Oświetlenie krawędziowe</t>
  </si>
  <si>
    <t>Iluminação de borda</t>
  </si>
  <si>
    <t>Краевое освещение</t>
  </si>
  <si>
    <t>แสงสว่างขอบ</t>
  </si>
  <si>
    <t>Kenar Aydınlatması</t>
  </si>
  <si>
    <t>Крайове освітлення</t>
  </si>
  <si>
    <t>边缘照明</t>
  </si>
  <si>
    <t>Chiếu sáng cạnh</t>
  </si>
  <si>
    <t>skip</t>
  </si>
  <si>
    <t>Skip</t>
  </si>
  <si>
    <t>يتخطى</t>
  </si>
  <si>
    <t>Přeskočit</t>
  </si>
  <si>
    <t>Überspringen</t>
  </si>
  <si>
    <t>Παραλείπω</t>
  </si>
  <si>
    <t>Saltar</t>
  </si>
  <si>
    <t>Vahele jätma</t>
  </si>
  <si>
    <t>Hypätä</t>
  </si>
  <si>
    <t>Sauter</t>
  </si>
  <si>
    <t>छोडना</t>
  </si>
  <si>
    <t>Melewati</t>
  </si>
  <si>
    <t>Saltare</t>
  </si>
  <si>
    <t>スキップ</t>
  </si>
  <si>
    <t>លោតផ្លោហ</t>
  </si>
  <si>
    <t>ಬಿಟ್ಟುಬಿಡು</t>
  </si>
  <si>
    <t>건너뛰다</t>
  </si>
  <si>
    <t>ຂ້າມໄປ</t>
  </si>
  <si>
    <t>Izlaist</t>
  </si>
  <si>
    <t>Langkau</t>
  </si>
  <si>
    <t>Overslaan</t>
  </si>
  <si>
    <t>Pominąć</t>
  </si>
  <si>
    <t>Pular</t>
  </si>
  <si>
    <t>Пропускать</t>
  </si>
  <si>
    <t>ข้าม</t>
  </si>
  <si>
    <t>Atlamak</t>
  </si>
  <si>
    <t>Пропустити</t>
  </si>
  <si>
    <t>跳过</t>
  </si>
  <si>
    <t>Bỏ qua</t>
  </si>
  <si>
    <t>next</t>
  </si>
  <si>
    <t>Next</t>
  </si>
  <si>
    <t>التالي</t>
  </si>
  <si>
    <t>další</t>
  </si>
  <si>
    <t>Nächste</t>
  </si>
  <si>
    <t>Επόμενο</t>
  </si>
  <si>
    <t>Próximo</t>
  </si>
  <si>
    <t>Järgmine</t>
  </si>
  <si>
    <t>Seuraava</t>
  </si>
  <si>
    <t>Suivant</t>
  </si>
  <si>
    <t>अगला</t>
  </si>
  <si>
    <t>Berikutnya</t>
  </si>
  <si>
    <t>Prossimo</t>
  </si>
  <si>
    <t>次</t>
  </si>
  <si>
    <t>បន្ទាប់បិនេហ</t>
  </si>
  <si>
    <t>ಮುಂದಿನ</t>
  </si>
  <si>
    <t>다음</t>
  </si>
  <si>
    <t>ຕໍ່ໄປ</t>
  </si>
  <si>
    <t>Nākamais</t>
  </si>
  <si>
    <t>Seterusnya</t>
  </si>
  <si>
    <t>Volgende</t>
  </si>
  <si>
    <t>Następny</t>
  </si>
  <si>
    <t>Следующий</t>
  </si>
  <si>
    <t>ต่อไป</t>
  </si>
  <si>
    <t>Sonraki</t>
  </si>
  <si>
    <t>Наступний</t>
  </si>
  <si>
    <t>下一个</t>
  </si>
  <si>
    <t>Tiếp theo</t>
  </si>
  <si>
    <t>get_started</t>
  </si>
  <si>
    <t>Get Started</t>
  </si>
  <si>
    <t>البدء</t>
  </si>
  <si>
    <t>Začít</t>
  </si>
  <si>
    <t>Loslegen</t>
  </si>
  <si>
    <t>Ξεκίνα</t>
  </si>
  <si>
    <t>Empezar</t>
  </si>
  <si>
    <t>Alustama</t>
  </si>
  <si>
    <t>Aloittaa</t>
  </si>
  <si>
    <t>Commencer</t>
  </si>
  <si>
    <t>शुरू हो जाओ</t>
  </si>
  <si>
    <t>Memulai</t>
  </si>
  <si>
    <t>Iniziare</t>
  </si>
  <si>
    <t>始めましょう</t>
  </si>
  <si>
    <t>ចាប់ផ្តើម</t>
  </si>
  <si>
    <t>ಪ್ರಾರಂಭಿಸಿ</t>
  </si>
  <si>
    <t>시작하다</t>
  </si>
  <si>
    <t>ເລີ່ມ​ຕົ້ນ</t>
  </si>
  <si>
    <t>Sāc</t>
  </si>
  <si>
    <t>Bermula</t>
  </si>
  <si>
    <t>Begin</t>
  </si>
  <si>
    <t>Zaczynaj</t>
  </si>
  <si>
    <t>Iniciar</t>
  </si>
  <si>
    <t>Начать</t>
  </si>
  <si>
    <t>เริ่ม</t>
  </si>
  <si>
    <t>Başlamak</t>
  </si>
  <si>
    <t>Почати</t>
  </si>
  <si>
    <t>开始</t>
  </si>
  <si>
    <t>Bắt đầu</t>
  </si>
  <si>
    <t>rate</t>
  </si>
  <si>
    <t>Rate</t>
  </si>
  <si>
    <t>Hodnotit</t>
  </si>
  <si>
    <t>Τιμή</t>
  </si>
  <si>
    <t>Tasa</t>
  </si>
  <si>
    <t>Tariif</t>
  </si>
  <si>
    <t>Aste</t>
  </si>
  <si>
    <t>Taux</t>
  </si>
  <si>
    <t>दर</t>
  </si>
  <si>
    <t>Kecepatan</t>
  </si>
  <si>
    <t>Valutare</t>
  </si>
  <si>
    <t>レート</t>
  </si>
  <si>
    <t>អរតា</t>
  </si>
  <si>
    <t>ದರ</t>
  </si>
  <si>
    <t>비율</t>
  </si>
  <si>
    <t>ອັດຕາ</t>
  </si>
  <si>
    <t>Ātrums</t>
  </si>
  <si>
    <t>Kadar</t>
  </si>
  <si>
    <t>Tarief</t>
  </si>
  <si>
    <t>Wskaźnik</t>
  </si>
  <si>
    <t>Avaliar</t>
  </si>
  <si>
    <t>Ставка</t>
  </si>
  <si>
    <t>ประเมิน</t>
  </si>
  <si>
    <t>Oran</t>
  </si>
  <si>
    <t>Оцінювати</t>
  </si>
  <si>
    <t>速度</t>
  </si>
  <si>
    <t>Đánh giá</t>
  </si>
  <si>
    <t>my_wallpaper_description</t>
  </si>
  <si>
    <t>permission</t>
  </si>
  <si>
    <t>Permission</t>
  </si>
  <si>
    <t>إذن</t>
  </si>
  <si>
    <t>Povolení</t>
  </si>
  <si>
    <t>Erlaubnis</t>
  </si>
  <si>
    <t>Αδεια</t>
  </si>
  <si>
    <t>Permiso</t>
  </si>
  <si>
    <t>Luba</t>
  </si>
  <si>
    <t>Lupa</t>
  </si>
  <si>
    <t>Autorisation</t>
  </si>
  <si>
    <t>अनुमति</t>
  </si>
  <si>
    <t>Izin</t>
  </si>
  <si>
    <t>Autorizzazione</t>
  </si>
  <si>
    <t>許可</t>
  </si>
  <si>
    <t>សេចក្ដីអនុហ្ញាត</t>
  </si>
  <si>
    <t>ಅನುಮತಿ</t>
  </si>
  <si>
    <t>허가</t>
  </si>
  <si>
    <t>ອະນຸຍາດແຈ້ງການ</t>
  </si>
  <si>
    <t>Atļauja</t>
  </si>
  <si>
    <t>Kebenaran</t>
  </si>
  <si>
    <t>Toestemming</t>
  </si>
  <si>
    <t>Pozwolenie</t>
  </si>
  <si>
    <t>Permissão</t>
  </si>
  <si>
    <t>Разрешение</t>
  </si>
  <si>
    <t>การอนุญาต</t>
  </si>
  <si>
    <t>İzin</t>
  </si>
  <si>
    <t>Дозвіл</t>
  </si>
  <si>
    <t>允许</t>
  </si>
  <si>
    <t>Cấp quyền</t>
  </si>
  <si>
    <t>_4_color</t>
  </si>
  <si>
    <t>4 Colors</t>
  </si>
  <si>
    <t>4 ألوان</t>
  </si>
  <si>
    <t>4 barvy</t>
  </si>
  <si>
    <t>4 Farben</t>
  </si>
  <si>
    <t>4 χρώματα</t>
  </si>
  <si>
    <t>4 colores</t>
  </si>
  <si>
    <t>4 värvi</t>
  </si>
  <si>
    <t>4 väriä</t>
  </si>
  <si>
    <t>4 couleurs</t>
  </si>
  <si>
    <t>4 रंग</t>
  </si>
  <si>
    <t>4 warna</t>
  </si>
  <si>
    <t>4 colori</t>
  </si>
  <si>
    <t>4色</t>
  </si>
  <si>
    <t>4 ពណ៌</t>
  </si>
  <si>
    <t>4 ಬಣ್ಣಗಳು</t>
  </si>
  <si>
    <t>4 색</t>
  </si>
  <si>
    <t>4 ສີ</t>
  </si>
  <si>
    <t>4 krāsas</t>
  </si>
  <si>
    <t>4 kleuren</t>
  </si>
  <si>
    <t>4 kolory</t>
  </si>
  <si>
    <t>4 cores</t>
  </si>
  <si>
    <t>4 цвета</t>
  </si>
  <si>
    <t>4 สี</t>
  </si>
  <si>
    <t>4 renk</t>
  </si>
  <si>
    <t>4 кольори</t>
  </si>
  <si>
    <t>4种颜色</t>
  </si>
  <si>
    <t>4 màu</t>
  </si>
  <si>
    <t>_3_color</t>
  </si>
  <si>
    <t>3 Colors</t>
  </si>
  <si>
    <t>3 ألوان</t>
  </si>
  <si>
    <t>3 barvy</t>
  </si>
  <si>
    <t>3 Farben</t>
  </si>
  <si>
    <t>3 χρώματα</t>
  </si>
  <si>
    <t>3 colores</t>
  </si>
  <si>
    <t>3 värvi</t>
  </si>
  <si>
    <t>3 väriä</t>
  </si>
  <si>
    <t>3 couleurs</t>
  </si>
  <si>
    <t>3 रंग</t>
  </si>
  <si>
    <t>3 warna</t>
  </si>
  <si>
    <t>3 colori</t>
  </si>
  <si>
    <t>3色</t>
  </si>
  <si>
    <t>3 ពណ៌</t>
  </si>
  <si>
    <t>3 ಬಣ್ಣಗಳು</t>
  </si>
  <si>
    <t>3 색</t>
  </si>
  <si>
    <t>3 ສີ</t>
  </si>
  <si>
    <t>3 krāsas</t>
  </si>
  <si>
    <t>3 kleuren</t>
  </si>
  <si>
    <t>3 kolory</t>
  </si>
  <si>
    <t>3 cores</t>
  </si>
  <si>
    <t>3 цвета</t>
  </si>
  <si>
    <t>3 สี</t>
  </si>
  <si>
    <t>3 renk</t>
  </si>
  <si>
    <t>3 кольори</t>
  </si>
  <si>
    <t>3种颜色</t>
  </si>
  <si>
    <t>3 màu</t>
  </si>
  <si>
    <t>_2_color</t>
  </si>
  <si>
    <t>2 Colors</t>
  </si>
  <si>
    <t>2 ألوان</t>
  </si>
  <si>
    <t>2 barvy</t>
  </si>
  <si>
    <t>2 Farben</t>
  </si>
  <si>
    <t>2 χρώματα</t>
  </si>
  <si>
    <t>2 colores</t>
  </si>
  <si>
    <t>2 värvi</t>
  </si>
  <si>
    <t>2 väriä</t>
  </si>
  <si>
    <t>2 couleurs</t>
  </si>
  <si>
    <t>2 रंग</t>
  </si>
  <si>
    <t>2 warna</t>
  </si>
  <si>
    <t>2 colori</t>
  </si>
  <si>
    <t>2色</t>
  </si>
  <si>
    <t>2 ពណ៌</t>
  </si>
  <si>
    <t>2 ಬಣ್ಣಗಳು</t>
  </si>
  <si>
    <t>2 색</t>
  </si>
  <si>
    <t>2 ສີ</t>
  </si>
  <si>
    <t>2 krāsas</t>
  </si>
  <si>
    <t>2 kleuren</t>
  </si>
  <si>
    <t>2 kolory</t>
  </si>
  <si>
    <t>2 cores</t>
  </si>
  <si>
    <t>2 цвета</t>
  </si>
  <si>
    <t>2 สี</t>
  </si>
  <si>
    <t>2 renk</t>
  </si>
  <si>
    <t>2 кольори</t>
  </si>
  <si>
    <t>2种颜色</t>
  </si>
  <si>
    <t>2 màu</t>
  </si>
  <si>
    <t>_1_color</t>
  </si>
  <si>
    <t>1 Color</t>
  </si>
  <si>
    <t>1 لون</t>
  </si>
  <si>
    <t>1 barva</t>
  </si>
  <si>
    <t>1 Farbe</t>
  </si>
  <si>
    <t>1 χρώμα</t>
  </si>
  <si>
    <t>1 color</t>
  </si>
  <si>
    <t>1 värv</t>
  </si>
  <si>
    <t>1 väri</t>
  </si>
  <si>
    <t>1 couleur</t>
  </si>
  <si>
    <t>1 रंग</t>
  </si>
  <si>
    <t>1 warna</t>
  </si>
  <si>
    <t>1 colore</t>
  </si>
  <si>
    <t>1色</t>
  </si>
  <si>
    <t>ពណ៌ 1</t>
  </si>
  <si>
    <t>1 ಬಣ್ಣ</t>
  </si>
  <si>
    <t>1 색</t>
  </si>
  <si>
    <t>1 ສີ</t>
  </si>
  <si>
    <t>1 krāsa</t>
  </si>
  <si>
    <t>1 kleur</t>
  </si>
  <si>
    <t>1 kolor</t>
  </si>
  <si>
    <t>1 cor</t>
  </si>
  <si>
    <t>1 цвет</t>
  </si>
  <si>
    <t>1 สี</t>
  </si>
  <si>
    <t>1 renk</t>
  </si>
  <si>
    <t>1 колір</t>
  </si>
  <si>
    <t>1颜色</t>
  </si>
  <si>
    <t>1 màu</t>
  </si>
  <si>
    <t>custom_color</t>
  </si>
  <si>
    <t>Custom Color</t>
  </si>
  <si>
    <t>لون مخصص</t>
  </si>
  <si>
    <t>Vlastní barva</t>
  </si>
  <si>
    <t>Freiwählbare Farbe</t>
  </si>
  <si>
    <t>Προσαρμοσμένο χρώμα</t>
  </si>
  <si>
    <t>Color personalizado</t>
  </si>
  <si>
    <t>Kohandatud värv</t>
  </si>
  <si>
    <t>Räätälöity väri</t>
  </si>
  <si>
    <t>Couleur personnalisée</t>
  </si>
  <si>
    <t>कस्टम रंग</t>
  </si>
  <si>
    <t>Warna khusus</t>
  </si>
  <si>
    <t>Colore personalizzato</t>
  </si>
  <si>
    <t>カスタムカラー</t>
  </si>
  <si>
    <t>ពណ៌ផ្ទាល់ខ្លួន</t>
  </si>
  <si>
    <t>ಕಸ್ಟಮ್ ಬಣ್ಣ</t>
  </si>
  <si>
    <t>사용자 정의 색상</t>
  </si>
  <si>
    <t>ສີຕາມໃຈມັກ</t>
  </si>
  <si>
    <t>Pielāgota krāsa</t>
  </si>
  <si>
    <t>Warna tersuai</t>
  </si>
  <si>
    <t>Aangepaste kleur</t>
  </si>
  <si>
    <t>Niestandardowy kolor</t>
  </si>
  <si>
    <t>Cor customizada</t>
  </si>
  <si>
    <t>Пользовательский цвет</t>
  </si>
  <si>
    <t>สีที่กำหนดเอง</t>
  </si>
  <si>
    <t>Özel renk</t>
  </si>
  <si>
    <t>Спеціальний колір</t>
  </si>
  <si>
    <t>自定义颜色</t>
  </si>
  <si>
    <t>Tự phối màu</t>
  </si>
  <si>
    <t>edge_colors</t>
  </si>
  <si>
    <t>Edge Colors</t>
  </si>
  <si>
    <t>ألوان الحافة</t>
  </si>
  <si>
    <t>Okrajové barvy</t>
  </si>
  <si>
    <t>Kantenfarben</t>
  </si>
  <si>
    <t>Ακραία χρώματα</t>
  </si>
  <si>
    <t>Colores de borde</t>
  </si>
  <si>
    <t>Servavärvid</t>
  </si>
  <si>
    <t>Reunavärit</t>
  </si>
  <si>
    <t>Couleurs de bord</t>
  </si>
  <si>
    <t>धार</t>
  </si>
  <si>
    <t>Warna tepi</t>
  </si>
  <si>
    <t>Colori per il bordo</t>
  </si>
  <si>
    <t>エッジカラー</t>
  </si>
  <si>
    <t>ពណ៌គែម</t>
  </si>
  <si>
    <t>ಅಂಚಿನ ಬಣ್ಣಗಳು</t>
  </si>
  <si>
    <t>가장자리 색상</t>
  </si>
  <si>
    <t>ສີແຂບ</t>
  </si>
  <si>
    <t>Malas krāsas</t>
  </si>
  <si>
    <t>Randkleuren</t>
  </si>
  <si>
    <t>Kolory krawędzi</t>
  </si>
  <si>
    <t>Cores de borda</t>
  </si>
  <si>
    <t>Края цвета</t>
  </si>
  <si>
    <t>สีขอบ</t>
  </si>
  <si>
    <t>Kenar renkleri</t>
  </si>
  <si>
    <t>Кольори краю</t>
  </si>
  <si>
    <t>边缘颜色</t>
  </si>
  <si>
    <t>Màu sắc cạnh</t>
  </si>
  <si>
    <t>border_shape</t>
  </si>
  <si>
    <t>Border Shape</t>
  </si>
  <si>
    <t>شكل الحدود</t>
  </si>
  <si>
    <t>Tvar hranic</t>
  </si>
  <si>
    <t>Grenzform</t>
  </si>
  <si>
    <t>Συνοριακός σχήμα</t>
  </si>
  <si>
    <t>Forma de borde</t>
  </si>
  <si>
    <t>Piiri kuju</t>
  </si>
  <si>
    <t>Reunusmuoto</t>
  </si>
  <si>
    <t>Forme de bordure</t>
  </si>
  <si>
    <t>सीमा आकार</t>
  </si>
  <si>
    <t>Bentuk perbatasan</t>
  </si>
  <si>
    <t>Forma del bordo</t>
  </si>
  <si>
    <t>境界線の形</t>
  </si>
  <si>
    <t>រាងព្រំដែន</t>
  </si>
  <si>
    <t>ಗಡಿರೇಖೆ</t>
  </si>
  <si>
    <t>테두리 모양</t>
  </si>
  <si>
    <t>ຮູບຮ່າງຊາຍແດນ</t>
  </si>
  <si>
    <t>Robežas forma</t>
  </si>
  <si>
    <t>Bentuk sempadan</t>
  </si>
  <si>
    <t>Randvorm</t>
  </si>
  <si>
    <t>Kształt graniczny</t>
  </si>
  <si>
    <t>Forma de borda</t>
  </si>
  <si>
    <t>Форма границы</t>
  </si>
  <si>
    <t>รูปร่างชายแดน</t>
  </si>
  <si>
    <t>Sınır şekli</t>
  </si>
  <si>
    <t>Форма кордону</t>
  </si>
  <si>
    <t>边界形状</t>
  </si>
  <si>
    <t>Hình dạng viền</t>
  </si>
  <si>
    <t>border_setting</t>
  </si>
  <si>
    <t>Border Setting</t>
  </si>
  <si>
    <t>إعداد الحدود</t>
  </si>
  <si>
    <t>Nastavení hranic</t>
  </si>
  <si>
    <t>Grenzeinstellung</t>
  </si>
  <si>
    <t>Συνοριακή ρύθμιση</t>
  </si>
  <si>
    <t>Ajuste de borde</t>
  </si>
  <si>
    <t>Piiriseade</t>
  </si>
  <si>
    <t>Raja -asetus</t>
  </si>
  <si>
    <t>Réglage de la frontière</t>
  </si>
  <si>
    <t>सीमा -निर्धारण</t>
  </si>
  <si>
    <t>Pengaturan perbatasan</t>
  </si>
  <si>
    <t>Impostazione del bordo</t>
  </si>
  <si>
    <t>国境設定</t>
  </si>
  <si>
    <t>ការកំណត់ព្រំដែន</t>
  </si>
  <si>
    <t>국경 설정</t>
  </si>
  <si>
    <t>ການຕັ້ງຄ່າຊາຍແດນ</t>
  </si>
  <si>
    <t>Robeža</t>
  </si>
  <si>
    <t>Tetapan sempadan</t>
  </si>
  <si>
    <t>Randinstelling</t>
  </si>
  <si>
    <t>Ustawienie granic</t>
  </si>
  <si>
    <t>Configuração de borda</t>
  </si>
  <si>
    <t>Пограничная обстановка</t>
  </si>
  <si>
    <t>การตั้งค่าชายแดน</t>
  </si>
  <si>
    <t>Sınır ayarı</t>
  </si>
  <si>
    <t>Обстановка кордону</t>
  </si>
  <si>
    <t>边界环境</t>
  </si>
  <si>
    <t>Cài đặt viền</t>
  </si>
  <si>
    <t>background</t>
  </si>
  <si>
    <t>Background</t>
  </si>
  <si>
    <t>خلفية</t>
  </si>
  <si>
    <t>Pozadí</t>
  </si>
  <si>
    <t>Hintergrund</t>
  </si>
  <si>
    <t>Ιστορικό</t>
  </si>
  <si>
    <t>Fondo</t>
  </si>
  <si>
    <t>Taust</t>
  </si>
  <si>
    <t>Tausta</t>
  </si>
  <si>
    <t>Arrière-plan</t>
  </si>
  <si>
    <t>पृष्ठभूमि</t>
  </si>
  <si>
    <t>Latar belakang</t>
  </si>
  <si>
    <t>Sfondo</t>
  </si>
  <si>
    <t>背景</t>
  </si>
  <si>
    <t>ផ្ទៃខាងរេកាយ</t>
  </si>
  <si>
    <t>ಹಿನ್ನೆಲೆ</t>
  </si>
  <si>
    <t>배경</t>
  </si>
  <si>
    <t>ພື້ນຫລັງ</t>
  </si>
  <si>
    <t>Izcelšanās</t>
  </si>
  <si>
    <t>Achtergrond</t>
  </si>
  <si>
    <t>Tło</t>
  </si>
  <si>
    <t>Fundo</t>
  </si>
  <si>
    <t>Фон</t>
  </si>
  <si>
    <t>พื้นหลัง</t>
  </si>
  <si>
    <t>Arka plan</t>
  </si>
  <si>
    <t>Ảnh nền</t>
  </si>
  <si>
    <t>text_intro_1</t>
  </si>
  <si>
    <t>Polish your phone screen with beadge border lighting</t>
  </si>
  <si>
    <t>تلميع شاشة هاتفك مع إضاءة حدود الخرز</t>
  </si>
  <si>
    <t>Vyleštěte obrazovku telefonu pomocí osvětlení hranic korálků</t>
  </si>
  <si>
    <t>Polieren Sie Ihren Telefonbildschirm mit Beadge Border Lighting</t>
  </si>
  <si>
    <t>Γυαλίστε την οθόνη του τηλεφώνου σας με φωτισμό περιγράμματος Beadge</t>
  </si>
  <si>
    <t>Polear la pantalla de su teléfono con iluminación de borde de Beadge</t>
  </si>
  <si>
    <t>Poleerige oma telefoni ekraan Beadge Border Lightinguga</t>
  </si>
  <si>
    <t>Kiillota puhelimen näyttöä helmirajavalaistuksella</t>
  </si>
  <si>
    <t>Pisonnez l'écran de votre téléphone avec l'éclairage de la bordure du perle</t>
  </si>
  <si>
    <t>बीडेज बॉर्डर लाइटिंग के साथ अपने फोन स्क्रीन को पोलिश करें</t>
  </si>
  <si>
    <t>Poles layar ponsel Anda dengan pencahayaan perbatasan beadge</t>
  </si>
  <si>
    <t>Sollevare la schermata del tuo telefono con illuminazione del bordo di perline</t>
  </si>
  <si>
    <t>Beadge Border Lightingで電話画面を磨きます</t>
  </si>
  <si>
    <t>ខាត់អេក្រង់ទូរស័ព្ទរបស់អ្នកជាមួយនឹងភ្លើងបំភ្លឺព្រំដែន</t>
  </si>
  <si>
    <t>ನಿಮ್ಮ ಫೋನ್ ಪರದೆಯನ್ನು ಬೀಡ್ ಗಡಿ ಬೆಳಕಿನೊಂದಿಗೆ ಹೊಳಪು ಮಾಡಿ</t>
  </si>
  <si>
    <t>Beadge Border Lighting으로 전화 화면을 연마하십시오</t>
  </si>
  <si>
    <t>ຂັດຂວາງຫນ້າຈໍໂທລະສັບຂອງທ່ານດ້ວຍການເຮັດໃຫ້ມີແສງສະຫວ່າງຊາຍແດນ</t>
  </si>
  <si>
    <t>Policējiet tālruņa ekrānu ar Beadge apmales apgaismojumu</t>
  </si>
  <si>
    <t>Menggilap skrin telefon anda dengan pencahayaan sempadan beadge</t>
  </si>
  <si>
    <t>Poets uw telefoonscherm met kralengrensverlichting</t>
  </si>
  <si>
    <t>Wypolerowaj ekran telefonu za pomocą oświetlenia granicznego z koralikami</t>
  </si>
  <si>
    <t>Polgo a tela do seu telefone com iluminação de borda de beadge</t>
  </si>
  <si>
    <t>Отличить экран телефона с помощью пограничного освещения Beadge</t>
  </si>
  <si>
    <t>ขัดหน้าจอโทรศัพท์ของคุณด้วยแสงไฟขอบลูกปัด</t>
  </si>
  <si>
    <t>Telefon ekranınızı Beadge Border Lighting ile cilalayın</t>
  </si>
  <si>
    <t>Відшліфуйте екран телефону за допомогою прикордонного освітлення Beadge</t>
  </si>
  <si>
    <t>用Beadge Border Lighting抛光手机屏幕</t>
  </si>
  <si>
    <t>Đánh bóng màn hình điện thoại của bạn với các hạt ánh sáng viền</t>
  </si>
  <si>
    <t>text_intro_2</t>
  </si>
  <si>
    <t>Create Your Unique Styles</t>
  </si>
  <si>
    <t>قم بإنشاء أنماطك الفريدة</t>
  </si>
  <si>
    <t>Vytvořte své jedinečné styly</t>
  </si>
  <si>
    <t>Erstellen Sie Ihre einzigartigen Stile</t>
  </si>
  <si>
    <t>Δημιουργήστε τα μοναδικά σας στυλ</t>
  </si>
  <si>
    <t>Crea tus estilos únicos</t>
  </si>
  <si>
    <t>Looge oma ainulaadsed stiilid</t>
  </si>
  <si>
    <t>Luo ainutlaatuiset tyylisi</t>
  </si>
  <si>
    <t>Créez vos styles uniques</t>
  </si>
  <si>
    <t>अपनी अनूठी शैली बनाएं</t>
  </si>
  <si>
    <t>Buat gaya unik Anda</t>
  </si>
  <si>
    <t>Crea i tuoi stili unici</t>
  </si>
  <si>
    <t>ユニークなスタイルを作成します</t>
  </si>
  <si>
    <t>បង្កើតស្ទីលតែមួយគត់របស់អ្នក</t>
  </si>
  <si>
    <t>ನಿಮ್ಮ ಅನನ್ಯ ಶೈಲಿಗಳನ್ನು ರಚಿಸಿ</t>
  </si>
  <si>
    <t>독특한 스타일을 만듭니다</t>
  </si>
  <si>
    <t>ສ້າງຮູບແບບທີ່ເປັນເອກະລັກຂອງທ່ານ</t>
  </si>
  <si>
    <t>Izveidojiet savus unikālos stilus</t>
  </si>
  <si>
    <t>Buat gaya unik anda</t>
  </si>
  <si>
    <t>Maak uw unieke stijlen</t>
  </si>
  <si>
    <t>Stwórz swoje unikalne style</t>
  </si>
  <si>
    <t>Crie seus estilos únicos</t>
  </si>
  <si>
    <t>Создайте свои уникальные стили</t>
  </si>
  <si>
    <t>สร้างสไตล์ที่เป็นเอกลักษณ์ของคุณ</t>
  </si>
  <si>
    <t>Benzersiz stillerinizi oluşturun</t>
  </si>
  <si>
    <t>Створіть свої унікальні стилі</t>
  </si>
  <si>
    <t>创建您的独特风格</t>
  </si>
  <si>
    <t>Tạo phong cách độc đáo của bạn</t>
  </si>
  <si>
    <t>text_intro_3</t>
  </si>
  <si>
    <t>Magical Live Wallpapers</t>
  </si>
  <si>
    <t>خلفيات حية سحرية</t>
  </si>
  <si>
    <t>Magické živé tapety</t>
  </si>
  <si>
    <t>Magische lebende Hintergrundbilder</t>
  </si>
  <si>
    <t>Μαγικές ζωντανές ταπετσαρίες</t>
  </si>
  <si>
    <t>Fondos de pantalla en vivo mágicos</t>
  </si>
  <si>
    <t>Maagilised live -taustapildid</t>
  </si>
  <si>
    <t>Maagiset elävät taustakuvat</t>
  </si>
  <si>
    <t>Fonds d'écran en direct magiques</t>
  </si>
  <si>
    <t>जादुई लाइव वॉलपेपर</t>
  </si>
  <si>
    <t>Wallpaper hidup ajaib</t>
  </si>
  <si>
    <t>Sfondi vivi magici</t>
  </si>
  <si>
    <t>魔法のライブ壁紙</t>
  </si>
  <si>
    <t>ផ្ទាំងរូបភាពផ្សាយបន្តផ្ទាល់វេទមន្ត</t>
  </si>
  <si>
    <t>ಮಾಂತ್ರಿಕ ಲೈವ್ ವಾಲ್‌ಪೇಪರ್‌ಗಳು</t>
  </si>
  <si>
    <t>마법의 라이브 월페이퍼</t>
  </si>
  <si>
    <t>ຮູບວໍເປເປີທີ່ມີຊີວິດແບບ Magical</t>
  </si>
  <si>
    <t>Maģiskas dzīvas tapetes</t>
  </si>
  <si>
    <t>Magische live wallpapers</t>
  </si>
  <si>
    <t>Magical Live Tapety</t>
  </si>
  <si>
    <t>Papéis de parede vivos mágicos</t>
  </si>
  <si>
    <t>Волшебные живые обои</t>
  </si>
  <si>
    <t>วอลเปเปอร์สดชื่น</t>
  </si>
  <si>
    <t>Büyülü canlı duvar kağıtları</t>
  </si>
  <si>
    <t>Магічні живі шпалери</t>
  </si>
  <si>
    <t>神奇的现场壁纸</t>
  </si>
  <si>
    <t>Hình nền động ma thuật</t>
  </si>
  <si>
    <t>top_radius</t>
  </si>
  <si>
    <t>Top Radius</t>
  </si>
  <si>
    <t>أعلى دائرة نصف قطرها</t>
  </si>
  <si>
    <t>Horní poloměr</t>
  </si>
  <si>
    <t>Κορυφαία ακτίνα</t>
  </si>
  <si>
    <t>Radio superior</t>
  </si>
  <si>
    <t>Ülemine raadius</t>
  </si>
  <si>
    <t>Säde</t>
  </si>
  <si>
    <t>Rayon supérieur</t>
  </si>
  <si>
    <t>शीर्ष त्रिज्या</t>
  </si>
  <si>
    <t>Radius teratas</t>
  </si>
  <si>
    <t>Raggio superiore</t>
  </si>
  <si>
    <t>上半径</t>
  </si>
  <si>
    <t>កាំខាងលើ</t>
  </si>
  <si>
    <t>ಉನ್ನತ ತ್ರಿಜ್ಯ</t>
  </si>
  <si>
    <t>상단 반경</t>
  </si>
  <si>
    <t>radius ເທິງ</t>
  </si>
  <si>
    <t>Augšējais rādiuss</t>
  </si>
  <si>
    <t>Jejari atas</t>
  </si>
  <si>
    <t>Bovenste straal</t>
  </si>
  <si>
    <t>Najwyższy promień</t>
  </si>
  <si>
    <t>Raio superior</t>
  </si>
  <si>
    <t>Лучший радиус</t>
  </si>
  <si>
    <t>รัศมีชั้นนำ</t>
  </si>
  <si>
    <t>En iyi yarıçap</t>
  </si>
  <si>
    <t>Верхній радіус</t>
  </si>
  <si>
    <t>顶部半径</t>
  </si>
  <si>
    <t>Bo viền trên</t>
  </si>
  <si>
    <t>bottom_radius</t>
  </si>
  <si>
    <t>Bottom Radius</t>
  </si>
  <si>
    <t>دائرة نصف قطرها</t>
  </si>
  <si>
    <t>Spodní poloměr</t>
  </si>
  <si>
    <t>Bodenradius</t>
  </si>
  <si>
    <t>Κάτω ακτίνα</t>
  </si>
  <si>
    <t>Radio inferior</t>
  </si>
  <si>
    <t>Alumine raadius</t>
  </si>
  <si>
    <t>Alaräde</t>
  </si>
  <si>
    <t>Rayon inférieur</t>
  </si>
  <si>
    <t>निचला त्रिज्या</t>
  </si>
  <si>
    <t>Radius bawah</t>
  </si>
  <si>
    <t>Raggio inferiore</t>
  </si>
  <si>
    <t>下半径</t>
  </si>
  <si>
    <t>កាំខាងក្រោម</t>
  </si>
  <si>
    <t>ಕೆಳಭಾಗದ ತ್ರಿಜ್ಯ</t>
  </si>
  <si>
    <t>하단 반경</t>
  </si>
  <si>
    <t>ລັດສະຫມີລຸ່ມ</t>
  </si>
  <si>
    <t>Apakšējais rādiuss</t>
  </si>
  <si>
    <t>Jejari bawah</t>
  </si>
  <si>
    <t>Bodemstraal</t>
  </si>
  <si>
    <t>Promień dolny</t>
  </si>
  <si>
    <t>Raio inferior</t>
  </si>
  <si>
    <t>Нижний радиус</t>
  </si>
  <si>
    <t>รัศมีล่าง</t>
  </si>
  <si>
    <t>Alt yarıçap</t>
  </si>
  <si>
    <t>Радіус нижньої частини</t>
  </si>
  <si>
    <t>底部半径</t>
  </si>
  <si>
    <t>Bo viền dưới</t>
  </si>
  <si>
    <t>width</t>
  </si>
  <si>
    <t>Width</t>
  </si>
  <si>
    <t>عرض</t>
  </si>
  <si>
    <t>Šířka</t>
  </si>
  <si>
    <t>Breite</t>
  </si>
  <si>
    <t>Πλάτος</t>
  </si>
  <si>
    <t>Ancho</t>
  </si>
  <si>
    <t>Laius</t>
  </si>
  <si>
    <t>Leveys</t>
  </si>
  <si>
    <t>Largeur</t>
  </si>
  <si>
    <t>चौड़ाई</t>
  </si>
  <si>
    <t>Lebar</t>
  </si>
  <si>
    <t>Larghezza</t>
  </si>
  <si>
    <t>幅</t>
  </si>
  <si>
    <t>តតឹង</t>
  </si>
  <si>
    <t>ಅಗಲ</t>
  </si>
  <si>
    <t>너비</t>
  </si>
  <si>
    <t>ຄວາມກວ້າງ</t>
  </si>
  <si>
    <t>Platums</t>
  </si>
  <si>
    <t>Breedte</t>
  </si>
  <si>
    <t>Szerokość</t>
  </si>
  <si>
    <t>Largura</t>
  </si>
  <si>
    <t>Ширина</t>
  </si>
  <si>
    <t>ความกว้าง</t>
  </si>
  <si>
    <t>Genişlik</t>
  </si>
  <si>
    <t>宽度</t>
  </si>
  <si>
    <t>Chiều rộng</t>
  </si>
  <si>
    <t>animation_speed</t>
  </si>
  <si>
    <t>Animation Speed</t>
  </si>
  <si>
    <t>سرعة الحركة</t>
  </si>
  <si>
    <t>Rychlost animace</t>
  </si>
  <si>
    <t>Animations Geschwindigkeit</t>
  </si>
  <si>
    <t>Ταχύτητα κινουμένων σχεδίων</t>
  </si>
  <si>
    <t>Velocidad de animación</t>
  </si>
  <si>
    <t>Animatsiooni kiirus</t>
  </si>
  <si>
    <t>Animaation nopeus</t>
  </si>
  <si>
    <t>La vitesse d'animation</t>
  </si>
  <si>
    <t>एनिमेशन गति</t>
  </si>
  <si>
    <t>Kecepatan animasi</t>
  </si>
  <si>
    <t>Velocità di animazione</t>
  </si>
  <si>
    <t>アニメーションスピード</t>
  </si>
  <si>
    <t>ល្បឿនចលនា</t>
  </si>
  <si>
    <t>ಅನಿಮೇಷನ್ ವೇಗ</t>
  </si>
  <si>
    <t>애니메이션 속도</t>
  </si>
  <si>
    <t>ຄວາມໄວເຄື່ອນໄຫວ</t>
  </si>
  <si>
    <t>Animācijas ātrums</t>
  </si>
  <si>
    <t>Kelajuan animasi</t>
  </si>
  <si>
    <t>Animatie snelheid</t>
  </si>
  <si>
    <t>Prędkość animacji</t>
  </si>
  <si>
    <t>Velocidade da animação</t>
  </si>
  <si>
    <t>Скорость анимации</t>
  </si>
  <si>
    <t>ความเร็วภาพเคลื่อนไหว</t>
  </si>
  <si>
    <t>Animasyon hızı</t>
  </si>
  <si>
    <t>Швидкість анімації</t>
  </si>
  <si>
    <t>动画速度</t>
  </si>
  <si>
    <t>Tốc độ hoạt hình</t>
  </si>
  <si>
    <t>circle</t>
  </si>
  <si>
    <t>Circle</t>
  </si>
  <si>
    <t>دائرة</t>
  </si>
  <si>
    <t>Kruh</t>
  </si>
  <si>
    <t>Kreis</t>
  </si>
  <si>
    <t>Κύκλος</t>
  </si>
  <si>
    <t>Círculo</t>
  </si>
  <si>
    <t>Ring</t>
  </si>
  <si>
    <t>Ympyrä</t>
  </si>
  <si>
    <t>Cercle</t>
  </si>
  <si>
    <t>घेरा</t>
  </si>
  <si>
    <t>Lingkaran</t>
  </si>
  <si>
    <t>Cerchio</t>
  </si>
  <si>
    <t>丸</t>
  </si>
  <si>
    <t>ប័ត្ធ</t>
  </si>
  <si>
    <t>ವೃತ್ತ</t>
  </si>
  <si>
    <t>원</t>
  </si>
  <si>
    <t>ວົງວຽນ</t>
  </si>
  <si>
    <t>Riņķot</t>
  </si>
  <si>
    <t>Bulatan</t>
  </si>
  <si>
    <t>Cirkel</t>
  </si>
  <si>
    <t>Koło</t>
  </si>
  <si>
    <t>Круг</t>
  </si>
  <si>
    <t>วงกลม</t>
  </si>
  <si>
    <t>Daire</t>
  </si>
  <si>
    <t>Кола</t>
  </si>
  <si>
    <t>圆圈</t>
  </si>
  <si>
    <t>Vòng tròn</t>
  </si>
  <si>
    <t>capsule</t>
  </si>
  <si>
    <t>Capsule</t>
  </si>
  <si>
    <t>كبسولة</t>
  </si>
  <si>
    <t>Kapsle</t>
  </si>
  <si>
    <t>Kapsel</t>
  </si>
  <si>
    <t>Κάψουλα</t>
  </si>
  <si>
    <t>Cápsula</t>
  </si>
  <si>
    <t>Kapseli</t>
  </si>
  <si>
    <t>कैप्सूल</t>
  </si>
  <si>
    <t>Kapsul</t>
  </si>
  <si>
    <t>Capsula</t>
  </si>
  <si>
    <t>カプセル</t>
  </si>
  <si>
    <t>កន្សោម</t>
  </si>
  <si>
    <t>ಬಿಲ್ಲೆ</t>
  </si>
  <si>
    <t>캡슐</t>
  </si>
  <si>
    <t>ຫມາກແຫ້ງໄຂໄດ້</t>
  </si>
  <si>
    <t>Kapsula</t>
  </si>
  <si>
    <t>Kapsuła</t>
  </si>
  <si>
    <t>Капсула</t>
  </si>
  <si>
    <t>แคปซูล</t>
  </si>
  <si>
    <t>Kapsül</t>
  </si>
  <si>
    <t>胶囊</t>
  </si>
  <si>
    <t>Viên con nhộng</t>
  </si>
  <si>
    <t>size</t>
  </si>
  <si>
    <t>position_horizontal</t>
  </si>
  <si>
    <t>Position (Horizontal)</t>
  </si>
  <si>
    <t>الموقف (أفقي)</t>
  </si>
  <si>
    <t>Pozice (horizontální)</t>
  </si>
  <si>
    <t>Position (horizontal)</t>
  </si>
  <si>
    <t>Θέση (οριζόντια)</t>
  </si>
  <si>
    <t>Posición (horizontal)</t>
  </si>
  <si>
    <t>Positsioon (horisontaalne)</t>
  </si>
  <si>
    <t>Sijainti (vaakasuora)</t>
  </si>
  <si>
    <t>स्थिति (क्षैतिज)</t>
  </si>
  <si>
    <t>Posisi (horizontal)</t>
  </si>
  <si>
    <t>Posizione (orizzontale)</t>
  </si>
  <si>
    <t>位置（水平）</t>
  </si>
  <si>
    <t>ទីតាំង (ផ្ដេក)</t>
  </si>
  <si>
    <t>ಸ್ಥಾನ (ಸಮತಲ)</t>
  </si>
  <si>
    <t>위치 (수평)</t>
  </si>
  <si>
    <t>ຕໍາແຫນ່ງ (ແນວນອນ)</t>
  </si>
  <si>
    <t>Pozīcija (horizontāla)</t>
  </si>
  <si>
    <t>Kedudukan (mendatar)</t>
  </si>
  <si>
    <t>Positie (horizontaal)</t>
  </si>
  <si>
    <t>Pozycja (pozioma)</t>
  </si>
  <si>
    <t>Posição (horizontal)</t>
  </si>
  <si>
    <t>Положение (горизонтальное)</t>
  </si>
  <si>
    <t>ตำแหน่ง (แนวนอน)</t>
  </si>
  <si>
    <t>Pozisyon (yatay)</t>
  </si>
  <si>
    <t>Положення (горизонтальний)</t>
  </si>
  <si>
    <t>Vị trí (ngang)</t>
  </si>
  <si>
    <t>position_vertical</t>
  </si>
  <si>
    <t>Position (Vertical)</t>
  </si>
  <si>
    <t>الموقف (عمودي)</t>
  </si>
  <si>
    <t>Pozice (vertikální)</t>
  </si>
  <si>
    <t>Position (vertikal)</t>
  </si>
  <si>
    <t>Θέση (κάθετη)</t>
  </si>
  <si>
    <t>Posición (vertical)</t>
  </si>
  <si>
    <t>Positsioon (vertikaalne)</t>
  </si>
  <si>
    <t>Sijainti (pystysuora)</t>
  </si>
  <si>
    <t>Position (vertical)</t>
  </si>
  <si>
    <t>वचन (ऊर्ध्वाधर)</t>
  </si>
  <si>
    <t>Posisi (vertikal)</t>
  </si>
  <si>
    <t>Posizione (verticale)</t>
  </si>
  <si>
    <t>位置（垂直）</t>
  </si>
  <si>
    <t>ទីតាំង (បញ្ឈរ)</t>
  </si>
  <si>
    <t>ಸ್ಥಾನ (ಲಂಬ)</t>
  </si>
  <si>
    <t>위치 (수직)</t>
  </si>
  <si>
    <t>ຕໍາແຫນ່ງ (ແນວຕັ້ງ)</t>
  </si>
  <si>
    <t>Pozīcija (vertikāla)</t>
  </si>
  <si>
    <t>Kedudukan (menegak)</t>
  </si>
  <si>
    <t>Positie (verticaal)</t>
  </si>
  <si>
    <t>Pozycja (pionowa)</t>
  </si>
  <si>
    <t>Posição (vertical)</t>
  </si>
  <si>
    <t>Положение (вертикальное)</t>
  </si>
  <si>
    <t>ตำแหน่ง (แนวตั้ง)</t>
  </si>
  <si>
    <t>Pozisyon (dikey)</t>
  </si>
  <si>
    <t>Положення (вертикальна)</t>
  </si>
  <si>
    <t>Vị trí (dọc)</t>
  </si>
  <si>
    <t>height</t>
  </si>
  <si>
    <t>Height</t>
  </si>
  <si>
    <t>ارتفاع</t>
  </si>
  <si>
    <t>Výška</t>
  </si>
  <si>
    <t>Höhe</t>
  </si>
  <si>
    <t>Υψος</t>
  </si>
  <si>
    <t>Altura</t>
  </si>
  <si>
    <t>Kõrgus</t>
  </si>
  <si>
    <t>Korkeus</t>
  </si>
  <si>
    <t>Hauteur</t>
  </si>
  <si>
    <t>ऊंचाई</t>
  </si>
  <si>
    <t>Tinggi</t>
  </si>
  <si>
    <t>Altezza</t>
  </si>
  <si>
    <t>身長</t>
  </si>
  <si>
    <t>កមបស់</t>
  </si>
  <si>
    <t>ಎತ್ತರ</t>
  </si>
  <si>
    <t>키</t>
  </si>
  <si>
    <t>ລວງສູງ</t>
  </si>
  <si>
    <t>Augstums</t>
  </si>
  <si>
    <t>Ketinggian</t>
  </si>
  <si>
    <t>Hoogte</t>
  </si>
  <si>
    <t>Wysokość</t>
  </si>
  <si>
    <t>Высота</t>
  </si>
  <si>
    <t>ความสูง</t>
  </si>
  <si>
    <t>Yükseklik</t>
  </si>
  <si>
    <t>Висота</t>
  </si>
  <si>
    <t>高度</t>
  </si>
  <si>
    <t>Chiều cao</t>
  </si>
  <si>
    <t>top_width</t>
  </si>
  <si>
    <t>Top Width</t>
  </si>
  <si>
    <t>عرض أعلى</t>
  </si>
  <si>
    <t>Nejvyšší šířka</t>
  </si>
  <si>
    <t>Obere Breite</t>
  </si>
  <si>
    <t>Άνω πλάτος</t>
  </si>
  <si>
    <t>Ancho superior</t>
  </si>
  <si>
    <t>Ülemine laius</t>
  </si>
  <si>
    <t>Ylin leveys</t>
  </si>
  <si>
    <t>Largeur supérieure</t>
  </si>
  <si>
    <t>शीर्ष चौड़ाई</t>
  </si>
  <si>
    <t>Lebar atas</t>
  </si>
  <si>
    <t>Larghezza superiore</t>
  </si>
  <si>
    <t>上部幅</t>
  </si>
  <si>
    <t>ទទឹងកំពូល</t>
  </si>
  <si>
    <t>ಮೇಲ್ಭಾಗದ ಅಗಲ</t>
  </si>
  <si>
    <t>상단 너비</t>
  </si>
  <si>
    <t>ຄວາມກວ້າງດ້ານເທິງ</t>
  </si>
  <si>
    <t>Augšējais platums</t>
  </si>
  <si>
    <t>Bovenste breedte</t>
  </si>
  <si>
    <t>Górna szerokość</t>
  </si>
  <si>
    <t>Largura superior</t>
  </si>
  <si>
    <t>Верхняя ширина</t>
  </si>
  <si>
    <t>ความกว้างสูงสุด</t>
  </si>
  <si>
    <t>Üst genişlik</t>
  </si>
  <si>
    <t>Верхня ширина</t>
  </si>
  <si>
    <t>最高宽度</t>
  </si>
  <si>
    <t>Chiều rộng trên</t>
  </si>
  <si>
    <t>bottom_width</t>
  </si>
  <si>
    <t>Bottom Width</t>
  </si>
  <si>
    <t>العرض السفلي</t>
  </si>
  <si>
    <t>Spodní šířka</t>
  </si>
  <si>
    <t>Bodenbreite</t>
  </si>
  <si>
    <t>Πλάτος πυθμένα</t>
  </si>
  <si>
    <t>Ancho de fondo</t>
  </si>
  <si>
    <t>Alumine laius</t>
  </si>
  <si>
    <t>Pohjaleveys</t>
  </si>
  <si>
    <t>Largeur inférieure</t>
  </si>
  <si>
    <t>पैंदे की चौड़ाई</t>
  </si>
  <si>
    <t>Lebar bawah</t>
  </si>
  <si>
    <t>Larghezza del fondo</t>
  </si>
  <si>
    <t>裾幅</t>
  </si>
  <si>
    <t>ទទឹងបាត</t>
  </si>
  <si>
    <t>ಕೆಳಗಡೆ</t>
  </si>
  <si>
    <t>바닥 너비</t>
  </si>
  <si>
    <t>ຄວາມກວ້າງດ້ານລຸ່ມ</t>
  </si>
  <si>
    <t>Apakšējais platums</t>
  </si>
  <si>
    <t>Bodem breedte</t>
  </si>
  <si>
    <t>Szerokość spodu</t>
  </si>
  <si>
    <t>Largura inferior</t>
  </si>
  <si>
    <t>Ширина дна</t>
  </si>
  <si>
    <t>ความกว้างด้านล่าง</t>
  </si>
  <si>
    <t>Alt genişlik</t>
  </si>
  <si>
    <t>Ширина нижньої частини</t>
  </si>
  <si>
    <t>底宽</t>
  </si>
  <si>
    <t>Chiều rộng dưới</t>
  </si>
  <si>
    <t>massage_connection_dialog</t>
  </si>
  <si>
    <t>No internet connection. _____Please check connection and try again.</t>
  </si>
  <si>
    <t>لا يوجد اتصال بالإنترنت. _____ الرجاء التحقق من الاتصال والمحاولة مرة أخرى.</t>
  </si>
  <si>
    <t>Žádné internetové připojení. _____Zkontrolujte připojení a zkuste to znovu.</t>
  </si>
  <si>
    <t>Keine Internetverbindung. _____Bitte überprüfen Sie die Verbindung und versuchen Sie es erneut.</t>
  </si>
  <si>
    <t>Δεν υπάρχει σύνδεση στο διαδίκτυο. _____Ελέγξτε τη σύνδεση και δοκιμάστε ξανά.</t>
  </si>
  <si>
    <t>Sin conexión a Internet. _____Comprueba la conexión y vuelve a intentarlo.</t>
  </si>
  <si>
    <t>Interneti-ühendus puudub. _____Kontrollige ühendust ja proovige uuesti.</t>
  </si>
  <si>
    <t>Ei Internet-yhteyttä. _____Tarkista yhteys ja yritä uudelleen.</t>
  </si>
  <si>
    <t>Pas de connexion Internet. _____Veuillez vérifier la connexion et réessayer.</t>
  </si>
  <si>
    <t>कोई इंटरनेट कनेक्शन नहीं। _____कृपया कनेक्शन जांचें और पुनः प्रयास करें।</t>
  </si>
  <si>
    <t>Tidak ada koneksi internet. _____Silakan periksa koneksi dan coba lagi.</t>
  </si>
  <si>
    <t>Nessuna connessione internet. _____Controlla la connessione e riprova.</t>
  </si>
  <si>
    <t>インターネット接続がありません。 _____接続を確認して再試行してください。</t>
  </si>
  <si>
    <t>គ្មានការតភ្ជាប់អ៊ីនធឺណិត។ _____ សូមពិនិត្យមើលការតភ្ជាប់ ហើយព្យាយាមម្តងទៀត។</t>
  </si>
  <si>
    <t>ಇಂಟರ್ನೆಟ್ ಸಂಪರ್ಕವಿಲ್ಲ. _____ದಯವಿಟ್ಟು ಸಂಪರ್ಕವನ್ನು ಪರಿಶೀಲಿಸಿ ಹಾಗೂ ಮತ್ತೆ ಪ್ರಯತ್ನಿಸಿ.</t>
  </si>
  <si>
    <t>인터넷에 연결되지 않음. _____연결을 확인하고 다시 시도해 주세요.</t>
  </si>
  <si>
    <t>ບໍ່ມີການເຊື່ອມຕໍ່ອິນເຕີເນັດ. _____ກະລຸນາກວດສອບການເຊື່ອມຕໍ່ແລ້ວລອງໃໝ່ອີກຄັ້ງ.</t>
  </si>
  <si>
    <t>Nav interneta savienojuma. _____Lūdzu, pārbaudiet savienojumu un mēģiniet vēlreiz.</t>
  </si>
  <si>
    <t>Tiada sambungan internet. _____Sila semak sambungan dan cuba lagi.</t>
  </si>
  <si>
    <t>Geen internet verbinding. _____Controleer de verbinding en probeer het opnieuw.</t>
  </si>
  <si>
    <t>Brak połączenia z internetem. _____Sprawdź połączenie i spróbuj ponownie.</t>
  </si>
  <si>
    <t>Sem conexão com a internet. _____Por favor, verifique a conexão e tente novamente.</t>
  </si>
  <si>
    <t>Нет соединения с интернетом. _____Проверьте соединение и повторите попытку.</t>
  </si>
  <si>
    <t>ไม่มีการเชื่อมต่ออินเทอร์เน็ต. _____โปรดตรวจสอบการเชื่อมต่อแล้วลองอีกครั้ง</t>
  </si>
  <si>
    <t>İnternet bağlantısı yok. _____Lütfen bağlantıyı kontrol edin ve tekrar deneyin.</t>
  </si>
  <si>
    <t>Немає підключення до Інтернету. _____Будь ласка, перевірте з’єднання та повторіть спробу.</t>
  </si>
  <si>
    <t>没有网络连接。 _____请检查连接并重试。</t>
  </si>
  <si>
    <t>Không có kết nối Internet. _____Vui lòng kiểm tra kết nối và thử lại.</t>
  </si>
  <si>
    <t>أعد المحاولة</t>
  </si>
  <si>
    <t>Zkuste to znovu</t>
  </si>
  <si>
    <t>Riprova</t>
  </si>
  <si>
    <t>ព្យាយាមម្តងទៀត</t>
  </si>
  <si>
    <t>ລອງໃໝ່</t>
  </si>
  <si>
    <t>Mēģiniet vēlreiz</t>
  </si>
  <si>
    <t>Tentar novamente</t>
  </si>
  <si>
    <t>Повторить попытку</t>
  </si>
  <si>
    <t>Yeniden dene</t>
  </si>
  <si>
    <t>Повторіть спробу</t>
  </si>
  <si>
    <t>des_permission_overlay</t>
  </si>
  <si>
    <t>To enable this feature, please check switch and activate toggle for Edge Lighting app on the next screen.</t>
  </si>
  <si>
    <t>لتمكين هذه الميزة، يرجى التحقق من المفتاح وتنشيط التبديل لتطبيق Edge Lighting على الشاشة التالية.</t>
  </si>
  <si>
    <t>Chcete-li tuto funkci povolit, na další obrazovce zaškrtněte přepínač a aktivujte přepínač pro aplikaci Edge Lighting.</t>
  </si>
  <si>
    <t>Um diese Funktion zu aktivieren, aktivieren Sie bitte den Schalter und aktivieren Sie den Schalter für die Edge Lighting-App auf dem nächsten Bildschirm.</t>
  </si>
  <si>
    <t>Για να ενεργοποιήσετε αυτήν τη δυνατότητα, ελέγξτε τον διακόπτη και ενεργοποιήστε την εναλλαγή για την εφαρμογή Edge Lighting στην επόμενη οθόνη.</t>
  </si>
  <si>
    <t>Para habilitar esta función, marque el interruptor y active el interruptor para la aplicación Edge Lighting en la siguiente pantalla.</t>
  </si>
  <si>
    <t>Selle funktsiooni lubamiseks kontrollige järgmisel ekraanil rakenduse Edge Lighting lülitit ja aktiveerige see.</t>
  </si>
  <si>
    <t>Ota tämä ominaisuus käyttöön valitsemalla kytkin ja aktivoi Edge Lighting -sovelluksen kytkin seuraavassa näytössä.</t>
  </si>
  <si>
    <t>Pour activer cette fonctionnalité, veuillez vérifier le commutateur et activer la bascule pour l'application Edge Lighting sur l'écran suivant.</t>
  </si>
  <si>
    <t>इस सुविधा को सक्षम करने के लिए, कृपया स्विच की जांच करें और अगली स्क्रीन पर एज लाइटिंग ऐप के लिए टॉगल सक्रिय करें।</t>
  </si>
  <si>
    <t>Untuk mengaktifkan fitur ini, silakan centang sakelar dan aktifkan sakelar untuk aplikasi Edge Lighting di layar berikutnya.</t>
  </si>
  <si>
    <t>Per abilitare questa funzione, seleziona l'interruttore e attiva l'interruttore per l'app Edge Lighting nella schermata successiva.</t>
  </si>
  <si>
    <t>この機能を有効にするには、スイッチにチェックを入れて、次の画面で Edge Lighting アプリのトグルをアクティブにしてください。</t>
  </si>
  <si>
    <t>ដើម្បីបើកមុខងារនេះ សូមពិនិត្យមើលកុងតាក់ ហើយបើកបិទបើកសម្រាប់កម្មវិធី Edge Lighting នៅលើអេក្រង់បន្ទាប់។</t>
  </si>
  <si>
    <t>ಈ ವೈಶಿಷ್ಟ್ಯವನ್ನು ಸಕ್ರಿಯಗೊಳಿಸಲು, ದಯವಿಟ್ಟು ಸ್ವಿಚ್ ಅನ್ನು ಪರಿಶೀಲಿಸಿ ಮತ್ತು ಮುಂದಿನ ಪರದೆಯಲ್ಲಿ ಎಡ್ಜ್ ಲೈಟಿಂಗ್ ಅಪ್ಲಿಕೇಶನ್‌ಗಾಗಿ ಟಾಗಲ್ ಅನ್ನು ಸಕ್ರಿಯಗೊಳಿಸಿ.</t>
  </si>
  <si>
    <t>이 기능을 활성화하려면 다음 화면에서 Edge Lighting 앱의 스위치 및 활성화 토글을 확인하세요.</t>
  </si>
  <si>
    <t>ເພື່ອເປີດໃຊ້ຄຸນສົມບັດນີ້, ກະລຸນາກວດເບິ່ງສະວິດ ແລະເປີດໃຊ້ປຸ່ມສະຫຼັບສຳລັບແອັບ Edge Lighting ໃນໜ້າຈໍຖັດໄປ.</t>
  </si>
  <si>
    <t>Lai iespējotu šo funkciju, lūdzu, nākamajā ekrānā atzīmējiet slēdzi un aktivizējiet lietotnes Edge Lighting slēdzi.</t>
  </si>
  <si>
    <t>Untuk mendayakan ciri ini, sila semak suis dan aktifkan togol untuk aplikasi Edge Lighting pada skrin seterusnya.</t>
  </si>
  <si>
    <t>Om deze functie in te schakelen, vinkt u de schakelaar aan en activeert u de schakelaar voor de Edge Lighting-app op het volgende scherm.</t>
  </si>
  <si>
    <t>Aby włączyć tę funkcję, zaznacz przełącznik i aktywuj przełącznik aplikacji Edge Lighting na następnym ekranie.</t>
  </si>
  <si>
    <t>Para ativar esse recurso, verifique o botão e ative o botão de alternância para o aplicativo Edge Lighting na próxima tela.</t>
  </si>
  <si>
    <t>Чтобы включить эту функцию, установите флажок и активируйте переключатель для приложения Edge Lighting на следующем экране.</t>
  </si>
  <si>
    <t>หากต้องการเปิดใช้งานคุณสมบัตินี้ โปรดตรวจสอบสวิตช์และเปิดใช้งานการสลับสำหรับแอป Edge Lighting ในหน้าจอถัดไป</t>
  </si>
  <si>
    <t>Bu özelliği etkinleştirmek için lütfen anahtarı kontrol edin ve bir sonraki ekranda Edge Lighting uygulamasına yönelik geçişi etkinleştirin.</t>
  </si>
  <si>
    <t>Щоб увімкнути цю функцію, установіть прапорець і активуйте перемикач для програми Edge Lighting на наступному екрані.</t>
  </si>
  <si>
    <t>要启用此功能，请检查开关并激活下一个屏幕上边缘照明应用程序的开关。</t>
  </si>
  <si>
    <t>Để bật tính năng này, vui lòng kiểm tra công tắc và kích hoạt chuyển đổi cho ứng dụng Edge Lighting trên màn hình tiếp theo.</t>
  </si>
  <si>
    <t>allow</t>
  </si>
  <si>
    <t>Allow</t>
  </si>
  <si>
    <t>يسمح</t>
  </si>
  <si>
    <t>Dovolit</t>
  </si>
  <si>
    <t>Erlauben</t>
  </si>
  <si>
    <t>Επιτρέπω</t>
  </si>
  <si>
    <t>Permitir</t>
  </si>
  <si>
    <t>Lubama</t>
  </si>
  <si>
    <t>Sallia</t>
  </si>
  <si>
    <t>Permettre</t>
  </si>
  <si>
    <t>अनुमति दें</t>
  </si>
  <si>
    <t>Mengizinkan</t>
  </si>
  <si>
    <t>Permettere</t>
  </si>
  <si>
    <t>許可する</t>
  </si>
  <si>
    <t>អនុញ្ញាត</t>
  </si>
  <si>
    <t>ಅನುಮತಿಸಿ</t>
  </si>
  <si>
    <t>허용하다</t>
  </si>
  <si>
    <t>ອະນຸຍາດ</t>
  </si>
  <si>
    <t>Atļaut</t>
  </si>
  <si>
    <t>benarkan</t>
  </si>
  <si>
    <t>Toestaan</t>
  </si>
  <si>
    <t>Umożliwić</t>
  </si>
  <si>
    <t>Позволять</t>
  </si>
  <si>
    <t>อนุญาต</t>
  </si>
  <si>
    <t>İzin vermek</t>
  </si>
  <si>
    <t>Дозволити</t>
  </si>
  <si>
    <t>Cho phép</t>
  </si>
  <si>
    <t>bottom_fullness</t>
  </si>
  <si>
    <t>Bottom fullness</t>
  </si>
  <si>
    <t>امتلاء القاع</t>
  </si>
  <si>
    <t>Spodní plnost</t>
  </si>
  <si>
    <t>Bodenfülle</t>
  </si>
  <si>
    <t>Κάτω πληρότητα</t>
  </si>
  <si>
    <t>plenitud inferior</t>
  </si>
  <si>
    <t>Põhja täius</t>
  </si>
  <si>
    <t>Pohjan täyteys</t>
  </si>
  <si>
    <t>Plénitude inférieure</t>
  </si>
  <si>
    <t>नीचे की परिपूर्णता</t>
  </si>
  <si>
    <t>Kepenuhan bagian bawah</t>
  </si>
  <si>
    <t>Pienezza del fondo</t>
  </si>
  <si>
    <t>お尻の膨らみ</t>
  </si>
  <si>
    <t>ភាពពេញលេញនៃបាត</t>
  </si>
  <si>
    <t>ಕೆಳಭಾಗದ ಪೂರ್ಣತೆ</t>
  </si>
  <si>
    <t>바닥 충만</t>
  </si>
  <si>
    <t>ຄວາມສົມບູນທາງລຸ່ມ</t>
  </si>
  <si>
    <t>Apakšējā pilnība</t>
  </si>
  <si>
    <t>Bawah kenyang</t>
  </si>
  <si>
    <t>Bodem volheid</t>
  </si>
  <si>
    <t>Dolna pełnia</t>
  </si>
  <si>
    <t>Plenitude inferior</t>
  </si>
  <si>
    <t>Нижняя полнота</t>
  </si>
  <si>
    <t>ความสมบูรณ์ด้านล่าง</t>
  </si>
  <si>
    <t>Alt dolgunluk</t>
  </si>
  <si>
    <t>Низ повноти</t>
  </si>
  <si>
    <t>底部丰满度</t>
  </si>
  <si>
    <t>độ đầy đáy</t>
  </si>
  <si>
    <t>edge_light</t>
  </si>
  <si>
    <t>Edge Light</t>
  </si>
  <si>
    <t>ضوء الحافة</t>
  </si>
  <si>
    <t>Okrajové světlo</t>
  </si>
  <si>
    <t>Kantenlicht</t>
  </si>
  <si>
    <t>Luz de borde</t>
  </si>
  <si>
    <t>Reunavalo</t>
  </si>
  <si>
    <t>Lumière de bord</t>
  </si>
  <si>
    <t>एज लाइट</t>
  </si>
  <si>
    <t>Cahaya Tepi</t>
  </si>
  <si>
    <t>Luce sui bordi</t>
  </si>
  <si>
    <t>エッジライト</t>
  </si>
  <si>
    <t>ពន្លឺគែម</t>
  </si>
  <si>
    <t>ಎಡ್ಜ್ ಲೈಟ್</t>
  </si>
  <si>
    <t>엣지 라이트</t>
  </si>
  <si>
    <t>ຂອບແສງ</t>
  </si>
  <si>
    <t>Malu gaisma</t>
  </si>
  <si>
    <t>Randlicht</t>
  </si>
  <si>
    <t>Światło krawędziowe</t>
  </si>
  <si>
    <t>Luz de borda</t>
  </si>
  <si>
    <t>Краевой свет</t>
  </si>
  <si>
    <t>ขอบแสง</t>
  </si>
  <si>
    <t>Kenar Işığı</t>
  </si>
  <si>
    <t>边缘光</t>
  </si>
  <si>
    <t>Ánh sáng cạnh</t>
  </si>
  <si>
    <t>btn_more</t>
  </si>
  <si>
    <t>More…</t>
  </si>
  <si>
    <t>أكثر…</t>
  </si>
  <si>
    <t>Více…</t>
  </si>
  <si>
    <t>Mehr…</t>
  </si>
  <si>
    <t>Περισσότερο…</t>
  </si>
  <si>
    <t>Más…</t>
  </si>
  <si>
    <t>Veel…</t>
  </si>
  <si>
    <t>Lisää…</t>
  </si>
  <si>
    <t>Plus…</t>
  </si>
  <si>
    <t>अधिक…</t>
  </si>
  <si>
    <t>Lagi…</t>
  </si>
  <si>
    <t>Di più…</t>
  </si>
  <si>
    <t>もっと…</t>
  </si>
  <si>
    <t>ច្រើនទៀត…</t>
  </si>
  <si>
    <t>ಇನ್ನಷ್ಟು…</t>
  </si>
  <si>
    <t>더…</t>
  </si>
  <si>
    <t>ເພີ່ມເຕີມ…</t>
  </si>
  <si>
    <t>Vairāk…</t>
  </si>
  <si>
    <t>Meer…</t>
  </si>
  <si>
    <t>Więcej…</t>
  </si>
  <si>
    <t>Mais…</t>
  </si>
  <si>
    <t>Более…</t>
  </si>
  <si>
    <t>มากกว่า…</t>
  </si>
  <si>
    <t>Daha fazla…</t>
  </si>
  <si>
    <t>більше…</t>
  </si>
  <si>
    <t>更多的…</t>
  </si>
  <si>
    <t>Xem thêm</t>
  </si>
  <si>
    <t>live_wallpaper</t>
  </si>
  <si>
    <t>خلفيات حية</t>
  </si>
  <si>
    <t>Fondo de pantalla en vivo</t>
  </si>
  <si>
    <t>Live Taustapilt</t>
  </si>
  <si>
    <t>Fond d'écran animé</t>
  </si>
  <si>
    <t>Wallpaper Hidup</t>
  </si>
  <si>
    <t>Sfondo animato</t>
  </si>
  <si>
    <t>ライブ壁紙</t>
  </si>
  <si>
    <t>ផ្ទាំងរូបភាពផ្ទាល់</t>
  </si>
  <si>
    <t>ພາບພື້ນຫຼັງສົດ</t>
  </si>
  <si>
    <t>Kertas Dinding Langsung</t>
  </si>
  <si>
    <t>Papel de parede animado</t>
  </si>
  <si>
    <t>title_dialog_choose_color</t>
  </si>
  <si>
    <t>Choose color</t>
  </si>
  <si>
    <t>اختر اللون</t>
  </si>
  <si>
    <t>Vyberte barvu</t>
  </si>
  <si>
    <t>Wähle eine Farbe</t>
  </si>
  <si>
    <t>Επιλέξτε χρώμα</t>
  </si>
  <si>
    <t>Elige color</t>
  </si>
  <si>
    <t>Vali värv</t>
  </si>
  <si>
    <t>Valitse väri</t>
  </si>
  <si>
    <t>Choisir la couleur</t>
  </si>
  <si>
    <t>रंग पसंद करो</t>
  </si>
  <si>
    <t>Pilih warna</t>
  </si>
  <si>
    <t>Scegli il colore</t>
  </si>
  <si>
    <t>色を選択してください</t>
  </si>
  <si>
    <t>ជ្រើសរើសពណ៌</t>
  </si>
  <si>
    <t>ಬಣ್ಣವನ್ನು ಆರಿಸಿ</t>
  </si>
  <si>
    <t>색상을 선택하세요</t>
  </si>
  <si>
    <t>ເລືອກສີ</t>
  </si>
  <si>
    <t>Izvēlieties krāsu</t>
  </si>
  <si>
    <t>Kies een kleur</t>
  </si>
  <si>
    <t>Wybierz kolor</t>
  </si>
  <si>
    <t>Escolha a cor</t>
  </si>
  <si>
    <t>Выберите цвет</t>
  </si>
  <si>
    <t>เลือกสี</t>
  </si>
  <si>
    <t>Renk seç</t>
  </si>
  <si>
    <t>Виберіть колір</t>
  </si>
  <si>
    <t>选择颜色</t>
  </si>
  <si>
    <t>Chọn màu</t>
  </si>
  <si>
    <t>btn_dialog_ok</t>
  </si>
  <si>
    <t>Ok</t>
  </si>
  <si>
    <t>De acuerdo</t>
  </si>
  <si>
    <t>D'accord</t>
  </si>
  <si>
    <t>Oke</t>
  </si>
  <si>
    <t>Labi</t>
  </si>
  <si>
    <t>Okey</t>
  </si>
  <si>
    <t>Хорошо</t>
  </si>
  <si>
    <t>Tamam</t>
  </si>
  <si>
    <t>В порядку</t>
  </si>
  <si>
    <t>btn_dialog_cancel</t>
  </si>
  <si>
    <t>Tühista</t>
  </si>
  <si>
    <t>បោះបង់</t>
  </si>
  <si>
    <t>ರದ್ದುಮಾಡಿ</t>
  </si>
  <si>
    <t>Batal</t>
  </si>
  <si>
    <t>spacing</t>
  </si>
  <si>
    <t>Spacing</t>
  </si>
  <si>
    <t>تباعد</t>
  </si>
  <si>
    <t>Vzdálenost</t>
  </si>
  <si>
    <t>Abstand</t>
  </si>
  <si>
    <t>Διάστημα</t>
  </si>
  <si>
    <t>Espaciado</t>
  </si>
  <si>
    <t>Vahekaugus</t>
  </si>
  <si>
    <t>Välit</t>
  </si>
  <si>
    <t>Espacement</t>
  </si>
  <si>
    <t>अंतर</t>
  </si>
  <si>
    <t>Jarak</t>
  </si>
  <si>
    <t>Spaziatura</t>
  </si>
  <si>
    <t>間隔</t>
  </si>
  <si>
    <t>គម្លាត</t>
  </si>
  <si>
    <t>ಅಂತರ</t>
  </si>
  <si>
    <t>간격</t>
  </si>
  <si>
    <t>ໄລຍະຫ່າງ</t>
  </si>
  <si>
    <t>Atstarpes</t>
  </si>
  <si>
    <t>Spatiëring</t>
  </si>
  <si>
    <t>Rozstaw</t>
  </si>
  <si>
    <t>Espaçamento</t>
  </si>
  <si>
    <t>Расстояние</t>
  </si>
  <si>
    <t>ระยะห่าง</t>
  </si>
  <si>
    <t>Aralık</t>
  </si>
  <si>
    <t>Інтервал</t>
  </si>
  <si>
    <t>间距</t>
  </si>
  <si>
    <t>khoảng cách</t>
  </si>
  <si>
    <t>image_background</t>
  </si>
  <si>
    <t>Image Background</t>
  </si>
  <si>
    <t>خلفية الصورة</t>
  </si>
  <si>
    <t>Obrázek pozadí</t>
  </si>
  <si>
    <t>Bildhintergrund</t>
  </si>
  <si>
    <t>Φόντο εικόνας</t>
  </si>
  <si>
    <t>Fondo de imagen</t>
  </si>
  <si>
    <t>Pildi taust</t>
  </si>
  <si>
    <t>Kuvan tausta</t>
  </si>
  <si>
    <t>Fond d'écran</t>
  </si>
  <si>
    <t>छवि पृष्ठभूमि</t>
  </si>
  <si>
    <t>Latar Belakang Gambar</t>
  </si>
  <si>
    <t>Sfondo dell'immagine</t>
  </si>
  <si>
    <t>画像の背景</t>
  </si>
  <si>
    <t>ផ្ទៃខាងក្រោយរូបភាព</t>
  </si>
  <si>
    <t>ಚಿತ್ರದ ಹಿನ್ನೆಲೆ</t>
  </si>
  <si>
    <t>이미지 배경</t>
  </si>
  <si>
    <t>ພາບພື້ນຫຼັງ</t>
  </si>
  <si>
    <t>Attēla fons</t>
  </si>
  <si>
    <t>Latar Belakang Imej</t>
  </si>
  <si>
    <t>Afbeelding achtergrond</t>
  </si>
  <si>
    <t>Tło obrazu</t>
  </si>
  <si>
    <t>Fundo da imagem</t>
  </si>
  <si>
    <t>Фоновое изображение</t>
  </si>
  <si>
    <t>ภาพพื้นหลัง</t>
  </si>
  <si>
    <t>Resim Arka Planı</t>
  </si>
  <si>
    <t>Фонове зображення</t>
  </si>
  <si>
    <t>图像背景</t>
  </si>
  <si>
    <t>Hình nền</t>
  </si>
  <si>
    <t>មើលជាមុន</t>
  </si>
  <si>
    <t>ເບິ່ງຕົວຢ່າງ</t>
  </si>
  <si>
    <t>des_permission_read_phone</t>
  </si>
  <si>
    <t>The application needs to use read phone state permission to display edge border on call.</t>
  </si>
  <si>
    <t>يحتاج التطبيق إلى استخدام إذن قراءة حالة الهاتف لعرض حدود الحافة عند الاتصال.</t>
  </si>
  <si>
    <t>Aplikace potřebuje používat oprávnění ke čtení stavu telefonu k zobrazení okraje při hovoru.</t>
  </si>
  <si>
    <t>Die Anwendung muss die Berechtigung zum Lesen des Telefonstatus verwenden, um den Kantenrand beim Anruf anzuzeigen.</t>
  </si>
  <si>
    <t>Η εφαρμογή πρέπει να χρησιμοποιεί άδεια ανάγνωσης κατάστασης τηλεφώνου για την εμφάνιση περιγράμματος άκρης κατά την κλήση.</t>
  </si>
  <si>
    <t>La aplicación necesita utilizar el permiso de lectura del estado del teléfono para mostrar el borde del borde durante la llamada.</t>
  </si>
  <si>
    <t>Rakendus peab kõne ajal servapiiri kuvamiseks kasutama telefoni oleku lugemise luba.</t>
  </si>
  <si>
    <t>Sovelluksen on käytettävä puhelimen tilan lukuoikeutta näyttääkseen reunareunuksen puhelun aikana.</t>
  </si>
  <si>
    <t>L'application doit utiliser l'autorisation de lecture de l'état du téléphone pour afficher la bordure périphérique lors de l'appel.</t>
  </si>
  <si>
    <t>एप्लिकेशन को कॉल पर किनारे की सीमा प्रदर्शित करने के लिए रीड फ़ोन स्थिति अनुमति का उपयोग करने की आवश्यकता है।</t>
  </si>
  <si>
    <t>Aplikasi perlu menggunakan izin status telepon baca untuk menampilkan batas tepi saat panggilan.</t>
  </si>
  <si>
    <t>L'applicazione deve utilizzare l'autorizzazione di lettura dello stato del telefono per visualizzare il bordo del bordo durante la chiamata.</t>
  </si>
  <si>
    <t>アプリケーションは、通話時にエッジの境界線を表示するには、電話状態の読み取り権限を使用する必要があります。</t>
  </si>
  <si>
    <t>កម្មវិធីត្រូវប្រើការអនុញ្ញាតឱ្យអានស្ថានភាពទូរស័ព្ទ ដើម្បីបង្ហាញស៊ុមគែមនៅពេលហៅទូរសព្ទ។</t>
  </si>
  <si>
    <t>ಕರೆಯಲ್ಲಿ ಅಂಚಿನ ಗಡಿಯನ್ನು ಪ್ರದರ್ಶಿಸಲು ಅಪ್ಲಿಕೇಶನ್ ಓದುವ ಫೋನ್ ಸ್ಥಿತಿಯ ಅನುಮತಿಯನ್ನು ಬಳಸಬೇಕಾಗುತ್ತದೆ.</t>
  </si>
  <si>
    <t>통화 시 가장자리 테두리를 표시하려면 애플리케이션에서 전화 상태 읽기 권한을 사용해야 합니다.</t>
  </si>
  <si>
    <t>ແອັບພລິເຄຊັ່ນຕ້ອງການໃຊ້ການອະນຸຍາດອ່ານສະຖານະໂທລະສັບເພື່ອສະແດງຂອບຂອບໃນການໂທ.</t>
  </si>
  <si>
    <t>Lietojumprogrammai ir jāizmanto tālruņa stāvokļa lasīšanas atļauja, lai zvana laikā parādītu malas apmali.</t>
  </si>
  <si>
    <t>Aplikasi perlu menggunakan kebenaran keadaan telefon baca untuk memaparkan sempadan tepi semasa panggilan.</t>
  </si>
  <si>
    <t>De applicatie moet de leesrechten van de telefoonstatus gebruiken om de randrand tijdens een gesprek weer te geven.</t>
  </si>
  <si>
    <t>Aplikacja musi korzystać z uprawnień do odczytu stanu telefonu, aby wyświetlać obramowanie krawędzi podczas połączenia.</t>
  </si>
  <si>
    <t>O aplicativo precisa usar a permissão de leitura do estado do telefone para exibir a borda da borda durante a chamada.</t>
  </si>
  <si>
    <t>Приложению необходимо использовать разрешение на чтение состояния телефона, чтобы отображать границу границы при вызове.</t>
  </si>
  <si>
    <t>แอปพลิเคชันจำเป็นต้องใช้สิทธิ์ในการอ่านสถานะโทรศัพท์เพื่อแสดงขอบขอบเมื่อมีการโทร</t>
  </si>
  <si>
    <t>Uygulamanın çağrı sırasında kenar kenarlığını görüntülemek için telefon durumunu okuma iznini kullanması gerekir.</t>
  </si>
  <si>
    <t>Додатку потрібен дозвіл на читання стану телефону, щоб відображати рамку краю під час виклику.</t>
  </si>
  <si>
    <t>应用程序需要使用读取电话状态权限才能在通话时显示边缘边框。</t>
  </si>
  <si>
    <t>Ứng dụng cần sử dụng quyền đọc trạng thái điện thoại để hiển thị đường viền cạnh trong cuộc gọi.</t>
  </si>
  <si>
    <t>privacy_policy</t>
  </si>
  <si>
    <t>Πολιτική Απορρήτου</t>
  </si>
  <si>
    <t>terms_and_conditions</t>
  </si>
  <si>
    <t>លក្ខខណ្ឌ</t>
  </si>
  <si>
    <t>이용약관</t>
  </si>
  <si>
    <t>display_pop_up_window_in_miui</t>
  </si>
  <si>
    <t>Display pop-up window in MIUI</t>
  </si>
  <si>
    <t>عرض النافذة المنبثقة في MIUI</t>
  </si>
  <si>
    <t>Zobrazit vyskakovací okno v MIUI</t>
  </si>
  <si>
    <t>Popup-Fenster in MIUI anzeigen</t>
  </si>
  <si>
    <t>Εμφάνιση αναδυόμενου παραθύρου στο MIUI</t>
  </si>
  <si>
    <t>Mostrar ventana emergente en MIUI</t>
  </si>
  <si>
    <t>Kuva hüpikaken MIUI-s</t>
  </si>
  <si>
    <t>Näytä ponnahdusikkuna MIUI:ssa</t>
  </si>
  <si>
    <t>Afficher la fenêtre contextuelle dans MIUI</t>
  </si>
  <si>
    <t>MIUI में पॉप-अप विंडो प्रदर्शित करें</t>
  </si>
  <si>
    <t>Tampilkan jendela pop-up di MIUI</t>
  </si>
  <si>
    <t>Visualizza la finestra pop-up in MIUI</t>
  </si>
  <si>
    <t>MIUIでポップアップウィンドウを表示する</t>
  </si>
  <si>
    <t>បង្ហាញបង្អួចលេចឡើងនៅក្នុង MIUI</t>
  </si>
  <si>
    <t>MIUI ನಲ್ಲಿ ಪಾಪ್-ಅಪ್ ವಿಂಡೋವನ್ನು ಪ್ರದರ್ಶಿಸಿ</t>
  </si>
  <si>
    <t>MIUI에 팝업 창 표시</t>
  </si>
  <si>
    <t>ສະແດງໜ້າຈໍປັອບອັບໃນ MIUI</t>
  </si>
  <si>
    <t>Parādīt uznirstošo logu MIUI</t>
  </si>
  <si>
    <t>Paparkan tetingkap timbul dalam MIUI</t>
  </si>
  <si>
    <t>Pop-upvenster weergeven in MIUI</t>
  </si>
  <si>
    <t>Wyświetl wyskakujące okienko w MIUI</t>
  </si>
  <si>
    <t>Exibir janela pop-up no MIUI</t>
  </si>
  <si>
    <t>Отображать всплывающее окно в MIUI</t>
  </si>
  <si>
    <t>แสดงหน้าต่างป๊อปอัปใน MIUI</t>
  </si>
  <si>
    <t>MIUI'de açılır pencereyi görüntüle</t>
  </si>
  <si>
    <t>Відобразити спливаюче вікно в MIUI</t>
  </si>
  <si>
    <t>在MIUI中显示弹窗</t>
  </si>
  <si>
    <t>Hiển thị cửa sổ bật lên trong MIUI</t>
  </si>
  <si>
    <t>this_action_can_contain_ads</t>
  </si>
  <si>
    <t>This action may contain ads</t>
  </si>
  <si>
    <t>قد يحتوي هذا الإجراء على إعلانات</t>
  </si>
  <si>
    <t>Tato akce může obsahovat reklamy</t>
  </si>
  <si>
    <t>Diese Aktion kann Werbung enthalten</t>
  </si>
  <si>
    <t>Αυτή η ενέργεια μπορεί να περιέχει διαφημίσεις</t>
  </si>
  <si>
    <t>Esta acción puede contener anuncios.</t>
  </si>
  <si>
    <t>See toiming võib sisaldada reklaame</t>
  </si>
  <si>
    <t>Tämä toiminto voi sisältää mainoksia</t>
  </si>
  <si>
    <t>Cette action peut contenir des annonces</t>
  </si>
  <si>
    <t>इस क्रिया में विज्ञापन शामिल हो सकते हैं</t>
  </si>
  <si>
    <t>Tindakan ini mungkin berisi iklan</t>
  </si>
  <si>
    <t>Questa azione può contenere annunci</t>
  </si>
  <si>
    <t>このアクションには広告が含まれる可能性があります</t>
  </si>
  <si>
    <t>សកម្មភាពនេះអាចមានការផ្សាយពាណិជ្ជកម្ម</t>
  </si>
  <si>
    <t>ಈ ಕ್ರಿಯೆಯು ಜಾಹೀರಾತುಗಳನ್ನು ಒಳಗೊಂಡಿರಬಹುದು</t>
  </si>
  <si>
    <t>이 작업에는 광고가 포함될 수 있습니다.</t>
  </si>
  <si>
    <t>ຄຳສັ່ງນີ້ອາດມີໂຄສະນາ</t>
  </si>
  <si>
    <t>Šī darbība var ietvert reklāmas</t>
  </si>
  <si>
    <t>Tindakan ini mungkin mengandungi iklan</t>
  </si>
  <si>
    <t>Deze actie kan advertenties bevatten</t>
  </si>
  <si>
    <t>Ta akcja może zawierać reklamy</t>
  </si>
  <si>
    <t>Esta ação pode conter anúncios</t>
  </si>
  <si>
    <t>Это действие может содержать рекламу</t>
  </si>
  <si>
    <t>การดำเนินการนี้อาจมีโฆษณา</t>
  </si>
  <si>
    <t>Bu işlem reklam içerebilir</t>
  </si>
  <si>
    <t>Ця дія може містити рекламу</t>
  </si>
  <si>
    <t>此操作可能包含广告</t>
  </si>
  <si>
    <t>Hành động này có thể chứa quảng cáo</t>
  </si>
  <si>
    <t>edge_border_non_call</t>
  </si>
  <si>
    <t>Edge border on call</t>
  </si>
  <si>
    <t>حدود الحافة عند الاتصال</t>
  </si>
  <si>
    <t>Hrana hranice při hovoru</t>
  </si>
  <si>
    <t>Kantenrand auf Abruf</t>
  </si>
  <si>
    <t>Περίγραμμα άκρων κατά την κλήση</t>
  </si>
  <si>
    <t>Borde de borde en llamada</t>
  </si>
  <si>
    <t>Serva ääris kõne ajal</t>
  </si>
  <si>
    <t>Reunan reuna puhelun aikana</t>
  </si>
  <si>
    <t>Bordure de bord sur appel</t>
  </si>
  <si>
    <t>कॉल पर एज बॉर्डर</t>
  </si>
  <si>
    <t>Perbatasan tepi saat panggilan</t>
  </si>
  <si>
    <t>Bordo Edge su chiamata</t>
  </si>
  <si>
    <t>コール時のエッジ境界線</t>
  </si>
  <si>
    <t>គែមគែមនៅពេលហៅ</t>
  </si>
  <si>
    <t>ಕರೆಯಲ್ಲಿ ಅಂಚಿನ ಗಡಿ</t>
  </si>
  <si>
    <t>통화 중 가장자리 경계</t>
  </si>
  <si>
    <t>ຂອບຂອບໃນການໂທ</t>
  </si>
  <si>
    <t>Malas robeža izsaukuma laikā</t>
  </si>
  <si>
    <t>Sempadan tepi atas panggilan</t>
  </si>
  <si>
    <t>Randrand tijdens oproep</t>
  </si>
  <si>
    <t>Obramowanie krawędziowe na wezwanie</t>
  </si>
  <si>
    <t>Borda de borda de plantão</t>
  </si>
  <si>
    <t>Краевая граница при вызове</t>
  </si>
  <si>
    <t>ขอบขอบเมื่อมีการโทร</t>
  </si>
  <si>
    <t>Çağrı sırasında kenar sınırı</t>
  </si>
  <si>
    <t>Край бордюру на виклик</t>
  </si>
  <si>
    <t>通话时的边缘边框</t>
  </si>
  <si>
    <t>Đường viền cạnh trong cuộc gọi</t>
  </si>
  <si>
    <t>overlay_non_apps</t>
  </si>
  <si>
    <t>Overlay _____on apps</t>
  </si>
  <si>
    <t>تراكب _____ على التطبيقات</t>
  </si>
  <si>
    <t>Překryjte _____ aplikace</t>
  </si>
  <si>
    <t>Overlay _____auf Apps</t>
  </si>
  <si>
    <t>Επικάλυψη _____σε εφαρμογές</t>
  </si>
  <si>
    <t>Superponer _____en aplicaciones</t>
  </si>
  <si>
    <t>Ülekate _____rakendustel</t>
  </si>
  <si>
    <t>Peitto _____sovelluksissa</t>
  </si>
  <si>
    <t>Superposer _____sur les applications</t>
  </si>
  <si>
    <t>ऐप्स पर ओवरले _____</t>
  </si>
  <si>
    <t>Hamparan _____pada aplikasi</t>
  </si>
  <si>
    <t>Sovrapposizione _____sulle app</t>
  </si>
  <si>
    <t>アプリに_____をオーバーレイする</t>
  </si>
  <si>
    <t>ត្រួតលើ _____ នៅលើកម្មវិធី</t>
  </si>
  <si>
    <t>ಅಪ್ಲಿಕೇಶನ್‌ಗಳಲ್ಲಿ _____ ಓವರ್‌ಲೇ</t>
  </si>
  <si>
    <t>앱에 오버레이 _____</t>
  </si>
  <si>
    <t>ວາງທັບ _____ ເທິງແອັບ</t>
  </si>
  <si>
    <t>Pārklājums _____uz lietotnēm</t>
  </si>
  <si>
    <t>Tindanan _____pada apl</t>
  </si>
  <si>
    <t>Overlay _____op apps</t>
  </si>
  <si>
    <t>Nakładka ______ na aplikacje</t>
  </si>
  <si>
    <t>Sobreposição _____em aplicativos</t>
  </si>
  <si>
    <t>Наложение ______ на приложения</t>
  </si>
  <si>
    <t>ซ้อนทับ _____ บนแอป</t>
  </si>
  <si>
    <t>Uygulamaların üzerine _____ yer paylaşımı</t>
  </si>
  <si>
    <t>Накладання _____ на програми</t>
  </si>
  <si>
    <t>覆盖在应用程序上</t>
  </si>
  <si>
    <t>Lớp phủ _____ trên ứng dụng</t>
  </si>
  <si>
    <t>no_internet_connection</t>
  </si>
  <si>
    <t>No internet connection</t>
  </si>
  <si>
    <t>لا يوجد اتصال بالإنترنت</t>
  </si>
  <si>
    <t>Žádné internetové připojení</t>
  </si>
  <si>
    <t>Keine Internetverbindung</t>
  </si>
  <si>
    <t>Δεν υπάρχει σύνδεση στο διαδίκτυο</t>
  </si>
  <si>
    <t>Sin conexión a Internet</t>
  </si>
  <si>
    <t>Interneti-ühendus puudub</t>
  </si>
  <si>
    <t>Ei Internet-yhteyttä</t>
  </si>
  <si>
    <t>Pas de connexion Internet</t>
  </si>
  <si>
    <t>कोई इंटरनेट कनेक्शन नहीं</t>
  </si>
  <si>
    <t>Tidak ada koneksi internet</t>
  </si>
  <si>
    <t>Nessuna connessione internet</t>
  </si>
  <si>
    <t>インターネット接続がありません</t>
  </si>
  <si>
    <t>គ្មានការតភ្ជាប់អ៊ីនធឺណិត</t>
  </si>
  <si>
    <t>ಇಂಟರ್ನೆಟ್ ಸಂಪರ್ಕವಿಲ್ಲ</t>
  </si>
  <si>
    <t>인터넷에 연결되지 않음</t>
  </si>
  <si>
    <t>ບໍ່ມີການເຊື່ອມຕໍ່ອິນເຕີເນັດ</t>
  </si>
  <si>
    <t>Nav interneta savienojuma</t>
  </si>
  <si>
    <t>Tiada sambungan internet</t>
  </si>
  <si>
    <t>Geen internet verbinding</t>
  </si>
  <si>
    <t>Brak połączenia z internetem</t>
  </si>
  <si>
    <t>Sem conexão com a internet</t>
  </si>
  <si>
    <t>Нет соединения с интернетом</t>
  </si>
  <si>
    <t>ไม่มีการเชื่อมต่ออินเทอร์เน็ต</t>
  </si>
  <si>
    <t>İnternet bağlantısı yok</t>
  </si>
  <si>
    <t>Немає підключення до Інтернету</t>
  </si>
  <si>
    <t>没有网络连接</t>
  </si>
  <si>
    <t>Không có kết nối Internet</t>
  </si>
  <si>
    <t>btn_continue</t>
  </si>
  <si>
    <t>CONTINUE</t>
  </si>
  <si>
    <t>POKRAČOVAT</t>
  </si>
  <si>
    <t>WEITERMACHEN</t>
  </si>
  <si>
    <t>ΝΑ ΣΥΝΕΧΙΣΕΙ</t>
  </si>
  <si>
    <t>CONTINUAR</t>
  </si>
  <si>
    <t>JÄTKAKE</t>
  </si>
  <si>
    <t>JATKAA</t>
  </si>
  <si>
    <t>CONTINUER</t>
  </si>
  <si>
    <t>MELANJUTKAN</t>
  </si>
  <si>
    <t>CONTINUA</t>
  </si>
  <si>
    <t>បន្ត</t>
  </si>
  <si>
    <t>ಮುಂದುವರಿಸಿ</t>
  </si>
  <si>
    <t>ສືບຕໍ່</t>
  </si>
  <si>
    <t>TURPINĀT</t>
  </si>
  <si>
    <t>TERUSKAN</t>
  </si>
  <si>
    <t>DOORGAAN</t>
  </si>
  <si>
    <t>KONTYNUOWAĆ</t>
  </si>
  <si>
    <t>ПРОДОЛЖАТЬ</t>
  </si>
  <si>
    <t>DEVAM ETMEK</t>
  </si>
  <si>
    <t>ПРОДОВЖУЙТЕ</t>
  </si>
  <si>
    <t>TIẾP TỤC</t>
  </si>
  <si>
    <t>btn_get_started</t>
  </si>
  <si>
    <t>GET STARTED</t>
  </si>
  <si>
    <t>ZAČÍT</t>
  </si>
  <si>
    <t>LOSLEGEN</t>
  </si>
  <si>
    <t>ΞΕΚΙΝΑ</t>
  </si>
  <si>
    <t>EMPEZAR</t>
  </si>
  <si>
    <t>ALUSTAMA</t>
  </si>
  <si>
    <t>ALOITTAA</t>
  </si>
  <si>
    <t>COMMENCER</t>
  </si>
  <si>
    <t>MEMULAI</t>
  </si>
  <si>
    <t>INIZIARE</t>
  </si>
  <si>
    <t>SĀC</t>
  </si>
  <si>
    <t>MULAKAN</t>
  </si>
  <si>
    <t>BEGIN</t>
  </si>
  <si>
    <t>ZACZYNAJ</t>
  </si>
  <si>
    <t>INICIAR</t>
  </si>
  <si>
    <t>НАЧАТЬ</t>
  </si>
  <si>
    <t>BAŞLAMAK</t>
  </si>
  <si>
    <t>ПОЧАТИ</t>
  </si>
  <si>
    <t>BẮT ĐẦU</t>
  </si>
  <si>
    <t>are_you_enjoying_our_app</t>
  </si>
  <si>
    <t>Are you enjoying our app?</t>
  </si>
  <si>
    <t>هل تستمتع بتطبيقنا؟</t>
  </si>
  <si>
    <t>Baví vás naše aplikace?</t>
  </si>
  <si>
    <t>Gefällt Ihnen unsere App?</t>
  </si>
  <si>
    <t>Απολαμβάνετε την εφαρμογή μας;</t>
  </si>
  <si>
    <t>¿Estás disfrutando de nuestra aplicación?</t>
  </si>
  <si>
    <t>Kas teile meeldib meie rakendus?</t>
  </si>
  <si>
    <t>Pidätkö sovelluksestamme?</t>
  </si>
  <si>
    <t>Est-ce que vous appréciez notre application ?</t>
  </si>
  <si>
    <t>क्या आप हमारे ऐप का आनंद ले रहे हैं?</t>
  </si>
  <si>
    <t>Apakah Anda menikmati aplikasi kami?</t>
  </si>
  <si>
    <t>Ti piace la nostra app?</t>
  </si>
  <si>
    <t>私たちのアプリを楽しんでいますか？</t>
  </si>
  <si>
    <t>តើអ្នករីករាយនឹងកម្មវិធីរបស់យើងទេ?</t>
  </si>
  <si>
    <t>ನೀವು ನಮ್ಮ ಅಪ್ಲಿಕೇಶನ್ ಅನ್ನು ಆನಂದಿಸುತ್ತಿದ್ದೀರಾ?</t>
  </si>
  <si>
    <t>우리 앱을 즐기고 계시나요?</t>
  </si>
  <si>
    <t>ເຈົ້າມັກແອັບຂອງພວກເຮົາບໍ?</t>
  </si>
  <si>
    <t>Vai jums patīk mūsu lietotne?</t>
  </si>
  <si>
    <t>Adakah anda menikmati aplikasi kami?</t>
  </si>
  <si>
    <t>Geniet je van onze app?</t>
  </si>
  <si>
    <t>Czy podoba Ci się nasza aplikacja?</t>
  </si>
  <si>
    <t>Você está gostando do nosso aplicativo?</t>
  </si>
  <si>
    <t>Вам нравится наше приложение?</t>
  </si>
  <si>
    <t>คุณเพลิดเพลินกับแอพของเราหรือไม่?</t>
  </si>
  <si>
    <t>Uygulamamızdan memnun musunuz?</t>
  </si>
  <si>
    <t>Вам подобається наш додаток?</t>
  </si>
  <si>
    <t>您喜欢我们的应用程序吗？</t>
  </si>
  <si>
    <t>Bạn có thích ứng dụng của chúng tôi không?</t>
  </si>
  <si>
    <t>please_give_us_5_stars_if_you_like_amp_let_us_know_your_feedback</t>
  </si>
  <si>
    <t>Please give us 5-stars if you like ______ let us know your feedback</t>
  </si>
  <si>
    <t>يرجى إعطائنا 5 نجوم إذا أردت ______ أخبرنا بتعليقاتك</t>
  </si>
  <si>
    <t>Pokud se vám líbí, dejte nám 5 hvězdiček ______ dejte nám vědět svůj názor</t>
  </si>
  <si>
    <t>Bitte geben Sie uns 5 Sterne, wenn Ihnen ______ gefällt, teilen Sie uns Ihr Feedback mit</t>
  </si>
  <si>
    <t>Δώστε μας 5 αστέρια αν σας αρέσει ______ πείτε μας τα σχόλιά σας</t>
  </si>
  <si>
    <t>Por favor danos 5 estrellas si te gusta ______ déjanos saber tus comentarios</t>
  </si>
  <si>
    <t>Kui teile meeldib, andke meile 5 tärni ______ andke meile oma tagasisidest teada</t>
  </si>
  <si>
    <t>Anna meille 5 tähteä, jos pidät ______ kerro meille palautteesi</t>
  </si>
  <si>
    <t>Veuillez nous donner 5 étoiles si vous aimez ______ faites-nous part de vos commentaires</t>
  </si>
  <si>
    <t>यदि आपको ______ पसंद है तो कृपया हमें 5-स्टार दें, हमें अपनी प्रतिक्रिया बताएं</t>
  </si>
  <si>
    <t>Tolong beri kami bintang 5 jika Anda suka ______ beri tahu kami tanggapan Anda</t>
  </si>
  <si>
    <t>Per favore, dacci 5 stelle se vuoi ______ facci sapere il tuo feedback</t>
  </si>
  <si>
    <t>______ が気に入ったら、5 つ星を付けてください。フィードバックをお聞かせください。</t>
  </si>
  <si>
    <t>សូមផ្តល់ឱ្យយើងនូវផ្កាយ 5 ប្រសិនបើអ្នកចូលចិត្ត ______ អនុញ្ញាតឱ្យយើងដឹងពីមតិកែលម្អរបស់អ្នក។</t>
  </si>
  <si>
    <t>ನೀವು ______ ಬಯಸಿದರೆ ದಯವಿಟ್ಟು ನಮಗೆ 5-ಸ್ಟಾರ್‌ಗಳನ್ನು ನೀಡಿ ನಿಮ್ಮ ಪ್ರತಿಕ್ರಿಯೆಯನ್ನು ನಮಗೆ ತಿಳಿಸಿ</t>
  </si>
  <si>
    <t>마음에 드신다면 별 5개를 주세요. ______ 피드백을 알려주세요.</t>
  </si>
  <si>
    <t>ກະລຸນາໃຫ້ພວກເຮົາ 5 ດາວຖ້າທ່ານຕ້ອງການ ______ ໃຫ້ພວກເຮົາຮູ້ຄໍາຕິຊົມຂອງທ່ານ</t>
  </si>
  <si>
    <t>Lūdzu, piešķiriet mums 5 zvaigznes, ja jums patīk ______, paziņojiet mums savas atsauksmes</t>
  </si>
  <si>
    <t>Sila berikan kami 5 bintang jika anda suka ______ beritahu kami maklum balas anda</t>
  </si>
  <si>
    <t>Geef ons 5 sterren als je dat leuk vindt. ______ laat ons je feedback weten</t>
  </si>
  <si>
    <t>Proszę dać nam 5 gwiazdek, jeśli lubisz ______ daj nam znać swoją opinię</t>
  </si>
  <si>
    <t>Por favor, dê-nos 5 estrelas se quiser ______ deixe-nos saber seu feedback</t>
  </si>
  <si>
    <t>Пожалуйста, поставьте нам 5 звезд, если вам нравится ______, дайте нам знать ваш отзыв</t>
  </si>
  <si>
    <t>โปรดให้ 5 ดาวแก่เราหากคุณต้องการ ______ แจ้งให้เราทราบความคิดเห็นของคุณ</t>
  </si>
  <si>
    <t>Beğendiyseniz lütfen bize 5 yıldız verin ______ geri bildiriminizi bize bildirin</t>
  </si>
  <si>
    <t>Будь ласка, дайте нам 5 зірок, якщо вам подобається ______ повідомте нам свій відгук</t>
  </si>
  <si>
    <t>如果您喜欢 ______，请给我们 5 星，让我们知道您的反馈</t>
  </si>
  <si>
    <t>Vui lòng cho chúng tôi 5 sao nếu bạn thích ______ cho chúng tôi biết phản hồi của bạn</t>
  </si>
  <si>
    <t>btn_rate</t>
  </si>
  <si>
    <t>Hinda</t>
  </si>
  <si>
    <t>អត្រា</t>
  </si>
  <si>
    <t>Likme</t>
  </si>
  <si>
    <t>Оцінка</t>
  </si>
  <si>
    <t>btn_cancel</t>
  </si>
  <si>
    <t>btn_feedback</t>
  </si>
  <si>
    <t>មតិកែលម្អ</t>
  </si>
  <si>
    <t>Зворотній зв'язок</t>
  </si>
  <si>
    <t>tap_here_to_exit</t>
  </si>
  <si>
    <t>Tap here to exit</t>
  </si>
  <si>
    <t>انقر هنا للخروج</t>
  </si>
  <si>
    <t>Klepnutím sem odejdete</t>
  </si>
  <si>
    <t>Tippen Sie hier, um den Vorgang zu beenden</t>
  </si>
  <si>
    <t>Πατήστε εδώ για έξοδο</t>
  </si>
  <si>
    <t>Toque aquí para salir</t>
  </si>
  <si>
    <t>Väljumiseks puudutage siin</t>
  </si>
  <si>
    <t>Poistu napauttamalla tätä</t>
  </si>
  <si>
    <t>Appuyez ici pour quitter</t>
  </si>
  <si>
    <t>बाहर निकलने के लिए यहां टैप करें</t>
  </si>
  <si>
    <t>Ketuk di sini untuk keluar</t>
  </si>
  <si>
    <t>Tocca qui per uscire</t>
  </si>
  <si>
    <t>ここをタップして終了します</t>
  </si>
  <si>
    <t>ចុចទីនេះដើម្បីចេញ</t>
  </si>
  <si>
    <t>ನಿರ್ಗಮಿಸಲು ಇಲ್ಲಿ ಟ್ಯಾಪ್ ಮಾಡಿ</t>
  </si>
  <si>
    <t>종료하려면 여기를 탭하세요.</t>
  </si>
  <si>
    <t>ແຕະບ່ອນນີ້ເພື່ອອອກ</t>
  </si>
  <si>
    <t>Pieskarieties šeit, lai izietu</t>
  </si>
  <si>
    <t>Ketik di sini untuk keluar</t>
  </si>
  <si>
    <t>Tik hier om af te sluiten</t>
  </si>
  <si>
    <t>Kliknij tutaj, aby wyjść</t>
  </si>
  <si>
    <t>Toque aqui para sair</t>
  </si>
  <si>
    <t>Нажмите здесь, чтобы выйти</t>
  </si>
  <si>
    <t>แตะที่นี่เพื่อออก</t>
  </si>
  <si>
    <t>Çıkmak için buraya dokunun</t>
  </si>
  <si>
    <t>Натисніть тут, щоб вийти</t>
  </si>
  <si>
    <t>点击此处退出</t>
  </si>
  <si>
    <t>Nhấn vào đây để thoát</t>
  </si>
  <si>
    <t>Flash Alert</t>
  </si>
  <si>
    <t>تنبيه فلاش</t>
  </si>
  <si>
    <t>Bleskové upozornění</t>
  </si>
  <si>
    <t>Blitzalarm</t>
  </si>
  <si>
    <t>Alerta de destello</t>
  </si>
  <si>
    <t>Välguhoiatus</t>
  </si>
  <si>
    <t>Flash-hälytys</t>
  </si>
  <si>
    <t>Alerte Flash</t>
  </si>
  <si>
    <t>फ्लैश अलर्ट</t>
  </si>
  <si>
    <t>Peringatan Kilat</t>
  </si>
  <si>
    <t>Avviso flash</t>
  </si>
  <si>
    <t>フラッシュアラート</t>
  </si>
  <si>
    <t>ការជូនដំណឹងពន្លឺ</t>
  </si>
  <si>
    <t>ಫ್ಲ್ಯಾಶ್ ಎಚ್ಚರಿಕೆ</t>
  </si>
  <si>
    <t>플래시 경고</t>
  </si>
  <si>
    <t>Flash ເຕືອນ</t>
  </si>
  <si>
    <t>Makluman Kilat</t>
  </si>
  <si>
    <t>Flitswaarschuwing</t>
  </si>
  <si>
    <t>Alarm Flash</t>
  </si>
  <si>
    <t>Alerta Flash</t>
  </si>
  <si>
    <t>Вспышка оповещения</t>
  </si>
  <si>
    <t>การแจ้งเตือนแบบแฟลช</t>
  </si>
  <si>
    <t>Flaş Uyarısı</t>
  </si>
  <si>
    <t>闪光警报</t>
  </si>
  <si>
    <t>Cảnh báo nhấp nháy</t>
  </si>
  <si>
    <t>this_action_may_contain_ads</t>
  </si>
  <si>
    <t>This action may contain ads…</t>
  </si>
  <si>
    <t>قد يحتوي هذا الإجراء على إعلانات...</t>
  </si>
  <si>
    <t>Tato akce může obsahovat reklamy…</t>
  </si>
  <si>
    <t>Diese Aktion kann Werbung enthalten…</t>
  </si>
  <si>
    <t>Αυτή η ενέργεια μπορεί να περιέχει διαφημίσεις…</t>
  </si>
  <si>
    <t>Esta acción puede contener anuncios...</t>
  </si>
  <si>
    <t>See toiming võib sisaldada reklaame…</t>
  </si>
  <si>
    <t>Tämä toiminto saattaa sisältää mainoksia…</t>
  </si>
  <si>
    <t>Cette action peut contenir des publicités…</t>
  </si>
  <si>
    <t>इस कार्रवाई में विज्ञापन शामिल हो सकते हैं...</t>
  </si>
  <si>
    <t>Tindakan ini mungkin berisi iklan…</t>
  </si>
  <si>
    <t>Questa azione può contenere annunci...</t>
  </si>
  <si>
    <t>このアクションには広告が含まれる可能性があります…</t>
  </si>
  <si>
    <t>សកម្មភាពនេះអាចមានការផ្សាយពាណិជ្ជកម្ម…</t>
  </si>
  <si>
    <t>ಈ ಕ್ರಿಯೆಯು ಜಾಹೀರಾತುಗಳನ್ನು ಒಳಗೊಂಡಿರಬಹುದು...</t>
  </si>
  <si>
    <t>이 작업에는 광고가 포함될 수 있습니다…</t>
  </si>
  <si>
    <t>ຄຳສັ່ງນີ້ອາດມີໂຄສະນາ...</t>
  </si>
  <si>
    <t>Šī darbība var ietvert reklāmas…</t>
  </si>
  <si>
    <t>Tindakan ini mungkin mengandungi iklan…</t>
  </si>
  <si>
    <t>Deze actie kan advertenties bevatten...</t>
  </si>
  <si>
    <t>Ta akcja może zawierać reklamy…</t>
  </si>
  <si>
    <t>Esta ação pode conter anúncios…</t>
  </si>
  <si>
    <t>Это действие может содержать рекламу…</t>
  </si>
  <si>
    <t>การดำเนินการนี้อาจมีโฆษณา...</t>
  </si>
  <si>
    <t>Bu eylem reklam içerebilir…</t>
  </si>
  <si>
    <t>Ця дія може містити рекламу…</t>
  </si>
  <si>
    <t>此操作可能包含广告...</t>
  </si>
  <si>
    <t>Hành động này có thể chứa quảng cáo…</t>
  </si>
  <si>
    <t>flash_alert</t>
  </si>
  <si>
    <t>flash_light</t>
  </si>
  <si>
    <t>Flash Light</t>
  </si>
  <si>
    <t>ضوء الفلاش</t>
  </si>
  <si>
    <t>Bleskové světlo</t>
  </si>
  <si>
    <t>Blitzlicht</t>
  </si>
  <si>
    <t>Φως φλας</t>
  </si>
  <si>
    <t>Linterna</t>
  </si>
  <si>
    <t>Taskulamp</t>
  </si>
  <si>
    <t>Salamavalo</t>
  </si>
  <si>
    <t>Lampe torche</t>
  </si>
  <si>
    <t>फ़्लैश लाइट</t>
  </si>
  <si>
    <t>Lampu Flash</t>
  </si>
  <si>
    <t>Luce flash</t>
  </si>
  <si>
    <t>フラッシュライト</t>
  </si>
  <si>
    <t>ពន្លឺភ្លើង</t>
  </si>
  <si>
    <t>ಫ್ಲ್ಯಾಶ್ ಲೈಟ್</t>
  </si>
  <si>
    <t>플래시 라이트</t>
  </si>
  <si>
    <t>ແສງ Flash</t>
  </si>
  <si>
    <t>Zibspuldze</t>
  </si>
  <si>
    <t>Lampu kilat</t>
  </si>
  <si>
    <t>Zaklamp</t>
  </si>
  <si>
    <t>Latarka</t>
  </si>
  <si>
    <t>Luz Flash</t>
  </si>
  <si>
    <t>Вспышка</t>
  </si>
  <si>
    <t>ไฟฉาย</t>
  </si>
  <si>
    <t>El feneri</t>
  </si>
  <si>
    <t>Спалах світла</t>
  </si>
  <si>
    <t>手电筒</t>
  </si>
  <si>
    <t>Đèn flash</t>
  </si>
  <si>
    <t>ಸೆಟ್ಟಿಂಗ್</t>
  </si>
  <si>
    <t>Iestatījums</t>
  </si>
  <si>
    <t>incomming_calls</t>
  </si>
  <si>
    <t>Incomming calls</t>
  </si>
  <si>
    <t>المكالمات الواردة</t>
  </si>
  <si>
    <t>Příchozí hovory</t>
  </si>
  <si>
    <t>Eingehende Anrufe</t>
  </si>
  <si>
    <t>Εισερχόμενες κλήσεις</t>
  </si>
  <si>
    <t>llamadas entrantes</t>
  </si>
  <si>
    <t>Sissetulevad kõned</t>
  </si>
  <si>
    <t>Saapuvat puhelut</t>
  </si>
  <si>
    <t>Appels entrants</t>
  </si>
  <si>
    <t>इनकमिंग कॉल</t>
  </si>
  <si>
    <t>Panggilan masuk</t>
  </si>
  <si>
    <t>Chiamate in arrivo</t>
  </si>
  <si>
    <t>着信</t>
  </si>
  <si>
    <t>ការហៅចូល</t>
  </si>
  <si>
    <t>ಒಳಬರುವ ಕರೆಗಳು</t>
  </si>
  <si>
    <t>수신 전화</t>
  </si>
  <si>
    <t>ສາຍໂທເຂົ້າ</t>
  </si>
  <si>
    <t>Ienākošie zvani</t>
  </si>
  <si>
    <t>Inkomende oproepen</t>
  </si>
  <si>
    <t>Połączenia przychodzące</t>
  </si>
  <si>
    <t>Chamadas recebidas</t>
  </si>
  <si>
    <t>Входящие звонки</t>
  </si>
  <si>
    <t>สายเรียกเข้า</t>
  </si>
  <si>
    <t>Gelen aramalar</t>
  </si>
  <si>
    <t>Вхідні дзвінки</t>
  </si>
  <si>
    <t>来电</t>
  </si>
  <si>
    <t>Cuộc gọi đến</t>
  </si>
  <si>
    <t>sms</t>
  </si>
  <si>
    <t>SMS</t>
  </si>
  <si>
    <t>رسالة قصيرة</t>
  </si>
  <si>
    <t>γραπτό μήνυμα</t>
  </si>
  <si>
    <t>tekstiviesti</t>
  </si>
  <si>
    <t>एसएमएस</t>
  </si>
  <si>
    <t>សារ</t>
  </si>
  <si>
    <t>ຂໍ້​ຄວາມ</t>
  </si>
  <si>
    <t>īsziņa</t>
  </si>
  <si>
    <t>SMS-em</t>
  </si>
  <si>
    <t>СМС</t>
  </si>
  <si>
    <t>短信</t>
  </si>
  <si>
    <t>notifications</t>
  </si>
  <si>
    <t>Notifications</t>
  </si>
  <si>
    <t>إشعارات</t>
  </si>
  <si>
    <t>Oznámení</t>
  </si>
  <si>
    <t>Benachrichtigungen</t>
  </si>
  <si>
    <t>Ειδοποιήσεις</t>
  </si>
  <si>
    <t>Notificaciones</t>
  </si>
  <si>
    <t>Märguanded</t>
  </si>
  <si>
    <t>Ilmoitukset</t>
  </si>
  <si>
    <t>सूचनाएं</t>
  </si>
  <si>
    <t>Pemberitahuan</t>
  </si>
  <si>
    <t>Notifiche</t>
  </si>
  <si>
    <t>通知</t>
  </si>
  <si>
    <t>ការជូនដំណឹង</t>
  </si>
  <si>
    <t>ಅಧಿಸೂಚನೆಗಳು</t>
  </si>
  <si>
    <t>알림</t>
  </si>
  <si>
    <t>ການແຈ້ງເຕືອນ</t>
  </si>
  <si>
    <t>Paziņojumi</t>
  </si>
  <si>
    <t>Meldingen</t>
  </si>
  <si>
    <t>Powiadomienia</t>
  </si>
  <si>
    <t>Notificações</t>
  </si>
  <si>
    <t>Уведомления</t>
  </si>
  <si>
    <t>การแจ้งเตือน</t>
  </si>
  <si>
    <t>Bildirimler</t>
  </si>
  <si>
    <t>Сповіщення</t>
  </si>
  <si>
    <t>Thông báo</t>
  </si>
  <si>
    <t>ការអនុញ្ញាត</t>
  </si>
  <si>
    <t>ການອະນຸຍາດ</t>
  </si>
  <si>
    <t>kebenaran</t>
  </si>
  <si>
    <t>Sự cho phép</t>
  </si>
  <si>
    <t>des_permission_read_notification</t>
  </si>
  <si>
    <t>The application needs permission to read notifications to perform this function. We are committed to protecting your personal information and will not use information from notifications for any purpose other than providing the features described.</t>
  </si>
  <si>
    <t>يحتاج التطبيق إلى إذن لقراءة الإشعارات لأداء هذه الوظيفة. نحن ملتزمون بحماية معلوماتك الشخصية ولن نستخدم المعلومات الواردة من الإشعارات لأي غرض آخر غير توفير الميزات الموضحة.</t>
  </si>
  <si>
    <t>K provedení této funkce potřebuje aplikace oprávnění ke čtení oznámení. Zavázali jsme se chránit vaše osobní údaje a nebudeme používat informace z oznámení k jiným účelům, než je poskytování popsaných funkcí.</t>
  </si>
  <si>
    <t>Um diese Funktion auszuführen, benötigt die Anwendung die Berechtigung zum Lesen von Benachrichtigungen. Wir verpflichten uns zum Schutz Ihrer persönlichen Daten und werden Informationen aus Benachrichtigungen nicht für andere Zwecke als die Bereitstellung der beschriebenen Funktionen verwenden.</t>
  </si>
  <si>
    <t>Η εφαρμογή χρειάζεται άδεια ανάγνωσης ειδοποιήσεων για να εκτελέσει αυτήν τη λειτουργία. Δεσμευόμαστε να προστατεύουμε τα προσωπικά σας στοιχεία και δεν θα χρησιμοποιήσουμε πληροφορίες από ειδοποιήσεις για οποιονδήποτε άλλο σκοπό εκτός από την παροχή των χαρακτηριστικών που περιγράφονται.</t>
  </si>
  <si>
    <t>La aplicación necesita permiso para leer notificaciones para realizar esta función. Nos comprometemos a proteger su información personal y no utilizaremos la información de las notificaciones para ningún otro propósito que no sea proporcionar las funciones descritas.</t>
  </si>
  <si>
    <t>Rakendus vajab selle funktsiooni täitmiseks luba teadete lugemiseks. Oleme pühendunud teie isikuandmete kaitsmisele ega kasuta teavitustes sisalduvat teavet muul eesmärgil kui kirjeldatud funktsioonide pakkumiseks.</t>
  </si>
  <si>
    <t>Sovellus tarvitsee luvan lukea ilmoituksia suorittaakseen tämän toiminnon. Olemme sitoutuneet suojaamaan henkilötietojasi emmekä käytä ilmoituksista saatuja tietoja mihinkään muuhun tarkoitukseen kuin kuvattujen ominaisuuksien tarjoamiseen.</t>
  </si>
  <si>
    <t>L'application a besoin de l'autorisation de lire les notifications pour exécuter cette fonction. Nous nous engageons à protéger vos informations personnelles et n'utiliserons pas les informations provenant des notifications à d'autres fins que celles décrites.</t>
  </si>
  <si>
    <t>इस फ़ंक्शन को निष्पादित करने के लिए एप्लिकेशन को सूचनाएं पढ़ने की अनुमति की आवश्यकता है। हम आपकी व्यक्तिगत जानकारी की सुरक्षा के लिए प्रतिबद्ध हैं और वर्णित सुविधाओं को प्रदान करने के अलावा किसी अन्य उद्देश्य के लिए सूचनाओं से जानकारी का उपयोग नहीं करेंगे।</t>
  </si>
  <si>
    <t>Aplikasi memerlukan izin untuk membaca notifikasi untuk menjalankan fungsi ini. Kami berkomitmen untuk melindungi informasi pribadi Anda dan tidak akan menggunakan informasi dari notifikasi untuk tujuan apa pun selain menyediakan fitur yang dijelaskan.</t>
  </si>
  <si>
    <t>L'applicazione necessita dell'autorizzazione per leggere le notifiche per eseguire questa funzione. Ci impegniamo a proteggere le tue informazioni personali e non utilizzeremo le informazioni provenienti dalle notifiche per scopi diversi dal fornire le funzionalità descritte.</t>
  </si>
  <si>
    <t>アプリケーションがこの機能を実行するには、通知を読み取る権限が必要です。当社はお客様の個人情報の保護に努めており、記載されている機能を提供する以外の目的で通知からの情報を使用することはありません。</t>
  </si>
  <si>
    <t>កម្មវិធីត្រូវការការអនុញ្ញាតដើម្បីអានការជូនដំណឹង ដើម្បីអនុវត្តមុខងារនេះ។ យើងប្តេជ្ញាការពារព័ត៌មានផ្ទាល់ខ្លួនរបស់អ្នក ហើយនឹងមិនប្រើប្រាស់ព័ត៌មានពីការជូនដំណឹងសម្រាប់គោលបំណងណាមួយក្រៅពីការផ្តល់លក្ខណៈពិសេសដែលបានពិពណ៌នានោះទេ។</t>
  </si>
  <si>
    <t>ಈ ಕಾರ್ಯವನ್ನು ನಿರ್ವಹಿಸಲು ಅಧಿಸೂಚನೆಗಳನ್ನು ಓದಲು ಅಪ್ಲಿಕೇಶನ್‌ಗೆ ಅನುಮತಿಯ ಅಗತ್ಯವಿದೆ. ನಿಮ್ಮ ವೈಯಕ್ತಿಕ ಮಾಹಿತಿಯನ್ನು ರಕ್ಷಿಸಲು ನಾವು ಬದ್ಧರಾಗಿದ್ದೇವೆ ಮತ್ತು ವಿವರಿಸಿದ ವೈಶಿಷ್ಟ್ಯಗಳನ್ನು ಒದಗಿಸುವುದನ್ನು ಹೊರತುಪಡಿಸಿ ಯಾವುದೇ ಉದ್ದೇಶಕ್ಕಾಗಿ ಅಧಿಸೂಚನೆಗಳಿಂದ ಮಾಹಿತಿಯನ್ನು ಬಳಸುವುದಿಲ್ಲ.</t>
  </si>
  <si>
    <t>이 기능을 수행하려면 애플리케이션에 알림을 읽을 수 있는 권한이 필요합니다. 당사는 귀하의 개인 정보를 보호하기 위해 최선을 다하고 있으며 설명된 기능을 제공하는 것 이외의 어떤 목적으로도 알림 정보를 사용하지 않을 것입니다.</t>
  </si>
  <si>
    <t>ແອັບພລິເຄຊັນຕ້ອງການການອະນຸຍາດອ່ານການແຈ້ງເຕືອນເພື່ອເຮັດໜ້າທີ່ນີ້. ພວກເຮົາມຸ່ງໝັ້ນທີ່ຈະປົກປ້ອງຂໍ້ມູນສ່ວນຕົວຂອງເຈົ້າ ແລະຈະບໍ່ໃຊ້ຂໍ້ມູນຈາກການແຈ້ງເຕືອນເພື່ອຈຸດປະສົງອື່ນນອກເໜືອໄປຈາກການສະໜອງຄຸນສົມບັດທີ່ໄດ້ອະທິບາຍໄວ້.</t>
  </si>
  <si>
    <t>Lai veiktu šo funkciju, lietojumprogrammai ir nepieciešama atļauja lasīt paziņojumus. Mēs esam apņēmušies aizsargāt jūsu personisko informāciju un neizmantosim informāciju no paziņojumiem citiem mērķiem, izņemot aprakstīto funkciju nodrošināšanai.</t>
  </si>
  <si>
    <t>Aplikasi memerlukan kebenaran untuk membaca pemberitahuan untuk melaksanakan fungsi ini. Kami komited untuk melindungi maklumat peribadi anda dan tidak akan menggunakan maklumat daripada pemberitahuan untuk sebarang tujuan selain daripada menyediakan ciri yang diterangkan.</t>
  </si>
  <si>
    <t>De applicatie heeft toestemming nodig om meldingen te lezen om deze functie uit te voeren. We doen er alles aan om uw persoonlijke gegevens te beschermen en zullen de informatie uit meldingen niet voor enig ander doel gebruiken dan het bieden van de beschreven functies.</t>
  </si>
  <si>
    <t>Aby móc korzystać z tej funkcji, aplikacja potrzebuje uprawnień do odczytu powiadomień. Zobowiązujemy się chronić Twoje dane osobowe i nie będziemy wykorzystywać informacji z powiadomień do celów innych niż zapewnienie opisanych funkcji.</t>
  </si>
  <si>
    <t>O aplicativo precisa de permissão para ler notificações para executar esta função. Estamos comprometidos em proteger suas informações pessoais e não usaremos as informações das notificações para qualquer outro fim que não seja o fornecimento dos recursos descritos.</t>
  </si>
  <si>
    <t>Для выполнения этой функции приложению необходимо разрешение на чтение уведомлений. Мы обязуемся защищать вашу личную информацию и не будем использовать информацию из уведомлений для каких-либо целей, кроме предоставления описанных функций.</t>
  </si>
  <si>
    <t>แอปพลิเคชันต้องการสิทธิ์ในการอ่านการแจ้งเตือนเพื่อใช้งานฟังก์ชันนี้ เรามุ่งมั่นที่จะปกป้องข้อมูลส่วนบุคคลของคุณและจะไม่ใช้ข้อมูลจากการแจ้งเตือนเพื่อวัตถุประสงค์อื่นใดนอกเหนือจากการให้บริการคุณสมบัติที่อธิบายไว้</t>
  </si>
  <si>
    <t>Uygulamanın bu işlevi gerçekleştirmek için bildirimleri okuma iznine ihtiyacı var. Kişisel bilgilerinizi korumaya kararlıyız ve bildirimlerdeki bilgileri açıklanan özelliklerin sağlanması dışında herhangi bir amaçla kullanmayacağız.</t>
  </si>
  <si>
    <t>Для виконання цієї функції програмі потрібен дозвіл на читання сповіщень. Ми прагнемо захищати вашу особисту інформацію та не будемо використовувати інформацію зі сповіщень для будь-яких інших цілей, окрім надання описаних функцій.</t>
  </si>
  <si>
    <t>应用程序需要读取通知的权限才能执行此功能。我们致力于保护您的个人信息，除了提供所述功能之外，不会将通知中的信息用于任何其他目的。</t>
  </si>
  <si>
    <t>Ứng dụng cần có quyền đọc thông báo để thực hiện chức năng này. Chúng tôi cam kết bảo vệ thông tin cá nhân của bạn và sẽ không sử dụng thông tin từ các thông báo cho bất kỳ mục đích nào khác ngoài việc cung cấp các tính năng được mô tả.</t>
  </si>
  <si>
    <t>test</t>
  </si>
  <si>
    <t>Test</t>
  </si>
  <si>
    <t>امتحان</t>
  </si>
  <si>
    <t>Prüfen</t>
  </si>
  <si>
    <t>Δοκιμή</t>
  </si>
  <si>
    <t>Prueba</t>
  </si>
  <si>
    <t>Testata</t>
  </si>
  <si>
    <t>परीक्षा</t>
  </si>
  <si>
    <t>Tes</t>
  </si>
  <si>
    <t>テスト</t>
  </si>
  <si>
    <t>សាកល្បង</t>
  </si>
  <si>
    <t>ಪರೀಕ್ಷೆ</t>
  </si>
  <si>
    <t>시험</t>
  </si>
  <si>
    <t>ການທົດສອບ</t>
  </si>
  <si>
    <t>Pārbaude</t>
  </si>
  <si>
    <t>Ujian</t>
  </si>
  <si>
    <t>Teste</t>
  </si>
  <si>
    <t>Тест</t>
  </si>
  <si>
    <t>ทดสอบ</t>
  </si>
  <si>
    <t>Ölçek</t>
  </si>
  <si>
    <t>测试</t>
  </si>
  <si>
    <t>Bài kiểm tra</t>
  </si>
  <si>
    <t>try_now</t>
  </si>
  <si>
    <t>Try now</t>
  </si>
  <si>
    <t>حاول الآن</t>
  </si>
  <si>
    <t>Vyzkoušet</t>
  </si>
  <si>
    <t>Versuch's jetzt</t>
  </si>
  <si>
    <t>Προσπαθήστε τώρα</t>
  </si>
  <si>
    <t>Probar ahora</t>
  </si>
  <si>
    <t>Proovige nüüd</t>
  </si>
  <si>
    <t>Kokeile nyt</t>
  </si>
  <si>
    <t>Essayez maintenant</t>
  </si>
  <si>
    <t>अब कोशिश करो</t>
  </si>
  <si>
    <t>Coba sekarang</t>
  </si>
  <si>
    <t>Prova ora</t>
  </si>
  <si>
    <t>今すぐやってみて下さい</t>
  </si>
  <si>
    <t>សាកល្បងឥឡូវនេះ</t>
  </si>
  <si>
    <t>ಈಗ ಪ್ರಯತ್ನಿಸಿ</t>
  </si>
  <si>
    <t>지금 사용해 보세요</t>
  </si>
  <si>
    <t>ລອງດຽວນີ້</t>
  </si>
  <si>
    <t>Mēģiniet tagad</t>
  </si>
  <si>
    <t>Cuba sekarang</t>
  </si>
  <si>
    <t>Probeer nu</t>
  </si>
  <si>
    <t>Spróbuj teraz</t>
  </si>
  <si>
    <t>Tente agora</t>
  </si>
  <si>
    <t>Попробуй</t>
  </si>
  <si>
    <t>ลองตอนนี้</t>
  </si>
  <si>
    <t>Şimdi dene</t>
  </si>
  <si>
    <t>Спробуємо зараз</t>
  </si>
  <si>
    <t>现在试试</t>
  </si>
  <si>
    <t>Thử ngay bây giờ</t>
  </si>
  <si>
    <t>flash_duration</t>
  </si>
  <si>
    <t>Flash duration</t>
  </si>
  <si>
    <t>مدة الفلاش</t>
  </si>
  <si>
    <t>Doba trvání záblesku</t>
  </si>
  <si>
    <t>Blitzdauer</t>
  </si>
  <si>
    <t>Διάρκεια φλας</t>
  </si>
  <si>
    <t>Duración del destello</t>
  </si>
  <si>
    <t>Välgu kestus</t>
  </si>
  <si>
    <t>Salaman kesto</t>
  </si>
  <si>
    <t>Durée du flash</t>
  </si>
  <si>
    <t>फ़्लैश अवधि</t>
  </si>
  <si>
    <t>Durasi kilat</t>
  </si>
  <si>
    <t>Durata del flash</t>
  </si>
  <si>
    <t>フラッシュ持続時間</t>
  </si>
  <si>
    <t>រយៈពេល Flash</t>
  </si>
  <si>
    <t>ಫ್ಲ್ಯಾಶ್ ಅವಧಿ</t>
  </si>
  <si>
    <t>플래시 지속 시간</t>
  </si>
  <si>
    <t>ໄລຍະເວລາ Flash</t>
  </si>
  <si>
    <t>Zibspuldzes ilgums</t>
  </si>
  <si>
    <t>Tempoh kilat</t>
  </si>
  <si>
    <t>Flitsduur</t>
  </si>
  <si>
    <t>Czas trwania błysku</t>
  </si>
  <si>
    <t>Duração do flash</t>
  </si>
  <si>
    <t>Продолжительность вспышки</t>
  </si>
  <si>
    <t>ระยะเวลาแฟลช</t>
  </si>
  <si>
    <t>Flaş süresi</t>
  </si>
  <si>
    <t>Тривалість спалаху</t>
  </si>
  <si>
    <t>闪光持续时间</t>
  </si>
  <si>
    <t>Thời lượng flash</t>
  </si>
  <si>
    <t>flash_interval</t>
  </si>
  <si>
    <t>Flash interval</t>
  </si>
  <si>
    <t>الفاصل الزمني للفلاش</t>
  </si>
  <si>
    <t>Interval blikání</t>
  </si>
  <si>
    <t>Blinkintervall</t>
  </si>
  <si>
    <t>Διάστημα φλας</t>
  </si>
  <si>
    <t>Intervalo de destello</t>
  </si>
  <si>
    <t>Välgu intervall</t>
  </si>
  <si>
    <t>Flash-väli</t>
  </si>
  <si>
    <t>Intervalle de flash</t>
  </si>
  <si>
    <t>फ़्लैश अंतराल</t>
  </si>
  <si>
    <t>Interval lampu kilat</t>
  </si>
  <si>
    <t>Intervallo di flash</t>
  </si>
  <si>
    <t>フラッシュ間隔</t>
  </si>
  <si>
    <t>ចន្លោះពេលពន្លឺ</t>
  </si>
  <si>
    <t>ಫ್ಲ್ಯಾಶ್ ಮಧ್ಯಂತರ</t>
  </si>
  <si>
    <t>플래시 간격</t>
  </si>
  <si>
    <t>ໄລຍະຫ່າງ Flash</t>
  </si>
  <si>
    <t>Zibspuldzes intervāls</t>
  </si>
  <si>
    <t>Selang kilat</t>
  </si>
  <si>
    <t>Flitsinterval</t>
  </si>
  <si>
    <t>Interwał błysku</t>
  </si>
  <si>
    <t>Intervalo de flash</t>
  </si>
  <si>
    <t>Интервал вспышки</t>
  </si>
  <si>
    <t>ช่วงเวลาแฟลช</t>
  </si>
  <si>
    <t>Flaş aralığı</t>
  </si>
  <si>
    <t>Інтервал спалаху</t>
  </si>
  <si>
    <t>闪光间隔</t>
  </si>
  <si>
    <t>Khoảng thời gian nhấp nháy</t>
  </si>
  <si>
    <t>total_duration</t>
  </si>
  <si>
    <t>Total duration</t>
  </si>
  <si>
    <t>المدة الإجمالية</t>
  </si>
  <si>
    <t>Celková doba trvání</t>
  </si>
  <si>
    <t>Gesamtdauer</t>
  </si>
  <si>
    <t>Συνολική διάρκεια</t>
  </si>
  <si>
    <t>Duración total</t>
  </si>
  <si>
    <t>Kogukestus</t>
  </si>
  <si>
    <t>Kokonaiskesto</t>
  </si>
  <si>
    <t>Durée totale</t>
  </si>
  <si>
    <t>कुल अवधि</t>
  </si>
  <si>
    <t>Durasi total</t>
  </si>
  <si>
    <t>Durata totale</t>
  </si>
  <si>
    <t>合計期間</t>
  </si>
  <si>
    <t>រយៈពេលសរុប</t>
  </si>
  <si>
    <t>ಒಟ್ಟು ಅವಧಿ</t>
  </si>
  <si>
    <t>총 기간</t>
  </si>
  <si>
    <t>ໄລຍະເວລາທັງໝົດ</t>
  </si>
  <si>
    <t>Kopējais ilgums</t>
  </si>
  <si>
    <t>Jumlah tempoh</t>
  </si>
  <si>
    <t>Totale duur</t>
  </si>
  <si>
    <t>Całkowity czas trwania</t>
  </si>
  <si>
    <t>Duração total</t>
  </si>
  <si>
    <t>Общая продолжительность</t>
  </si>
  <si>
    <t>ระยะเวลารวม</t>
  </si>
  <si>
    <t>Toplam süre</t>
  </si>
  <si>
    <t>Загальна тривалість</t>
  </si>
  <si>
    <t>总持续时间</t>
  </si>
  <si>
    <t>Tổng thời gian</t>
  </si>
  <si>
    <t>safe_time_period</t>
  </si>
  <si>
    <t>Safe time period</t>
  </si>
  <si>
    <t>فترة زمنية آمنة</t>
  </si>
  <si>
    <t>Bezpečné časové období</t>
  </si>
  <si>
    <t>Sicherer Zeitraum</t>
  </si>
  <si>
    <t>Ασφαλής χρονική περίοδος</t>
  </si>
  <si>
    <t>Periodo de tiempo seguro</t>
  </si>
  <si>
    <t>Ohutu ajaperiood</t>
  </si>
  <si>
    <t>Turvallinen ajanjakso</t>
  </si>
  <si>
    <t>Période de sécurité</t>
  </si>
  <si>
    <t>सुरक्षित समय अवधि</t>
  </si>
  <si>
    <t>Jangka waktu yang aman</t>
  </si>
  <si>
    <t>Periodo di tempo sicuro</t>
  </si>
  <si>
    <t>安全な期間</t>
  </si>
  <si>
    <t>រយៈពេលសុវត្ថិភាព</t>
  </si>
  <si>
    <t>ಸುರಕ್ಷಿತ ಅವಧಿ</t>
  </si>
  <si>
    <t>안전한 기간</t>
  </si>
  <si>
    <t>ໄລຍະເວລາທີ່ປອດໄພ</t>
  </si>
  <si>
    <t>Drošs laika periods</t>
  </si>
  <si>
    <t>Tempoh masa selamat</t>
  </si>
  <si>
    <t>Veilige periode</t>
  </si>
  <si>
    <t>Bezpieczny okres czasu</t>
  </si>
  <si>
    <t>Período de tempo seguro</t>
  </si>
  <si>
    <t>Безопасный период времени</t>
  </si>
  <si>
    <t>ระยะเวลาที่ปลอดภัย</t>
  </si>
  <si>
    <t>Güvenli zaman dilimi</t>
  </si>
  <si>
    <t>Безпечний період часу</t>
  </si>
  <si>
    <t>安全时间段</t>
  </si>
  <si>
    <t>Khoảng thời gian an toàn</t>
  </si>
  <si>
    <t>disable_flash_alert_within_a_specified_time_period</t>
  </si>
  <si>
    <t>Disable flash alert within a specified time period</t>
  </si>
  <si>
    <t>تعطيل تنبيه الفلاش خلال فترة زمنية محددة</t>
  </si>
  <si>
    <t>Deaktivovat bleskové upozornění v určeném časovém období</t>
  </si>
  <si>
    <t>Deaktivieren Sie den Blitzalarm innerhalb eines bestimmten Zeitraums</t>
  </si>
  <si>
    <t>Απενεργοποιήστε την ειδοποίηση φλας μέσα σε μια καθορισμένη χρονική περίοδο</t>
  </si>
  <si>
    <t>Deshabilitar la alerta de flash dentro de un período de tiempo específico</t>
  </si>
  <si>
    <t>Välguhoiatuse keelamine määratud aja jooksul</t>
  </si>
  <si>
    <t>Poista salamahälytys käytöstä tietyn ajan kuluessa</t>
  </si>
  <si>
    <t>Désactiver l'alerte flash dans un délai spécifié</t>
  </si>
  <si>
    <t>एक निर्दिष्ट समय अवधि के भीतर फ्लैश अलर्ट अक्षम करें</t>
  </si>
  <si>
    <t>Nonaktifkan peringatan kilat dalam jangka waktu tertentu</t>
  </si>
  <si>
    <t>Disabilita l'avviso flash entro un periodo di tempo specificato</t>
  </si>
  <si>
    <t>指定した期間内でフラッシュ アラートを無効にする</t>
  </si>
  <si>
    <t>បិទការជូនដំណឹងពន្លឺក្នុងរយៈពេលជាក់លាក់មួយ។</t>
  </si>
  <si>
    <t>ನಿಗದಿತ ಅವಧಿಯೊಳಗೆ ಫ್ಲಾಶ್ ಎಚ್ಚರಿಕೆಯನ್ನು ನಿಷ್ಕ್ರಿಯಗೊಳಿಸಿ</t>
  </si>
  <si>
    <t>지정된 기간 내에 플래시 경고 비활성화</t>
  </si>
  <si>
    <t>ປິດການແຈ້ງເຕືອນແຟລດພາຍໃນໄລຍະເວລາທີ່ກໍານົດໄວ້</t>
  </si>
  <si>
    <t>Atspējot zibspuldzes brīdinājumu noteiktā laika periodā</t>
  </si>
  <si>
    <t>Lumpuhkan amaran kilat dalam tempoh masa tertentu</t>
  </si>
  <si>
    <t>Schakel flitswaarschuwing uit binnen een bepaalde tijdsperiode</t>
  </si>
  <si>
    <t>Wyłącz alarm błyskowy w określonym przedziale czasu</t>
  </si>
  <si>
    <t>Desative o alerta flash dentro de um período de tempo especificado</t>
  </si>
  <si>
    <t>Отключить флэш-оповещение в течение определенного периода времени</t>
  </si>
  <si>
    <t>ปิดใช้งานการแจ้งเตือนแฟลชภายในระยะเวลาที่กำหนด</t>
  </si>
  <si>
    <t>Flaş uyarısını belirli bir süre içinde devre dışı bırakın</t>
  </si>
  <si>
    <t>Вимкніть миттєве сповіщення протягом зазначеного періоду часу</t>
  </si>
  <si>
    <t>在指定时间段内禁用闪光警报</t>
  </si>
  <si>
    <t>Tắt cảnh báo flash trong khoảng thời gian được chỉ định</t>
  </si>
  <si>
    <t>battery_saver</t>
  </si>
  <si>
    <t>Battery saver</t>
  </si>
  <si>
    <t>حافظ البطارية</t>
  </si>
  <si>
    <t>Šetřič baterie</t>
  </si>
  <si>
    <t>Batteriesparmodus</t>
  </si>
  <si>
    <t>Εξοικονόμηση μπαταρίας</t>
  </si>
  <si>
    <t>Ahorro de batería</t>
  </si>
  <si>
    <t>Akusäästja</t>
  </si>
  <si>
    <t>Akun säästäjä</t>
  </si>
  <si>
    <t>Économiseur de batterie</t>
  </si>
  <si>
    <t>बैटरी बचाने वाला</t>
  </si>
  <si>
    <t>Penghemat baterai</t>
  </si>
  <si>
    <t>Risparmio batteria</t>
  </si>
  <si>
    <t>バッテリーセーバー</t>
  </si>
  <si>
    <t>ឧបករណ៍សន្សំសំចៃថ្ម</t>
  </si>
  <si>
    <t>ಬ್ಯಾಟರಿ ಸೇವರ್</t>
  </si>
  <si>
    <t>배터리 세이버</t>
  </si>
  <si>
    <t>ຕົວປະຢັດແບັດເຕີຣີ</t>
  </si>
  <si>
    <t>Akumulatora taupīšanas režīms</t>
  </si>
  <si>
    <t>Penyelamat bateri</t>
  </si>
  <si>
    <t>Batterij bespaarder</t>
  </si>
  <si>
    <t>Program oszczędzający baterię</t>
  </si>
  <si>
    <t>Economizador de bateria</t>
  </si>
  <si>
    <t>Экономия заряда батареи</t>
  </si>
  <si>
    <t>ประหยัดแบตเตอรี่</t>
  </si>
  <si>
    <t>Batarya koruyucu</t>
  </si>
  <si>
    <t>Економія батареї</t>
  </si>
  <si>
    <t>省电</t>
  </si>
  <si>
    <t>Tiết kiệm pin</t>
  </si>
  <si>
    <t>disable_flash_alert_if_battery_bellow</t>
  </si>
  <si>
    <t>Disable flash alert if battery bellow</t>
  </si>
  <si>
    <t>قم بتعطيل تنبيه الفلاش إذا كانت البطارية منخفضة</t>
  </si>
  <si>
    <t>Deaktivujte výstrahu blesku, pokud je baterie nižší</t>
  </si>
  <si>
    <t>Deaktivieren Sie den Blitzalarm, wenn die Batterie leer ist</t>
  </si>
  <si>
    <t>Απενεργοποιήστε την ειδοποίηση φλας εάν η μπαταρία είναι κάτω</t>
  </si>
  <si>
    <t>Desactive la alerta de flash si la batería está por debajo</t>
  </si>
  <si>
    <t>Lülitage välguhoiatus välja, kui aku laeb alla</t>
  </si>
  <si>
    <t>Poista salamavaroitus käytöstä, jos akun varaus on tyhjä</t>
  </si>
  <si>
    <t>Désactiver l'alerte flash si la batterie est en dessous</t>
  </si>
  <si>
    <t>यदि बैटरी ख़राब हो तो फ़्लैश अलर्ट अक्षम करें</t>
  </si>
  <si>
    <t>Nonaktifkan peringatan flash jika baterai lemah</t>
  </si>
  <si>
    <t>Disattiva l'avviso flash se la batteria è scarica</t>
  </si>
  <si>
    <t>バッテリーが以下の場合はフラッシュアラートを無効にする</t>
  </si>
  <si>
    <t>បិទការជូនដំណឹងពន្លឺ ប្រសិនបើថ្មខាងក្រោម</t>
  </si>
  <si>
    <t>ಬ್ಯಾಟರಿ ಕೆಳಗಿದ್ದರೆ ಫ್ಲ್ಯಾಷ್ ಎಚ್ಚರಿಕೆಯನ್ನು ನಿಷ್ಕ್ರಿಯಗೊಳಿಸಿ</t>
  </si>
  <si>
    <t>배터리가 부족할 경우 플래시 경고 비활성화</t>
  </si>
  <si>
    <t>ປິດການແຈ້ງເຕືອນແຟລດຖ້າແບດເຕີລີ່ຂ້າງລຸ່ມ</t>
  </si>
  <si>
    <t>Atspējojiet zibspuldzes brīdinājumu, ja akumulatora uzlādes līmenis ir zems</t>
  </si>
  <si>
    <t>Lumpuhkan amaran kilat jika bateri di bawah</t>
  </si>
  <si>
    <t>Schakel de flitswaarschuwing uit als de batterij leeg is</t>
  </si>
  <si>
    <t>Wyłącz alert lampy błyskowej, jeśli poziom naładowania baterii jest niższy</t>
  </si>
  <si>
    <t>Desative o alerta de flash se a bateria estiver abaixo</t>
  </si>
  <si>
    <t>Отключить вспышку, если батарея разряжена</t>
  </si>
  <si>
    <t>ปิดใช้งานการแจ้งเตือนแฟลชหากแบตเตอรี่หมด</t>
  </si>
  <si>
    <t>Pil zayıfsa flaş uyarısını devre dışı bırakın</t>
  </si>
  <si>
    <t>Вимкніть спалах сповіщення, якщо акумулятор розряджений</t>
  </si>
  <si>
    <t>如果电池电量不足，请禁用闪光警报</t>
  </si>
  <si>
    <t>Tắt cảnh báo flash nếu pin yếu</t>
  </si>
  <si>
    <t>if_you_deactivate_this_feature_flash_alert_will_be_disabled</t>
  </si>
  <si>
    <t>If you deactivate this feature, flash alert will be disabled</t>
  </si>
  <si>
    <t>إذا قمت بإلغاء تنشيط هذه الميزة، فسيتم تعطيل تنبيه الفلاش</t>
  </si>
  <si>
    <t>Pokud tuto funkci deaktivujete, bleskové upozornění bude deaktivováno</t>
  </si>
  <si>
    <t>Wenn Sie diese Funktion deaktivieren, wird der Blitzalarm deaktiviert</t>
  </si>
  <si>
    <t>Εάν απενεργοποιήσετε αυτήν τη δυνατότητα, η ειδοποίηση φλας θα απενεργοποιηθεί</t>
  </si>
  <si>
    <t>Si desactiva esta función, la alerta flash se desactivará</t>
  </si>
  <si>
    <t>Kui lülitate selle funktsiooni välja, keelatakse välguhoiatus</t>
  </si>
  <si>
    <t>Jos poistat tämän ominaisuuden käytöstä, salamahälytys poistetaan käytöstä</t>
  </si>
  <si>
    <t>Si vous désactivez cette fonctionnalité, l'alerte flash sera désactivée</t>
  </si>
  <si>
    <t>यदि आप इस सुविधा को निष्क्रिय करते हैं, तो फ्लैश अलर्ट अक्षम हो जाएगा</t>
  </si>
  <si>
    <t>Jika Anda menonaktifkan fitur ini, peringatan kilat akan dinonaktifkan</t>
  </si>
  <si>
    <t>Se disattivi questa funzione, l'avviso flash sarà disabilitato</t>
  </si>
  <si>
    <t>この機能を無効にすると、フラッシュアラートは無効になります</t>
  </si>
  <si>
    <t>ប្រសិនបើអ្នកបិទមុខងារនេះ ការជូនដំណឹងពន្លឺនឹងត្រូវបានបិទ</t>
  </si>
  <si>
    <t>ನೀವು ಈ ವೈಶಿಷ್ಟ್ಯವನ್ನು ನಿಷ್ಕ್ರಿಯಗೊಳಿಸಿದರೆ, ಫ್ಲಾಶ್ ಎಚ್ಚರಿಕೆಯನ್ನು ನಿಷ್ಕ್ರಿಯಗೊಳಿಸಲಾಗುತ್ತದೆ</t>
  </si>
  <si>
    <t>이 기능을 비활성화하면 플래시 알림이 비활성화됩니다.</t>
  </si>
  <si>
    <t>ຖ້າທ່ານປິດຄຸນສົມບັດນີ້, ການແຈ້ງເຕືອນແຟລດຈະຖືກປິດໃຊ້ງານ</t>
  </si>
  <si>
    <t>Ja deaktivizēsiet šo funkciju, zibspuldzes brīdinājums tiks atspējots</t>
  </si>
  <si>
    <t>Jika anda menyahaktifkan ciri ini, amaran kilat akan dilumpuhkan</t>
  </si>
  <si>
    <t>Als u deze functie uitschakelt, wordt de flitswaarschuwing uitgeschakeld</t>
  </si>
  <si>
    <t>Jeśli wyłączysz tę funkcję, alert błyskowy zostanie wyłączony</t>
  </si>
  <si>
    <t>Se você desativar este recurso, o alerta flash será desativado</t>
  </si>
  <si>
    <t>Если вы отключите эту функцию, флэш-оповещение будет отключено.</t>
  </si>
  <si>
    <t>หากคุณปิดใช้งานคุณสมบัตินี้ การแจ้งเตือนแบบแฟลชจะถูกปิดใช้งาน</t>
  </si>
  <si>
    <t>Bu özelliği devre dışı bırakırsanız flaş uyarısı devre dışı kalacaktır</t>
  </si>
  <si>
    <t>Якщо вимкнути цю функцію, спалах сповіщення буде вимкнено</t>
  </si>
  <si>
    <t>如果您停用此功能，闪光警报将被禁用</t>
  </si>
  <si>
    <t>Nếu bạn tắt tính năng này, cảnh báo flash sẽ bị tắt</t>
  </si>
  <si>
    <t>enable</t>
  </si>
  <si>
    <t>Enable</t>
  </si>
  <si>
    <t>يُمكَِن</t>
  </si>
  <si>
    <t>Umožnit</t>
  </si>
  <si>
    <t>Aktivieren</t>
  </si>
  <si>
    <t>επιτρέπω</t>
  </si>
  <si>
    <t>ota käyttöön</t>
  </si>
  <si>
    <t>Activer</t>
  </si>
  <si>
    <t>सक्षम</t>
  </si>
  <si>
    <t>Memungkinkan</t>
  </si>
  <si>
    <t>Abilitare</t>
  </si>
  <si>
    <t>有効にする</t>
  </si>
  <si>
    <t>បើក</t>
  </si>
  <si>
    <t>ಸಕ್ರಿಯಗೊಳಿಸಿ</t>
  </si>
  <si>
    <t>할 수 있게 하다</t>
  </si>
  <si>
    <t>ເປີດໃຊ້</t>
  </si>
  <si>
    <t>Iespējot</t>
  </si>
  <si>
    <t>Dayakan</t>
  </si>
  <si>
    <t>Inschakelen</t>
  </si>
  <si>
    <t>Włączać</t>
  </si>
  <si>
    <t>Habilitar</t>
  </si>
  <si>
    <t>Давать возможность</t>
  </si>
  <si>
    <t>เปิดใช้งาน</t>
  </si>
  <si>
    <t>Olanak vermek</t>
  </si>
  <si>
    <t>Увімкнути</t>
  </si>
  <si>
    <t>使能够</t>
  </si>
  <si>
    <t>Seaded</t>
  </si>
  <si>
    <t>tetapan</t>
  </si>
  <si>
    <t>Jaga</t>
  </si>
  <si>
    <t>ចែករំលែក</t>
  </si>
  <si>
    <t>ಹಂಚಿಕೊಳ್ಳಿ</t>
  </si>
  <si>
    <t>ແບ່ງປັນ</t>
  </si>
  <si>
    <t>Dalīties</t>
  </si>
  <si>
    <t>Kongsi</t>
  </si>
  <si>
    <t>Поділіться</t>
  </si>
  <si>
    <t>Nhận xét</t>
  </si>
  <si>
    <t>start</t>
  </si>
  <si>
    <t>Start</t>
  </si>
  <si>
    <t>يبدأ</t>
  </si>
  <si>
    <t>Αρχή</t>
  </si>
  <si>
    <t>Comenzar</t>
  </si>
  <si>
    <t>Alusta</t>
  </si>
  <si>
    <t>alkaa</t>
  </si>
  <si>
    <t>शुरू</t>
  </si>
  <si>
    <t>Awal</t>
  </si>
  <si>
    <t>Inizio</t>
  </si>
  <si>
    <t>始める</t>
  </si>
  <si>
    <t>시작</t>
  </si>
  <si>
    <t>ເລີ່ມ</t>
  </si>
  <si>
    <t>Sākt</t>
  </si>
  <si>
    <t>Mulakan</t>
  </si>
  <si>
    <t>Początek</t>
  </si>
  <si>
    <t>Começar</t>
  </si>
  <si>
    <t>Начинать</t>
  </si>
  <si>
    <t>Başlangıç</t>
  </si>
  <si>
    <t>старт</t>
  </si>
  <si>
    <t>end</t>
  </si>
  <si>
    <t>End</t>
  </si>
  <si>
    <t>نهاية</t>
  </si>
  <si>
    <t>Konec</t>
  </si>
  <si>
    <t>Ende</t>
  </si>
  <si>
    <t>Τέλος</t>
  </si>
  <si>
    <t>Fin</t>
  </si>
  <si>
    <t>Lõpp</t>
  </si>
  <si>
    <t>Loppu</t>
  </si>
  <si>
    <t>अंत</t>
  </si>
  <si>
    <t>Akhir</t>
  </si>
  <si>
    <t>FINE</t>
  </si>
  <si>
    <t>ចប់</t>
  </si>
  <si>
    <t>ಅಂತ್ಯ</t>
  </si>
  <si>
    <t>끝</t>
  </si>
  <si>
    <t>ຈົບ</t>
  </si>
  <si>
    <t>Beigas</t>
  </si>
  <si>
    <t>tamat</t>
  </si>
  <si>
    <t>Einde</t>
  </si>
  <si>
    <t>Koniec</t>
  </si>
  <si>
    <t>Fim</t>
  </si>
  <si>
    <t>Конец</t>
  </si>
  <si>
    <t>จบ</t>
  </si>
  <si>
    <t>Son</t>
  </si>
  <si>
    <t>Кінець</t>
  </si>
  <si>
    <t>结尾</t>
  </si>
  <si>
    <t>Kết thúc</t>
  </si>
  <si>
    <t>disabled_time</t>
  </si>
  <si>
    <t>Disabled time</t>
  </si>
  <si>
    <t>وقت معطل</t>
  </si>
  <si>
    <t>Čas deaktivace</t>
  </si>
  <si>
    <t>Behinderte Zeit</t>
  </si>
  <si>
    <t>Ώρα για άτομα με ειδικές ανάγκες</t>
  </si>
  <si>
    <t>tiempo inhabilitado</t>
  </si>
  <si>
    <t>Puudega aeg</t>
  </si>
  <si>
    <t>Käytöstä poistettu aika</t>
  </si>
  <si>
    <t>Temps désactivé</t>
  </si>
  <si>
    <t>अक्षम समय</t>
  </si>
  <si>
    <t>Waktu dinonaktifkan</t>
  </si>
  <si>
    <t>Tempo disabili</t>
  </si>
  <si>
    <t>無効時間</t>
  </si>
  <si>
    <t>ពេលវេលាពិការ</t>
  </si>
  <si>
    <t>ನಿಷ್ಕ್ರಿಯಗೊಳಿಸಿದ ಸಮಯ</t>
  </si>
  <si>
    <t>장애인 시간</t>
  </si>
  <si>
    <t>ເວລາພິການ</t>
  </si>
  <si>
    <t>Invalīdu laiks</t>
  </si>
  <si>
    <t>Masa dilumpuhkan</t>
  </si>
  <si>
    <t>Gehandicapte tijd</t>
  </si>
  <si>
    <t>Niepełnosprawny czas</t>
  </si>
  <si>
    <t>Tempo desativado</t>
  </si>
  <si>
    <t>Время отключения</t>
  </si>
  <si>
    <t>เวลาปิดการใช้งาน</t>
  </si>
  <si>
    <t>Devre dışı kalma süresi</t>
  </si>
  <si>
    <t>Час вимкнення</t>
  </si>
  <si>
    <t>禁用时间</t>
  </si>
  <si>
    <t>thời gian bị vô hiệu hóa</t>
  </si>
  <si>
    <t>safe_time_setting</t>
  </si>
  <si>
    <t>Safe time setting</t>
  </si>
  <si>
    <t>إعداد الوقت الآمن</t>
  </si>
  <si>
    <t>Bezpečné nastavení času</t>
  </si>
  <si>
    <t>Sichere Zeiteinstellung</t>
  </si>
  <si>
    <t>Ρύθμιση ασφαλούς χρόνου</t>
  </si>
  <si>
    <t>Configuración de hora segura</t>
  </si>
  <si>
    <t>Ohutu aja seadistus</t>
  </si>
  <si>
    <t>Turvallinen ajan asetus</t>
  </si>
  <si>
    <t>Réglage de l'heure en toute sécurité</t>
  </si>
  <si>
    <t>सुरक्षित समय निर्धारण</t>
  </si>
  <si>
    <t>Pengaturan waktu yang aman</t>
  </si>
  <si>
    <t>Impostazione dell'ora sicura</t>
  </si>
  <si>
    <t>安全な時間設定</t>
  </si>
  <si>
    <t>ការកំណត់ពេលវេលាសុវត្ថិភាព</t>
  </si>
  <si>
    <t>ಸುರಕ್ಷಿತ ಸಮಯ ಸೆಟ್ಟಿಂಗ್</t>
  </si>
  <si>
    <t>안전한 시간 설정</t>
  </si>
  <si>
    <t>ການຕັ້ງຄ່າເວລາປອດໄພ</t>
  </si>
  <si>
    <t>Droša laika iestatīšana</t>
  </si>
  <si>
    <t>Tetapan masa selamat</t>
  </si>
  <si>
    <t>Veilige tijdinstelling</t>
  </si>
  <si>
    <t>Bezpieczne ustawienie czasu</t>
  </si>
  <si>
    <t>Configuração de tempo seguro</t>
  </si>
  <si>
    <t>Безопасная настройка времени</t>
  </si>
  <si>
    <t>การตั้งค่าเวลาที่ปลอดภัย</t>
  </si>
  <si>
    <t>Güvenli zaman ayarı</t>
  </si>
  <si>
    <t>Налаштування безпечного часу</t>
  </si>
  <si>
    <t>安全时间设定</t>
  </si>
  <si>
    <t>Cài đặt thời gian an toàn</t>
  </si>
  <si>
    <t>start_time</t>
  </si>
  <si>
    <t>Start time</t>
  </si>
  <si>
    <t>وقت البدء</t>
  </si>
  <si>
    <t>Doba spuštění</t>
  </si>
  <si>
    <t>Startzeit</t>
  </si>
  <si>
    <t>Ωρα έναρξης</t>
  </si>
  <si>
    <t>Hora de inicio</t>
  </si>
  <si>
    <t>Algusaeg</t>
  </si>
  <si>
    <t>Aloitusaika</t>
  </si>
  <si>
    <t>Heure de début</t>
  </si>
  <si>
    <t>समय शुरू</t>
  </si>
  <si>
    <t>Waktu mulai</t>
  </si>
  <si>
    <t>Ora di inizio</t>
  </si>
  <si>
    <t>始まる時間</t>
  </si>
  <si>
    <t>ពេលវេលាចាប់ផ្តើម</t>
  </si>
  <si>
    <t>ಆರಂಭವಾಗುವ</t>
  </si>
  <si>
    <t>시작 시간</t>
  </si>
  <si>
    <t>ເວລາເລີ່ມຕົ້ນ</t>
  </si>
  <si>
    <t>Sākuma laiks</t>
  </si>
  <si>
    <t>Masa mula</t>
  </si>
  <si>
    <t>Starttijd</t>
  </si>
  <si>
    <t>Czas rozpoczęcia</t>
  </si>
  <si>
    <t>Hora de início</t>
  </si>
  <si>
    <t>Время начала</t>
  </si>
  <si>
    <t>เวลาเริ่มต้น</t>
  </si>
  <si>
    <t>Başlangıç ​​saati</t>
  </si>
  <si>
    <t>Час початку</t>
  </si>
  <si>
    <t>开始时间</t>
  </si>
  <si>
    <t>Thời gian bắt đầu</t>
  </si>
  <si>
    <t>end_time</t>
  </si>
  <si>
    <t>End time</t>
  </si>
  <si>
    <t>وقت النهاية</t>
  </si>
  <si>
    <t>Čas ukončení</t>
  </si>
  <si>
    <t>Endzeit</t>
  </si>
  <si>
    <t>Τέλος χρόνου</t>
  </si>
  <si>
    <t>Hora de finalización</t>
  </si>
  <si>
    <t>Lõpuaeg</t>
  </si>
  <si>
    <t>Loppu aika</t>
  </si>
  <si>
    <t>Heure de fin</t>
  </si>
  <si>
    <t>अंत समय</t>
  </si>
  <si>
    <t>Akhir waktu</t>
  </si>
  <si>
    <t>Tempo scaduto</t>
  </si>
  <si>
    <t>終了時間</t>
  </si>
  <si>
    <t>ពេលវេលាបញ្ចប់</t>
  </si>
  <si>
    <t>ಅಂತಿಮ ಸಮಯ</t>
  </si>
  <si>
    <t>종료 시간</t>
  </si>
  <si>
    <t>ເວລາສິ້ນສຸດ</t>
  </si>
  <si>
    <t>Beigu laiks</t>
  </si>
  <si>
    <t>Masa tamat</t>
  </si>
  <si>
    <t>Eindtijd</t>
  </si>
  <si>
    <t>Koniec czasu</t>
  </si>
  <si>
    <t>Fim do tempo</t>
  </si>
  <si>
    <t>Время окончания</t>
  </si>
  <si>
    <t>เวลาสิ้นสุด</t>
  </si>
  <si>
    <t>Bitiş zamanı</t>
  </si>
  <si>
    <t>Час закінчення</t>
  </si>
  <si>
    <t>时间结束</t>
  </si>
  <si>
    <t>Thời gian kết thúc</t>
  </si>
  <si>
    <t>disable_flash_alert_within_a_specified_time</t>
  </si>
  <si>
    <t>Disable flash alert within a specified time</t>
  </si>
  <si>
    <t>Deaktivovat upozornění bleskem v určeném čase</t>
  </si>
  <si>
    <t>Deaktivieren Sie den Blitzalarm innerhalb einer bestimmten Zeit</t>
  </si>
  <si>
    <t>Απενεργοποιήστε την ειδοποίηση φλας εντός καθορισμένου χρόνου</t>
  </si>
  <si>
    <t>Deshabilitar la alerta de flash dentro de un tiempo específico</t>
  </si>
  <si>
    <t>एक निर्दिष्ट समय के भीतर फ्लैश अलर्ट अक्षम करें</t>
  </si>
  <si>
    <t>Nonaktifkan peringatan kilat dalam waktu tertentu</t>
  </si>
  <si>
    <t>Disabilita l'avviso flash entro un tempo specificato</t>
  </si>
  <si>
    <t>指定した時間内でフラッシュ アラートを無効にする</t>
  </si>
  <si>
    <t>ನಿರ್ದಿಷ್ಟ ಸಮಯದೊಳಗೆ ಫ್ಲಾಶ್ ಎಚ್ಚರಿಕೆಯನ್ನು ನಿಷ್ಕ್ರಿಯಗೊಳಿಸಿ</t>
  </si>
  <si>
    <t>지정된 시간 내에 플래시 경고 비활성화</t>
  </si>
  <si>
    <t>ປິດການແຈ້ງເຕືອນແຟລດພາຍໃນເວລາທີ່ກໍານົດໄວ້</t>
  </si>
  <si>
    <t>Atspējot zibspuldzes brīdinājumu noteiktā laikā</t>
  </si>
  <si>
    <t>Lumpuhkan amaran kilat dalam masa yang ditetapkan</t>
  </si>
  <si>
    <t>Schakel flitswaarschuwing binnen een bepaalde tijd uit</t>
  </si>
  <si>
    <t>Wyłącz alert flash w określonym czasie</t>
  </si>
  <si>
    <t>Desative o alerta flash dentro de um tempo especificado</t>
  </si>
  <si>
    <t>Отключить флэш-оповещение в течение указанного времени</t>
  </si>
  <si>
    <t>ปิดการแจ้งเตือนแฟลชภายในระยะเวลาที่กำหนด</t>
  </si>
  <si>
    <t>Вимкніть спалах сповіщення протягом зазначеного часу</t>
  </si>
  <si>
    <t>在指定时间内禁用闪光警报</t>
  </si>
  <si>
    <t>Tắt cảnh báo flash trong một thời gian nhất định</t>
  </si>
  <si>
    <t>battery_saver_setting</t>
  </si>
  <si>
    <t>Battery saver setting</t>
  </si>
  <si>
    <t>إعداد توفير البطارية</t>
  </si>
  <si>
    <t>Nastavení spořiče baterie</t>
  </si>
  <si>
    <t>Einstellung des Batteriesparmodus</t>
  </si>
  <si>
    <t>Ρύθμιση εξοικονόμησης μπαταρίας</t>
  </si>
  <si>
    <t>Configuración de ahorro de batería</t>
  </si>
  <si>
    <t>Akusäästja seade</t>
  </si>
  <si>
    <t>Virransäästöasetus</t>
  </si>
  <si>
    <t>Paramètres d'économie de batterie</t>
  </si>
  <si>
    <t>बैटरी सेवर सेटिंग</t>
  </si>
  <si>
    <t>Pengaturan penghemat baterai</t>
  </si>
  <si>
    <t>Impostazione del risparmio energetico</t>
  </si>
  <si>
    <t>バッテリーセーバー設定</t>
  </si>
  <si>
    <t>ការកំណត់ការសន្សំថ្ម</t>
  </si>
  <si>
    <t>ಬ್ಯಾಟರಿ ಸೇವರ್ ಸೆಟ್ಟಿಂಗ್</t>
  </si>
  <si>
    <t>배터리 절약 설정</t>
  </si>
  <si>
    <t>ການຕັ້ງຄ່າຕົວປະຢັດແບັດເຕີຣີ</t>
  </si>
  <si>
    <t>Akumulatora taupīšanas iestatījums</t>
  </si>
  <si>
    <t>Tetapan penjimat bateri</t>
  </si>
  <si>
    <t>Instelling batterijbesparing</t>
  </si>
  <si>
    <t>Ustawienie oszczędzania baterii</t>
  </si>
  <si>
    <t>Configuração de economia de bateria</t>
  </si>
  <si>
    <t>Настройка экономии заряда батареи</t>
  </si>
  <si>
    <t>การตั้งค่าประหยัดแบตเตอรี่</t>
  </si>
  <si>
    <t>Pil tasarrufu ayarı</t>
  </si>
  <si>
    <t>Налаштування енергозбереження</t>
  </si>
  <si>
    <t>省电设置</t>
  </si>
  <si>
    <t>Cài đặt tiết kiệm pin</t>
  </si>
  <si>
    <t>ms</t>
  </si>
  <si>
    <t>select_app</t>
  </si>
  <si>
    <t>Select app</t>
  </si>
  <si>
    <t>حدد التطبيق</t>
  </si>
  <si>
    <t>Vyberte aplikaci</t>
  </si>
  <si>
    <t>App auswählen</t>
  </si>
  <si>
    <t>Επιλέξτε εφαρμογή</t>
  </si>
  <si>
    <t>Seleccionar aplicación</t>
  </si>
  <si>
    <t>Valige rakendus</t>
  </si>
  <si>
    <t>Valitse sovellus</t>
  </si>
  <si>
    <t>Sélectionnez l'application</t>
  </si>
  <si>
    <t>ऐप चुनें</t>
  </si>
  <si>
    <t>Pilih aplikasi</t>
  </si>
  <si>
    <t>Seleziona l'app</t>
  </si>
  <si>
    <t>アプリを選択</t>
  </si>
  <si>
    <t>ជ្រើសរើសកម្មវិធី</t>
  </si>
  <si>
    <t>ಅಪ್ಲಿಕೇಶನ್ ಆಯ್ಕೆಮಾಡಿ</t>
  </si>
  <si>
    <t>앱 선택</t>
  </si>
  <si>
    <t>ເລືອກແອັບ</t>
  </si>
  <si>
    <t>Izvēlieties lietotni</t>
  </si>
  <si>
    <t>Pilih apl</t>
  </si>
  <si>
    <t>Selecteer app</t>
  </si>
  <si>
    <t>Wybierz aplikację</t>
  </si>
  <si>
    <t>Selecione o aplicativo</t>
  </si>
  <si>
    <t>Выберите приложение</t>
  </si>
  <si>
    <t>เลือกแอป</t>
  </si>
  <si>
    <t>Uygulamayı seçin</t>
  </si>
  <si>
    <t>Виберіть додаток</t>
  </si>
  <si>
    <t>选择应用程序</t>
  </si>
  <si>
    <t>Chọn ứng dụng</t>
  </si>
  <si>
    <t>disable_flash_alert_for_selected_apps</t>
  </si>
  <si>
    <t>Disable flash alert for selected apps</t>
  </si>
  <si>
    <t>تعطيل تنبيه الفلاش للتطبيقات المحددة</t>
  </si>
  <si>
    <t>Zakázat bleskové upozornění pro vybrané aplikace</t>
  </si>
  <si>
    <t>Deaktivieren Sie die Flash-Benachrichtigung für ausgewählte Apps</t>
  </si>
  <si>
    <t>Απενεργοποίηση ειδοποίησης φλας για επιλεγμένες εφαρμογές</t>
  </si>
  <si>
    <t>Deshabilitar la alerta flash para aplicaciones seleccionadas</t>
  </si>
  <si>
    <t>Keelake valitud rakenduste jaoks välguhoiatus</t>
  </si>
  <si>
    <t>Poista salamahälytys käytöstä valituissa sovelluksissa</t>
  </si>
  <si>
    <t>Désactiver l'alerte flash pour les applications sélectionnées</t>
  </si>
  <si>
    <t>चयनित ऐप्स के लिए फ़्लैश अलर्ट अक्षम करें</t>
  </si>
  <si>
    <t>Nonaktifkan peringatan flash untuk aplikasi yang dipilih</t>
  </si>
  <si>
    <t>Disabilita avviso flash per le app selezionate</t>
  </si>
  <si>
    <t>選択したアプリのフラッシュ アラートを無効にする</t>
  </si>
  <si>
    <t>បិទការជូនដំណឹងពន្លឺសម្រាប់កម្មវិធីដែលបានជ្រើសរើស</t>
  </si>
  <si>
    <t>ಆಯ್ಕೆಮಾಡಿದ ಅಪ್ಲಿಕೇಶನ್‌ಗಳಿಗಾಗಿ ಫ್ಲ್ಯಾಷ್ ಎಚ್ಚರಿಕೆಯನ್ನು ನಿಷ್ಕ್ರಿಯಗೊಳಿಸಿ</t>
  </si>
  <si>
    <t>선택한 앱에 대해 플래시 알림 비활성화</t>
  </si>
  <si>
    <t>ປິດການແຈ້ງເຕືອນແຟລດສໍາລັບແອັບຯທີ່ເລືອກ</t>
  </si>
  <si>
    <t>Atspējot zibspuldzes brīdinājumu atlasītajām programmām</t>
  </si>
  <si>
    <t>Lumpuhkan amaran kilat untuk apl terpilih</t>
  </si>
  <si>
    <t>Schakel flitswaarschuwing uit voor geselecteerde apps</t>
  </si>
  <si>
    <t>Wyłącz alert flash dla wybranych aplikacji</t>
  </si>
  <si>
    <t>Desative o alerta flash para aplicativos selecionados</t>
  </si>
  <si>
    <t>Отключить флэш-оповещение для выбранных приложений</t>
  </si>
  <si>
    <t>ปิดใช้งานการแจ้งเตือนแฟลชสำหรับแอปที่เลือก</t>
  </si>
  <si>
    <t>Seçilen uygulamalar için flaş uyarısını devre dışı bırak</t>
  </si>
  <si>
    <t>Вимкнути спалах сповіщення для вибраних програм</t>
  </si>
  <si>
    <t>禁用选定应用程序的闪光警报</t>
  </si>
  <si>
    <t>Tắt cảnh báo flash cho các ứng dụng đã chọn</t>
  </si>
  <si>
    <t>general</t>
  </si>
  <si>
    <t>General</t>
  </si>
  <si>
    <t>عام</t>
  </si>
  <si>
    <t>Všeobecné</t>
  </si>
  <si>
    <t>Allgemein</t>
  </si>
  <si>
    <t>Γενικός</t>
  </si>
  <si>
    <t>Kindral</t>
  </si>
  <si>
    <t>Kenraali</t>
  </si>
  <si>
    <t>Général</t>
  </si>
  <si>
    <t>सामान्य</t>
  </si>
  <si>
    <t>Umum</t>
  </si>
  <si>
    <t>Generale</t>
  </si>
  <si>
    <t>一般的な</t>
  </si>
  <si>
    <t>ទូទៅ</t>
  </si>
  <si>
    <t>ಸಾಮಾನ್ಯ</t>
  </si>
  <si>
    <t>일반적인</t>
  </si>
  <si>
    <t>ທົ່ວໄປ</t>
  </si>
  <si>
    <t>Ģenerālis</t>
  </si>
  <si>
    <t>Algemeen</t>
  </si>
  <si>
    <t>Ogólny</t>
  </si>
  <si>
    <t>Em geral</t>
  </si>
  <si>
    <t>Общий</t>
  </si>
  <si>
    <t>ทั่วไป</t>
  </si>
  <si>
    <t>Genel</t>
  </si>
  <si>
    <t>Загальний</t>
  </si>
  <si>
    <t>一般的</t>
  </si>
  <si>
    <t>Tổng quan</t>
  </si>
  <si>
    <t>vibrate</t>
  </si>
  <si>
    <t>Vibrate</t>
  </si>
  <si>
    <t>تذبذب</t>
  </si>
  <si>
    <t>Vibrovat</t>
  </si>
  <si>
    <t>Vibrieren</t>
  </si>
  <si>
    <t>Δονούμαι</t>
  </si>
  <si>
    <t>Vibrar</t>
  </si>
  <si>
    <t>Vibreerige</t>
  </si>
  <si>
    <t>Värinä</t>
  </si>
  <si>
    <t>Vibrer</t>
  </si>
  <si>
    <t>कंपन</t>
  </si>
  <si>
    <t>Bergetar</t>
  </si>
  <si>
    <t>Vibrare</t>
  </si>
  <si>
    <t>振動する</t>
  </si>
  <si>
    <t>ញ័រ</t>
  </si>
  <si>
    <t>ವೈಬ್ರೇಟ್</t>
  </si>
  <si>
    <t>떨리다</t>
  </si>
  <si>
    <t>ສັ່ນ</t>
  </si>
  <si>
    <t>Vibrēt</t>
  </si>
  <si>
    <t>Trillen</t>
  </si>
  <si>
    <t>Wibrować</t>
  </si>
  <si>
    <t>Вибрация</t>
  </si>
  <si>
    <t>สั่น</t>
  </si>
  <si>
    <t>Titreşim</t>
  </si>
  <si>
    <t>Вібрувати</t>
  </si>
  <si>
    <t>颤动</t>
  </si>
  <si>
    <t>Rung</t>
  </si>
  <si>
    <t>silent</t>
  </si>
  <si>
    <t>Silent</t>
  </si>
  <si>
    <t>صامتة</t>
  </si>
  <si>
    <t>Tichý</t>
  </si>
  <si>
    <t>Still</t>
  </si>
  <si>
    <t>Σιωπηλός</t>
  </si>
  <si>
    <t>Silencioso</t>
  </si>
  <si>
    <t>Vaikne</t>
  </si>
  <si>
    <t>Hiljainen</t>
  </si>
  <si>
    <t>Silencieux</t>
  </si>
  <si>
    <t>चुपचाप</t>
  </si>
  <si>
    <t>Diam</t>
  </si>
  <si>
    <t>Silenzioso</t>
  </si>
  <si>
    <t>静けさ</t>
  </si>
  <si>
    <t>ស្ងាត់</t>
  </si>
  <si>
    <t>ಮೂಕ</t>
  </si>
  <si>
    <t>조용한</t>
  </si>
  <si>
    <t>ງຽບ</t>
  </si>
  <si>
    <t>Kluss</t>
  </si>
  <si>
    <t>Senyap</t>
  </si>
  <si>
    <t>Stil</t>
  </si>
  <si>
    <t>Cichy</t>
  </si>
  <si>
    <t>Тихий</t>
  </si>
  <si>
    <t>เงียบ</t>
  </si>
  <si>
    <t>Sessiz</t>
  </si>
  <si>
    <t>Мовчазний</t>
  </si>
  <si>
    <t>沉默的</t>
  </si>
  <si>
    <t>Im lặng</t>
  </si>
  <si>
    <t>txt_repeat</t>
  </si>
  <si>
    <t>Repeat</t>
  </si>
  <si>
    <t>يكرر</t>
  </si>
  <si>
    <t>Επαναλαμβάνω</t>
  </si>
  <si>
    <t>Repetir</t>
  </si>
  <si>
    <t>Korda</t>
  </si>
  <si>
    <t>Toistaa</t>
  </si>
  <si>
    <t>Répéter</t>
  </si>
  <si>
    <t>दोहराना</t>
  </si>
  <si>
    <t>Mengulang</t>
  </si>
  <si>
    <t>Ripetere</t>
  </si>
  <si>
    <t>繰り返す</t>
  </si>
  <si>
    <t>ធ្វើម្តងទៀត</t>
  </si>
  <si>
    <t>ಪುನರಾವರ್ತಿಸಿ</t>
  </si>
  <si>
    <t>반복하다</t>
  </si>
  <si>
    <t>ເຮັດຊ້ຳ</t>
  </si>
  <si>
    <t>Atkārtojiet</t>
  </si>
  <si>
    <t>ulang</t>
  </si>
  <si>
    <t>Herhalen</t>
  </si>
  <si>
    <t>Powtarzać</t>
  </si>
  <si>
    <t>Repita</t>
  </si>
  <si>
    <t>Повторить</t>
  </si>
  <si>
    <t>ทำซ้ำ</t>
  </si>
  <si>
    <t>Tekrarlamak</t>
  </si>
  <si>
    <t>Повторіть</t>
  </si>
  <si>
    <t>重复</t>
  </si>
  <si>
    <t>Lặp lại</t>
  </si>
  <si>
    <t>restricted</t>
  </si>
  <si>
    <t>Restricted list</t>
  </si>
  <si>
    <t>قائمة مقيدة</t>
  </si>
  <si>
    <t>Omezený seznam</t>
  </si>
  <si>
    <t>Eingeschränkte Liste</t>
  </si>
  <si>
    <t>Περιορισμένη λίστα</t>
  </si>
  <si>
    <t>Lista restringida</t>
  </si>
  <si>
    <t>Piiratud nimekiri</t>
  </si>
  <si>
    <t>Rajoitettu lista</t>
  </si>
  <si>
    <t>Liste restreinte</t>
  </si>
  <si>
    <t>प्रतिबंधित सूची</t>
  </si>
  <si>
    <t>Daftar terbatas</t>
  </si>
  <si>
    <t>Lista ristretta</t>
  </si>
  <si>
    <t>制限リスト</t>
  </si>
  <si>
    <t>បញ្ជីដាក់កម្រិត</t>
  </si>
  <si>
    <t>ನಿರ್ಬಂಧಿತ ಪಟ್ಟಿ</t>
  </si>
  <si>
    <t>제한된 목록</t>
  </si>
  <si>
    <t>ບັນຊີລາຍຊື່ທີ່ຖືກຈໍາກັດ</t>
  </si>
  <si>
    <t>Ierobežots saraksts</t>
  </si>
  <si>
    <t>Senarai terhad</t>
  </si>
  <si>
    <t>Beperkte lijst</t>
  </si>
  <si>
    <t>Lista ograniczona</t>
  </si>
  <si>
    <t>Lista Restrita</t>
  </si>
  <si>
    <t>Ограниченный список</t>
  </si>
  <si>
    <t>รายการที่ถูกจำกัด</t>
  </si>
  <si>
    <t>Kısıtlı liste</t>
  </si>
  <si>
    <t>Обмежений список</t>
  </si>
  <si>
    <t>受限列表</t>
  </si>
  <si>
    <t>Danh sách hạn chế</t>
  </si>
  <si>
    <t>page_3_3</t>
  </si>
  <si>
    <t>Page: 3/3</t>
  </si>
  <si>
    <t>الصفحة: 3/3</t>
  </si>
  <si>
    <t>Strana: 3/3</t>
  </si>
  <si>
    <t>Seite: 3/3</t>
  </si>
  <si>
    <t>Σελίδα: 3/3</t>
  </si>
  <si>
    <t>Página: 3/3</t>
  </si>
  <si>
    <t>Lehekülg: 3/3</t>
  </si>
  <si>
    <t>Sivu: 3/3</t>
  </si>
  <si>
    <t>Page : 3/3</t>
  </si>
  <si>
    <t>पृष्ठ: 3/3</t>
  </si>
  <si>
    <t>Halaman: 3/3</t>
  </si>
  <si>
    <t>Pagina: 3/3</t>
  </si>
  <si>
    <t>ページ: 3/3</t>
  </si>
  <si>
    <t>ទំព័រ៖ ៣/៣</t>
  </si>
  <si>
    <t>ಪುಟ: 3/3</t>
  </si>
  <si>
    <t>페이지: 3/3</t>
  </si>
  <si>
    <t>ໜ້າ: 3/3</t>
  </si>
  <si>
    <t>Lapa: 3/3</t>
  </si>
  <si>
    <t>Muka surat: 3/3</t>
  </si>
  <si>
    <t>Strona: 3/3</t>
  </si>
  <si>
    <t>Страница: 3/3</t>
  </si>
  <si>
    <t>หน้า: 3/3</t>
  </si>
  <si>
    <t>Sayfa: 3/3</t>
  </si>
  <si>
    <t>Сторінка: 3/3</t>
  </si>
  <si>
    <t>页数：3/3</t>
  </si>
  <si>
    <t>Trang: 3/3</t>
  </si>
  <si>
    <t>page_2_3</t>
  </si>
  <si>
    <t>Page: 2/3</t>
  </si>
  <si>
    <t>الصفحة: 2/3</t>
  </si>
  <si>
    <t>Strana: 2/3</t>
  </si>
  <si>
    <t>Seite: 2/3</t>
  </si>
  <si>
    <t>Σελίδα: 2/3</t>
  </si>
  <si>
    <t>Página: 2/3</t>
  </si>
  <si>
    <t>Lehekülg: 2/3</t>
  </si>
  <si>
    <t>Sivu: 2/3</t>
  </si>
  <si>
    <t>Page : 2/3</t>
  </si>
  <si>
    <t>पृष्ठ: 2/3</t>
  </si>
  <si>
    <t>Halaman: 2/3</t>
  </si>
  <si>
    <t>Pagina: 2/3</t>
  </si>
  <si>
    <t>ページ: 2/3</t>
  </si>
  <si>
    <t>ទំព័រ៖ ២/៣</t>
  </si>
  <si>
    <t>ಪುಟ: 2/3</t>
  </si>
  <si>
    <t>페이지: 2/3</t>
  </si>
  <si>
    <t>ໜ້າ: 2/3</t>
  </si>
  <si>
    <t>Lapa: 2/3</t>
  </si>
  <si>
    <t>Muka surat: 2/3</t>
  </si>
  <si>
    <t>Strona: 2/3</t>
  </si>
  <si>
    <t>Страница: 2/3</t>
  </si>
  <si>
    <t>หน้า: 2/3</t>
  </si>
  <si>
    <t>Sayfa: 2/3</t>
  </si>
  <si>
    <t>Сторінка: 2/3</t>
  </si>
  <si>
    <t>页数：2/3</t>
  </si>
  <si>
    <t>Trang: 2/3</t>
  </si>
  <si>
    <t>page_1_3</t>
  </si>
  <si>
    <t>Page: 1/3</t>
  </si>
  <si>
    <t>الصفحة: 1/3</t>
  </si>
  <si>
    <t>Strana: 1/3</t>
  </si>
  <si>
    <t>Seite: 1/3</t>
  </si>
  <si>
    <t>Σελίδα: 1/3</t>
  </si>
  <si>
    <t>Página: 1/3</t>
  </si>
  <si>
    <t>Lehekülg: 1/3</t>
  </si>
  <si>
    <t>Sivu: 1/3</t>
  </si>
  <si>
    <t>Page : 1/3</t>
  </si>
  <si>
    <t>पृष्ठ: 1/3</t>
  </si>
  <si>
    <t>Halaman: 1/3</t>
  </si>
  <si>
    <t>Pagina: 1/3</t>
  </si>
  <si>
    <t>ページ: 1/3</t>
  </si>
  <si>
    <t>ទំព័រ៖ ១/៣</t>
  </si>
  <si>
    <t>ಪುಟ: 1/3</t>
  </si>
  <si>
    <t>페이지: 1/3</t>
  </si>
  <si>
    <t>ໜ້າ: 1/3</t>
  </si>
  <si>
    <t>Lapa: 1/3</t>
  </si>
  <si>
    <t>Muka surat: 1/3</t>
  </si>
  <si>
    <t>Strona: 1/3</t>
  </si>
  <si>
    <t>Страница: 1/3</t>
  </si>
  <si>
    <t>หน้า: 1/3</t>
  </si>
  <si>
    <t>Sayfa: 1/3</t>
  </si>
  <si>
    <t>Сторінка: 1/3</t>
  </si>
  <si>
    <t>页数: 1/3</t>
  </si>
  <si>
    <t>Trang: 1/3</t>
  </si>
  <si>
    <t>txt_repeat_description</t>
  </si>
  <si>
    <t>When this mode is enabled, the flash will repeat continuously. (Only works when touching the test button above)</t>
  </si>
  <si>
    <t>عند تمكين هذا الوضع، سوف يتكرر الفلاش بشكل مستمر. (يعمل فقط عند لمس زر الاختبار أعلاه)</t>
  </si>
  <si>
    <t>Když je tento režim povolen, blesk se bude nepřetržitě opakovat. (Funguje pouze při dotyku výše uvedeného testovacího tlačítka)</t>
  </si>
  <si>
    <t>Wenn dieser Modus aktiviert ist, wird der Blitz kontinuierlich wiederholt. (Funktioniert nur, wenn Sie die Testtaste oben berühren)</t>
  </si>
  <si>
    <t>Όταν αυτή η λειτουργία είναι ενεργοποιημένη, το φλας θα επαναλαμβάνεται συνεχώς. (Λειτουργεί μόνο όταν αγγίζετε το κουμπί δοκιμής παραπάνω)</t>
  </si>
  <si>
    <t>Cuando este modo está habilitado, el flash se repetirá continuamente. (Solo funciona cuando se toca el botón de prueba de arriba)</t>
  </si>
  <si>
    <t>Kui see režiim on lubatud, kordab välklamp pidevalt. (Toimib ainult ülaltoodud testnupu puudutamisel)</t>
  </si>
  <si>
    <t>Kun tämä tila on käytössä, salama toistuu jatkuvasti. (Toimii vain, kun kosketat yllä olevaa testipainiketta)</t>
  </si>
  <si>
    <t>Lorsque ce mode est activé, le flash se répétera en continu. (Fonctionne uniquement en touchant le bouton de test ci-dessus)</t>
  </si>
  <si>
    <t>जब यह मोड सक्षम होता है, तो फ़्लैश लगातार दोहराया जाएगा। (केवल ऊपर दिए गए परीक्षण बटन को छूने पर ही काम करता है)</t>
  </si>
  <si>
    <t>Saat mode ini diaktifkan, flash akan berulang terus menerus. (Hanya berfungsi ketika menyentuh tombol tes di atas)</t>
  </si>
  <si>
    <t>Quando questa modalità è abilitata, il flash si ripeterà continuamente. (Funziona solo quando si tocca il pulsante di prova sopra)</t>
  </si>
  <si>
    <t>このモードを有効にすると、フラッシュが連続的に繰り返されます。 (上のテストボタンをタッチした場合のみ機能します)</t>
  </si>
  <si>
    <t>នៅពេលដែលរបៀបនេះត្រូវបានបើក ពន្លឺនឹងកើតឡើងជាបន្តបន្ទាប់។ (ដំណើរការតែនៅពេលប៉ះប៊ូតុងសាកល្បងខាងលើ)</t>
  </si>
  <si>
    <t>ಈ ಮೋಡ್ ಅನ್ನು ಸಕ್ರಿಯಗೊಳಿಸಿದಾಗ, ಫ್ಲ್ಯಾಷ್ ನಿರಂತರವಾಗಿ ಪುನರಾವರ್ತಿಸುತ್ತದೆ. (ಮೇಲಿನ ಪರೀಕ್ಷಾ ಬಟನ್ ಅನ್ನು ಸ್ಪರ್ಶಿಸಿದಾಗ ಮಾತ್ರ ಕಾರ್ಯನಿರ್ವಹಿಸುತ್ತದೆ)</t>
  </si>
  <si>
    <t>이 모드를 활성화하면 플래시가 계속해서 반복됩니다. (위의 테스트 버튼을 터치해야만 작동됩니다)</t>
  </si>
  <si>
    <t>ເມື່ອໂຫມດນີ້ຖືກເປີດໃຊ້, flash ຈະເຮັດຊ້ໍາຢ່າງຕໍ່ເນື່ອງ. (ພຽງແຕ່ເຮັດວຽກເມື່ອແຕະປຸ່ມທົດສອບຂ້າງເທິງ)</t>
  </si>
  <si>
    <t>Kad šis režīms ir iespējots, zibspuldze atkārtojas nepārtraukti. (Darbojas tikai tad, ja pieskaras iepriekš esošajai testa pogai)</t>
  </si>
  <si>
    <t>Apabila mod ini didayakan, denyar akan berulang secara berterusan. (Hanya berfungsi apabila menyentuh butang ujian di atas)</t>
  </si>
  <si>
    <t>Wanneer deze modus is ingeschakeld, wordt de flits continu herhaald. (Werkt alleen als u de testknop hierboven aanraakt)</t>
  </si>
  <si>
    <t>Gdy ten tryb jest włączony, lampa błyskowa będzie się powtarzać w sposób ciągły. (Działa tylko po dotknięciu przycisku testowego powyżej)</t>
  </si>
  <si>
    <t>Quando este modo estiver ativado, o flash se repetirá continuamente. (Só funciona ao tocar no botão de teste acima)</t>
  </si>
  <si>
    <t>Когда этот режим включен, вспышка будет повторяться непрерывно. (Работает только при нажатии кнопки тестирования выше)</t>
  </si>
  <si>
    <t>เมื่อเปิดใช้งานโหมดนี้ แฟลชจะทำซ้ำอย่างต่อเนื่อง (ใช้งานได้เมื่อสัมผัสปุ่มทดสอบด้านบนเท่านั้น)</t>
  </si>
  <si>
    <t>Bu mod etkinleştirildiğinde flaş sürekli olarak tekrarlanacaktır. (Yalnızca yukarıdaki test düğmesine dokunulduğunda çalışır)</t>
  </si>
  <si>
    <t>Коли цей режим увімкнено, спалах буде повторюватися безперервно. (Працює лише при натисканні кнопки перевірки вище)</t>
  </si>
  <si>
    <t>启用此模式后，闪光灯将连续重复。 （仅当触摸上面的测试按钮时有效）</t>
  </si>
  <si>
    <t>Khi bật chế độ này, đèn flash sẽ lặp lại liên tục. (Chỉ hoạt động khi chạm vào nút kiểm tra ở trên)</t>
  </si>
  <si>
    <t>txt_general_description</t>
  </si>
  <si>
    <t>Flash can be used in the device's General mode.</t>
  </si>
  <si>
    <t>يمكن استخدام الفلاش في الوضع العام بالجهاز.</t>
  </si>
  <si>
    <t>Blesk lze použít v obecném režimu zařízení.</t>
  </si>
  <si>
    <t>Flash kann im allgemeinen Modus des Geräts verwendet werden.</t>
  </si>
  <si>
    <t>Το φλας μπορεί να χρησιμοποιηθεί στη Γενική λειτουργία της συσκευής.</t>
  </si>
  <si>
    <t>Flash se puede utilizar en el modo General del dispositivo.</t>
  </si>
  <si>
    <t>Välku saab kasutada seadme üldises režiimis.</t>
  </si>
  <si>
    <t>Salamaa voidaan käyttää laitteen yleistilassa.</t>
  </si>
  <si>
    <t>Flash peut être utilisé en mode Général de l'appareil.</t>
  </si>
  <si>
    <t>फ़्लैश का उपयोग डिवाइस के सामान्य मोड में किया जा सकता है।</t>
  </si>
  <si>
    <t>Flash dapat digunakan dalam mode Umum perangkat.</t>
  </si>
  <si>
    <t>Flash può essere utilizzato nella modalità Generale del dispositivo.</t>
  </si>
  <si>
    <t>フラッシュはデバイスの一般モードで使用できます。</t>
  </si>
  <si>
    <t>Flash អាចត្រូវបានប្រើនៅក្នុងមុខងារទូទៅរបស់ឧបករណ៍។</t>
  </si>
  <si>
    <t>ಸಾಧನದ ಸಾಮಾನ್ಯ ಕ್ರಮದಲ್ಲಿ ಫ್ಲ್ಯಾಶ್ ಅನ್ನು ಬಳಸಬಹುದು.</t>
  </si>
  <si>
    <t>플래시는 장치의 일반 모드에서 사용할 수 있습니다.</t>
  </si>
  <si>
    <t>Flash ສາມາດຖືກນໍາໃຊ້ໃນໂຫມດທົ່ວໄປຂອງອຸປະກອນ.</t>
  </si>
  <si>
    <t>Zibspuldzi var izmantot ierīces vispārīgajā režīmā.</t>
  </si>
  <si>
    <t>Denyar boleh digunakan dalam mod Umum peranti.</t>
  </si>
  <si>
    <t>Flitser kan worden gebruikt in de algemene modus van het apparaat.</t>
  </si>
  <si>
    <t>Flasha można używać w trybie ogólnym urządzenia.</t>
  </si>
  <si>
    <t>O Flash pode ser usado no modo Geral do dispositivo.</t>
  </si>
  <si>
    <t>Вспышку можно использовать в общем режиме устройства.</t>
  </si>
  <si>
    <t>สามารถใช้แฟลชได้ในโหมดทั่วไปของอุปกรณ์</t>
  </si>
  <si>
    <t>Flaş cihazın Genel modunda kullanılabilir.</t>
  </si>
  <si>
    <t>Flash можна використовувати в загальному режимі пристрою.</t>
  </si>
  <si>
    <t>闪存可在设备的常规模式下使用。</t>
  </si>
  <si>
    <t>Flash có thể được sử dụng ở chế độ Chung của thiết bị.</t>
  </si>
  <si>
    <t>txt_vibrate_description</t>
  </si>
  <si>
    <t>Flash can be used in the device's Vibrate mode.</t>
  </si>
  <si>
    <t>يمكن استخدام الفلاش في وضع الاهتزاز بالجهاز.</t>
  </si>
  <si>
    <t>Blesk lze použít v režimu vibrací zařízení.</t>
  </si>
  <si>
    <t>Der Blitz kann im Vibrationsmodus des Geräts verwendet werden.</t>
  </si>
  <si>
    <t>Το φλας μπορεί να χρησιμοποιηθεί στη λειτουργία δόνησης της συσκευής.</t>
  </si>
  <si>
    <t>El flash se puede utilizar en el modo Vibrar del dispositivo.</t>
  </si>
  <si>
    <t>Välku saab kasutada seadme vibratsioonirežiimis.</t>
  </si>
  <si>
    <t>Salamaa voidaan käyttää laitteen värinätilassa.</t>
  </si>
  <si>
    <t>Le flash peut être utilisé en mode Vibreur de l'appareil.</t>
  </si>
  <si>
    <t>फ़्लैश का उपयोग डिवाइस के वाइब्रेट मोड में किया जा सकता है।</t>
  </si>
  <si>
    <t>Flash dapat digunakan dalam mode Getar perangkat.</t>
  </si>
  <si>
    <t>Il flash può essere utilizzato nella modalità Vibrazione del dispositivo.</t>
  </si>
  <si>
    <t>フラッシュはデバイスの振動モードで使用できます。</t>
  </si>
  <si>
    <t>Flash អាចត្រូវបានប្រើនៅក្នុងរបៀប Vibrate របស់ឧបករណ៍។</t>
  </si>
  <si>
    <t>ಸಾಧನದ ವೈಬ್ರೇಟ್ ಮೋಡ್‌ನಲ್ಲಿ ಫ್ಲ್ಯಾಶ್ ಅನ್ನು ಬಳಸಬಹುದು.</t>
  </si>
  <si>
    <t>플래시는 장치의 진동 모드에서 사용할 수 있습니다.</t>
  </si>
  <si>
    <t>ສາມາດໃຊ້ Flash ໃນໂໝດສັ່ນສະເທືອນຂອງອຸປະກອນໄດ້.</t>
  </si>
  <si>
    <t>Zibspuldzi var izmantot ierīces vibrācijas režīmā.</t>
  </si>
  <si>
    <t>Denyar boleh digunakan dalam mod Getar peranti.</t>
  </si>
  <si>
    <t>Flitser kan worden gebruikt in de trilmodus van het apparaat.</t>
  </si>
  <si>
    <t>Flasha można używać w trybie wibracji urządzenia.</t>
  </si>
  <si>
    <t>O flash pode ser usado no modo Vibrar do dispositivo.</t>
  </si>
  <si>
    <t>Вспышку можно использовать в режиме вибрации устройства.</t>
  </si>
  <si>
    <t>สามารถใช้แฟลชในโหมดสั่นของอุปกรณ์ได้</t>
  </si>
  <si>
    <t>Flaş cihazın Titreşim modunda kullanılabilir.</t>
  </si>
  <si>
    <t>Спалах можна використовувати в режимі вібрації пристрою.</t>
  </si>
  <si>
    <t>闪光灯可在设备的振动模式下使用。</t>
  </si>
  <si>
    <t>Flash có thể được sử dụng ở chế độ Rung của thiết bị.</t>
  </si>
  <si>
    <t>txt_silent_description</t>
  </si>
  <si>
    <t>Flash can be used in the device's Silent mode.</t>
  </si>
  <si>
    <t>يمكن استخدام الفلاش في الوضع الصامت بالجهاز.</t>
  </si>
  <si>
    <t>Blesk lze použít v tichém režimu zařízení.</t>
  </si>
  <si>
    <t>Flash kann im Silent-Modus des Geräts verwendet werden.</t>
  </si>
  <si>
    <t>Το φλας μπορεί να χρησιμοποιηθεί στη αθόρυβη λειτουργία της συσκευής.</t>
  </si>
  <si>
    <t>Flash se puede utilizar en el modo silencioso del dispositivo.</t>
  </si>
  <si>
    <t>Välku saab kasutada seadme vaikses režiimis.</t>
  </si>
  <si>
    <t>Salamaa voidaan käyttää laitteen äänettömässä tilassa.</t>
  </si>
  <si>
    <t>Flash peut être utilisé en mode silencieux de l'appareil.</t>
  </si>
  <si>
    <t>फ़्लैश का उपयोग डिवाइस के साइलेंट मोड में किया जा सकता है।</t>
  </si>
  <si>
    <t>Flash dapat digunakan dalam mode Senyap perangkat.</t>
  </si>
  <si>
    <t>Il flash può essere utilizzato nella modalità silenziosa del dispositivo.</t>
  </si>
  <si>
    <t>フラッシュはデバイスのサイレントモードで使用できます。</t>
  </si>
  <si>
    <t>Flash អាចត្រូវបានប្រើនៅក្នុងរបៀបស្ងាត់របស់ឧបករណ៍។</t>
  </si>
  <si>
    <t>ಸಾಧನದ ಸೈಲೆಂಟ್ ಮೋಡ್‌ನಲ್ಲಿ ಫ್ಲ್ಯಾಶ್ ಅನ್ನು ಬಳಸಬಹುದು.</t>
  </si>
  <si>
    <t>플래시는 장치의 무음 모드에서 사용할 수 있습니다.</t>
  </si>
  <si>
    <t>ສາມາດໃຊ້ Flash ໃນໂໝດງຽບຂອງອຸປະກອນ.</t>
  </si>
  <si>
    <t>Zibspuldzi var izmantot ierīces klusuma režīmā.</t>
  </si>
  <si>
    <t>Denyar boleh digunakan dalam mod Senyap peranti.</t>
  </si>
  <si>
    <t>Flitser kan worden gebruikt in de stille modus van het apparaat.</t>
  </si>
  <si>
    <t>Flasha można używać w trybie cichym urządzenia.</t>
  </si>
  <si>
    <t>O Flash pode ser usado no modo Silencioso do dispositivo.</t>
  </si>
  <si>
    <t>Вспышку можно использовать в бесшумном режиме устройства.</t>
  </si>
  <si>
    <t>สามารถใช้แฟลชได้ในโหมดเงียบของอุปกรณ์</t>
  </si>
  <si>
    <t>Flaş cihazın Sessiz modunda kullanılabilir.</t>
  </si>
  <si>
    <t>Спалах можна використовувати в беззвучному режимі пристрою.</t>
  </si>
  <si>
    <t>闪光灯可在设备的静音模式下使用。</t>
  </si>
  <si>
    <t>Flash có thể được sử dụng ở chế độ Im lặng của thiết bị.</t>
  </si>
  <si>
    <t>the_device_does_not_support_flash</t>
  </si>
  <si>
    <t>We can't find your flash</t>
  </si>
  <si>
    <t>لا يمكننا العثور على الفلاش الخاص بك</t>
  </si>
  <si>
    <t>Nemůžeme najít váš blesk</t>
  </si>
  <si>
    <t>Wir können Ihren Blitz nicht finden</t>
  </si>
  <si>
    <t>Δεν μπορούμε να βρούμε το φλας σας</t>
  </si>
  <si>
    <t>No podemos encontrar tu flash</t>
  </si>
  <si>
    <t>Me ei leia teie välku</t>
  </si>
  <si>
    <t>Emme löydä salamaasi</t>
  </si>
  <si>
    <t>Nous ne trouvons pas votre flash</t>
  </si>
  <si>
    <t>हमें आपका फ़्लैश नहीं मिल सका</t>
  </si>
  <si>
    <t>Kami tidak dapat menemukan flash Anda</t>
  </si>
  <si>
    <t>Non riusciamo a trovare il tuo flash</t>
  </si>
  <si>
    <t>あなたのフラッシュが見つかりません</t>
  </si>
  <si>
    <t>យើងមិនអាចស្វែងរកពន្លឺរបស់អ្នកបានទេ។</t>
  </si>
  <si>
    <t>ನಿಮ್ಮ ಫ್ಲ್ಯಾಷ್ ಅನ್ನು ನಾವು ಹುಡುಕಲಾಗಲಿಲ್ಲ</t>
  </si>
  <si>
    <t>플래시를 찾을 수 없습니다</t>
  </si>
  <si>
    <t>ພວກ​ເຮົາ​ບໍ່​ສາ​ມາດ​ຊອກ​ຫາ flash ຂອງ​ທ່ານ​</t>
  </si>
  <si>
    <t>Mēs nevaram atrast jūsu zibspuldzi</t>
  </si>
  <si>
    <t>Kami tidak dapat mencari kilat anda</t>
  </si>
  <si>
    <t>We kunnen uw flitser niet vinden</t>
  </si>
  <si>
    <t>Nie możemy znaleźć Twojej lampy błyskowej</t>
  </si>
  <si>
    <t>Não conseguimos encontrar seu flash</t>
  </si>
  <si>
    <t>Мы не можем найти вашу вспышку</t>
  </si>
  <si>
    <t>เราไม่พบแฟลชของคุณ</t>
  </si>
  <si>
    <t>Flaşınızı bulamıyoruz</t>
  </si>
  <si>
    <t>Ми не можемо знайти ваш спалах</t>
  </si>
  <si>
    <t>我们找不到您的闪光灯</t>
  </si>
  <si>
    <t>Chúng tôi không thể tìm thấy đèn flash của bạn</t>
  </si>
  <si>
    <t>Cute Theme</t>
  </si>
  <si>
    <t>title_themes</t>
  </si>
  <si>
    <t>Themes</t>
  </si>
  <si>
    <t>title_icon</t>
  </si>
  <si>
    <t>Icons</t>
  </si>
  <si>
    <t>title_widget</t>
  </si>
  <si>
    <t>Widgets</t>
  </si>
  <si>
    <t>title_wallpapers</t>
  </si>
  <si>
    <t>Wallpapers</t>
  </si>
  <si>
    <t>title_settings</t>
  </si>
  <si>
    <t>loading_failed</t>
  </si>
  <si>
    <t>Loading failed :((</t>
  </si>
  <si>
    <t>photo</t>
  </si>
  <si>
    <t>Photo</t>
  </si>
  <si>
    <t>text</t>
  </si>
  <si>
    <t>Text</t>
  </si>
  <si>
    <t>gallery</t>
  </si>
  <si>
    <t>Gallery</t>
  </si>
  <si>
    <t>clear</t>
  </si>
  <si>
    <t>Clear</t>
  </si>
  <si>
    <t>please_enter_text</t>
  </si>
  <si>
    <t>Please enter text</t>
  </si>
  <si>
    <t>font</t>
  </si>
  <si>
    <t>Font</t>
  </si>
  <si>
    <t>text_size</t>
  </si>
  <si>
    <t>Text Size</t>
  </si>
  <si>
    <t>photo_frame</t>
  </si>
  <si>
    <t>Photo Frame</t>
  </si>
  <si>
    <t>text_location</t>
  </si>
  <si>
    <t>Text Location</t>
  </si>
  <si>
    <t>install</t>
  </si>
  <si>
    <t>INSTALL</t>
  </si>
  <si>
    <t>install_lowercase</t>
  </si>
  <si>
    <t>Install</t>
  </si>
  <si>
    <t>app_widget_description</t>
  </si>
  <si>
    <t>App Widget</t>
  </si>
  <si>
    <t>set_wallpaper</t>
  </si>
  <si>
    <t>Set Wallpaper</t>
  </si>
  <si>
    <t>failed_shortcut</t>
  </si>
  <si>
    <t>Failed to download Shortcut! Please try again later</t>
  </si>
  <si>
    <t>failed_widget</t>
  </si>
  <si>
    <t>Failed to download Widget! Please try again later</t>
  </si>
  <si>
    <t>failed_download</t>
  </si>
  <si>
    <t>Failed to download! Please try again later</t>
  </si>
  <si>
    <t>failed_create_bitmap</t>
  </si>
  <si>
    <t>Failed to create bitmap! Please try again later</t>
  </si>
  <si>
    <t>select_your_application</t>
  </si>
  <si>
    <t>Select your application</t>
  </si>
  <si>
    <t>type_to_search</t>
  </si>
  <si>
    <t>Type To Search</t>
  </si>
  <si>
    <t>selected_themes</t>
  </si>
  <si>
    <t>Selected Themes</t>
  </si>
  <si>
    <t>unlock_wallpaper</t>
  </si>
  <si>
    <t>Unlock Wallpaper</t>
  </si>
  <si>
    <t>wallpaper</t>
  </si>
  <si>
    <t>WALLPAPER</t>
  </si>
  <si>
    <t>wallpapers</t>
  </si>
  <si>
    <t>icons</t>
  </si>
  <si>
    <t>widgets</t>
  </si>
  <si>
    <t>unlock_with</t>
  </si>
  <si>
    <t xml:space="preserve">Unlock with </t>
  </si>
  <si>
    <t>get_it_for_free</t>
  </si>
  <si>
    <t>Get 300 Diamonds for Free</t>
  </si>
  <si>
    <t>unlock</t>
  </si>
  <si>
    <t>UNLOCK</t>
  </si>
  <si>
    <t>unlock_all</t>
  </si>
  <si>
    <t>UNLOCK ALL</t>
  </si>
  <si>
    <t>unlock_widget</t>
  </si>
  <si>
    <t>UNLOCK WIDGET</t>
  </si>
  <si>
    <t>please_select_your_widget</t>
  </si>
  <si>
    <t>Please select your widget</t>
  </si>
  <si>
    <t>unlock_successfully</t>
  </si>
  <si>
    <t>Unlock successfully!</t>
  </si>
  <si>
    <t>not_enough_diamond</t>
  </si>
  <si>
    <t>Not enough Diamond!</t>
  </si>
  <si>
    <t>item_is_already_unlocked</t>
  </si>
  <si>
    <t>Item is already Unlocked!</t>
  </si>
  <si>
    <t xml:space="preserve">Error! </t>
  </si>
  <si>
    <t>please_select_application_first</t>
  </si>
  <si>
    <t>Please select application first!</t>
  </si>
  <si>
    <t>custom_widget</t>
  </si>
  <si>
    <t>Custom Widget</t>
  </si>
  <si>
    <t>EDIT</t>
  </si>
  <si>
    <t>create_widget</t>
  </si>
  <si>
    <t>CREATE WIDGET</t>
  </si>
  <si>
    <t>font_color</t>
  </si>
  <si>
    <t>Font Color</t>
  </si>
  <si>
    <t>continue_text</t>
  </si>
  <si>
    <t>widget_is_loading</t>
  </si>
  <si>
    <t>Widget is loading…</t>
  </si>
  <si>
    <t>layout</t>
  </si>
  <si>
    <t>Layout</t>
  </si>
  <si>
    <t>No Internet Connection!</t>
  </si>
  <si>
    <t>No internet connection.\nPlease check connection and try again.</t>
  </si>
  <si>
    <t>gems</t>
  </si>
  <si>
    <t>Gems</t>
  </si>
  <si>
    <t>unlock_widget_with</t>
  </si>
  <si>
    <t xml:space="preserve">Unlock Widget with </t>
  </si>
  <si>
    <t>unlock_wallpaper_with</t>
  </si>
  <si>
    <t xml:space="preserve">Unlock Wallpaper with </t>
  </si>
  <si>
    <t>unlock_all_icon_with</t>
  </si>
  <si>
    <t xml:space="preserve">Unlock All Icon with </t>
  </si>
  <si>
    <t>unlock_icon_with</t>
  </si>
  <si>
    <t xml:space="preserve">Unlock Icon with </t>
  </si>
  <si>
    <t>With Cute Themes, you can easily change your phone\'s theme, app icons, widgets and wallpapers</t>
  </si>
  <si>
    <t>title_intro_1</t>
  </si>
  <si>
    <t>Welcome to Cute Themes!</t>
  </si>
  <si>
    <t>title_intro_2</t>
  </si>
  <si>
    <t>Make Your App Icons Stand Out</t>
  </si>
  <si>
    <t>Cute Themes offers thousands of beautiful and unique app icons to choose from</t>
  </si>
  <si>
    <t>title_intro_3</t>
  </si>
  <si>
    <t>Widgets That Fit Your Needs</t>
  </si>
  <si>
    <t>Cute Themes offers a variety of widgets to choose from, from clocks, weather, and news to your favorite apps.</t>
  </si>
  <si>
    <t>title_intro_4</t>
  </si>
  <si>
    <t>4K Wallpapers: Elevate Your Device!</t>
  </si>
  <si>
    <t>text_intro_4</t>
  </si>
  <si>
    <t>Discover a world of breathtaking wallpapers in ultra-high definition, you\'ll find the perfect image for you.</t>
  </si>
  <si>
    <t>Language</t>
  </si>
  <si>
    <t>set_home_screen</t>
  </si>
  <si>
    <t>Set Home Screen</t>
  </si>
  <si>
    <t>set_lockscreen</t>
  </si>
  <si>
    <t>Set Lockscreen</t>
  </si>
  <si>
    <t>set_both</t>
  </si>
  <si>
    <t>Set Both</t>
  </si>
  <si>
    <t>loading_wallpaper</t>
  </si>
  <si>
    <t>Loading wallpaper…</t>
  </si>
  <si>
    <t>Loading…</t>
  </si>
  <si>
    <t>loading_ads</t>
  </si>
  <si>
    <t>Loading ads, please wait…</t>
  </si>
  <si>
    <t>it_s_recommend_to_keep_this_notification_widget_can_be_updated</t>
  </si>
  <si>
    <t>it\'s recommend to keep this notification ______ widget can be updated</t>
  </si>
  <si>
    <t>shop_gems</t>
  </si>
  <si>
    <t>Shop Gems</t>
  </si>
  <si>
    <t>daily_gift</t>
  </si>
  <si>
    <t>Daily Gift</t>
  </si>
  <si>
    <t>rate_us</t>
  </si>
  <si>
    <t>Rate Us</t>
  </si>
  <si>
    <t>watch_a_video</t>
  </si>
  <si>
    <t>Watch a Video</t>
  </si>
  <si>
    <t>share_with_friends</t>
  </si>
  <si>
    <t>Share with Friends</t>
  </si>
  <si>
    <t>purchases_success</t>
  </si>
  <si>
    <t>Purchases success!</t>
  </si>
  <si>
    <t>about_us</t>
  </si>
  <si>
    <t>About Us</t>
  </si>
  <si>
    <t>Tiếng Nhật</t>
  </si>
  <si>
    <t>Tỷ lệ</t>
  </si>
  <si>
    <t>beautiful</t>
  </si>
  <si>
    <t>Beautiful</t>
  </si>
  <si>
    <t>جميل</t>
  </si>
  <si>
    <t>Krásná</t>
  </si>
  <si>
    <t>Schön</t>
  </si>
  <si>
    <t>Πανεμορφη</t>
  </si>
  <si>
    <t>Hermoso</t>
  </si>
  <si>
    <t>ilus</t>
  </si>
  <si>
    <t>Kaunis</t>
  </si>
  <si>
    <t>Beau</t>
  </si>
  <si>
    <t>सुंदर</t>
  </si>
  <si>
    <t>Cantik</t>
  </si>
  <si>
    <t>Bellissimo</t>
  </si>
  <si>
    <t>美しい</t>
  </si>
  <si>
    <t>ស្អាត</t>
  </si>
  <si>
    <t>ಸುಂದರ</t>
  </si>
  <si>
    <t>아름다운</t>
  </si>
  <si>
    <t>ງາມ</t>
  </si>
  <si>
    <t>Skaists</t>
  </si>
  <si>
    <t>Mooi</t>
  </si>
  <si>
    <t>Piękny</t>
  </si>
  <si>
    <t>Lindo</t>
  </si>
  <si>
    <t>Красивый</t>
  </si>
  <si>
    <t>สวย</t>
  </si>
  <si>
    <t>Güzel</t>
  </si>
  <si>
    <t>Гарний</t>
  </si>
  <si>
    <t>美丽的</t>
  </si>
  <si>
    <t>Xinh đẹp</t>
  </si>
  <si>
    <t>school</t>
  </si>
  <si>
    <t>School</t>
  </si>
  <si>
    <t>مدرسة</t>
  </si>
  <si>
    <t>Škola</t>
  </si>
  <si>
    <t>Schule</t>
  </si>
  <si>
    <t>Σχολείο</t>
  </si>
  <si>
    <t>Escuela</t>
  </si>
  <si>
    <t>Kool</t>
  </si>
  <si>
    <t>Koulu</t>
  </si>
  <si>
    <t>École</t>
  </si>
  <si>
    <t>विद्यालय</t>
  </si>
  <si>
    <t>Sekolah</t>
  </si>
  <si>
    <t>Scuola</t>
  </si>
  <si>
    <t>学校</t>
  </si>
  <si>
    <t>សាលា</t>
  </si>
  <si>
    <t>ಶಾಲೆ</t>
  </si>
  <si>
    <t>학교</t>
  </si>
  <si>
    <t>ໂຮງຮຽນ</t>
  </si>
  <si>
    <t>Skola</t>
  </si>
  <si>
    <t>Szkoła</t>
  </si>
  <si>
    <t>Escola</t>
  </si>
  <si>
    <t>Школа</t>
  </si>
  <si>
    <t>โรงเรียน</t>
  </si>
  <si>
    <t>Okul</t>
  </si>
  <si>
    <t>Trường học</t>
  </si>
  <si>
    <t>fishNet</t>
  </si>
  <si>
    <t>Fishnet</t>
  </si>
  <si>
    <t>شبكة صيد السمك</t>
  </si>
  <si>
    <t>Rybí síť</t>
  </si>
  <si>
    <t>Fischnetz</t>
  </si>
  <si>
    <t>Διχτυωτό</t>
  </si>
  <si>
    <t>red de pesca</t>
  </si>
  <si>
    <t>Võrk</t>
  </si>
  <si>
    <t>Verkko</t>
  </si>
  <si>
    <t>Résille</t>
  </si>
  <si>
    <t>मछली का जाल</t>
  </si>
  <si>
    <t>Langgai</t>
  </si>
  <si>
    <t>Rete</t>
  </si>
  <si>
    <t>網タイツ</t>
  </si>
  <si>
    <t>សំណាញ់ត្រី</t>
  </si>
  <si>
    <t>ಫಿಶ್ನೆಟ್</t>
  </si>
  <si>
    <t>망사</t>
  </si>
  <si>
    <t>ຕາປາ</t>
  </si>
  <si>
    <t>Zivju tīkls</t>
  </si>
  <si>
    <t>Jala ikan</t>
  </si>
  <si>
    <t>Visnet</t>
  </si>
  <si>
    <t>Siatka</t>
  </si>
  <si>
    <t>Rede de pesca</t>
  </si>
  <si>
    <t>Ажурная сеть</t>
  </si>
  <si>
    <t>แหอวน</t>
  </si>
  <si>
    <t>Balık ağı</t>
  </si>
  <si>
    <t>ажурні</t>
  </si>
  <si>
    <t>鱼网</t>
  </si>
  <si>
    <t>Lưới cá</t>
  </si>
  <si>
    <t>nailPolish</t>
  </si>
  <si>
    <t>Nail Polish</t>
  </si>
  <si>
    <t>طلاء الأظافر</t>
  </si>
  <si>
    <t>Lak na nehty</t>
  </si>
  <si>
    <t>Nagelpolitur</t>
  </si>
  <si>
    <t>Βερνίκι νυχιών</t>
  </si>
  <si>
    <t>Esmalte de uñas</t>
  </si>
  <si>
    <t>Küünelakk</t>
  </si>
  <si>
    <t>Kynsilakka</t>
  </si>
  <si>
    <t>Vernis à ongle</t>
  </si>
  <si>
    <t>नेल पॉलिश</t>
  </si>
  <si>
    <t>Cat kuku</t>
  </si>
  <si>
    <t>Smalto per unghie</t>
  </si>
  <si>
    <t>マニキュア</t>
  </si>
  <si>
    <t>ខាត់​ក្រចក</t>
  </si>
  <si>
    <t>ಉಗುರು ಬಣ್ಣ</t>
  </si>
  <si>
    <t>매니큐어</t>
  </si>
  <si>
    <t>ຢາ​ທາ​ເລັບ</t>
  </si>
  <si>
    <t>Nagu laka</t>
  </si>
  <si>
    <t>Pengilat kuku</t>
  </si>
  <si>
    <t>Nagellak</t>
  </si>
  <si>
    <t>Lakier do paznokci</t>
  </si>
  <si>
    <t>Esmalte</t>
  </si>
  <si>
    <t>Лак для ногтей</t>
  </si>
  <si>
    <t>ยาทาเล็บ</t>
  </si>
  <si>
    <t>Tırnak cilası</t>
  </si>
  <si>
    <t>指甲油</t>
  </si>
  <si>
    <t>Làm móng</t>
  </si>
  <si>
    <t>athletic</t>
  </si>
  <si>
    <t>Athletic</t>
  </si>
  <si>
    <t>رياضي</t>
  </si>
  <si>
    <t>Atletický</t>
  </si>
  <si>
    <t>Sportlich</t>
  </si>
  <si>
    <t>Αθλητικός</t>
  </si>
  <si>
    <t>Atlético</t>
  </si>
  <si>
    <t>Sportlik</t>
  </si>
  <si>
    <t>Atleettinen</t>
  </si>
  <si>
    <t>Athlétique</t>
  </si>
  <si>
    <t>पुष्ट</t>
  </si>
  <si>
    <t>Atletis</t>
  </si>
  <si>
    <t>Atletico</t>
  </si>
  <si>
    <t>アスレチック</t>
  </si>
  <si>
    <t>អត្តពលិក</t>
  </si>
  <si>
    <t>ಅಥ್ಲೆಟಿಕ್</t>
  </si>
  <si>
    <t>운동</t>
  </si>
  <si>
    <t>ນັກກິລາ</t>
  </si>
  <si>
    <t>Atlētisks</t>
  </si>
  <si>
    <t>Atletisch</t>
  </si>
  <si>
    <t>Atletyczny</t>
  </si>
  <si>
    <t>Спортивное</t>
  </si>
  <si>
    <t>เกี่ยวกับกีฬา</t>
  </si>
  <si>
    <t>Atletik</t>
  </si>
  <si>
    <t>Спортивний</t>
  </si>
  <si>
    <t>运动型</t>
  </si>
  <si>
    <t>Khỏe mạnh</t>
  </si>
  <si>
    <t>trending</t>
  </si>
  <si>
    <t>Trending</t>
  </si>
  <si>
    <t>الشائع</t>
  </si>
  <si>
    <t>Trendy</t>
  </si>
  <si>
    <t>Im Trend</t>
  </si>
  <si>
    <t>Τάσεις</t>
  </si>
  <si>
    <t>Tendencias</t>
  </si>
  <si>
    <t>Trendikas</t>
  </si>
  <si>
    <t>Trendaavat</t>
  </si>
  <si>
    <t>Tendance</t>
  </si>
  <si>
    <t>रुझान</t>
  </si>
  <si>
    <t>Sedang tren</t>
  </si>
  <si>
    <t>Tendenza</t>
  </si>
  <si>
    <t>トレンド</t>
  </si>
  <si>
    <t>និន្នាការ</t>
  </si>
  <si>
    <t>ಟ್ರೆಂಡಿಂಗ್</t>
  </si>
  <si>
    <t>인기 급상승</t>
  </si>
  <si>
    <t>ແນວໂນ້ມ</t>
  </si>
  <si>
    <t>Tendences</t>
  </si>
  <si>
    <t>Populair</t>
  </si>
  <si>
    <t>Tendendo</t>
  </si>
  <si>
    <t>Тенденции</t>
  </si>
  <si>
    <t>กำลังมาแรง</t>
  </si>
  <si>
    <t>Trend olan</t>
  </si>
  <si>
    <t>В тренді</t>
  </si>
  <si>
    <t>流行趋势</t>
  </si>
  <si>
    <t>Xu hướng</t>
  </si>
  <si>
    <t>signInWithGoogle</t>
  </si>
  <si>
    <t>Sign in with Google</t>
  </si>
  <si>
    <t>الدخول مع جوجل</t>
  </si>
  <si>
    <t>Přihlaste se pomocí Google</t>
  </si>
  <si>
    <t>Anmeldung mit Google</t>
  </si>
  <si>
    <t>Συνδεθείτε με το Google</t>
  </si>
  <si>
    <t>Inicia sesión con Google</t>
  </si>
  <si>
    <t>Logige sisse Google'iga</t>
  </si>
  <si>
    <t>Kirjaudu sisään Googlella</t>
  </si>
  <si>
    <t>Connectez-vous avec Google</t>
  </si>
  <si>
    <t>Google से साइन इन करें</t>
  </si>
  <si>
    <t>Masuk dengan Google</t>
  </si>
  <si>
    <t>Accedi con Google</t>
  </si>
  <si>
    <t>Googleでサインイン</t>
  </si>
  <si>
    <t>ចូលជាមួយ Google</t>
  </si>
  <si>
    <t>Google ನೊಂದಿಗೆ ಸೈನ್ ಇನ್ ಮಾಡಿ</t>
  </si>
  <si>
    <t>Google로 로그인</t>
  </si>
  <si>
    <t>ເຂົ້າສູ່ລະບົບດ້ວຍ Google</t>
  </si>
  <si>
    <t>Pierakstieties ar Google</t>
  </si>
  <si>
    <t>Log masuk dengan Google</t>
  </si>
  <si>
    <t>Log in met Google</t>
  </si>
  <si>
    <t>Zaloguj się za pomocą Google</t>
  </si>
  <si>
    <t>Faça login no Google</t>
  </si>
  <si>
    <t>Войти через Google</t>
  </si>
  <si>
    <t>ลงชื่อเข้าใช้งานด้วย Google</t>
  </si>
  <si>
    <t>Google ile giriş yap</t>
  </si>
  <si>
    <t>Увійдіть за допомогою Google</t>
  </si>
  <si>
    <t>使用 Google 登录</t>
  </si>
  <si>
    <t>Đăng nhập bằng Google</t>
  </si>
  <si>
    <t>appName</t>
  </si>
  <si>
    <t>Feet Photos</t>
  </si>
  <si>
    <t>صور القدمين</t>
  </si>
  <si>
    <t>Fotografie nohou</t>
  </si>
  <si>
    <t>Fußfotos</t>
  </si>
  <si>
    <t>Φωτογραφίες ποδιών</t>
  </si>
  <si>
    <t>Fotos de Pies</t>
  </si>
  <si>
    <t>Jalade fotod</t>
  </si>
  <si>
    <t>Jalkojen valokuvat</t>
  </si>
  <si>
    <t>Pieds Photos</t>
  </si>
  <si>
    <t>पैरों की तस्वीरें</t>
  </si>
  <si>
    <t>Foto Kaki</t>
  </si>
  <si>
    <t>Foto dei piedi</t>
  </si>
  <si>
    <t>足の写真</t>
  </si>
  <si>
    <t>រូបថតជើង</t>
  </si>
  <si>
    <t>ಅಡಿ ಫೋಟೋಗಳು</t>
  </si>
  <si>
    <t>피트 사진</t>
  </si>
  <si>
    <t>ຮູບພາບຕີນ</t>
  </si>
  <si>
    <t>Pēdu fotogrāfijas</t>
  </si>
  <si>
    <t>Voeten foto's</t>
  </si>
  <si>
    <t>Zdjęcia stóp</t>
  </si>
  <si>
    <t>Pés Fotos</t>
  </si>
  <si>
    <t>Фото ног</t>
  </si>
  <si>
    <t>ภาพถ่ายเท้า</t>
  </si>
  <si>
    <t>Ayak Fotoğrafları</t>
  </si>
  <si>
    <t>Фотографії ніг</t>
  </si>
  <si>
    <t>脚照片</t>
  </si>
  <si>
    <t>Hình ảnh bàn chân</t>
  </si>
  <si>
    <t>loginTo</t>
  </si>
  <si>
    <t>Log in to</t>
  </si>
  <si>
    <t>تسجيل الدخول إلى</t>
  </si>
  <si>
    <t>Přihlásit se do</t>
  </si>
  <si>
    <t>Einloggen in</t>
  </si>
  <si>
    <t>Συνδεθείτε στο</t>
  </si>
  <si>
    <t>Iniciar sesión en</t>
  </si>
  <si>
    <t>Logi sisse</t>
  </si>
  <si>
    <t>Kirjaudu sisään</t>
  </si>
  <si>
    <t>Se connecter à</t>
  </si>
  <si>
    <t>में प्रवेश करें</t>
  </si>
  <si>
    <t>Masuk ke</t>
  </si>
  <si>
    <t>Accedere</t>
  </si>
  <si>
    <t>にログインします</t>
  </si>
  <si>
    <t>ចូល​ទៅ​ក្នុង</t>
  </si>
  <si>
    <t>ಗೆ ಲಾಗ್ ಇನ್ ಮಾಡಿ</t>
  </si>
  <si>
    <t>로그인</t>
  </si>
  <si>
    <t>ເຂົ້າສູ່ລະບົບ</t>
  </si>
  <si>
    <t>Piesakieties</t>
  </si>
  <si>
    <t>Log masuk ke</t>
  </si>
  <si>
    <t>Inloggen</t>
  </si>
  <si>
    <t>Zaloguj się do</t>
  </si>
  <si>
    <t>Logar em</t>
  </si>
  <si>
    <t>Авторизоваться</t>
  </si>
  <si>
    <t>เข้าสู่ระบบไปที่</t>
  </si>
  <si>
    <t>Giriş</t>
  </si>
  <si>
    <t>Увійти в</t>
  </si>
  <si>
    <t>登录到</t>
  </si>
  <si>
    <t>Đăng nhập vào</t>
  </si>
  <si>
    <t>loginPopupTitle</t>
  </si>
  <si>
    <t>Get the full app experience</t>
  </si>
  <si>
    <t>احصل على تجربة التطبيق الكاملة</t>
  </si>
  <si>
    <t>Získejte plný zážitek z aplikace</t>
  </si>
  <si>
    <t>Holen Sie sich das volle App-Erlebnis</t>
  </si>
  <si>
    <t>Αποκτήστε την πλήρη εμπειρία εφαρμογής</t>
  </si>
  <si>
    <t>Obtén la experiencia completa de la aplicación</t>
  </si>
  <si>
    <t>Hankige rakenduse täielik kasutuskogemus</t>
  </si>
  <si>
    <t>Hanki täysi sovelluskokemus</t>
  </si>
  <si>
    <t>Bénéficiez de l'expérience complète de l'application</t>
  </si>
  <si>
    <t>संपूर्ण ऐप अनुभव प्राप्त करें</t>
  </si>
  <si>
    <t>Dapatkan pengalaman aplikasi lengkap</t>
  </si>
  <si>
    <t>Ottieni l'esperienza completa dell'app</t>
  </si>
  <si>
    <t>完全なアプリ体験を得る</t>
  </si>
  <si>
    <t>ទទួលបានបទពិសោធន៍កម្មវិធីពេញលេញ</t>
  </si>
  <si>
    <t>ಸಂಪೂರ್ಣ ಅಪ್ಲಿಕೇಶನ್ ಅನುಭವವನ್ನು ಪಡೆಯಿರಿ</t>
  </si>
  <si>
    <t>완전한 앱 경험을 얻으세요</t>
  </si>
  <si>
    <t>ຮັບປະສົບການແອັບເຕັມ</t>
  </si>
  <si>
    <t>Iegūstiet pilnu lietotnes pieredzi</t>
  </si>
  <si>
    <t>Dapatkan pengalaman aplikasi penuh</t>
  </si>
  <si>
    <t>Krijg de volledige app-ervaring</t>
  </si>
  <si>
    <t>Uzyskaj pełne możliwości aplikacji</t>
  </si>
  <si>
    <t>Obtenha a experiência completa do aplicativo</t>
  </si>
  <si>
    <t>Получите все возможности приложения</t>
  </si>
  <si>
    <t>สัมผัสประสบการณ์การใช้งานแอปเต็มรูปแบบ</t>
  </si>
  <si>
    <t>Tam uygulama deneyimini yaşayın</t>
  </si>
  <si>
    <t>Отримайте всі можливості програми</t>
  </si>
  <si>
    <t>获得完整的应用程序体验</t>
  </si>
  <si>
    <t>Tận hưởng trải nghiệm ứng dụng đầy đủ</t>
  </si>
  <si>
    <t>loginPopupMessage</t>
  </si>
  <si>
    <t>Enjoy more feet photos and upload photo on the app</t>
  </si>
  <si>
    <t>استمتع بمزيد من صور القدمين وقم بتحميل الصورة على التطبيق</t>
  </si>
  <si>
    <t>Užijte si více fotek nohou a nahrajte fotku do aplikace</t>
  </si>
  <si>
    <t>Genießen Sie weitere Fußfotos und laden Sie Fotos in die App hoch</t>
  </si>
  <si>
    <t>Απολαύστε περισσότερες φωτογραφίες ποδιών και ανεβάστε φωτογραφία στην εφαρμογή</t>
  </si>
  <si>
    <t>Disfruta de más fotos de pies y sube fotos en la aplicación.</t>
  </si>
  <si>
    <t>Nautige rohkem jalgade fotosid ja laadige fotod rakendusse üles</t>
  </si>
  <si>
    <t>Nauti enemmän jalkakuvista ja lataa valokuva sovellukseen</t>
  </si>
  <si>
    <t>Profitez de plus de photos de pieds et téléchargez une photo sur l'application</t>
  </si>
  <si>
    <t>अधिक पैरों की तस्वीरों का आनंद लें और ऐप पर फोटो अपलोड करें</t>
  </si>
  <si>
    <t>Nikmati lebih banyak foto kaki dan unggah foto di aplikasi</t>
  </si>
  <si>
    <t>Goditi più foto dei piedi e carica foto sull'app</t>
  </si>
  <si>
    <t>もっと足の写真を楽しんで、アプリに写真をアップロードしてください</t>
  </si>
  <si>
    <t>រីករាយជាមួយរូបថតជើងកាន់តែច្រើន ហើយបង្ហោះរូបថតនៅលើកម្មវិធី</t>
  </si>
  <si>
    <t>ಹೆಚ್ಚಿನ ಅಡಿ ಫೋಟೋಗಳನ್ನು ಆನಂದಿಸಿ ಮತ್ತು ಅಪ್ಲಿಕೇಶನ್‌ನಲ್ಲಿ ಫೋಟೋವನ್ನು ಅಪ್‌ಲೋಡ್ ಮಾಡಿ</t>
  </si>
  <si>
    <t>더 많은 발 사진을 즐기고 앱에 사진을 업로드하세요.</t>
  </si>
  <si>
    <t>ເພີດເພີນໄປກັບຮູບຕີນຫຼາຍຂຶ້ນ ແລະອັບໂຫຼດຮູບໃນແອັບ</t>
  </si>
  <si>
    <t>Izbaudiet vairāk pēdu fotoattēlu un augšupielādējiet fotoattēlu lietotnē</t>
  </si>
  <si>
    <t>Nikmati lebih banyak foto kaki dan muat naik foto pada apl</t>
  </si>
  <si>
    <t>Geniet van meer voetfoto's en upload een foto naar de app</t>
  </si>
  <si>
    <t>Ciesz się większą liczbą zdjęć stóp i przesyłaj je w aplikacji</t>
  </si>
  <si>
    <t>Aproveite mais fotos de pés e faça upload de fotos no aplicativo</t>
  </si>
  <si>
    <t>Наслаждайтесь другими фотографиями ног и загружайте их в приложение.</t>
  </si>
  <si>
    <t>เพลิดเพลินกับรูปถ่ายเท้าเพิ่มเติมและอัปโหลดรูปภาพบนแอป</t>
  </si>
  <si>
    <t>Daha fazla ayak fotoğrafının keyfini çıkarın ve uygulamaya fotoğraf yükleyin</t>
  </si>
  <si>
    <t>Насолоджуйтеся фотографіями ніг і завантажуйте фото в додаток</t>
  </si>
  <si>
    <t>欣赏更多脚部照片并在应用程序上上传照片</t>
  </si>
  <si>
    <t>Thưởng thức thêm ảnh chân và có thể đăng tải ảnh lên ứng dụng</t>
  </si>
  <si>
    <t>loginNoticeMessage</t>
  </si>
  <si>
    <t>By continuing with account, you agree to our Terms of Service and acknowledge that you have read our Privacy Policy</t>
  </si>
  <si>
    <t>من خلال الاستمرار في الحساب، فإنك توافق على شروط الخدمة الخاصة بنا وتقر بأنك قد قرأت سياسة الخصوصية الخاصة بنا</t>
  </si>
  <si>
    <t>Pokračováním v účtu souhlasíte s našimi Podmínkami služby a potvrzujete, že jste si přečetli naše Zásady ochrany osobních údajů</t>
  </si>
  <si>
    <t>Indem Sie mit dem Konto fortfahren, stimmen Sie unseren Nutzungsbedingungen zu und bestätigen, dass Sie unsere Datenschutzrichtlinie gelesen haben</t>
  </si>
  <si>
    <t>Συνεχίζοντας με τον λογαριασμό, συμφωνείτε με τους Όρους Παροχής Υπηρεσιών μας και αναγνωρίζετε ότι έχετε διαβάσει την Πολιτική Απορρήτου μας</t>
  </si>
  <si>
    <t>Al continuar con la cuenta, acepta nuestros Términos de servicio y reconoce que ha leído nuestra Política de privacidad.</t>
  </si>
  <si>
    <t>Kontoga jätkates nõustute meie teenusetingimustega ja kinnitate, et olete meie privaatsuspoliitikat lugenud</t>
  </si>
  <si>
    <t>Jatkamalla tilin käyttöä hyväksyt käyttöehtomme ja vahvistat lukeneesi tietosuojakäytäntömme</t>
  </si>
  <si>
    <t>En poursuivant votre compte, vous acceptez nos conditions d'utilisation et reconnaissez que vous avez lu notre politique de confidentialité.</t>
  </si>
  <si>
    <t>खाता जारी रखकर, आप हमारी सेवा की शर्तों से सहमत हैं और स्वीकार करते हैं कि आपने हमारी गोपनीयता नीति पढ़ ली है</t>
  </si>
  <si>
    <t>Dengan melanjutkan akun, Anda menyetujui Ketentuan Layanan kami dan mengakui bahwa Anda telah membaca Kebijakan Privasi kami</t>
  </si>
  <si>
    <t>Continuando con l'account, accetti i nostri Termini di servizio e riconosci di aver letto la nostra Informativa sulla privacy</t>
  </si>
  <si>
    <t>アカウントを続行すると、利用規約に同意し、プライバシー ポリシーを読んだことを認めたものとみなされます</t>
  </si>
  <si>
    <t>ដោយបន្តជាមួយគណនី អ្នកយល់ព្រមនឹងលក្ខខណ្ឌនៃសេវាកម្មរបស់យើង ហើយទទួលស្គាល់ថាអ្នកបានអានគោលការណ៍ឯកជនភាពរបស់យើងហើយ</t>
  </si>
  <si>
    <t>ಖಾತೆಯೊಂದಿಗೆ ಮುಂದುವರಿಯುವ ಮೂಲಕ, ನೀವು ನಮ್ಮ ಸೇವಾ ನಿಯಮಗಳನ್ನು ಒಪ್ಪುತ್ತೀರಿ ಮತ್ತು ನಮ್ಮ ಗೌಪ್ಯತೆ ನೀತಿಯನ್ನು ನೀವು ಓದಿದ್ದೀರಿ ಎಂದು ಒಪ್ಪಿಕೊಳ್ಳುತ್ತೀರಿ</t>
  </si>
  <si>
    <t>계정을 계속 사용하면 서비스 약관에 동의하고 개인정보 보호정책을 읽었음을 인정하는 것입니다.</t>
  </si>
  <si>
    <t>ໂດຍການສືບຕໍ່ບັນຊີ, ທ່ານຕົກລົງເຫັນດີກັບເງື່ອນໄຂການໃຫ້ບໍລິການຂອງພວກເຮົາ ແລະຮັບຮູ້ວ່າທ່ານໄດ້ອ່ານນະໂຍບາຍຄວາມເປັນສ່ວນຕົວຂອງພວກເຮົາແລ້ວ.</t>
  </si>
  <si>
    <t>Turpinot darbu ar kontu, jūs piekrītat mūsu pakalpojumu sniegšanas noteikumiem un apstiprināt, ka esat izlasījis mūsu konfidencialitātes politiku</t>
  </si>
  <si>
    <t>Dengan meneruskan akaun, anda bersetuju menerima Syarat Perkhidmatan kami dan mengakui bahawa anda telah membaca Dasar Privasi kami</t>
  </si>
  <si>
    <t>Als u doorgaat met uw account, gaat u akkoord met onze Servicevoorwaarden en erkent u dat u ons Privacybeleid heeft gelezen</t>
  </si>
  <si>
    <t>Kontynuując korzystanie z konta, wyrażasz zgodę na nasze Warunki świadczenia usług i potwierdzasz, że zapoznałeś się z naszą Polityką prywatności</t>
  </si>
  <si>
    <t>Ao continuar com a conta, você concorda com nossos Termos de Serviço e reconhece que leu nossa Política de Privacidade</t>
  </si>
  <si>
    <t>Продолжая использовать учетную запись, вы соглашаетесь с нашими Условиями обслуживания и подтверждаете, что прочитали нашу Политику конфиденциальности.</t>
  </si>
  <si>
    <t>เมื่อดำเนินการต่อด้วยบัญชี แสดงว่าคุณยอมรับข้อกำหนดในการให้บริการของเรา และรับทราบว่าคุณได้อ่านนโยบายความเป็นส่วนตัวของเราแล้ว</t>
  </si>
  <si>
    <t>Hesapla devam ederek Hizmet Koşullarımızı kabul etmiş ve Gizlilik Politikamızı okuduğunuzu onaylamış olursunuz.</t>
  </si>
  <si>
    <t>Продовжуючи роботу з обліковим записом, ви погоджуєтеся з нашими Умовами обслуговування та підтверджуєте, що прочитали нашу Політику конфіденційності</t>
  </si>
  <si>
    <t>继续使用帐户即表示您同意我们的服务条款并确认您已阅读我们的隐私政策</t>
  </si>
  <si>
    <t>Bằng cách tiếp tục sử dụng tài khoản, bạn đồng ý với Điều khoản dịch vụ của chúng tôi và xác nhận rằng bạn đã đọc Chính sách quyền riêng tư của chúng tôi</t>
  </si>
  <si>
    <t>writeACaption</t>
  </si>
  <si>
    <t>Write a Caption</t>
  </si>
  <si>
    <t>اكتب شرحا</t>
  </si>
  <si>
    <t>Napište popisek</t>
  </si>
  <si>
    <t>Schreibe eine Überschrift</t>
  </si>
  <si>
    <t>Γράψτε μια λεζάντα</t>
  </si>
  <si>
    <t>Escribir un subtitulo</t>
  </si>
  <si>
    <t>Kirjutage pealdis</t>
  </si>
  <si>
    <t>Kirjoita kuvateksti</t>
  </si>
  <si>
    <t>Écrire une légende</t>
  </si>
  <si>
    <t>एक शीर्षक लिखो</t>
  </si>
  <si>
    <t>Tulis Keterangan</t>
  </si>
  <si>
    <t>Scrivere una didascalia</t>
  </si>
  <si>
    <t>キャプションを書く</t>
  </si>
  <si>
    <t>សរសេរ Caption</t>
  </si>
  <si>
    <t>ಶೀರ್ಷಿಕೆ ಬರೆಯಿರಿ</t>
  </si>
  <si>
    <t>캡션 쓰기</t>
  </si>
  <si>
    <t>ຂຽນຄຳບັນຍາຍ</t>
  </si>
  <si>
    <t>Uzrakstiet parakstu</t>
  </si>
  <si>
    <t>Tulis Kapsyen</t>
  </si>
  <si>
    <t>Schrijf een bijschrift</t>
  </si>
  <si>
    <t>Napisz podpis</t>
  </si>
  <si>
    <t>Escreva uma legenda</t>
  </si>
  <si>
    <t>Напишите подпись</t>
  </si>
  <si>
    <t>เขียนคำบรรยายภาพ</t>
  </si>
  <si>
    <t>Başlık yaz</t>
  </si>
  <si>
    <t>Напишіть підпис</t>
  </si>
  <si>
    <t>写一个标题</t>
  </si>
  <si>
    <t>Viết chú thích</t>
  </si>
  <si>
    <t>errorLogginMessage</t>
  </si>
  <si>
    <t>Unable to log in, please try again or try with another gmail.</t>
  </si>
  <si>
    <t>تعذر تسجيل الدخول، يرجى المحاولة مرة أخرى أو المحاولة باستخدام Gmail آخر.</t>
  </si>
  <si>
    <t>Nelze se přihlásit, zkuste to prosím znovu nebo to zkuste s jiným gmailem.</t>
  </si>
  <si>
    <t>Die Anmeldung ist nicht möglich. Bitte versuchen Sie es erneut oder versuchen Sie es mit einem anderen Google Mail-Konto.</t>
  </si>
  <si>
    <t>Δεν είναι δυνατή η σύνδεση, δοκιμάστε ξανά ή δοκιμάστε με άλλο gmail.</t>
  </si>
  <si>
    <t>No se puede iniciar sesión, inténtalo de nuevo o prueba con otro Gmail.</t>
  </si>
  <si>
    <t>Sisselogimine ei õnnestu, proovige uuesti või proovige mõne teise Gmailiga.</t>
  </si>
  <si>
    <t>Kirjautuminen ei onnistu, yritä uudelleen tai yritä toisella gmaililla.</t>
  </si>
  <si>
    <t>Impossible de vous connecter, veuillez réessayer ou essayer avec un autre Gmail.</t>
  </si>
  <si>
    <t>लॉग इन करने में असमर्थ, कृपया पुनः प्रयास करें या किसी अन्य जीमेल से प्रयास करें।</t>
  </si>
  <si>
    <t>Tidak dapat login, silakan coba lagi atau coba dengan gmail lain.</t>
  </si>
  <si>
    <t>Impossibile accedere, riprova o prova con un altro Gmail.</t>
  </si>
  <si>
    <t>ログインできません。もう一度試すか、別の Gmail で試してください。</t>
  </si>
  <si>
    <t>មិនអាចចូលបានទេ សូមព្យាយាមម្តងទៀត ឬព្យាយាមជាមួយ gmail ផ្សេងទៀត។</t>
  </si>
  <si>
    <t>ಲಾಗ್ ಇನ್ ಮಾಡಲು ಸಾಧ್ಯವಾಗುತ್ತಿಲ್ಲ, ದಯವಿಟ್ಟು ಮತ್ತೆ ಪ್ರಯತ್ನಿಸಿ ಅಥವಾ ಇನ್ನೊಂದು gmail ಮೂಲಕ ಪ್ರಯತ್ನಿಸಿ.</t>
  </si>
  <si>
    <t>로그인할 수 없습니다. 다시 시도하거나 다른 Gmail로 시도해 보세요.</t>
  </si>
  <si>
    <t>ບໍ່ສາມາດເຂົ້າສູ່ລະບົບໄດ້, ກະລຸນາລອງອີກຄັ້ງ ຫຼືລອງໃຊ້ Gmail ອື່ນ.</t>
  </si>
  <si>
    <t>Nevar pieteikties, lūdzu, mēģiniet vēlreiz vai mēģiniet ar citu Gmail.</t>
  </si>
  <si>
    <t>Tidak dapat log masuk, sila cuba lagi atau cuba dengan gmail lain.</t>
  </si>
  <si>
    <t>Inloggen lukt niet. Probeer het opnieuw of probeer het met een andere Gmail.</t>
  </si>
  <si>
    <t>Nie można się zalogować. Spróbuj ponownie lub użyj innego Gmaila.</t>
  </si>
  <si>
    <t>Não foi possível fazer login, tente novamente ou tente com outro Gmail.</t>
  </si>
  <si>
    <t>Невозможно войти в систему. Повторите попытку или попробуйте использовать другой Gmail.</t>
  </si>
  <si>
    <t>ไม่สามารถเข้าสู่ระบบได้ โปรดลองอีกครั้งหรือลองด้วย Gmail อื่น</t>
  </si>
  <si>
    <t>Giriş yapılamıyor, lütfen tekrar deneyin veya başka bir Gmail ile deneyin.</t>
  </si>
  <si>
    <t>Не вдається ввійти, будь ласка, спробуйте ще раз або спробуйте з іншою поштою Gmail.</t>
  </si>
  <si>
    <t>无法登录，请重试或使用其他 Gmail 尝试。</t>
  </si>
  <si>
    <t>Không thể đăng nhập, vui lòng thử lại hoặc thử bằng gmail khác.</t>
  </si>
  <si>
    <t>readmore</t>
  </si>
  <si>
    <t>Readmore</t>
  </si>
  <si>
    <t>اقرأ أكثر</t>
  </si>
  <si>
    <t>Přečtěte si více</t>
  </si>
  <si>
    <t>Mehr lesen</t>
  </si>
  <si>
    <t>Διαβάστε περισσότερα</t>
  </si>
  <si>
    <t>Leer más</t>
  </si>
  <si>
    <t>Loe rohkem</t>
  </si>
  <si>
    <t>Lue lisää</t>
  </si>
  <si>
    <t>En savoir plus</t>
  </si>
  <si>
    <t>और पढ़ें</t>
  </si>
  <si>
    <t>Baca selengkapnya</t>
  </si>
  <si>
    <t>Per saperne di più</t>
  </si>
  <si>
    <t>続きを読む</t>
  </si>
  <si>
    <t>អាន​បន្ថែម</t>
  </si>
  <si>
    <t>ಮತ್ತಷ್ಟು ಓದು</t>
  </si>
  <si>
    <t>자세히보기</t>
  </si>
  <si>
    <t>ອ່ານ​ຕື່ມ</t>
  </si>
  <si>
    <t>Lasīt vairāk</t>
  </si>
  <si>
    <t>Baca lagi</t>
  </si>
  <si>
    <t>Lees verder</t>
  </si>
  <si>
    <t>Czytaj więcej</t>
  </si>
  <si>
    <t>Consulte Mais informação</t>
  </si>
  <si>
    <t>Читать далее</t>
  </si>
  <si>
    <t>อ่านเพิ่มเติม</t>
  </si>
  <si>
    <t>Devamını oku</t>
  </si>
  <si>
    <t>Детальніше</t>
  </si>
  <si>
    <t>阅读更多</t>
  </si>
  <si>
    <t>Đọc thêm</t>
  </si>
  <si>
    <t>signIn</t>
  </si>
  <si>
    <t>Sign in</t>
  </si>
  <si>
    <t>تسجيل الدخول</t>
  </si>
  <si>
    <t>Přihlásit se</t>
  </si>
  <si>
    <t>anmelden</t>
  </si>
  <si>
    <t>Συνδεθείτε</t>
  </si>
  <si>
    <t>Iniciar sesión</t>
  </si>
  <si>
    <t>Se connecter</t>
  </si>
  <si>
    <t>दाखिल करना</t>
  </si>
  <si>
    <t>Masuk</t>
  </si>
  <si>
    <t>Registrazione</t>
  </si>
  <si>
    <t>サインイン</t>
  </si>
  <si>
    <t>ចូល</t>
  </si>
  <si>
    <t>ಸೈನ್ ಇನ್ ಮಾಡಿ</t>
  </si>
  <si>
    <t>ເຂົ້າ​ສູ່​ລະ​ບົບ</t>
  </si>
  <si>
    <t>Ielogoties</t>
  </si>
  <si>
    <t>Log masuk</t>
  </si>
  <si>
    <t>Aanmelden</t>
  </si>
  <si>
    <t>Zalogować się</t>
  </si>
  <si>
    <t>Entrar</t>
  </si>
  <si>
    <t>Войти</t>
  </si>
  <si>
    <t>เข้าสู่ระบบ</t>
  </si>
  <si>
    <t>Kayıt olmak</t>
  </si>
  <si>
    <t>Увійти</t>
  </si>
  <si>
    <t>登入</t>
  </si>
  <si>
    <t>Đăng nhập</t>
  </si>
  <si>
    <t>signOut</t>
  </si>
  <si>
    <t>Sign out</t>
  </si>
  <si>
    <t>خروج</t>
  </si>
  <si>
    <t>Odhlásit se</t>
  </si>
  <si>
    <t>Abmelden</t>
  </si>
  <si>
    <t>Αποσύνδεση</t>
  </si>
  <si>
    <t>desconectar</t>
  </si>
  <si>
    <t>Logi välja</t>
  </si>
  <si>
    <t>Kirjaudu ulos</t>
  </si>
  <si>
    <t>se déconnecter</t>
  </si>
  <si>
    <t>साइन आउट</t>
  </si>
  <si>
    <t>Keluar</t>
  </si>
  <si>
    <t>disconnessione</t>
  </si>
  <si>
    <t>サインアウト</t>
  </si>
  <si>
    <t>ចាកចេញ</t>
  </si>
  <si>
    <t>ಸೈನ್ ಔಟ್ ಮಾಡಿ</t>
  </si>
  <si>
    <t>로그아웃</t>
  </si>
  <si>
    <t>ອອກ​ຈາກ​ລະ​ບົບ</t>
  </si>
  <si>
    <t>Izrakstīties</t>
  </si>
  <si>
    <t>Log keluar</t>
  </si>
  <si>
    <t>Afmelden</t>
  </si>
  <si>
    <t>Wyloguj się</t>
  </si>
  <si>
    <t>sair</t>
  </si>
  <si>
    <t>выход</t>
  </si>
  <si>
    <t>ออกจากระบบ</t>
  </si>
  <si>
    <t>oturumu Kapat</t>
  </si>
  <si>
    <t>Вийти з аккаунта</t>
  </si>
  <si>
    <t>登出</t>
  </si>
  <si>
    <t>Đăng xuất</t>
  </si>
  <si>
    <t>Edasi</t>
  </si>
  <si>
    <t>បន្ទាប់</t>
  </si>
  <si>
    <t>ಮುಂದೆ</t>
  </si>
  <si>
    <t>Далі</t>
  </si>
  <si>
    <t>previewPost</t>
  </si>
  <si>
    <t>Preview Post</t>
  </si>
  <si>
    <t>معاينة المشاركة</t>
  </si>
  <si>
    <t>Předchozí příspěvek</t>
  </si>
  <si>
    <t>Vorschau des Beitrags</t>
  </si>
  <si>
    <t>Επισκόπηση τοποθέτησης</t>
  </si>
  <si>
    <t>Vista previa de post</t>
  </si>
  <si>
    <t>Postituse eelvaade</t>
  </si>
  <si>
    <t>Esikatsele viestiä</t>
  </si>
  <si>
    <t>Aperçu du message</t>
  </si>
  <si>
    <t>पूर्वावलोकन पोस्ट</t>
  </si>
  <si>
    <t>Pratinjau Posting</t>
  </si>
  <si>
    <t>Anteprima del messaggio</t>
  </si>
  <si>
    <t>プレビューポスト</t>
  </si>
  <si>
    <t>មើលសារបង្ហោះជាមុន</t>
  </si>
  <si>
    <t>ಪೂರ್ವವೀಕ್ಷಣೆ ಪೋಸ್ಟ್</t>
  </si>
  <si>
    <t>미리보기 게시물</t>
  </si>
  <si>
    <t>ໂພສຕົວຢ່າງ</t>
  </si>
  <si>
    <t>Priekšskatīt ziņu</t>
  </si>
  <si>
    <t>Pratonton Siaran</t>
  </si>
  <si>
    <t>Voorbeeldbericht</t>
  </si>
  <si>
    <t>Poprzedni post</t>
  </si>
  <si>
    <t>Postagem anterior</t>
  </si>
  <si>
    <t>Предварительный просмотр сообщения</t>
  </si>
  <si>
    <t>โพสต์ภาพตัวอย่าง</t>
  </si>
  <si>
    <t>Gönderiyi Önizle</t>
  </si>
  <si>
    <t>Попередній перегляд публікації</t>
  </si>
  <si>
    <t>预阅帖子</t>
  </si>
  <si>
    <t>Xem trước bài đăng</t>
  </si>
  <si>
    <t>post</t>
  </si>
  <si>
    <t>Post Photo</t>
  </si>
  <si>
    <t>نشر الصورة</t>
  </si>
  <si>
    <t>Přidat fotografii</t>
  </si>
  <si>
    <t>Foto posten</t>
  </si>
  <si>
    <t>Δημοσίευση φωτογραφίας</t>
  </si>
  <si>
    <t>Publicar una foto</t>
  </si>
  <si>
    <t>Postita foto</t>
  </si>
  <si>
    <t>Lähetä valokuva</t>
  </si>
  <si>
    <t>Publier une photo</t>
  </si>
  <si>
    <t>फ़ोटो पोस्ट करें</t>
  </si>
  <si>
    <t>Posting Foto</t>
  </si>
  <si>
    <t>Pubblica foto</t>
  </si>
  <si>
    <t>写真を投稿する</t>
  </si>
  <si>
    <t>បង្ហោះរូបថត</t>
  </si>
  <si>
    <t>ಫೋಟೋ ಪೋಸ್ಟ್ ಮಾಡಿ</t>
  </si>
  <si>
    <t>사진 게시</t>
  </si>
  <si>
    <t>ໂພສຮູບ</t>
  </si>
  <si>
    <t>Izlikt fotoattēlu</t>
  </si>
  <si>
    <t>Siarkan Foto</t>
  </si>
  <si>
    <t>Foto plaatsen</t>
  </si>
  <si>
    <t>Opublikować zdjęcie</t>
  </si>
  <si>
    <t>Postar foto</t>
  </si>
  <si>
    <t>Опубликовать фото</t>
  </si>
  <si>
    <t>โพสต์รูปภาพ</t>
  </si>
  <si>
    <t>Fotoğraf Gönder</t>
  </si>
  <si>
    <t>Опублікувати фото</t>
  </si>
  <si>
    <t>发布照片</t>
  </si>
  <si>
    <t>Đăng ảnh</t>
  </si>
  <si>
    <t>uploadPostSuccessMessage</t>
  </si>
  <si>
    <t>Upload successful, the article will be available after review by the administrator</t>
  </si>
  <si>
    <t>تم التحميل بنجاح، وستكون المقالة متاحة بعد مراجعتها من قبل المسؤول</t>
  </si>
  <si>
    <t>Nahrání proběhlo úspěšně, článek bude dostupný po kontrole administrátorem</t>
  </si>
  <si>
    <t>Hochladen erfolgreich, der Artikel ist nach Überprüfung durch den Administrator verfügbar</t>
  </si>
  <si>
    <t>Η μεταφόρτωση ήταν επιτυχής, το άρθρο θα είναι διαθέσιμο μετά από έλεγχο από τον διαχειριστή</t>
  </si>
  <si>
    <t>Carga exitosa, el artículo estará disponible después de que el administrador lo revise.</t>
  </si>
  <si>
    <t>Üleslaadimine õnnestus, artikkel on saadaval pärast administraatori poolt läbivaatamist</t>
  </si>
  <si>
    <t>Lataus onnistui, artikkeli on saatavilla järjestelmänvalvojan tarkastelun jälkeen</t>
  </si>
  <si>
    <t>Téléchargement réussi, l'article sera disponible après examen par l'administrateur</t>
  </si>
  <si>
    <t>अपलोड सफल, लेख व्यवस्थापक द्वारा समीक्षा के बाद उपलब्ध होगा</t>
  </si>
  <si>
    <t>Unggahan berhasil, artikel akan tersedia setelah ditinjau oleh administrator</t>
  </si>
  <si>
    <t>Caricamento riuscito, l'articolo sarà disponibile dopo la revisione da parte dell'amministratore</t>
  </si>
  <si>
    <t>アップロードが成功しました。記事は管理者によるレビュー後に利用可能になります</t>
  </si>
  <si>
    <t>បង្ហោះដោយជោគជ័យ អត្ថបទនឹងមានបន្ទាប់ពីការពិនិត្យដោយអ្នកគ្រប់គ្រង</t>
  </si>
  <si>
    <t>ಅಪ್‌ಲೋಡ್ ಯಶಸ್ವಿಯಾಗಿದೆ, ನಿರ್ವಾಹಕರು ಪರಿಶೀಲಿಸಿದ ನಂತರ ಲೇಖನವು ಲಭ್ಯವಿರುತ್ತದೆ</t>
  </si>
  <si>
    <t>업로드가 완료되었습니다. 관리자가 검토한 후 기사를 사용할 수 있습니다.</t>
  </si>
  <si>
    <t>ອັບໂຫຼດສຳເລັດແລ້ວ, ບົດຄວາມຈະມີໃຫ້ຫຼັງຈາກກວດສອບໂດຍຜູ້ເບິ່ງແຍງລະບົບ</t>
  </si>
  <si>
    <t>Augšupielāde ir veiksmīga, raksts būs pieejams pēc administratora pārskatīšanas</t>
  </si>
  <si>
    <t>Muat naik berjaya, artikel akan tersedia selepas semakan oleh pentadbir</t>
  </si>
  <si>
    <t>Upload succesvol, het artikel zal beschikbaar zijn na beoordeling door de beheerder</t>
  </si>
  <si>
    <t>Przesyłanie powiodło się, artykuł będzie dostępny po sprawdzeniu przez administratora</t>
  </si>
  <si>
    <t>Upload bem sucedido, o artigo estará disponível após revisão pelo administrador</t>
  </si>
  <si>
    <t>Загрузка прошла успешно, статья будет доступна после проверки администратором.</t>
  </si>
  <si>
    <t>อัปโหลดสำเร็จ บทความจะพร้อมใช้งานหลังจากผู้ดูแลระบบตรวจสอบแล้ว</t>
  </si>
  <si>
    <t>Yükleme başarılı, makale yönetici tarafından incelendikten sonra kullanıma sunulacak</t>
  </si>
  <si>
    <t>Завантаження пройшло, стаття буде доступна після перегляду адміністратором</t>
  </si>
  <si>
    <t>上传成功，文章经管理员审核后即可发布</t>
  </si>
  <si>
    <t>Tải lên thành công, bài viết sẽ hiển thị sau khi được quản trị viên phê duyệt</t>
  </si>
  <si>
    <t>tabbarExplore</t>
  </si>
  <si>
    <t>Explore</t>
  </si>
  <si>
    <t>يستكشف</t>
  </si>
  <si>
    <t>Prozkoumat</t>
  </si>
  <si>
    <t>Erkunden</t>
  </si>
  <si>
    <t>Εξερευνώ</t>
  </si>
  <si>
    <t>Explorar</t>
  </si>
  <si>
    <t>Uurige</t>
  </si>
  <si>
    <t>Tutkia</t>
  </si>
  <si>
    <t>Explorer</t>
  </si>
  <si>
    <t>अन्वेषण करना</t>
  </si>
  <si>
    <t>Mengeksplorasi</t>
  </si>
  <si>
    <t>Esplorare</t>
  </si>
  <si>
    <t>探検する</t>
  </si>
  <si>
    <t>រុករក</t>
  </si>
  <si>
    <t>ಅನ್ವೇಷಿಸಿ</t>
  </si>
  <si>
    <t>탐구하다</t>
  </si>
  <si>
    <t>ສຳຫຼວດ</t>
  </si>
  <si>
    <t>Izpētīt</t>
  </si>
  <si>
    <t>Meneroka</t>
  </si>
  <si>
    <t>Ontdekken</t>
  </si>
  <si>
    <t>Badać</t>
  </si>
  <si>
    <t>Исследовать</t>
  </si>
  <si>
    <t>สำรวจ</t>
  </si>
  <si>
    <t>Keşfetmek</t>
  </si>
  <si>
    <t>Досліджуйте</t>
  </si>
  <si>
    <t>探索</t>
  </si>
  <si>
    <t>Khám phá</t>
  </si>
  <si>
    <t>create</t>
  </si>
  <si>
    <t>Create</t>
  </si>
  <si>
    <t>يخلق</t>
  </si>
  <si>
    <t>Vytvořit</t>
  </si>
  <si>
    <t>Erstellen</t>
  </si>
  <si>
    <t>Δημιουργώ</t>
  </si>
  <si>
    <t>Crear</t>
  </si>
  <si>
    <t>Loo</t>
  </si>
  <si>
    <t>Luoda</t>
  </si>
  <si>
    <t>Créer</t>
  </si>
  <si>
    <t>बनाएं</t>
  </si>
  <si>
    <t>Membuat</t>
  </si>
  <si>
    <t>Creare</t>
  </si>
  <si>
    <t>作成する</t>
  </si>
  <si>
    <t>បង្កើត</t>
  </si>
  <si>
    <t>ರಚಿಸಿ</t>
  </si>
  <si>
    <t>만들다</t>
  </si>
  <si>
    <t>ສ້າງ</t>
  </si>
  <si>
    <t>Izveidot</t>
  </si>
  <si>
    <t>Buat</t>
  </si>
  <si>
    <t>Creëren</t>
  </si>
  <si>
    <t>Tworzyć</t>
  </si>
  <si>
    <t>Criar</t>
  </si>
  <si>
    <t>Создавать</t>
  </si>
  <si>
    <t>Yaratmak</t>
  </si>
  <si>
    <t>Створити</t>
  </si>
  <si>
    <t>创造</t>
  </si>
  <si>
    <t>Tạo mới</t>
  </si>
  <si>
    <t>noPhotos</t>
  </si>
  <si>
    <t>No Photos</t>
  </si>
  <si>
    <t>لا توجد صور</t>
  </si>
  <si>
    <t>Žádné fotky</t>
  </si>
  <si>
    <t>Keine Fotos</t>
  </si>
  <si>
    <t>Οχι φωτογραφίες</t>
  </si>
  <si>
    <t>Sin fotos</t>
  </si>
  <si>
    <t>Fotosid pole</t>
  </si>
  <si>
    <t>Ei valokuvia</t>
  </si>
  <si>
    <t>Pas de photos</t>
  </si>
  <si>
    <t>तस्वीरें नहीं</t>
  </si>
  <si>
    <t>Tidak ada foto</t>
  </si>
  <si>
    <t>Niente foto</t>
  </si>
  <si>
    <t>写真なし</t>
  </si>
  <si>
    <t>គ្មានរូបថត</t>
  </si>
  <si>
    <t>ಫೋಟೋಗಳಿಲ್ಲ</t>
  </si>
  <si>
    <t>사진 없음</t>
  </si>
  <si>
    <t>ບໍ່ມີຮູບ</t>
  </si>
  <si>
    <t>Nav fotoattēlu</t>
  </si>
  <si>
    <t>Tiada Foto</t>
  </si>
  <si>
    <t>Geen foto's</t>
  </si>
  <si>
    <t>Brak zdjęć</t>
  </si>
  <si>
    <t>Não há fotos</t>
  </si>
  <si>
    <t>Нет фото</t>
  </si>
  <si>
    <t>ไม่มีรูปถ่าย</t>
  </si>
  <si>
    <t>Fotoğraf yok</t>
  </si>
  <si>
    <t>Немає фотографій</t>
  </si>
  <si>
    <t>没有照片</t>
  </si>
  <si>
    <t>Không có ảnh</t>
  </si>
  <si>
    <t>noPhotosMessage</t>
  </si>
  <si>
    <t>No photos found related to the content you entered._____Please try again with another keyword.</t>
  </si>
  <si>
    <t>لم يتم العثور على صور ذات صلة بالمحتوى الذي أدخلته.______يرجى المحاولة مرة أخرى باستخدام كلمة رئيسية أخرى.</t>
  </si>
  <si>
    <t>Nebyly nalezeny žádné fotografie související se zadaným obsahem._____Zkuste to prosím znovu s jiným klíčovým slovem.</t>
  </si>
  <si>
    <t>Es wurden keine Fotos gefunden, die mit dem von Ihnen eingegebenen Inhalt in Zusammenhang stehen._____Bitte versuchen Sie es erneut mit einem anderen Schlüsselwort.</t>
  </si>
  <si>
    <t>Δεν βρέθηκαν φωτογραφίες που να σχετίζονται με το περιεχόμενο που εισαγάγατε._____Παρακαλώ δοκιμάστε ξανά με άλλη λέξη-κλειδί.</t>
  </si>
  <si>
    <t>No se encontraron fotos relacionadas con el contenido que ingresó._____ Inténtelo nuevamente con otra palabra clave.</t>
  </si>
  <si>
    <t>Sisestatud sisuga seotud fotosid ei leitud._____Proovige uuesti mõne muu märksõnaga.</t>
  </si>
  <si>
    <t>Antamaasi sisältöön liittyviä kuvia ei löytynyt._____Yritä uudelleen toisella avainsanalla.</t>
  </si>
  <si>
    <t>Aucune photo trouvée en rapport avec le contenu que vous avez saisi._____Veuillez réessayer avec un autre mot-clé.</t>
  </si>
  <si>
    <t>आपके द्वारा दर्ज की गई सामग्री से संबंधित कोई फ़ोटो नहीं मिली।_____कृपया किसी अन्य कीवर्ड के साथ पुनः प्रयास करें।</t>
  </si>
  <si>
    <t>Tidak ditemukan foto terkait dengan konten yang Anda masukkan._____Silakan coba lagi dengan kata kunci lain.</t>
  </si>
  <si>
    <t>Nessuna foto trovata correlata al contenuto inserito._____Riprova con un'altra parola chiave.</t>
  </si>
  <si>
    <t>入力したコンテンツに関連する写真は見つかりませんでした。_____別のキーワードでもう一度お試しください。</t>
  </si>
  <si>
    <t>រកមិនឃើញរូបថតដែលទាក់ទងនឹងខ្លឹមសារដែលអ្នកបានបញ្ចូលទេ។ _____ សូមព្យាយាមម្តងទៀតដោយប្រើពាក្យគន្លឹះផ្សេងទៀត។</t>
  </si>
  <si>
    <t>ನೀವು ನಮೂದಿಸಿದ ವಿಷಯಕ್ಕೆ ಸಂಬಂಧಿಸಿದ ಯಾವುದೇ ಫೋಟೋಗಳು ಕಂಡುಬಂದಿಲ್ಲ._____ದಯವಿಟ್ಟು ಇನ್ನೊಂದು ಕೀವರ್ಡ್‌ನೊಂದಿಗೆ ಮತ್ತೊಮ್ಮೆ ಪ್ರಯತ್ನಿಸಿ.</t>
  </si>
  <si>
    <t>입력하신 내용과 관련된 사진을 찾을 수 없습니다._____다른 키워드로 다시 시도해 주세요.</t>
  </si>
  <si>
    <t>ບໍ່ພົບຮູບທີ່ກ່ຽວຂ້ອງກັບເນື້ອຫາທີ່ທ່ານປ້ອນເຂົ້າ._____ ກະລຸນາລອງອີກຄັ້ງດ້ວຍຄຳສຳຄັນອື່ນ.</t>
  </si>
  <si>
    <t>Netika atrasts neviens fotoattēls, kas būtu saistīts ar jūsu ievadīto saturu._____Lūdzu, mēģiniet vēlreiz, izmantojot citu atslēgvārdu.</t>
  </si>
  <si>
    <t>Tiada foto ditemui berkaitan dengan kandungan yang anda masukkan._____Sila cuba lagi dengan kata kunci lain.</t>
  </si>
  <si>
    <t>Er zijn geen foto's gevonden die verband houden met de inhoud die u heeft ingevoerd._____Probeer het opnieuw met een ander trefwoord.</t>
  </si>
  <si>
    <t>Nie znaleziono zdjęć związanych z wprowadzoną treścią._____Spróbuj ponownie, używając innego słowa kluczowego.</t>
  </si>
  <si>
    <t>Não foram encontradas fotos relacionadas ao conteúdo inserido._____Tente novamente com outra palavra-chave.</t>
  </si>
  <si>
    <t>Не найдено фотографий, связанных с введенным вами содержанием._____Пожалуйста, повторите попытку, указав другое ключевое слово.</t>
  </si>
  <si>
    <t>ไม่พบรูปภาพที่เกี่ยวข้องกับเนื้อหาที่คุณป้อน_____โปรดลองอีกครั้งด้วยคำหลักอื่น</t>
  </si>
  <si>
    <t>Girdiğiniz içerikle ilgili fotoğraf bulunamadı._____Lütfen başka bir anahtar kelimeyle tekrar deneyin.</t>
  </si>
  <si>
    <t>Не знайдено фотографій, пов’язаних із вмістом, який ви ввели._____Будь ласка, спробуйте ще раз із іншим ключовим словом.</t>
  </si>
  <si>
    <t>未找到与您输入的内容相关的照片。_____请使用其他关键字重试。</t>
  </si>
  <si>
    <t>Không tìm thấy ảnh nào liên quan đến nội dung bạn đã nhập._____Vui lòng thử lại bằng từ khóa khác.</t>
  </si>
  <si>
    <t>feetCare</t>
  </si>
  <si>
    <t>Feet care</t>
  </si>
  <si>
    <t>العناية بالقدمين</t>
  </si>
  <si>
    <t>Péče o nohy</t>
  </si>
  <si>
    <t>Fußpflege</t>
  </si>
  <si>
    <t>Περιποίηση ποδιών</t>
  </si>
  <si>
    <t>cuidado de los pies</t>
  </si>
  <si>
    <t>Jalgade hooldus</t>
  </si>
  <si>
    <t>Jalkojen hoito</t>
  </si>
  <si>
    <t>Soins des pieds</t>
  </si>
  <si>
    <t>पैरों की देखभाल</t>
  </si>
  <si>
    <t>Perawatan kaki</t>
  </si>
  <si>
    <t>Cura dei piedi</t>
  </si>
  <si>
    <t>フットケア</t>
  </si>
  <si>
    <t>ការថែរក្សាជើង</t>
  </si>
  <si>
    <t>ಪಾದಗಳ ಆರೈಕೆ</t>
  </si>
  <si>
    <t>발 관리</t>
  </si>
  <si>
    <t>ການດູແລຕີນ</t>
  </si>
  <si>
    <t>Kāju kopšana</t>
  </si>
  <si>
    <t>Penjagaan kaki</t>
  </si>
  <si>
    <t>Voetverzorging</t>
  </si>
  <si>
    <t>Pielęgnacja stóp</t>
  </si>
  <si>
    <t>Cuidados com os pés</t>
  </si>
  <si>
    <t>Уход за ногами</t>
  </si>
  <si>
    <t>การดูแลเท้า</t>
  </si>
  <si>
    <t>Ayak bakımı</t>
  </si>
  <si>
    <t>Догляд за ногами</t>
  </si>
  <si>
    <t>足部护理</t>
  </si>
  <si>
    <t>Chăm sóc bàn chân</t>
  </si>
  <si>
    <t>pedicure</t>
  </si>
  <si>
    <t>Pedicure</t>
  </si>
  <si>
    <t>باديكير</t>
  </si>
  <si>
    <t>Pedikúra</t>
  </si>
  <si>
    <t>Pediküre</t>
  </si>
  <si>
    <t>Πεντικιούρ</t>
  </si>
  <si>
    <t>Pediküür</t>
  </si>
  <si>
    <t>Pedikyyri</t>
  </si>
  <si>
    <t>Pédicure</t>
  </si>
  <si>
    <t>पेडीक्योर</t>
  </si>
  <si>
    <t>Pedikur</t>
  </si>
  <si>
    <t>ペディキュア</t>
  </si>
  <si>
    <t>លាបជើង</t>
  </si>
  <si>
    <t>ಪಾದೋಪಚಾರ</t>
  </si>
  <si>
    <t>페디큐어</t>
  </si>
  <si>
    <t>ເລັບຕີນ</t>
  </si>
  <si>
    <t>Pedikīrs</t>
  </si>
  <si>
    <t>Педикюр</t>
  </si>
  <si>
    <t>ทำเล็บเท้า</t>
  </si>
  <si>
    <t>Pedikür</t>
  </si>
  <si>
    <t>педикюр</t>
  </si>
  <si>
    <t>修脚</t>
  </si>
  <si>
    <t>Làm móng chân</t>
  </si>
  <si>
    <t>heels</t>
  </si>
  <si>
    <t>Heels</t>
  </si>
  <si>
    <t>الكعب</t>
  </si>
  <si>
    <t>Podpatky</t>
  </si>
  <si>
    <t>Absätze</t>
  </si>
  <si>
    <t>Τακούνια</t>
  </si>
  <si>
    <t>Tacones</t>
  </si>
  <si>
    <t>Kontsad</t>
  </si>
  <si>
    <t>Korkokengät</t>
  </si>
  <si>
    <t>Talons</t>
  </si>
  <si>
    <t>हील</t>
  </si>
  <si>
    <t>sepatu hak</t>
  </si>
  <si>
    <t>Tacchi</t>
  </si>
  <si>
    <t>かかと</t>
  </si>
  <si>
    <t>កែងជើង</t>
  </si>
  <si>
    <t>ನೆರಳಿನಲ್ಲೇ</t>
  </si>
  <si>
    <t>뒷굽</t>
  </si>
  <si>
    <t>ສົ້ນຕີນ</t>
  </si>
  <si>
    <t>Papēži</t>
  </si>
  <si>
    <t>Tumit</t>
  </si>
  <si>
    <t>Hakken</t>
  </si>
  <si>
    <t>Obcasy</t>
  </si>
  <si>
    <t>Salto</t>
  </si>
  <si>
    <t>Каблуки</t>
  </si>
  <si>
    <t>รองเท้าส้นสูง</t>
  </si>
  <si>
    <t>Topuklular</t>
  </si>
  <si>
    <t>高跟鞋</t>
  </si>
  <si>
    <t>Giày cao gót</t>
  </si>
  <si>
    <t>feet</t>
  </si>
  <si>
    <t>Feet</t>
  </si>
  <si>
    <t>قدم</t>
  </si>
  <si>
    <t>Chodidla</t>
  </si>
  <si>
    <t>Füße</t>
  </si>
  <si>
    <t>Πόδια</t>
  </si>
  <si>
    <t>Pies</t>
  </si>
  <si>
    <t>Jalad</t>
  </si>
  <si>
    <t>Jalat</t>
  </si>
  <si>
    <t>Pieds</t>
  </si>
  <si>
    <t>पैर</t>
  </si>
  <si>
    <t>Kaki</t>
  </si>
  <si>
    <t>Piedi</t>
  </si>
  <si>
    <t>足</t>
  </si>
  <si>
    <t>ជើង</t>
  </si>
  <si>
    <t>ಪಾದಗಳು</t>
  </si>
  <si>
    <t>피트</t>
  </si>
  <si>
    <t>ຕີນ</t>
  </si>
  <si>
    <t>Pēdas</t>
  </si>
  <si>
    <t>kaki</t>
  </si>
  <si>
    <t>Voeten</t>
  </si>
  <si>
    <t>Stopy</t>
  </si>
  <si>
    <t>Pés</t>
  </si>
  <si>
    <t>Ноги</t>
  </si>
  <si>
    <t>เท้า</t>
  </si>
  <si>
    <t>Ayak</t>
  </si>
  <si>
    <t>脚</t>
  </si>
  <si>
    <t>Bàn chân</t>
  </si>
  <si>
    <t>foot</t>
  </si>
  <si>
    <t>Foot</t>
  </si>
  <si>
    <t>Chodidlo</t>
  </si>
  <si>
    <t>Fuß</t>
  </si>
  <si>
    <t>Πόδι</t>
  </si>
  <si>
    <t>Pie</t>
  </si>
  <si>
    <t>Jalg</t>
  </si>
  <si>
    <t>Jalka</t>
  </si>
  <si>
    <t>Pied</t>
  </si>
  <si>
    <t>Piede</t>
  </si>
  <si>
    <t>ಪಾದ</t>
  </si>
  <si>
    <t>발</t>
  </si>
  <si>
    <t>Pēda</t>
  </si>
  <si>
    <t>Voet</t>
  </si>
  <si>
    <t>Stopa</t>
  </si>
  <si>
    <t>Pé</t>
  </si>
  <si>
    <t>Ступня</t>
  </si>
  <si>
    <t>стопа</t>
  </si>
  <si>
    <t>Chân</t>
  </si>
  <si>
    <t>meshTights</t>
  </si>
  <si>
    <t>Mesh Tights</t>
  </si>
  <si>
    <t>الجوارب شبكة</t>
  </si>
  <si>
    <t>Síťované punčochy</t>
  </si>
  <si>
    <t>Netzstrumpfhose</t>
  </si>
  <si>
    <t>Διχτυωτό καλσόν</t>
  </si>
  <si>
    <t>Medias de malla</t>
  </si>
  <si>
    <t>Võrgust sukkpüksid</t>
  </si>
  <si>
    <t>Verkkosukkahousut</t>
  </si>
  <si>
    <t>Collants en maille</t>
  </si>
  <si>
    <t>जालीदार चड्डी</t>
  </si>
  <si>
    <t>Celana Ketat Jaring</t>
  </si>
  <si>
    <t>Collant a rete</t>
  </si>
  <si>
    <t>メッシュタイツ</t>
  </si>
  <si>
    <t>ក្រណាត់សំណាញ់</t>
  </si>
  <si>
    <t>ಮೆಶ್ ಟೈಟ್ಸ್</t>
  </si>
  <si>
    <t>메쉬 스타킹</t>
  </si>
  <si>
    <t>ຕາຫນ່າງ Tights</t>
  </si>
  <si>
    <t>Tīkla zeķubikses</t>
  </si>
  <si>
    <t>Pakaian Ketat Mesh</t>
  </si>
  <si>
    <t>Mesh panty's</t>
  </si>
  <si>
    <t>Rajstopy siateczkowe</t>
  </si>
  <si>
    <t>Meias de malha</t>
  </si>
  <si>
    <t>Сетчатые колготки</t>
  </si>
  <si>
    <t>กางเกงรัดรูปตาข่าย</t>
  </si>
  <si>
    <t>File Tayt</t>
  </si>
  <si>
    <t>Колготки в сіточку</t>
  </si>
  <si>
    <t>网眼裤袜</t>
  </si>
  <si>
    <t>Quần lưới</t>
  </si>
  <si>
    <t>sandals</t>
  </si>
  <si>
    <t>Sandals</t>
  </si>
  <si>
    <t>صنادل</t>
  </si>
  <si>
    <t>Sandály</t>
  </si>
  <si>
    <t>Sandalen</t>
  </si>
  <si>
    <t>Σανδάλια</t>
  </si>
  <si>
    <t>Sandalias</t>
  </si>
  <si>
    <t>Sandaalid</t>
  </si>
  <si>
    <t>Sandaalit</t>
  </si>
  <si>
    <t>Des sandales</t>
  </si>
  <si>
    <t>सैंडल</t>
  </si>
  <si>
    <t>Sandal</t>
  </si>
  <si>
    <t>Sandali</t>
  </si>
  <si>
    <t>サンダル</t>
  </si>
  <si>
    <t>ស្បែកជើងកវែង</t>
  </si>
  <si>
    <t>ಸ್ಯಾಂಡಲ್ಗಳು</t>
  </si>
  <si>
    <t>샌들</t>
  </si>
  <si>
    <t>ເກີບແຕະ</t>
  </si>
  <si>
    <t>Sandales</t>
  </si>
  <si>
    <t>sandal</t>
  </si>
  <si>
    <t>Sandały</t>
  </si>
  <si>
    <t>Sandálias</t>
  </si>
  <si>
    <t>Сандалии</t>
  </si>
  <si>
    <t>รองเท้าแตะ</t>
  </si>
  <si>
    <t>Sandalet</t>
  </si>
  <si>
    <t>Босоніжки</t>
  </si>
  <si>
    <t>凉鞋</t>
  </si>
  <si>
    <t>Dép xăng đan</t>
  </si>
  <si>
    <t>toes</t>
  </si>
  <si>
    <t>Toes</t>
  </si>
  <si>
    <t>أصابع القدم</t>
  </si>
  <si>
    <t>Prsty u nohou</t>
  </si>
  <si>
    <t>Zehen</t>
  </si>
  <si>
    <t>Δάχτυλα των ποδιών</t>
  </si>
  <si>
    <t>Dedos de los pies</t>
  </si>
  <si>
    <t>Varbad</t>
  </si>
  <si>
    <t>Varpaat</t>
  </si>
  <si>
    <t>Orteils</t>
  </si>
  <si>
    <t>पैर की उँगलियाँ</t>
  </si>
  <si>
    <t>Jari kaki</t>
  </si>
  <si>
    <t>Dita dei piedi</t>
  </si>
  <si>
    <t>つま先</t>
  </si>
  <si>
    <t>ម្រាមជើង</t>
  </si>
  <si>
    <t>ಕಾಲ್ಬೆರಳುಗಳು</t>
  </si>
  <si>
    <t>발가락</t>
  </si>
  <si>
    <t>Kāju pirksti</t>
  </si>
  <si>
    <t>Tenen</t>
  </si>
  <si>
    <t>Palce u stóp</t>
  </si>
  <si>
    <t>Dedos do pé</t>
  </si>
  <si>
    <t>Пальцы ног</t>
  </si>
  <si>
    <t>นิ้วเท้า</t>
  </si>
  <si>
    <t>Ayak parmakları</t>
  </si>
  <si>
    <t>Пальці ніг</t>
  </si>
  <si>
    <t>脚趾</t>
  </si>
  <si>
    <t>ngón chân</t>
  </si>
  <si>
    <t>Awesome</t>
  </si>
  <si>
    <t>مذهل</t>
  </si>
  <si>
    <t>Skvělý</t>
  </si>
  <si>
    <t>Eindrucksvoll</t>
  </si>
  <si>
    <t>Φοβερός</t>
  </si>
  <si>
    <t>Impresionante</t>
  </si>
  <si>
    <t>Vinge</t>
  </si>
  <si>
    <t>Mahtava</t>
  </si>
  <si>
    <t>Génial</t>
  </si>
  <si>
    <t>बहुत बढ़िया</t>
  </si>
  <si>
    <t>Luar biasa</t>
  </si>
  <si>
    <t>Eccezionale</t>
  </si>
  <si>
    <t>素晴らしい</t>
  </si>
  <si>
    <t>អស្ចារ្យ</t>
  </si>
  <si>
    <t>ಅದ್ಭುತ</t>
  </si>
  <si>
    <t>엄청난</t>
  </si>
  <si>
    <t>ສຸດຍອດ</t>
  </si>
  <si>
    <t>Satriecošs</t>
  </si>
  <si>
    <t>Hebat</t>
  </si>
  <si>
    <t>Geweldig</t>
  </si>
  <si>
    <t>Wspaniały</t>
  </si>
  <si>
    <t>Incrível</t>
  </si>
  <si>
    <t>Потрясающий</t>
  </si>
  <si>
    <t>สุดยอด</t>
  </si>
  <si>
    <t>Mükemmel</t>
  </si>
  <si>
    <t>приголомшливо</t>
  </si>
  <si>
    <t>惊人的</t>
  </si>
  <si>
    <t>Tuyệt vời</t>
  </si>
  <si>
    <t>tattoo</t>
  </si>
  <si>
    <t>Tattoo</t>
  </si>
  <si>
    <t>وشم</t>
  </si>
  <si>
    <t>Tetování</t>
  </si>
  <si>
    <t>Tätowieren</t>
  </si>
  <si>
    <t>Τατουάζ</t>
  </si>
  <si>
    <t>Tatuaje</t>
  </si>
  <si>
    <t>Tätoveering</t>
  </si>
  <si>
    <t>Tatuointi</t>
  </si>
  <si>
    <t>Tatouage</t>
  </si>
  <si>
    <t>टटू</t>
  </si>
  <si>
    <t>Tato</t>
  </si>
  <si>
    <t>Tatuaggio</t>
  </si>
  <si>
    <t>入れ墨</t>
  </si>
  <si>
    <t>សាក់</t>
  </si>
  <si>
    <t>ಟ್ಯಾಟೂ</t>
  </si>
  <si>
    <t>타투</t>
  </si>
  <si>
    <t>ສັກ</t>
  </si>
  <si>
    <t>Tetovējums</t>
  </si>
  <si>
    <t>Tatu</t>
  </si>
  <si>
    <t>Tatoeëren</t>
  </si>
  <si>
    <t>Tatuaż</t>
  </si>
  <si>
    <t>Tatuagem</t>
  </si>
  <si>
    <t>Тату</t>
  </si>
  <si>
    <t>สัก</t>
  </si>
  <si>
    <t>Dövme</t>
  </si>
  <si>
    <t>татуювання</t>
  </si>
  <si>
    <t>纹身</t>
  </si>
  <si>
    <t>Xăm hình</t>
  </si>
  <si>
    <t>socks</t>
  </si>
  <si>
    <t>Socks</t>
  </si>
  <si>
    <t>جوارب</t>
  </si>
  <si>
    <t>Ponožky</t>
  </si>
  <si>
    <t>Socken</t>
  </si>
  <si>
    <t>Κάλτσες</t>
  </si>
  <si>
    <t>Medias</t>
  </si>
  <si>
    <t>Sokid</t>
  </si>
  <si>
    <t>Sukat</t>
  </si>
  <si>
    <t>Chaussettes</t>
  </si>
  <si>
    <t>मोज़े</t>
  </si>
  <si>
    <t>Kaus kaki</t>
  </si>
  <si>
    <t>Calzini</t>
  </si>
  <si>
    <t>靴下</t>
  </si>
  <si>
    <t>ស្រោមជើង</t>
  </si>
  <si>
    <t>ಸಾಕ್ಸ್</t>
  </si>
  <si>
    <t>양말</t>
  </si>
  <si>
    <t>ຖົງຕີນ</t>
  </si>
  <si>
    <t>Zeķes</t>
  </si>
  <si>
    <t>stokin</t>
  </si>
  <si>
    <t>Sokken</t>
  </si>
  <si>
    <t>Skarpety</t>
  </si>
  <si>
    <t>Meias</t>
  </si>
  <si>
    <t>Носки</t>
  </si>
  <si>
    <t>ถุงเท้า</t>
  </si>
  <si>
    <t>Çorap</t>
  </si>
  <si>
    <t>Шкарпетки</t>
  </si>
  <si>
    <t>袜子</t>
  </si>
  <si>
    <t>Tất</t>
  </si>
  <si>
    <t>highHeels</t>
  </si>
  <si>
    <t>High Heels</t>
  </si>
  <si>
    <t>كعب عالي</t>
  </si>
  <si>
    <t>Vysoké podpatky</t>
  </si>
  <si>
    <t>Ψηλοτάκουνα</t>
  </si>
  <si>
    <t>Tacones altos</t>
  </si>
  <si>
    <t>Kõrged kontsad</t>
  </si>
  <si>
    <t>Talons hauts</t>
  </si>
  <si>
    <t>ऊँची एड़ी के जूते</t>
  </si>
  <si>
    <t>sepatu hak tinggi</t>
  </si>
  <si>
    <t>Tacchi alti</t>
  </si>
  <si>
    <t>ハイヒール</t>
  </si>
  <si>
    <t>ស្បែកជើង​កែង</t>
  </si>
  <si>
    <t>ಹೆಚ್ಚು ಎತ್ತರದ ಚಪ್ಪಲಿಗಳು</t>
  </si>
  <si>
    <t>하이힐</t>
  </si>
  <si>
    <t>ສົ້ນ​ສູງ</t>
  </si>
  <si>
    <t>Augstpapēžu kurpes</t>
  </si>
  <si>
    <t>Tumit tinggi</t>
  </si>
  <si>
    <t>Hoge hakken</t>
  </si>
  <si>
    <t>Wysokie obcasy</t>
  </si>
  <si>
    <t>Salto alto</t>
  </si>
  <si>
    <t>Высокие каблуки</t>
  </si>
  <si>
    <t>Yüksek topuklu</t>
  </si>
  <si>
    <t>Високі підбори</t>
  </si>
  <si>
    <t>Cao gót</t>
  </si>
  <si>
    <t>mystery</t>
  </si>
  <si>
    <t>Mystery</t>
  </si>
  <si>
    <t>أُحجِيَّة</t>
  </si>
  <si>
    <t>Tajemství</t>
  </si>
  <si>
    <t>Geheimnis</t>
  </si>
  <si>
    <t>Μυστήριο</t>
  </si>
  <si>
    <t>Misterio</t>
  </si>
  <si>
    <t>Müsteerium</t>
  </si>
  <si>
    <t>Mysteeri</t>
  </si>
  <si>
    <t>Mystère</t>
  </si>
  <si>
    <t>रहस्य</t>
  </si>
  <si>
    <t>Misteri</t>
  </si>
  <si>
    <t>Mistero</t>
  </si>
  <si>
    <t>神秘</t>
  </si>
  <si>
    <t>អាថ៌កំបាំង</t>
  </si>
  <si>
    <t>ರಹಸ್ಯ</t>
  </si>
  <si>
    <t>신비</t>
  </si>
  <si>
    <t>ຄວາມລຶກລັບ</t>
  </si>
  <si>
    <t>Noslēpums</t>
  </si>
  <si>
    <t>Mysterie</t>
  </si>
  <si>
    <t>Tajemnica</t>
  </si>
  <si>
    <t>Mistério</t>
  </si>
  <si>
    <t>Тайна</t>
  </si>
  <si>
    <t>ความลึกลับ</t>
  </si>
  <si>
    <t>Gizem</t>
  </si>
  <si>
    <t>Таємниця</t>
  </si>
  <si>
    <t>Bí ẩn</t>
  </si>
  <si>
    <t>maleFeet</t>
  </si>
  <si>
    <t>Male Feet</t>
  </si>
  <si>
    <t>أقدام الذكور</t>
  </si>
  <si>
    <t>Mužské nohy</t>
  </si>
  <si>
    <t>Männliche Füße</t>
  </si>
  <si>
    <t>Αρσενικά πόδια</t>
  </si>
  <si>
    <t>Pies masculinos</t>
  </si>
  <si>
    <t>Meeste jalad</t>
  </si>
  <si>
    <t>Miesten jalat</t>
  </si>
  <si>
    <t>Pieds masculins</t>
  </si>
  <si>
    <t>पुरुष पैर</t>
  </si>
  <si>
    <t>Kaki Laki-Laki</t>
  </si>
  <si>
    <t>Piedi maschili</t>
  </si>
  <si>
    <t>男性の足</t>
  </si>
  <si>
    <t>ជើងបុរស</t>
  </si>
  <si>
    <t>ಪುರುಷ ಪಾದಗಳು</t>
  </si>
  <si>
    <t>남성 발</t>
  </si>
  <si>
    <t>ຕີນຊາຍ</t>
  </si>
  <si>
    <t>Vīriešu pēdas</t>
  </si>
  <si>
    <t>Kaki Lelaki</t>
  </si>
  <si>
    <t>Mannelijke voeten</t>
  </si>
  <si>
    <t>Męskie stopy</t>
  </si>
  <si>
    <t>Pés Masculinos</t>
  </si>
  <si>
    <t>Мужские ноги</t>
  </si>
  <si>
    <t>เท้าชาย</t>
  </si>
  <si>
    <t>Erkek Ayakları</t>
  </si>
  <si>
    <t>Чоловічі ноги</t>
  </si>
  <si>
    <t>男脚</t>
  </si>
  <si>
    <t>Bàn chân nam</t>
  </si>
  <si>
    <t>signOutVerify</t>
  </si>
  <si>
    <t>Are you sure you want to sign out?</t>
  </si>
  <si>
    <t>هل أنت متأكد أنك تريد الخروج؟</t>
  </si>
  <si>
    <t>Opravdu se chcete odhlásit?</t>
  </si>
  <si>
    <t>Möchten Sie sich wirklich abmelden?</t>
  </si>
  <si>
    <t>Είστε βέβαιοι ότι θέλετε να αποσυνδεθείτε;</t>
  </si>
  <si>
    <t>¿Estás seguro de que deseas cerrar sesión?</t>
  </si>
  <si>
    <t>Kas olete kindel, et soovite välja logida?</t>
  </si>
  <si>
    <t>Haluatko varmasti kirjautua ulos?</t>
  </si>
  <si>
    <t>Êtes-vous certain de vouloir vous déconnecter?</t>
  </si>
  <si>
    <t>क्या आप द्वारा साइन आउट किया जाना सुनिश्चित है?</t>
  </si>
  <si>
    <t>Apakah Anda yakin ingin keluar?</t>
  </si>
  <si>
    <t>Sei sicuro di voler uscire?</t>
  </si>
  <si>
    <t>サインアウトしてもよろしいですか?</t>
  </si>
  <si>
    <t>តើ​អ្នក​ប្រាកដ​ជា​ចង់​ចេញ?</t>
  </si>
  <si>
    <t>ನೀವು ಸೈನ್ ಔಟ್ ಮಾಡಲು ಖಚಿತವಾಗಿ ಬಯಸುವಿರಾ?</t>
  </si>
  <si>
    <t>정말로 로그아웃하시겠습니까?</t>
  </si>
  <si>
    <t>ທ່ານແນ່ໃຈບໍ່ວ່າຕ້ອງການອອກຈາກລະບົບ?</t>
  </si>
  <si>
    <t>Vai tiešām vēlaties izrakstīties?</t>
  </si>
  <si>
    <t>Adakah anda pasti mahu log keluar?</t>
  </si>
  <si>
    <t>Weet u zeker dat u zich wilt afmelden?</t>
  </si>
  <si>
    <t>Czy na pewno chcesz się wylogować?</t>
  </si>
  <si>
    <t>Você tem certeza que deseja sair?</t>
  </si>
  <si>
    <t>Вы уверены, что хотите выйти?</t>
  </si>
  <si>
    <t>คุณแน่ใจว่าคุณต้องการที่จะออกจากระบบ?</t>
  </si>
  <si>
    <t>Oturumu kapatmak istediğinizden emin misiniz?</t>
  </si>
  <si>
    <t>Ви впевнені, що бажаєте вийти?</t>
  </si>
  <si>
    <t>您确定要退出吗？</t>
  </si>
  <si>
    <t>bạn có chắc chắn muốn đăng xuất không?</t>
  </si>
  <si>
    <t>caption</t>
  </si>
  <si>
    <t>Caption</t>
  </si>
  <si>
    <t>التسمية التوضيحية</t>
  </si>
  <si>
    <t>Titulek</t>
  </si>
  <si>
    <t>Untertitel</t>
  </si>
  <si>
    <t>Λεζάντα</t>
  </si>
  <si>
    <t>Subtítulo</t>
  </si>
  <si>
    <t>Pealkiri</t>
  </si>
  <si>
    <t>Kuvateksti</t>
  </si>
  <si>
    <t>Légende</t>
  </si>
  <si>
    <t>कैप्शन</t>
  </si>
  <si>
    <t>Keterangan</t>
  </si>
  <si>
    <t>Didascalia</t>
  </si>
  <si>
    <t>キャプション</t>
  </si>
  <si>
    <t>ចំណងជើង</t>
  </si>
  <si>
    <t>ಶೀರ್ಷಿಕೆ</t>
  </si>
  <si>
    <t>표제</t>
  </si>
  <si>
    <t>ຄຳບັນຍາຍ</t>
  </si>
  <si>
    <t>Paraksts</t>
  </si>
  <si>
    <t>Kapsyen</t>
  </si>
  <si>
    <t>Ondertiteling</t>
  </si>
  <si>
    <t>Podpis</t>
  </si>
  <si>
    <t>Rubrica</t>
  </si>
  <si>
    <t>Подпись</t>
  </si>
  <si>
    <t>คำบรรยายภาพ</t>
  </si>
  <si>
    <t>Altyazı</t>
  </si>
  <si>
    <t>Підпис</t>
  </si>
  <si>
    <t>标题</t>
  </si>
  <si>
    <t>Nội dung</t>
  </si>
  <si>
    <t>register</t>
  </si>
  <si>
    <t>Register</t>
  </si>
  <si>
    <t>يسجل</t>
  </si>
  <si>
    <t>Registrovat</t>
  </si>
  <si>
    <t>Registrieren</t>
  </si>
  <si>
    <t>Κανω ΕΓΓΡΑΦΗ</t>
  </si>
  <si>
    <t>Registro</t>
  </si>
  <si>
    <t>Registreeri</t>
  </si>
  <si>
    <t>Rekisteröidy</t>
  </si>
  <si>
    <t>Registre</t>
  </si>
  <si>
    <t>पंजीकरण करवाना</t>
  </si>
  <si>
    <t>Daftar</t>
  </si>
  <si>
    <t>Registrati</t>
  </si>
  <si>
    <t>登録する</t>
  </si>
  <si>
    <t>ចុះឈ្មោះ</t>
  </si>
  <si>
    <t>ನೋಂದಣಿ</t>
  </si>
  <si>
    <t>등록하다</t>
  </si>
  <si>
    <t>ລົງທະບຽນ</t>
  </si>
  <si>
    <t>Reģistrēties</t>
  </si>
  <si>
    <t>Rejestr</t>
  </si>
  <si>
    <t>регистр</t>
  </si>
  <si>
    <t>ลงทะเบียน</t>
  </si>
  <si>
    <t>зареєструватися</t>
  </si>
  <si>
    <t>登记</t>
  </si>
  <si>
    <t>Đăng ký</t>
  </si>
  <si>
    <t>loginNotice1</t>
  </si>
  <si>
    <t>By continuing with account, you agree to our</t>
  </si>
  <si>
    <t>من خلال الاستمرار في الحساب، فإنك توافق على لدينا</t>
  </si>
  <si>
    <t>Pokračováním v účtu souhlasíte s naším</t>
  </si>
  <si>
    <t>Indem Sie mit dem Konto fortfahren, stimmen Sie unserem zu</t>
  </si>
  <si>
    <t>Συνεχίζοντας με τον λογαριασμό, συμφωνείτε με το δικό μας</t>
  </si>
  <si>
    <t>Al continuar con la cuenta, aceptas nuestra</t>
  </si>
  <si>
    <t>Kontoga jätkates nõustute meiega</t>
  </si>
  <si>
    <t>Jatkamalla tilin käyttöä hyväksyt meidän</t>
  </si>
  <si>
    <t>En poursuivant votre compte, vous acceptez notre</t>
  </si>
  <si>
    <t>खाता जारी रखकर, आप हमारी बात से सहमत हैं</t>
  </si>
  <si>
    <t>Dengan melanjutkan dengan akun, Anda menyetujui kami</t>
  </si>
  <si>
    <t>Continuando con l'account, accetti i nostri</t>
  </si>
  <si>
    <t>アカウントを続行すると、次のことに同意したことになります</t>
  </si>
  <si>
    <t>ដោយបន្តជាមួយគណនី អ្នកយល់ព្រមចំពោះរបស់យើង។</t>
  </si>
  <si>
    <t>ಖಾತೆಯೊಂದಿಗೆ ಮುಂದುವರಿಯುವ ಮೂಲಕ, ನೀವು ನಮ್ಮ ಸಮ್ಮತಿಸುತ್ತೀರಿ</t>
  </si>
  <si>
    <t>계정을 계속 사용하면 다음 내용에 동의하게 됩니다.</t>
  </si>
  <si>
    <t>ໂດຍການສືບຕໍ່ບັນຊີ, ທ່ານຕົກລົງເຫັນດີກັບພວກເຮົາ</t>
  </si>
  <si>
    <t>Turpinot lietot kontu, jūs piekrītat mūsu</t>
  </si>
  <si>
    <t>Dengan meneruskan akaun, anda bersetuju dengan kami</t>
  </si>
  <si>
    <t>Als u doorgaat met uw account, gaat u akkoord met onze</t>
  </si>
  <si>
    <t>Kontynuując korzystanie z konta, wyrażasz zgodę na nasze</t>
  </si>
  <si>
    <t>Ao continuar com a conta, você concorda com nossos</t>
  </si>
  <si>
    <t>Продолжая использовать учетную запись, вы соглашаетесь с нашими</t>
  </si>
  <si>
    <t>การดำเนินการบัญชีต่อแสดงว่าคุณยอมรับของเรา</t>
  </si>
  <si>
    <t>Hesapla devam ederek şunları kabul etmiş olursunuz:</t>
  </si>
  <si>
    <t>Продовжуючи роботу з обліковим записом, ви погоджуєтеся з нашими</t>
  </si>
  <si>
    <t>继续使用帐户即表示您同意我们的</t>
  </si>
  <si>
    <t>Bằng cách tiếp tục với tài khoản, bạn đồng ý với chúng tôi về</t>
  </si>
  <si>
    <t>loginNotice2</t>
  </si>
  <si>
    <t>and acknowledge that you have read our</t>
  </si>
  <si>
    <t>وأقر بأنك قد قرأت لدينا</t>
  </si>
  <si>
    <t>a potvrďte, že jste si přečetli naše</t>
  </si>
  <si>
    <t>und bestätigen Sie, dass Sie unsere gelesen haben</t>
  </si>
  <si>
    <t>και αναγνωρίστε ότι έχετε διαβάσει το δικό μας</t>
  </si>
  <si>
    <t>y reconoce que ha leído nuestra</t>
  </si>
  <si>
    <t>ja kinnitage, et olete meiega tutvunud</t>
  </si>
  <si>
    <t>ja vahvista, että olet lukenut meidän</t>
  </si>
  <si>
    <t>et reconnaissez que vous avez lu notre</t>
  </si>
  <si>
    <t>और स्वीकार करें कि आपने हमारा पढ़ा है</t>
  </si>
  <si>
    <t>dan mengakui bahwa Anda telah membaca kami</t>
  </si>
  <si>
    <t>e riconosci di aver letto il nostro</t>
  </si>
  <si>
    <t>そして、あなたが私たちを読んだことを認めます</t>
  </si>
  <si>
    <t>ហើយទទួលស្គាល់ថាអ្នកបានអានរបស់យើង។</t>
  </si>
  <si>
    <t>ಮತ್ತು ನೀವು ನಮ್ಮದನ್ನು ಓದಿದ್ದೀರಿ ಎಂದು ಒಪ್ಪಿಕೊಳ್ಳಿ</t>
  </si>
  <si>
    <t>그리고 당신이 우리의 내용을 읽었음을 인정합니다</t>
  </si>
  <si>
    <t>ແລະຮັບຮູ້ວ່າທ່ານໄດ້ອ່ານຂອງພວກເຮົາ</t>
  </si>
  <si>
    <t>un apstipriniet, ka esat izlasījis mūsu</t>
  </si>
  <si>
    <t>dan mengakui bahawa anda telah membaca kami</t>
  </si>
  <si>
    <t>en erken dat u onze hebt gelezen</t>
  </si>
  <si>
    <t>i potwierdź, że przeczytałeś nasze</t>
  </si>
  <si>
    <t>e reconheça que você leu nosso</t>
  </si>
  <si>
    <t>и подтвердите, что вы прочитали нашу</t>
  </si>
  <si>
    <t>และรับทราบว่าคุณได้อ่านของเราแล้ว</t>
  </si>
  <si>
    <t>ve yazımızı okuduğunuzu kabul edin</t>
  </si>
  <si>
    <t>і підтвердьте, що ви прочитали наш</t>
  </si>
  <si>
    <t>并确认您已阅读我们的</t>
  </si>
  <si>
    <t>và xác nhận rằng bạn đã đọc</t>
  </si>
  <si>
    <t>youDoneHaveAccount</t>
  </si>
  <si>
    <t>You don't have an account yet?</t>
  </si>
  <si>
    <t>ليس لديك حساب بعد؟</t>
  </si>
  <si>
    <t>Ještě nemáte účet?</t>
  </si>
  <si>
    <t>Sie haben noch kein Konto?</t>
  </si>
  <si>
    <t>Δεν έχετε λογαριασμό ακόμα;</t>
  </si>
  <si>
    <t>¿Aún no tienes una cuenta?</t>
  </si>
  <si>
    <t>Kas teil pole veel kontot?</t>
  </si>
  <si>
    <t>Eikö sinulla ole vielä tiliä?</t>
  </si>
  <si>
    <t>Vous n'avez pas encore de compte ?</t>
  </si>
  <si>
    <t>आपके पास अभी तक कोई खाता नहीं है?</t>
  </si>
  <si>
    <t>Anda belum memiliki akun?</t>
  </si>
  <si>
    <t>Non hai ancora un account?</t>
  </si>
  <si>
    <t>まだアカウントをお持ちではありませんか?</t>
  </si>
  <si>
    <t>អ្នកមិនទាន់មានគណនីទេ?</t>
  </si>
  <si>
    <t>ನೀವು ಇನ್ನೂ ಖಾತೆಯನ್ನು ಹೊಂದಿಲ್ಲವೇ?</t>
  </si>
  <si>
    <t>아직 계정이 없나요?</t>
  </si>
  <si>
    <t>ເຈົ້າຍັງບໍ່ມີບັນຊີບໍ?</t>
  </si>
  <si>
    <t>Jums vēl nav konta?</t>
  </si>
  <si>
    <t>Anda belum mempunyai akaun?</t>
  </si>
  <si>
    <t>Heeft u nog geen account?</t>
  </si>
  <si>
    <t>Nie masz jeszcze konta?</t>
  </si>
  <si>
    <t>Você ainda não tem uma conta?</t>
  </si>
  <si>
    <t>У вас еще нет учетной записи?</t>
  </si>
  <si>
    <t>คุณยังไม่มีบัญชี?</t>
  </si>
  <si>
    <t>Henüz bir hesabınız yok mu?</t>
  </si>
  <si>
    <t>Ви ще не маєте облікового запису?</t>
  </si>
  <si>
    <t>您还没有帐户？</t>
  </si>
  <si>
    <t>Bạn chưa có tài khoản?</t>
  </si>
  <si>
    <t>email</t>
  </si>
  <si>
    <t>Email</t>
  </si>
  <si>
    <t>بريد إلكتروني</t>
  </si>
  <si>
    <t>E-mailem</t>
  </si>
  <si>
    <t>ΗΛΕΚΤΡΟΝΙΚΗ ΔΙΕΥΘΥΝΣΗ</t>
  </si>
  <si>
    <t>Correo electrónico</t>
  </si>
  <si>
    <t>Meil</t>
  </si>
  <si>
    <t>Sähköposti</t>
  </si>
  <si>
    <t>E-mail</t>
  </si>
  <si>
    <t>ईमेल</t>
  </si>
  <si>
    <t>Surel</t>
  </si>
  <si>
    <t>Eメール</t>
  </si>
  <si>
    <t>អ៊ីមែល</t>
  </si>
  <si>
    <t>ಇಮೇಲ್</t>
  </si>
  <si>
    <t>이메일</t>
  </si>
  <si>
    <t>ອີເມວ</t>
  </si>
  <si>
    <t>E-pasts</t>
  </si>
  <si>
    <t>E-mel</t>
  </si>
  <si>
    <t>Электронная почта</t>
  </si>
  <si>
    <t>อีเมล</t>
  </si>
  <si>
    <t>E-posta</t>
  </si>
  <si>
    <t>Електронна пошта</t>
  </si>
  <si>
    <t>电子邮件</t>
  </si>
  <si>
    <t>enterFullName</t>
  </si>
  <si>
    <t>Enter your fullname</t>
  </si>
  <si>
    <t>أدخل اسمك الكامل</t>
  </si>
  <si>
    <t>Zadejte své celé jméno</t>
  </si>
  <si>
    <t>Geben Sie Ihren vollständigen Namen ein</t>
  </si>
  <si>
    <t>Εισαγάγετε το πλήρες όνομά σας</t>
  </si>
  <si>
    <t>Introduce tu nombre completo</t>
  </si>
  <si>
    <t>Sisestage oma täisnimi</t>
  </si>
  <si>
    <t>Kirjoita koko nimesi</t>
  </si>
  <si>
    <t>Entrez votre nom complet</t>
  </si>
  <si>
    <t>अपना पूरा नाम भरें</t>
  </si>
  <si>
    <t>Masukkan nama lengkapmu</t>
  </si>
  <si>
    <t>Inserisci il tuo nome e cognome</t>
  </si>
  <si>
    <t>フルネームを入れて下さい</t>
  </si>
  <si>
    <t>បញ្ចូល​នូវ​នាម​និង​គោត្តនាម​របស់​អ្នក</t>
  </si>
  <si>
    <t>ನಿಮ್ಮ ಪೂರ್ಣ ಹೆಸರನ್ನು ನಮೂದಿಸಿ</t>
  </si>
  <si>
    <t>당신의 성명을 입력하십시오</t>
  </si>
  <si>
    <t>ໃສ່ຊື່ເຕັມຂອງເຈົ້າ</t>
  </si>
  <si>
    <t>Ievadiet savu pilno vārdu</t>
  </si>
  <si>
    <t>Masukkan nama penuh anda</t>
  </si>
  <si>
    <t>Vul uw volledige naam in</t>
  </si>
  <si>
    <t>Wprowadź swoje imię i nazwisko</t>
  </si>
  <si>
    <t>Escreva seu nome completo</t>
  </si>
  <si>
    <t>Введите свое полное имя</t>
  </si>
  <si>
    <t>กรอกชื่อเต็มของคุณ</t>
  </si>
  <si>
    <t>Ad ve soyadınızı girin</t>
  </si>
  <si>
    <t>Введіть Ваше повне ім'я</t>
  </si>
  <si>
    <t>输入您的全名</t>
  </si>
  <si>
    <t>Nhập tên đầy đủ của bạn</t>
  </si>
  <si>
    <t>fullname</t>
  </si>
  <si>
    <t>Fullname</t>
  </si>
  <si>
    <t>الاسم الكامل</t>
  </si>
  <si>
    <t>Celé jméno</t>
  </si>
  <si>
    <t>Vollständiger Name</t>
  </si>
  <si>
    <t>Πλήρες όνομα</t>
  </si>
  <si>
    <t>Nombre completo</t>
  </si>
  <si>
    <t>Täisnimi</t>
  </si>
  <si>
    <t>Koko nimi</t>
  </si>
  <si>
    <t>Nom et prénom</t>
  </si>
  <si>
    <t>पूरा नाम</t>
  </si>
  <si>
    <t>Nama lengkap</t>
  </si>
  <si>
    <t>Nome e cognome</t>
  </si>
  <si>
    <t>フルネーム</t>
  </si>
  <si>
    <t>ឈ្មោះ​ពេញ</t>
  </si>
  <si>
    <t>ಪೂರ್ಣ ಹೆಸರು</t>
  </si>
  <si>
    <t>성명</t>
  </si>
  <si>
    <t>ຊື່​ເຕັມ</t>
  </si>
  <si>
    <t>Pilnais vārds</t>
  </si>
  <si>
    <t>Nama penuh</t>
  </si>
  <si>
    <t>Voor-en achternaam</t>
  </si>
  <si>
    <t>Imię i nazwisko</t>
  </si>
  <si>
    <t>Nome completo</t>
  </si>
  <si>
    <t>Полное имя</t>
  </si>
  <si>
    <t>ชื่อเต็ม</t>
  </si>
  <si>
    <t>Ad Soyad</t>
  </si>
  <si>
    <t>Повне ім'я</t>
  </si>
  <si>
    <t>全名</t>
  </si>
  <si>
    <t>Tên đầy đủ</t>
  </si>
  <si>
    <t>pwNotMatch</t>
  </si>
  <si>
    <t>Passwords do not match</t>
  </si>
  <si>
    <t>كلمة المرور غير مطابقة</t>
  </si>
  <si>
    <t>Hesla se neshodují</t>
  </si>
  <si>
    <t>Passwörter stimmen nicht überein</t>
  </si>
  <si>
    <t>Οι κωδικοί πρόσβασης δεν ταιριάζουν</t>
  </si>
  <si>
    <t>Las contraseñas no coinciden</t>
  </si>
  <si>
    <t>Paroolid ei kattu</t>
  </si>
  <si>
    <t>Salasanat eivät täsmää</t>
  </si>
  <si>
    <t>Les mots de passe ne correspondent pas</t>
  </si>
  <si>
    <t>सांकेतिक शब्द मेल नहीं खाते</t>
  </si>
  <si>
    <t>Sandi tidak cocok</t>
  </si>
  <si>
    <t>le passwords non corrispondono</t>
  </si>
  <si>
    <t>パスワードが一致していません</t>
  </si>
  <si>
    <t>ពាក្យសម្ងាត់មិនត្រូវគ្នាទេ។</t>
  </si>
  <si>
    <t>ಗುಪ್ತಪದಗಳುತಾಳೆಯಾಗುತ್ತಿಲ್ಲ</t>
  </si>
  <si>
    <t>비밀번호가 일치하지 않습니다</t>
  </si>
  <si>
    <t>ລະຫັດຜ່ານບໍ່ກົງກັນ</t>
  </si>
  <si>
    <t>Paroles nesakrīt</t>
  </si>
  <si>
    <t>Kata laluan tidak sepadan</t>
  </si>
  <si>
    <t>Wachtwoorden komen niet overeen</t>
  </si>
  <si>
    <t>Hasła nie pasują do siebie</t>
  </si>
  <si>
    <t>As senhas não coincidem</t>
  </si>
  <si>
    <t>Пароли не совпадают</t>
  </si>
  <si>
    <t>รหัสผ่านไม่ตรงกัน</t>
  </si>
  <si>
    <t>Parolalar uyuşmuyor</t>
  </si>
  <si>
    <t>Паролі не збігаються</t>
  </si>
  <si>
    <t>密码不匹配</t>
  </si>
  <si>
    <t>Mật khẩu không phù hợp</t>
  </si>
  <si>
    <t>pwTooLong</t>
  </si>
  <si>
    <t>Your password can't be longer 50 characters</t>
  </si>
  <si>
    <t>لا يمكن أن تزيد كلمة المرور الخاصة بك عن 50 حرفًا</t>
  </si>
  <si>
    <t>Vaše heslo nemůže být delší 50 znaků</t>
  </si>
  <si>
    <t>Ihr Passwort darf nicht länger als 50 Zeichen sein</t>
  </si>
  <si>
    <t>Ο κωδικός πρόσβασής σας δεν μπορεί να έχει περισσότερους από 50 χαρακτήρες</t>
  </si>
  <si>
    <t>Su contraseña no puede tener más de 50 caracteres</t>
  </si>
  <si>
    <t>Teie parool ei tohi olla pikem kui 50 tähemärki</t>
  </si>
  <si>
    <t>Salasanasi ei voi olla 50 merkin pituinen</t>
  </si>
  <si>
    <t>Votre mot de passe ne peut pas contenir plus de 50 caractères</t>
  </si>
  <si>
    <t>आपका पासवर्ड 50 अक्षरों से अधिक लंबा नहीं हो सकता</t>
  </si>
  <si>
    <t>Kata sandi Anda tidak boleh lebih dari 50 karakter</t>
  </si>
  <si>
    <t>La tua password non può contenere più di 50 caratteri</t>
  </si>
  <si>
    <t>パスワードは 50 文字以内にしてください</t>
  </si>
  <si>
    <t>ពាក្យសម្ងាត់របស់អ្នកមិនអាចលើសពី 50 តួអក្សរបានទេ។</t>
  </si>
  <si>
    <t>ನಿಮ್ಮ ಪಾಸ್‌ವರ್ಡ್ 50 ಅಕ್ಷರಗಳಿಗಿಂತ ಹೆಚ್ಚು ಇರುವಂತಿಲ್ಲ</t>
  </si>
  <si>
    <t>비밀번호는 50자 이하여야 합니다.</t>
  </si>
  <si>
    <t>ລະຫັດຜ່ານຂອງທ່ານບໍ່ສາມາດມີ 50 ຕົວອັກສອນໄດ້</t>
  </si>
  <si>
    <t>Jūsu parole nedrīkst būt garāka par 50 rakstzīmēm</t>
  </si>
  <si>
    <t>Kata laluan anda tidak boleh melebihi 50 aksara</t>
  </si>
  <si>
    <t>Uw wachtwoord mag niet langer zijn dan 50 tekens</t>
  </si>
  <si>
    <t>Twoje hasło nie może mieć więcej niż 50 znaków</t>
  </si>
  <si>
    <t>Sua senha não pode ter mais de 50 caracteres</t>
  </si>
  <si>
    <t>Ваш пароль не может быть длиннее 50 символов</t>
  </si>
  <si>
    <t>รหัสผ่านของคุณต้องมีความยาวไม่เกิน 50 ตัวอักษร</t>
  </si>
  <si>
    <t>Şifreniz 50 karakterden uzun olamaz</t>
  </si>
  <si>
    <t>Ваш пароль не може містити більше 50 символів</t>
  </si>
  <si>
    <t>您的密码不能超过 50 个字符</t>
  </si>
  <si>
    <t>Mật khẩu của bạn không thể dài hơn 50 ký tự</t>
  </si>
  <si>
    <t>pwTooShort</t>
  </si>
  <si>
    <t>The password must be 6 characters long or more.</t>
  </si>
  <si>
    <t>يجب أن تتكون كلمة المرور من 6 أحرف أو أكثر.</t>
  </si>
  <si>
    <t>Heslo musí mít 6 nebo více znaků.</t>
  </si>
  <si>
    <t>Das Passwort muss mindestens 6 Zeichen lang sein.</t>
  </si>
  <si>
    <t>Ο κωδικός πρόσβασης πρέπει να αποτελείται από 6 χαρακτήρες ή περισσότερους.</t>
  </si>
  <si>
    <t>La contraseña debe tener 6 caracteres o más.</t>
  </si>
  <si>
    <t>Parool peab olema vähemalt 6 tähemärki pikk.</t>
  </si>
  <si>
    <t>Salasanan tulee olla vähintään 6 merkkiä pitkä.</t>
  </si>
  <si>
    <t>Le mot de passe doit comporter 6 caractères ou plus.</t>
  </si>
  <si>
    <t>पासवर्ड 6 अक्षर लंबा या अधिक होना चाहिए।</t>
  </si>
  <si>
    <t>Kata sandi harus sepanjang 6 karakter atau lebih.</t>
  </si>
  <si>
    <t>La password deve essere lunga 6 caratteri o più.</t>
  </si>
  <si>
    <t>パスワードは6文字以上である必要があります。</t>
  </si>
  <si>
    <t>ពាក្យសម្ងាត់ត្រូវតែមាន 6 តួអក្សរ ឬច្រើនជាងនេះ។</t>
  </si>
  <si>
    <t>ಪಾಸ್ವರ್ಡ್ 6 ಅಕ್ಷರಗಳು ಅಥವಾ ಅದಕ್ಕಿಂತ ಹೆಚ್ಚು ಉದ್ದವಾಗಿರಬೇಕು.</t>
  </si>
  <si>
    <t>비밀번호는 6자 이상이어야 합니다.</t>
  </si>
  <si>
    <t>ລະຫັດຜ່ານຕ້ອງມີຄວາມຍາວ 6 ຕົວອັກສອນ ຫຼືຫຼາຍກວ່ານັ້ນ.</t>
  </si>
  <si>
    <t>Parolei jābūt 6 vai vairāk rakstzīmēm garai.</t>
  </si>
  <si>
    <t>Kata laluan mestilah 6 aksara panjang atau lebih.</t>
  </si>
  <si>
    <t>Het wachtwoord moet 6 tekens of meer lang zijn.</t>
  </si>
  <si>
    <t>Hasło musi mieć co najmniej 6 znaków.</t>
  </si>
  <si>
    <t>A senha deve ter 6 caracteres ou mais.</t>
  </si>
  <si>
    <t>Пароль должен иметь длину не менее 6 символов.</t>
  </si>
  <si>
    <t>รหัสผ่านต้องมีความยาว 6 ตัวอักษรขึ้นไป</t>
  </si>
  <si>
    <t>Şifre 6 karakter uzunluğunda veya daha fazla olmalıdır.</t>
  </si>
  <si>
    <t>Пароль має містити 6 або більше символів.</t>
  </si>
  <si>
    <t>密码长度必须为 6 个字符或更多。</t>
  </si>
  <si>
    <t>Mật khẩu phải dài từ 6 ký tự trở lên.</t>
  </si>
  <si>
    <t>emailHasBeenUsed</t>
  </si>
  <si>
    <t>The email address has been registered</t>
  </si>
  <si>
    <t>لقد تم تسجيل عنوان البريد الإلكتروني</t>
  </si>
  <si>
    <t>E-mailová adresa byla zaregistrována</t>
  </si>
  <si>
    <t>Die E-Mail-Adresse wurde registriert</t>
  </si>
  <si>
    <t>Η διεύθυνση email έχει καταχωρηθεί</t>
  </si>
  <si>
    <t>La dirección de correo electrónico ha sido registrada.</t>
  </si>
  <si>
    <t>Meiliaadress on registreeritud</t>
  </si>
  <si>
    <t>Sähköpostiosoite on rekisteröity</t>
  </si>
  <si>
    <t>L'adresse email a été enregistrée</t>
  </si>
  <si>
    <t>ईमेल पता पंजीकृत कर दिया गया है</t>
  </si>
  <si>
    <t>Alamat email telah terdaftar</t>
  </si>
  <si>
    <t>L'indirizzo email è stato registrato</t>
  </si>
  <si>
    <t>メールアドレスが登録されました</t>
  </si>
  <si>
    <t>អាសយដ្ឋានអ៊ីមែលត្រូវបានចុះឈ្មោះ</t>
  </si>
  <si>
    <t>ಇಮೇಲ್ ವಿಳಾಸವನ್ನು ನೋಂದಾಯಿಸಲಾಗಿದೆ</t>
  </si>
  <si>
    <t>이메일 주소가 등록되었습니다</t>
  </si>
  <si>
    <t>ທີ່ຢູ່ອີເມວໄດ້ຖືກລົງທະບຽນ</t>
  </si>
  <si>
    <t>E-pasta adrese ir reģistrēta</t>
  </si>
  <si>
    <t>Alamat e-mel telah didaftarkan</t>
  </si>
  <si>
    <t>Het e-mailadres is geregistreerd</t>
  </si>
  <si>
    <t>Adres e-mail został zarejestrowany</t>
  </si>
  <si>
    <t>O endereço de e-mail foi registrado</t>
  </si>
  <si>
    <t>Адрес электронной почты зарегистрирован</t>
  </si>
  <si>
    <t>ที่อยู่อีเมลได้รับการลงทะเบียนแล้ว</t>
  </si>
  <si>
    <t>E-posta adresi kaydedildi</t>
  </si>
  <si>
    <t>Електронну адресу зареєстровано</t>
  </si>
  <si>
    <t>该电子邮件地址已被注册</t>
  </si>
  <si>
    <t>Địa chỉ email đã được đăng ký</t>
  </si>
  <si>
    <t>emailInvalidFormat</t>
  </si>
  <si>
    <t>Please enter a valid email address</t>
  </si>
  <si>
    <t>يرجى إدخال عنوان بريد إلكتروني صالح</t>
  </si>
  <si>
    <t>Prosím zadejte platnou emailovou adresu</t>
  </si>
  <si>
    <t>Bitte geben Sie eine gültige E-Mail-Adresse ein</t>
  </si>
  <si>
    <t>Παρακαλώ εισάγετε μια έγκυρη διεύθυνση ηλεκτρονικού ταχυδρομείου</t>
  </si>
  <si>
    <t>Por favor, introduce una dirección de correo electrónico válida</t>
  </si>
  <si>
    <t>Palun sisesta kehtiv e-posti aadress</t>
  </si>
  <si>
    <t>Ole hyvä ja syötä toimiva sähköpostiosoite</t>
  </si>
  <si>
    <t>S'il vous plaît, mettez une adresse email valide</t>
  </si>
  <si>
    <t>कृपया एक मान्य ईमेल पता प्रविष्ट करें</t>
  </si>
  <si>
    <t>silakan isi alamat email</t>
  </si>
  <si>
    <t>Si prega di inserire un indirizzo email valido</t>
  </si>
  <si>
    <t>有効なメールアドレスを入力してください</t>
  </si>
  <si>
    <t>សូមបញ្ចូលអាសយដ្ឋានអ៊ីមែលត្រឹមត្រូវ។</t>
  </si>
  <si>
    <t>ದಯವಿಟ್ಟು ಸರಿಯಾದ ಇಮೇಲ್ ವಿಳಾಸವನ್ನು ನಮೂದಿಸಿ</t>
  </si>
  <si>
    <t>유효한 이메일 주소를 입력하세요</t>
  </si>
  <si>
    <t>ກະລຸນາໃສ່ທີ່ຢູ່ອີເມວທີ່ຖືກຕ້ອງ</t>
  </si>
  <si>
    <t>Lūdzu ievadiet derīgu e-pasta adresi</t>
  </si>
  <si>
    <t>Sila masukkan alamat emel yang sah</t>
  </si>
  <si>
    <t>Gelieve een geldig e-mailadres in te geven</t>
  </si>
  <si>
    <t>Proszę wpisać aktualny adres e-mail</t>
  </si>
  <si>
    <t>Por favor insira um endereço de e-mail válido</t>
  </si>
  <si>
    <t>Пожалуйста, введите действительный адрес электронной почты</t>
  </si>
  <si>
    <t>กรุณาใส่อีเมล์ที่ถูกต้อง</t>
  </si>
  <si>
    <t>Geçerli bir e</t>
  </si>
  <si>
    <t>Будь ласка, введіть дійсну адресу електронної пошти</t>
  </si>
  <si>
    <t>请输入有效的电子邮件地址</t>
  </si>
  <si>
    <t>Vui lòng nhập địa chỉ email hợp lệ</t>
  </si>
  <si>
    <t>enterYourEmail</t>
  </si>
  <si>
    <t>Enter your email</t>
  </si>
  <si>
    <t>أدخل بريدك الإلكتروني</t>
  </si>
  <si>
    <t>Vložte svůj e-mail</t>
  </si>
  <si>
    <t>Geben sie ihre E-Mail Adresse ein</t>
  </si>
  <si>
    <t>Συμπληρώστε το email σας</t>
  </si>
  <si>
    <t>Introduce tu correo electrónico</t>
  </si>
  <si>
    <t>Sisestage oma e-posti aadress</t>
  </si>
  <si>
    <t>Syötä sähköpostiosoitteesi</t>
  </si>
  <si>
    <t>Entrer votre Email</t>
  </si>
  <si>
    <t>अपना ईमेल दर्ज करें</t>
  </si>
  <si>
    <t>Masukkan email Anda</t>
  </si>
  <si>
    <t>Inserisci il tuo indirizzo email</t>
  </si>
  <si>
    <t>メールアドレスを入力</t>
  </si>
  <si>
    <t>បញ្ចូលអ៊ីមែលរបស់អ្នក។</t>
  </si>
  <si>
    <t>ನಿಮ್ಮ ಇಮೇಲ್ ನಮೂದಿಸಿ</t>
  </si>
  <si>
    <t>이메일을 입력하세요</t>
  </si>
  <si>
    <t>ໃສ່ອີເມວຂອງເຈົ້າ</t>
  </si>
  <si>
    <t>Ievadi savu epastu</t>
  </si>
  <si>
    <t>Masukkan emel anda</t>
  </si>
  <si>
    <t>Voer uw e-mailadres in</t>
  </si>
  <si>
    <t>Wprowadź swój email</t>
  </si>
  <si>
    <t>Digite seu e-mail</t>
  </si>
  <si>
    <t>Введите адрес электронной почты</t>
  </si>
  <si>
    <t>กรอกอีเมล์ของคุณ</t>
  </si>
  <si>
    <t>E-postanızı giriniz</t>
  </si>
  <si>
    <t>Введіть адресу електронної пошти</t>
  </si>
  <si>
    <t>输入你的电子邮箱</t>
  </si>
  <si>
    <t>Nhập email của bạn</t>
  </si>
  <si>
    <t>createPWdetails</t>
  </si>
  <si>
    <t>Create a strong password with a mixture of letters, numbers and symbols</t>
  </si>
  <si>
    <t>قم بإنشاء كلمة مرور قوية مكونة من مزيج من الحروف والأرقام والرموز</t>
  </si>
  <si>
    <t>Vytvořte silné heslo se směsí písmen, číslic a symbolů</t>
  </si>
  <si>
    <t>Erstellen Sie ein sicheres Passwort mit einer Mischung aus Buchstaben, Zahlen und Symbolen</t>
  </si>
  <si>
    <t>Δημιουργήστε έναν ισχυρό κωδικό πρόσβασης με ένα μείγμα γραμμάτων, αριθμών και συμβόλων</t>
  </si>
  <si>
    <t>Crea una contraseña segura con una combinación de letras, números y símbolos</t>
  </si>
  <si>
    <t>Looge tugev parool, mis koosneb tähtedest, numbritest ja sümbolitest</t>
  </si>
  <si>
    <t>Luo vahva salasana, jossa on sekoitus kirjaimia, numeroita ja symboleja</t>
  </si>
  <si>
    <t>Créez un mot de passe fort avec un mélange de lettres, de chiffres et de symboles</t>
  </si>
  <si>
    <t>अक्षरों, संख्याओं और प्रतीकों के मिश्रण से एक मजबूत पासवर्ड बनाएं</t>
  </si>
  <si>
    <t>Buat kata sandi yang kuat dengan campuran huruf, angka, dan simbol</t>
  </si>
  <si>
    <t>Crea una password complessa con una combinazione di lettere, numeri e simboli</t>
  </si>
  <si>
    <t>文字、数字、記号を組み合わせた強力なパスワードを作成する</t>
  </si>
  <si>
    <t>បង្កើត​ពាក្យ​សម្ងាត់​រឹងមាំ​ជាមួយ​នឹង​អក្សរ លេខ និង​និមិត្តសញ្ញា</t>
  </si>
  <si>
    <t>ಅಕ್ಷರಗಳು, ಸಂಖ್ಯೆಗಳು ಮತ್ತು ಚಿಹ್ನೆಗಳ ಮಿಶ್ರಣದೊಂದಿಗೆ ಬಲವಾದ ಪಾಸ್ವರ್ಡ್ ಅನ್ನು ರಚಿಸಿ</t>
  </si>
  <si>
    <t>문자, 숫자, 기호를 조합하여 강력한 비밀번호를 만드세요</t>
  </si>
  <si>
    <t>ສ້າງລະຫັດຜ່ານທີ່ເຂັ້ມແຂງດ້ວຍການປະສົມຂອງຕົວອັກສອນ, ຕົວເລກແລະສັນຍາລັກ</t>
  </si>
  <si>
    <t>Izveidojiet spēcīgu paroli ar burtu, ciparu un simbolu kombināciju</t>
  </si>
  <si>
    <t>Cipta kata laluan yang kukuh dengan gabungan huruf, nombor dan simbol</t>
  </si>
  <si>
    <t>Creëer een sterk wachtwoord met een combinatie van letters, cijfers en symbolen</t>
  </si>
  <si>
    <t>Utwórz silne hasło składające się z kombinacji liter, cyfr i symboli</t>
  </si>
  <si>
    <t>Crie uma senha forte com uma mistura de letras, números e símbolos</t>
  </si>
  <si>
    <t>Создайте надежный пароль, состоящий из букв, цифр и символов.</t>
  </si>
  <si>
    <t>สร้างรหัสผ่านที่รัดกุมโดยผสมตัวอักษร ตัวเลข และสัญลักษณ์เข้าด้วยกัน</t>
  </si>
  <si>
    <t>Harf, rakam ve simgelerin karışımından oluşan güçlü bir şifre oluşturun</t>
  </si>
  <si>
    <t>Створіть надійний пароль із суміші літер, цифр і символів</t>
  </si>
  <si>
    <t>创建由字母、数字和符号混合组成的强密码</t>
  </si>
  <si>
    <t>Tạo mật khẩu mạnh bằng sự kết hợp của các chữ cái, số và ký hiệu</t>
  </si>
  <si>
    <t>forgotPassword</t>
  </si>
  <si>
    <t>Forgot password?</t>
  </si>
  <si>
    <t>هل نسيت كلمة السر؟</t>
  </si>
  <si>
    <t>Zapomenuté heslo?</t>
  </si>
  <si>
    <t>Passwort vergessen?</t>
  </si>
  <si>
    <t>Ξεχάσατε τον κωδικό;</t>
  </si>
  <si>
    <t>¿Has olvidado tu contraseña?</t>
  </si>
  <si>
    <t>Unustasid parooli?</t>
  </si>
  <si>
    <t>Unohtuiko salasana?</t>
  </si>
  <si>
    <t>Mot de passe oublié?</t>
  </si>
  <si>
    <t>पासवर्ड भूल गए?</t>
  </si>
  <si>
    <t>Tidak ingat kata sandi?</t>
  </si>
  <si>
    <t>Ha dimenticato la password?</t>
  </si>
  <si>
    <t>パスワードをお忘れですか？</t>
  </si>
  <si>
    <t>ភ្លេច​លេខសំងាត់​?</t>
  </si>
  <si>
    <t>ಪಾಸ್ವರ್ಡ್ ಮರೆತಿರಾ?</t>
  </si>
  <si>
    <t>비밀번호를 잊으 셨나요?</t>
  </si>
  <si>
    <t>ລືມລະຫັດຜ່ານ?</t>
  </si>
  <si>
    <t>Aizmirsi paroli?</t>
  </si>
  <si>
    <t>lupa kata laluan?</t>
  </si>
  <si>
    <t>Wachtwoord vergeten?</t>
  </si>
  <si>
    <t>Zapomniałeś hasła?</t>
  </si>
  <si>
    <t>Esqueceu sua senha?</t>
  </si>
  <si>
    <t>Забыли пароль?</t>
  </si>
  <si>
    <t>ลืมรหัสผ่าน?</t>
  </si>
  <si>
    <t>Parolanızı mı unuttunuz?</t>
  </si>
  <si>
    <t>Забули пароль?</t>
  </si>
  <si>
    <t>忘记密码？</t>
  </si>
  <si>
    <t>Quên mật khẩu?</t>
  </si>
  <si>
    <t>cannotLogin</t>
  </si>
  <si>
    <t>Can't login, please try again or log in with a different method</t>
  </si>
  <si>
    <t>لا يمكن تسجيل الدخول، يرجى المحاولة مرة أخرى أو تسجيل الدخول بطريقة مختلفة</t>
  </si>
  <si>
    <t>Nelze se přihlásit, zkuste to prosím znovu nebo se přihlaste jiným způsobem</t>
  </si>
  <si>
    <t>Anmeldung nicht möglich. Bitte versuchen Sie es erneut oder melden Sie sich mit einer anderen Methode an</t>
  </si>
  <si>
    <t>Δεν είναι δυνατή η σύνδεση, δοκιμάστε ξανά ή συνδεθείτε με διαφορετική μέθοδο</t>
  </si>
  <si>
    <t>No puedo iniciar sesión, inténtalo de nuevo o inicia sesión con un método diferente</t>
  </si>
  <si>
    <t>Ei saa sisse logida, proovige uuesti või logige sisse mõne muu meetodiga</t>
  </si>
  <si>
    <t>Kirjautuminen ei onnistu, yritä uudelleen tai kirjaudu sisään toisella tavalla</t>
  </si>
  <si>
    <t>Impossible de se connecter, veuillez réessayer ou vous connecter avec une autre méthode</t>
  </si>
  <si>
    <t>लॉगिन नहीं कर सकते, कृपया पुनः प्रयास करें या किसी भिन्न विधि से लॉग इन करें</t>
  </si>
  <si>
    <t>Tidak dapat login, silakan coba lagi atau login dengan metode lain</t>
  </si>
  <si>
    <t>Impossibile accedere, riprova o accedi con un metodo diverso</t>
  </si>
  <si>
    <t>ログインできません。もう一度試すか、別の方法でログインしてください</t>
  </si>
  <si>
    <t>មិនអាចចូលបានទេ សូមព្យាយាមម្តងទៀត ឬចូលដោយប្រើវិធីផ្សេង</t>
  </si>
  <si>
    <t>ಲಾಗಿನ್ ಮಾಡಲು ಸಾಧ್ಯವಿಲ್ಲ, ದಯವಿಟ್ಟು ಮತ್ತೆ ಪ್ರಯತ್ನಿಸಿ ಅಥವಾ ಬೇರೆ ವಿಧಾನದೊಂದಿಗೆ ಲಾಗ್ ಇನ್ ಮಾಡಿ</t>
  </si>
  <si>
    <t>로그인할 수 없습니다. 다시 시도하거나 다른 방법으로 로그인하십시오.</t>
  </si>
  <si>
    <t>ບໍ່ສາມາດເຂົ້າສູ່ລະບົບໄດ້, ກະລຸນາລອງອີກຄັ້ງ ຫຼືເຂົ້າສູ່ລະບົບດ້ວຍວິທີອື່ນ</t>
  </si>
  <si>
    <t>Nevar pieteikties, lūdzu, mēģiniet vēlreiz vai piesakieties ar citu metodi</t>
  </si>
  <si>
    <t>Tidak boleh log masuk, sila cuba lagi atau log masuk dengan kaedah lain</t>
  </si>
  <si>
    <t>Kan niet inloggen, probeer het opnieuw of log op een andere manier in</t>
  </si>
  <si>
    <t>Nie można się zalogować. Spróbuj ponownie lub zaloguj się inną metodą</t>
  </si>
  <si>
    <t>Não é possível fazer login, tente novamente ou faça login com um método diferente</t>
  </si>
  <si>
    <t>Не могу войти, попробуйте еще раз или войдите другим способом.</t>
  </si>
  <si>
    <t>ไม่สามารถเข้าสู่ระบบได้ โปรดลองอีกครั้งหรือเข้าสู่ระบบด้วยวิธีอื่น</t>
  </si>
  <si>
    <t>Giriş yapılamıyor, lütfen tekrar deneyin veya farklı bir yöntemle giriş yapın</t>
  </si>
  <si>
    <t>Не вдається ввійти, спробуйте ще раз або ввійдіть іншим способом</t>
  </si>
  <si>
    <t>无法登录，请重试或使用其他方式登录</t>
  </si>
  <si>
    <t>Không thể đăng nhập, vui lòng thử lại hoặc đăng nhập bằng phương pháp khác</t>
  </si>
  <si>
    <t>deactiveAccountVerify</t>
  </si>
  <si>
    <t>Are you sure you want to deactivate your account?</t>
  </si>
  <si>
    <t>هل أنت متأكد أنك تريد إلغاء تنشيط حسابك؟</t>
  </si>
  <si>
    <t>Opravdu chcete deaktivovat svůj účet?</t>
  </si>
  <si>
    <t>Sind Sie sicher, dass Sie Ihr Konto deaktivieren möchten?</t>
  </si>
  <si>
    <t>Είστε βέβαιοι ότι θέλετε να απενεργοποιήσετε τον λογαριασμό σας;</t>
  </si>
  <si>
    <t>¿Estás seguro de que deseas desactivar tu cuenta?</t>
  </si>
  <si>
    <t>Kas olete kindel, et soovite oma konto deaktiveerida?</t>
  </si>
  <si>
    <t>Haluatko varmasti poistaa tilisi käytöstä?</t>
  </si>
  <si>
    <t>Etes-vous sûr de vouloir désactiver votre compte ?</t>
  </si>
  <si>
    <t>क्या आप वाकई अपना खाता निष्क्रिय करना चाहते हैं?</t>
  </si>
  <si>
    <t>Apakah Anda yakin ingin menonaktifkan akun Anda?</t>
  </si>
  <si>
    <t>Sei sicuro di voler disattivare il tuo account?</t>
  </si>
  <si>
    <t>アカウントを無効化してもよろしいですか?</t>
  </si>
  <si>
    <t>តើអ្នកប្រាកដថាចង់បិទគណនីរបស់អ្នកមែនទេ?</t>
  </si>
  <si>
    <t>ನಿಮ್ಮ ಖಾತೆಯನ್ನು ನಿಷ್ಕ್ರಿಯಗೊಳಿಸಲು ನೀವು ಖಚಿತವಾಗಿ ಬಯಸುವಿರಾ?</t>
  </si>
  <si>
    <t>정말로 계정을 비활성화하시겠습니까?</t>
  </si>
  <si>
    <t>ທ່ານແນ່ໃຈບໍ່ວ່າຕ້ອງການປິດການນຳໃຊ້ບັນຊີຂອງທ່ານ?</t>
  </si>
  <si>
    <t>Vai tiešām vēlaties deaktivizēt savu kontu?</t>
  </si>
  <si>
    <t>Adakah anda pasti mahu menyahaktifkan akaun anda?</t>
  </si>
  <si>
    <t>Weet u zeker dat u uw account wilt deactiveren?</t>
  </si>
  <si>
    <t>Czy na pewno chcesz dezaktywować swoje konto?</t>
  </si>
  <si>
    <t>Tem certeza de que deseja desativar sua conta?</t>
  </si>
  <si>
    <t>Вы уверены, что хотите деактивировать свою учетную запись?</t>
  </si>
  <si>
    <t>คุณแน่ใจหรือไม่ว่าต้องการปิดการใช้งานบัญชีของคุณ?</t>
  </si>
  <si>
    <t>Hesabınızı devre dışı bırakmak istediğinizden emin misiniz?</t>
  </si>
  <si>
    <t>Ви впевнені, що бажаєте деактивувати свій обліковий запис?</t>
  </si>
  <si>
    <t>您确定要停用您的帐户吗？</t>
  </si>
  <si>
    <t>Bạn có chắc chắn muốn hủy xóa tài khoản của mình không?</t>
  </si>
  <si>
    <t>termsOfUse</t>
  </si>
  <si>
    <t>Terms of Use</t>
  </si>
  <si>
    <t>شروط الاستخدام</t>
  </si>
  <si>
    <t>Podmínky použití</t>
  </si>
  <si>
    <t>Nutzungsbedingungen</t>
  </si>
  <si>
    <t>Οροι χρήσης</t>
  </si>
  <si>
    <t>Condiciones de uso</t>
  </si>
  <si>
    <t>Kasutustingimused</t>
  </si>
  <si>
    <t>Conditions d'utilisation</t>
  </si>
  <si>
    <t>उपयोग की शर्तें</t>
  </si>
  <si>
    <t>Syarat Penggunaan</t>
  </si>
  <si>
    <t>Termini di utilizzo</t>
  </si>
  <si>
    <t>ល័ក្ខខ័ណ្ឌនៃការប្រើប្រាស់</t>
  </si>
  <si>
    <t>ಬಳಕೆಯ ನಿಯಮಗಳು</t>
  </si>
  <si>
    <t>ເງື່ອນໄຂການນໍາໃຊ້</t>
  </si>
  <si>
    <t>Lietošanas noteikumi</t>
  </si>
  <si>
    <t>Gebruiksvoorwaarden</t>
  </si>
  <si>
    <t>Warunki korzystania</t>
  </si>
  <si>
    <t>Termos de uso</t>
  </si>
  <si>
    <t>Условия эксплуатации</t>
  </si>
  <si>
    <t>ข้อกำหนดการใช้งาน</t>
  </si>
  <si>
    <t>Kullanım Şartları</t>
  </si>
  <si>
    <t>Умови використання</t>
  </si>
  <si>
    <t>使用条款</t>
  </si>
  <si>
    <t>Điều khoản sử dụng</t>
  </si>
  <si>
    <t>accounts</t>
  </si>
  <si>
    <t>Accounts</t>
  </si>
  <si>
    <t>حسابات</t>
  </si>
  <si>
    <t>Účty</t>
  </si>
  <si>
    <t>Konten</t>
  </si>
  <si>
    <t>Λογαριασμοί</t>
  </si>
  <si>
    <t>Cuentas</t>
  </si>
  <si>
    <t>Kontod</t>
  </si>
  <si>
    <t>Tilit</t>
  </si>
  <si>
    <t>Comptes</t>
  </si>
  <si>
    <t>हिसाब किताब</t>
  </si>
  <si>
    <t>Akun</t>
  </si>
  <si>
    <t>Conti</t>
  </si>
  <si>
    <t>アカウント</t>
  </si>
  <si>
    <t>គណនី</t>
  </si>
  <si>
    <t>ಖಾತೆಗಳು</t>
  </si>
  <si>
    <t>계정</t>
  </si>
  <si>
    <t>ບັນຊີ</t>
  </si>
  <si>
    <t>Konti</t>
  </si>
  <si>
    <t>Akaun</t>
  </si>
  <si>
    <t>Rekeningen</t>
  </si>
  <si>
    <t>Konta</t>
  </si>
  <si>
    <t>Contas</t>
  </si>
  <si>
    <t>Счета</t>
  </si>
  <si>
    <t>บัญชี</t>
  </si>
  <si>
    <t>Hesaplar</t>
  </si>
  <si>
    <t>Облікові записи</t>
  </si>
  <si>
    <t>账户</t>
  </si>
  <si>
    <t>Tài khoản</t>
  </si>
  <si>
    <t>account</t>
  </si>
  <si>
    <t>Account</t>
  </si>
  <si>
    <t>حساب</t>
  </si>
  <si>
    <t>Účet</t>
  </si>
  <si>
    <t>Konto</t>
  </si>
  <si>
    <t>λογαριασμός</t>
  </si>
  <si>
    <t>Cuenta</t>
  </si>
  <si>
    <t>Tili</t>
  </si>
  <si>
    <t>Compte</t>
  </si>
  <si>
    <t>खाता</t>
  </si>
  <si>
    <t>ಖಾತೆ</t>
  </si>
  <si>
    <t>Konts</t>
  </si>
  <si>
    <t>Rekening</t>
  </si>
  <si>
    <t>Conta</t>
  </si>
  <si>
    <t>Счет</t>
  </si>
  <si>
    <t>Hesap</t>
  </si>
  <si>
    <t>Обліковий запис</t>
  </si>
  <si>
    <t>帐户</t>
  </si>
  <si>
    <t>deleteAccount</t>
  </si>
  <si>
    <t>Delete Account</t>
  </si>
  <si>
    <t>حذف الحساب</t>
  </si>
  <si>
    <t>Smazat účet</t>
  </si>
  <si>
    <t>Konto löschen</t>
  </si>
  <si>
    <t>Διαγραφή λογαριασμού</t>
  </si>
  <si>
    <t>Borrar cuenta</t>
  </si>
  <si>
    <t>Kustuta konto</t>
  </si>
  <si>
    <t>Poista tili</t>
  </si>
  <si>
    <t>Supprimer le compte</t>
  </si>
  <si>
    <t>खाता हटा दो</t>
  </si>
  <si>
    <t>Hapus akun</t>
  </si>
  <si>
    <t>Eliminare l'account</t>
  </si>
  <si>
    <t>アカウントを削除する</t>
  </si>
  <si>
    <t>លុប​គណនី</t>
  </si>
  <si>
    <t>ಖಾತೆಯನ್ನು ಅಳಿಸಿ</t>
  </si>
  <si>
    <t>계정 삭제</t>
  </si>
  <si>
    <t>ລຶບບັນຊີ</t>
  </si>
  <si>
    <t>Dzēst kontu</t>
  </si>
  <si>
    <t>Padam Akaun</t>
  </si>
  <si>
    <t>Account verwijderen</t>
  </si>
  <si>
    <t>Usuń konto</t>
  </si>
  <si>
    <t>Deletar conta</t>
  </si>
  <si>
    <t>Удалить аккаунт</t>
  </si>
  <si>
    <t>ลบบัญชี</t>
  </si>
  <si>
    <t>Hesabı sil</t>
  </si>
  <si>
    <t>Видалити аккаунт</t>
  </si>
  <si>
    <t>删除帐户</t>
  </si>
  <si>
    <t>Xóa tài khoản</t>
  </si>
  <si>
    <t>following</t>
  </si>
  <si>
    <t>Following</t>
  </si>
  <si>
    <t>Následující</t>
  </si>
  <si>
    <t>Nachfolgend</t>
  </si>
  <si>
    <t>ΕΠΟΜΕΝΟ</t>
  </si>
  <si>
    <t>Siguiente</t>
  </si>
  <si>
    <t>Järgnev</t>
  </si>
  <si>
    <t>Seurata</t>
  </si>
  <si>
    <t>अगले</t>
  </si>
  <si>
    <t>Mengikuti</t>
  </si>
  <si>
    <t>Seguente</t>
  </si>
  <si>
    <t>កំពុងតាម</t>
  </si>
  <si>
    <t>ಅನುಸರಿಸುತ್ತಿದೆ</t>
  </si>
  <si>
    <t>수행원</t>
  </si>
  <si>
    <t>ຕິດຕາມ</t>
  </si>
  <si>
    <t>Sekojošs</t>
  </si>
  <si>
    <t>Als vervolg op</t>
  </si>
  <si>
    <t>Seguindo</t>
  </si>
  <si>
    <t>กำลังติดตาม</t>
  </si>
  <si>
    <t>Takip etme</t>
  </si>
  <si>
    <t>Слідую</t>
  </si>
  <si>
    <t>下列的</t>
  </si>
  <si>
    <t>Đang theo dõi</t>
  </si>
  <si>
    <t>followers</t>
  </si>
  <si>
    <t>Followers</t>
  </si>
  <si>
    <t>متابعون</t>
  </si>
  <si>
    <t>Následovníci</t>
  </si>
  <si>
    <t>Anhänger</t>
  </si>
  <si>
    <t>Οπαδοί</t>
  </si>
  <si>
    <t>Seguidores</t>
  </si>
  <si>
    <t>Jälgijad</t>
  </si>
  <si>
    <t>Seuraajat</t>
  </si>
  <si>
    <t>Suiveurs</t>
  </si>
  <si>
    <t>समर्थक</t>
  </si>
  <si>
    <t>Pengikut</t>
  </si>
  <si>
    <t>Seguaci</t>
  </si>
  <si>
    <t>フォロワー</t>
  </si>
  <si>
    <t>អ្នកដើរតាម</t>
  </si>
  <si>
    <t>ಅನುಯಾಯಿಗಳು</t>
  </si>
  <si>
    <t>추종자</t>
  </si>
  <si>
    <t>ຜູ້ຕິດຕາມ</t>
  </si>
  <si>
    <t>Sekotāji</t>
  </si>
  <si>
    <t>Volgers</t>
  </si>
  <si>
    <t>Obserwujący</t>
  </si>
  <si>
    <t>Последователи</t>
  </si>
  <si>
    <t>ผู้ติดตาม</t>
  </si>
  <si>
    <t>Takipçiler</t>
  </si>
  <si>
    <t>Послідовники</t>
  </si>
  <si>
    <t>追随者</t>
  </si>
  <si>
    <t>Người theo dõi</t>
  </si>
  <si>
    <t>like</t>
  </si>
  <si>
    <t>Like</t>
  </si>
  <si>
    <t>يحب</t>
  </si>
  <si>
    <t>Jako</t>
  </si>
  <si>
    <t>Wie</t>
  </si>
  <si>
    <t>Αρέσει</t>
  </si>
  <si>
    <t>Como</t>
  </si>
  <si>
    <t>meeldib</t>
  </si>
  <si>
    <t>Kuten</t>
  </si>
  <si>
    <t>Comme</t>
  </si>
  <si>
    <t>पसंद</t>
  </si>
  <si>
    <t>Menyukai</t>
  </si>
  <si>
    <t>Come</t>
  </si>
  <si>
    <t>のように</t>
  </si>
  <si>
    <t>ចូលចិត្ត</t>
  </si>
  <si>
    <t>ಇಷ್ಟ</t>
  </si>
  <si>
    <t>좋다</t>
  </si>
  <si>
    <t>ມັກ</t>
  </si>
  <si>
    <t>Patīk</t>
  </si>
  <si>
    <t>Suka</t>
  </si>
  <si>
    <t>Leuk vinden</t>
  </si>
  <si>
    <t>Tak jak</t>
  </si>
  <si>
    <t>Нравиться</t>
  </si>
  <si>
    <t>ชอบ</t>
  </si>
  <si>
    <t>Beğenmek</t>
  </si>
  <si>
    <t>Люблю</t>
  </si>
  <si>
    <t>喜欢</t>
  </si>
  <si>
    <t>Thích</t>
  </si>
  <si>
    <t>report</t>
  </si>
  <si>
    <t>Report</t>
  </si>
  <si>
    <t>تقرير</t>
  </si>
  <si>
    <t>Κανω ΑΝΑΦΟΡΑ</t>
  </si>
  <si>
    <t>Informe</t>
  </si>
  <si>
    <t>Aruanne</t>
  </si>
  <si>
    <t>Raportoi</t>
  </si>
  <si>
    <t>Rapport</t>
  </si>
  <si>
    <t>प्रतिवेदन</t>
  </si>
  <si>
    <t>Laporan</t>
  </si>
  <si>
    <t>Rapporto</t>
  </si>
  <si>
    <t>報告</t>
  </si>
  <si>
    <t>រាយការណ៍</t>
  </si>
  <si>
    <t>ವರದಿ</t>
  </si>
  <si>
    <t>보고서</t>
  </si>
  <si>
    <t>ລາຍງານ</t>
  </si>
  <si>
    <t>Raport</t>
  </si>
  <si>
    <t>Relatório</t>
  </si>
  <si>
    <t>Отчет</t>
  </si>
  <si>
    <t>รายงาน</t>
  </si>
  <si>
    <t>Rapor</t>
  </si>
  <si>
    <t>звіт</t>
  </si>
  <si>
    <t>报告</t>
  </si>
  <si>
    <t>Báo cáo</t>
  </si>
  <si>
    <t>additionalDetails</t>
  </si>
  <si>
    <t>Additional details</t>
  </si>
  <si>
    <t>تفاصيل اضافية</t>
  </si>
  <si>
    <t>Další detaily</t>
  </si>
  <si>
    <t>Weitere Details</t>
  </si>
  <si>
    <t>Επιπλέον Λεπτομέρειες</t>
  </si>
  <si>
    <t>Detalles adicionales</t>
  </si>
  <si>
    <t>Täiendavad üksikasjad</t>
  </si>
  <si>
    <t>Lisätiedot</t>
  </si>
  <si>
    <t>Détails supplémentaires</t>
  </si>
  <si>
    <t>अतिरिक्त विवरण</t>
  </si>
  <si>
    <t>Detil tambahan</t>
  </si>
  <si>
    <t>Dettagli aggiuntivi</t>
  </si>
  <si>
    <t>さらなる詳細</t>
  </si>
  <si>
    <t>ព័ត៌មានលម្អិតបន្ថែម</t>
  </si>
  <si>
    <t>ಹೆಚ್ಚುವರಿ ವಿವರಗಳು</t>
  </si>
  <si>
    <t>추가 세부 사항</t>
  </si>
  <si>
    <t>ລາຍລະອຽດເພີ່ມເຕີມ</t>
  </si>
  <si>
    <t>Papildu informācija</t>
  </si>
  <si>
    <t>Maklumat tambahan</t>
  </si>
  <si>
    <t>Aanvullende details</t>
  </si>
  <si>
    <t>Dodatkowe Szczegóły</t>
  </si>
  <si>
    <t>Detalhes adicionais</t>
  </si>
  <si>
    <t>Дополнительные детали</t>
  </si>
  <si>
    <t>รายละเอียดเพิ่มเติม</t>
  </si>
  <si>
    <t>Ek detaylar</t>
  </si>
  <si>
    <t>Додаткова інформація</t>
  </si>
  <si>
    <t>额外细节</t>
  </si>
  <si>
    <t>Chi tiết bổ sung</t>
  </si>
  <si>
    <t>bio</t>
  </si>
  <si>
    <t>Bio</t>
  </si>
  <si>
    <t>السيرة الذاتية</t>
  </si>
  <si>
    <t>Biografía</t>
  </si>
  <si>
    <t>Biographie</t>
  </si>
  <si>
    <t>जैव</t>
  </si>
  <si>
    <t>Biografi</t>
  </si>
  <si>
    <t>バイオ</t>
  </si>
  <si>
    <t>ជីវ</t>
  </si>
  <si>
    <t>ಜೈವಿಕ</t>
  </si>
  <si>
    <t>바이오</t>
  </si>
  <si>
    <t>ຊີວະພາບ</t>
  </si>
  <si>
    <t>Życiorys</t>
  </si>
  <si>
    <t>Biografia</t>
  </si>
  <si>
    <t>Био</t>
  </si>
  <si>
    <t>ไบโอ</t>
  </si>
  <si>
    <t>Biyografi</t>
  </si>
  <si>
    <t>біографія</t>
  </si>
  <si>
    <t>简介</t>
  </si>
  <si>
    <t>Tiểu sử</t>
  </si>
  <si>
    <t>orString</t>
  </si>
  <si>
    <t>or</t>
  </si>
  <si>
    <t>أو</t>
  </si>
  <si>
    <t>nebo</t>
  </si>
  <si>
    <t>oder</t>
  </si>
  <si>
    <t>ή</t>
  </si>
  <si>
    <t>o</t>
  </si>
  <si>
    <t>või</t>
  </si>
  <si>
    <t>tai</t>
  </si>
  <si>
    <t>ou</t>
  </si>
  <si>
    <t>या</t>
  </si>
  <si>
    <t>atau</t>
  </si>
  <si>
    <t>O</t>
  </si>
  <si>
    <t>または</t>
  </si>
  <si>
    <t>ឬ</t>
  </si>
  <si>
    <t>ಅಥವಾ</t>
  </si>
  <si>
    <t>또는</t>
  </si>
  <si>
    <t>ຫຼື</t>
  </si>
  <si>
    <t>vai</t>
  </si>
  <si>
    <t>of</t>
  </si>
  <si>
    <t>Lub</t>
  </si>
  <si>
    <t>или</t>
  </si>
  <si>
    <t>หรือ</t>
  </si>
  <si>
    <t>veya</t>
  </si>
  <si>
    <t>або</t>
  </si>
  <si>
    <t>或者</t>
  </si>
  <si>
    <t>hoặc</t>
  </si>
  <si>
    <t>enterEmailDescription</t>
  </si>
  <si>
    <t>This email will be used to log in and receive a password recovery code if you forget your password.</t>
  </si>
  <si>
    <t>سيتم استخدام هذا البريد الإلكتروني لتسجيل الدخول واستلام رمز استعادة كلمة المرور إذا نسيت كلمة المرور الخاصة بك.</t>
  </si>
  <si>
    <t>Tento e-mail bude použit k přihlášení a obdržení kódu pro obnovení hesla, pokud heslo zapomenete.</t>
  </si>
  <si>
    <t>Mit dieser E-Mail-Adresse können Sie sich anmelden und erhalten einen Passwort-Wiederherstellungscode, falls Sie Ihr Passwort vergessen.</t>
  </si>
  <si>
    <t>Αυτό το email θα χρησιμοποιηθεί για να συνδεθείτε και να λάβετε έναν κωδικό ανάκτησης κωδικού πρόσβασης εάν ξεχάσετε τον κωδικό πρόσβασής σας.</t>
  </si>
  <si>
    <t>Este correo electrónico se utilizará para iniciar sesión y recibir un código de recuperación de contraseña si la olvida.</t>
  </si>
  <si>
    <t>Seda meili kasutatakse sisselogimiseks ja parooli taastamise koodi saamiseks, kui olete parooli unustanud.</t>
  </si>
  <si>
    <t>Tätä sähköpostiosoitetta käytetään kirjautumiseen ja salasanan palautuskoodin vastaanottamiseen, jos unohdat salasanasi.</t>
  </si>
  <si>
    <t>Cet e-mail sera utilisé pour vous connecter et recevoir un code de récupération de mot de passe si vous oubliez votre mot de passe.</t>
  </si>
  <si>
    <t>यदि आप अपना पासवर्ड भूल जाते हैं तो इस ईमेल का उपयोग लॉग इन करने और पासवर्ड पुनर्प्राप्ति कोड प्राप्त करने के लिए किया जाएगा।</t>
  </si>
  <si>
    <t>Email ini akan digunakan untuk login dan menerima kode pemulihan kata sandi jika Anda lupa kata sandi.</t>
  </si>
  <si>
    <t>Questa email verrà utilizzata per accedere e ricevere un codice di recupero password se dimentichi la password.</t>
  </si>
  <si>
    <t>この電子メールは、パスワードを忘れた場合にログインし、パスワード回復コードを受け取るために使用されます。</t>
  </si>
  <si>
    <t>អ៊ីមែលនេះនឹងត្រូវបានប្រើដើម្បីចូល និងទទួលលេខកូដសង្គ្រោះពាក្យសម្ងាត់ ប្រសិនបើអ្នកភ្លេចពាក្យសម្ងាត់របស់អ្នក។</t>
  </si>
  <si>
    <t>ನಿಮ್ಮ ಪಾಸ್‌ವರ್ಡ್ ಅನ್ನು ನೀವು ಮರೆತರೆ ಪಾಸ್‌ವರ್ಡ್ ಮರುಪಡೆಯುವಿಕೆ ಕೋಡ್ ಅನ್ನು ಲಾಗ್ ಇನ್ ಮಾಡಲು ಮತ್ತು ಸ್ವೀಕರಿಸಲು ಈ ಇಮೇಲ್ ಅನ್ನು ಬಳಸಲಾಗುತ್ತದೆ.</t>
  </si>
  <si>
    <t>이 이메일은 비밀번호를 잊어버린 경우 로그인하고 비밀번호 복구 코드를 받는 데 사용됩니다.</t>
  </si>
  <si>
    <t>ອີເມວນີ້ຈະຖືກໃຊ້ເພື່ອເຂົ້າສູ່ລະບົບ ແລະຮັບລະຫັດກູ້ລະຫັດຜ່ານຖ້າທ່ານລືມລະຫັດຜ່ານຂອງທ່ານ.</t>
  </si>
  <si>
    <t>Šis e-pasts tiks izmantots, lai pieteiktos un saņemtu paroles atkopšanas kodu, ja aizmirsīsit paroli.</t>
  </si>
  <si>
    <t>E-mel ini akan digunakan untuk log masuk dan menerima kod pemulihan kata laluan jika anda terlupa kata laluan anda.</t>
  </si>
  <si>
    <t>Deze e-mail wordt gebruikt om in te loggen en een wachtwoordherstelcode te ontvangen als u uw wachtwoord vergeet.</t>
  </si>
  <si>
    <t>Ten adres e-mail zostanie użyty do zalogowania się i otrzymania kodu odzyskiwania hasła, jeśli zapomnisz hasła.</t>
  </si>
  <si>
    <t>Este e-mail será usado para fazer login e receber um código de recuperação de senha caso você esqueça sua senha.</t>
  </si>
  <si>
    <t>Этот адрес электронной почты будет использоваться для входа в систему и получения кода восстановления пароля, если вы забудете свой пароль.</t>
  </si>
  <si>
    <t>อีเมลนี้จะใช้ในการเข้าสู่ระบบและรับรหัสกู้คืนรหัสผ่านหากคุณลืมรหัสผ่าน</t>
  </si>
  <si>
    <t>Bu e-posta, şifrenizi unutmanız durumunda oturum açmak ve şifre kurtarma kodunu almak için kullanılacaktır.</t>
  </si>
  <si>
    <t>Цей електронний лист буде використано для входу та отримання коду відновлення пароля, якщо ви забудете свій пароль.</t>
  </si>
  <si>
    <t>如果您忘记密码，此电子邮件将用于登录并接收密码恢复代码。</t>
  </si>
  <si>
    <t>Email này sẽ dùng để đăng nhập và nhận mã khôi phục mật khẩu nếu bạn quên mật khẩu.</t>
  </si>
  <si>
    <t>createPW</t>
  </si>
  <si>
    <t>Create a password</t>
  </si>
  <si>
    <t>أنشئ كلمة مرور</t>
  </si>
  <si>
    <t>Vytvořit heslo</t>
  </si>
  <si>
    <t>Erstellen Sie ein Passwort</t>
  </si>
  <si>
    <t>Δημιούργησε έναν κωδικό</t>
  </si>
  <si>
    <t>Crear una contraseña</t>
  </si>
  <si>
    <t>Loo parool</t>
  </si>
  <si>
    <t>Luo salasana</t>
  </si>
  <si>
    <t>Créer un mot de passe</t>
  </si>
  <si>
    <t>एक पासवर्ड बनाएं</t>
  </si>
  <si>
    <t>buat kata sandi</t>
  </si>
  <si>
    <t>Crea una password</t>
  </si>
  <si>
    <t>パスワードを作成</t>
  </si>
  <si>
    <t>បង្កើត​លេខសំងាត់</t>
  </si>
  <si>
    <t>ರಹಸ್ಯಪದ ಸೃಷ್ಟಿಸಿ</t>
  </si>
  <si>
    <t>비밀번호 만들기</t>
  </si>
  <si>
    <t>ສ້າງ​ລະ​ຫັດ​ຜ່ານ</t>
  </si>
  <si>
    <t>Izveidot paroli</t>
  </si>
  <si>
    <t>Buat kata laluan</t>
  </si>
  <si>
    <t>Creëer een wachtwoord</t>
  </si>
  <si>
    <t>Stwórz hasło</t>
  </si>
  <si>
    <t>Criar uma senha</t>
  </si>
  <si>
    <t>Создать пароль</t>
  </si>
  <si>
    <t>Bir şifre oluşturun</t>
  </si>
  <si>
    <t>Створіть пароль</t>
  </si>
  <si>
    <t>创建密码</t>
  </si>
  <si>
    <t>Tạo một mật khẩu</t>
  </si>
  <si>
    <t>confirmPW</t>
  </si>
  <si>
    <t>Confirm Password</t>
  </si>
  <si>
    <t>تأكيد كلمة المرور</t>
  </si>
  <si>
    <t>Potvrďte heslo</t>
  </si>
  <si>
    <t>Bestätige das Passwort</t>
  </si>
  <si>
    <t>Επιβεβαίωση Κωδικού</t>
  </si>
  <si>
    <t>confirmar Contraseña</t>
  </si>
  <si>
    <t>Kinnita salasõna</t>
  </si>
  <si>
    <t>Vahvista salasana</t>
  </si>
  <si>
    <t>Confirmez le mot de passe</t>
  </si>
  <si>
    <t>पासवर्ड की पुष्टि कीजिये</t>
  </si>
  <si>
    <t>konfirmasi sandi</t>
  </si>
  <si>
    <t>Conferma password</t>
  </si>
  <si>
    <t>パスワードを認証する</t>
  </si>
  <si>
    <t>បញ្ជាក់ពាក្យសម្ងាត់</t>
  </si>
  <si>
    <t>ಪಾಸ್ವರ್ಡ್ ದೃಢೀಕರಿಸಿ</t>
  </si>
  <si>
    <t>비밀번호 확인</t>
  </si>
  <si>
    <t>ຢືນ​ຢັນ​ລະ​ຫັດ</t>
  </si>
  <si>
    <t>apstipriniet paroli</t>
  </si>
  <si>
    <t>Sahkan Kata Laluan</t>
  </si>
  <si>
    <t>bevestig wachtwoord</t>
  </si>
  <si>
    <t>Potwierdź hasło</t>
  </si>
  <si>
    <t>Confirme sua senha</t>
  </si>
  <si>
    <t>Подтвердите пароль</t>
  </si>
  <si>
    <t>ยืนยันรหัสผ่าน</t>
  </si>
  <si>
    <t>Şifreyi Onayla</t>
  </si>
  <si>
    <t>Підтвердьте пароль</t>
  </si>
  <si>
    <t>确认密码</t>
  </si>
  <si>
    <t>Xác nhận mật khẩu</t>
  </si>
  <si>
    <t>enterFullNameDescription</t>
  </si>
  <si>
    <t>You can enter your name or nickname to display in the application.</t>
  </si>
  <si>
    <t>يمكنك إدخال اسمك أو لقبك لعرضه في التطبيق.</t>
  </si>
  <si>
    <t>Můžete zadat své jméno nebo přezdívku, která se zobrazí v aplikaci.</t>
  </si>
  <si>
    <t>Sie können Ihren Namen oder Spitznamen eingeben, um ihn in der Anwendung anzuzeigen.</t>
  </si>
  <si>
    <t>Μπορείτε να εισαγάγετε το όνομα ή το ψευδώνυμό σας για εμφάνιση στην εφαρμογή.</t>
  </si>
  <si>
    <t>Puede ingresar su nombre o apodo para mostrarlo en la aplicación.</t>
  </si>
  <si>
    <t>Saate sisestada oma nime või hüüdnime, mida rakenduses kuvada.</t>
  </si>
  <si>
    <t>Voit kirjoittaa nimesi tai lempinimesi näytettäväksi sovelluksessa.</t>
  </si>
  <si>
    <t>Vous pouvez saisir votre nom ou votre pseudo à afficher dans l'application.</t>
  </si>
  <si>
    <t>आप एप्लिकेशन में प्रदर्शित करने के लिए अपना नाम या उपनाम दर्ज कर सकते हैं।</t>
  </si>
  <si>
    <t>Anda dapat memasukkan nama atau nama panggilan Anda untuk ditampilkan di aplikasi.</t>
  </si>
  <si>
    <t>Puoi inserire il tuo nome o nickname da visualizzare nell'applicazione.</t>
  </si>
  <si>
    <t>名前やニックネームを入力してアプリケーションに表示できます。</t>
  </si>
  <si>
    <t>អ្នកអាចបញ្ចូលឈ្មោះ ឬសម្មតិនាមរបស់អ្នក ដើម្បីបង្ហាញក្នុងកម្មវិធី។</t>
  </si>
  <si>
    <t>ಅಪ್ಲಿಕೇಶನ್‌ನಲ್ಲಿ ಪ್ರದರ್ಶಿಸಲು ನಿಮ್ಮ ಹೆಸರು ಅಥವಾ ಅಡ್ಡಹೆಸರನ್ನು ನೀವು ನಮೂದಿಸಬಹುದು.</t>
  </si>
  <si>
    <t>이름이나 닉네임을 입력하여 애플리케이션에 표시할 수 있습니다.</t>
  </si>
  <si>
    <t>ທ່ານສາມາດໃສ່ຊື່ຫຼືຊື່ຫຼິ້ນຂອງທ່ານເພື່ອສະແດງຢູ່ໃນແອັບພລິເຄຊັນ.</t>
  </si>
  <si>
    <t>Varat ievadīt savu vārdu vai segvārdu, ko parādīt lietojumprogrammā.</t>
  </si>
  <si>
    <t>Anda boleh memasukkan nama atau nama panggilan anda untuk dipaparkan dalam aplikasi.</t>
  </si>
  <si>
    <t>U kunt uw naam of bijnaam invoeren om in de applicatie weer te geven.</t>
  </si>
  <si>
    <t>Możesz wpisać swoje imię i nazwisko lub pseudonim, który będzie wyświetlany w aplikacji.</t>
  </si>
  <si>
    <t>Você pode inserir seu nome ou apelido para exibir no aplicativo.</t>
  </si>
  <si>
    <t>Вы можете ввести свое имя или псевдоним для отображения в приложении.</t>
  </si>
  <si>
    <t>คุณสามารถป้อนชื่อหรือชื่อเล่นของคุณเพื่อแสดงในแอปพลิเคชัน</t>
  </si>
  <si>
    <t>Uygulamada görüntülenecek adınızı veya takma adınızı girebilirsiniz.</t>
  </si>
  <si>
    <t>Ви можете ввести своє ім'я або псевдонім для відображення в програмі.</t>
  </si>
  <si>
    <t>您可以输入要在应用程序中显示的姓名或昵称。</t>
  </si>
  <si>
    <t>Bạn có thể nhập tên hoặc biệt danh của mình để hiển thị trong ứng dụng.</t>
  </si>
  <si>
    <t>hidePost</t>
  </si>
  <si>
    <t>Hide post</t>
  </si>
  <si>
    <t>آخر اخفاء</t>
  </si>
  <si>
    <t>Skrýt příspěvek</t>
  </si>
  <si>
    <t>Beitrag ausblenden</t>
  </si>
  <si>
    <t>Απόκρυψη ανάρτησης</t>
  </si>
  <si>
    <t>Esconder la publicación</t>
  </si>
  <si>
    <t>Peida postitus</t>
  </si>
  <si>
    <t>Piilota viesti</t>
  </si>
  <si>
    <t>Masquer le message</t>
  </si>
  <si>
    <t>पोस्ट छिपाएं</t>
  </si>
  <si>
    <t>Sembunyikan postingan</t>
  </si>
  <si>
    <t>Nascondi messaggio</t>
  </si>
  <si>
    <t>投稿を非表示にする</t>
  </si>
  <si>
    <t>លាក់ប្រកាស</t>
  </si>
  <si>
    <t>ಪೋಸ್ಟ್ ಮರೆಮಾಡಿ</t>
  </si>
  <si>
    <t>게시물 숨기기</t>
  </si>
  <si>
    <t>ເຊື່ອງໂພສ</t>
  </si>
  <si>
    <t>Slēpt ziņu</t>
  </si>
  <si>
    <t>Sembunyikan siaran</t>
  </si>
  <si>
    <t>Post verbergen</t>
  </si>
  <si>
    <t>Ukryj post</t>
  </si>
  <si>
    <t>Esconder publicação</t>
  </si>
  <si>
    <t>Скрыть публикацию</t>
  </si>
  <si>
    <t>ซ่อนโพสต์</t>
  </si>
  <si>
    <t>Gönderiyi gizle</t>
  </si>
  <si>
    <t>Приховати публікацію</t>
  </si>
  <si>
    <t>隐藏帖子</t>
  </si>
  <si>
    <t>Ẩn bài đăng</t>
  </si>
  <si>
    <t>cantGetAppleEmail</t>
  </si>
  <si>
    <t>Unable to retrieve your email, please grant permission to retrieve email to apple id or try again with another login method.</t>
  </si>
  <si>
    <t>غير قادر على استرداد بريدك الإلكتروني، يرجى منح الإذن لاسترداد البريد الإلكتروني إلى معرف Apple أو المحاولة مرة أخرى باستخدام طريقة تسجيل دخول أخرى.</t>
  </si>
  <si>
    <t>Nepodařilo se načíst váš e-mail, udělte prosím povolení k načtení e-mailu pro Apple id nebo to zkuste znovu s jiným způsobem přihlášení.</t>
  </si>
  <si>
    <t>Ihre E-Mail konnte nicht abgerufen werden. Bitte erteilen Sie der Apple-ID die Berechtigung zum Abrufen der E-Mail oder versuchen Sie es erneut mit einer anderen Anmeldemethode.</t>
  </si>
  <si>
    <t>Δεν είναι δυνατή η ανάκτηση του email σας, παραχωρήστε άδεια ανάκτησης email στο apple id ή δοκιμάστε ξανά με άλλη μέθοδο σύνδεσης.</t>
  </si>
  <si>
    <t>No se puede recuperar su correo electrónico, otorgue permiso para recuperar el correo electrónico a la ID de Apple o intente nuevamente con otro método de inicio de sesión.</t>
  </si>
  <si>
    <t>Teie e-posti ei õnnestu taastada, andke luba meili toomiseks Apple ID-le või proovige uuesti mõne muu sisselogimismeetodiga.</t>
  </si>
  <si>
    <t>Sähköpostiasi ei voi noutaa, anna lupa sähköpostin hakemiseen Apple ID:hen tai yritä uudelleen toisella kirjautumistavalla.</t>
  </si>
  <si>
    <t>Impossible de récupérer votre e-mail, veuillez accorder l'autorisation de récupérer l'e-mail sur l'identifiant Apple ou réessayez avec une autre méthode de connexion.</t>
  </si>
  <si>
    <t>अपना ईमेल पुनर्प्राप्त करने में असमर्थ, कृपया ऐप्पल आईडी पर ईमेल पुनर्प्राप्त करने की अनुमति दें या किसी अन्य लॉगिन विधि से पुनः प्रयास करें।</t>
  </si>
  <si>
    <t>Tidak dapat mengambil email Anda, berikan izin untuk mengambil email ke ID Apple atau coba lagi dengan metode login lain.</t>
  </si>
  <si>
    <t>Impossibile recuperare la tua email, concedi l'autorizzazione per recuperare l'email all'ID Apple o riprova con un altro metodo di accesso.</t>
  </si>
  <si>
    <t>メールを取得できません。Apple ID にメールを取得する許可を与えるか、別のログイン方法でもう一度お試しください。</t>
  </si>
  <si>
    <t>មិន​អាច​ទៅ​យក​អ៊ីមែល​របស់​អ្នក​បាន​ទេ សូម​ផ្តល់​ការ​អនុញ្ញាត​ដើម្បី​ទៅ​យក​អ៊ីមែល​ទៅ apple id ឬ​ព្យាយាម​ម្ដង​ទៀត​ជាមួយ​នឹង​វិធីសាស្ត្រ​ចូល​ផ្សេង​ទៀត។</t>
  </si>
  <si>
    <t>ನಿಮ್ಮ ಇಮೇಲ್ ಅನ್ನು ಹಿಂಪಡೆಯಲು ಸಾಧ್ಯವಾಗುತ್ತಿಲ್ಲ, ದಯವಿಟ್ಟು apple id ಗೆ ಇಮೇಲ್ ಹಿಂಪಡೆಯಲು ಅನುಮತಿ ನೀಡಿ ಅಥವಾ ಇನ್ನೊಂದು ಲಾಗಿನ್ ವಿಧಾನದೊಂದಿಗೆ ಮತ್ತೆ ಪ್ರಯತ್ನಿಸಿ.</t>
  </si>
  <si>
    <t>이메일을 검색할 수 없습니다. Apple ID에 이메일 검색 권한을 부여하거나 다른 로그인 방법으로 다시 시도하세요.</t>
  </si>
  <si>
    <t>ບໍ່ສາມາດດຶງຂໍ້ມູນອີເມວຂອງທ່ານໄດ້, ກະລຸນາໃຫ້ສິດໃນການດຶງຂໍ້ມູນອີເມວໄປຫາ apple id ຫຼືລອງໃໝ່ອີກດ້ວຍວິທີການເຂົ້າສູ່ລະບົບອື່ນ.</t>
  </si>
  <si>
    <t>Nevar izgūt jūsu e-pastu, lūdzu, piešķiriet atļauju izgūt e-pastu uz Apple id vai mēģiniet vēlreiz, izmantojot citu pieteikšanās metodi.</t>
  </si>
  <si>
    <t>Tidak dapat mendapatkan semula e-mel anda, sila berikan kebenaran untuk mendapatkan semula e-mel ke id apple atau cuba lagi dengan kaedah log masuk yang lain.</t>
  </si>
  <si>
    <t>Kan uw e-mailadres niet ophalen. Geef toestemming om uw e-mail op te halen via Apple ID of probeer het opnieuw met een andere inlogmethode.</t>
  </si>
  <si>
    <t>Nie można odzyskać Twojego adresu e-mail. Zezwól na jego odzyskanie na konto Apple ID lub spróbuj ponownie, korzystając z innej metody logowania.</t>
  </si>
  <si>
    <t>Não foi possível recuperar seu e-mail. Conceda permissão para recuperar o e-mail para o ID Apple ou tente novamente com outro método de login.</t>
  </si>
  <si>
    <t>Не удалось получить вашу электронную почту, дайте разрешение на получение электронной почты для Apple ID или повторите попытку, используя другой метод входа.</t>
  </si>
  <si>
    <t>ไม่สามารถเรียกอีเมลของคุณได้ โปรดให้สิทธิ์ในการเรียกอีเมลไปที่ apple id หรือลองอีกครั้งโดยใช้วิธีการเข้าสู่ระบบอื่น</t>
  </si>
  <si>
    <t>E-postanız alınamıyor. Lütfen e-postanın Apple kimliğine alınmasına izin verin veya başka bir oturum açma yöntemiyle tekrar deneyin.</t>
  </si>
  <si>
    <t>Не вдається отримати вашу електронну пошту, будь ласка, надайте дозвіл на отримання електронної пошти на Apple ID або повторіть спробу з іншим способом входу.</t>
  </si>
  <si>
    <t>无法检索您的电子邮件，请向 apple id 授予检索电子邮件的权限，或使用其他登录方法重试。</t>
  </si>
  <si>
    <t>Không thể truy xuất email của bạn, vui lòng cấp quyền truy xuất email tới id apple hoặc thử lại bằng phương thức đăng nhập khác.</t>
  </si>
  <si>
    <t>signInWithApple</t>
  </si>
  <si>
    <t>Sign in with Apple</t>
  </si>
  <si>
    <t>تسجيل الدخول مع أبل</t>
  </si>
  <si>
    <t>Přihlaste se pomocí Apple</t>
  </si>
  <si>
    <t>Melden Sie sich bei Apple an</t>
  </si>
  <si>
    <t>Συνδεθείτε με την Apple</t>
  </si>
  <si>
    <t>Iniciar sesión con Apple</t>
  </si>
  <si>
    <t>Logige sisse Apple'iga</t>
  </si>
  <si>
    <t>Kirjaudu sisään Applella</t>
  </si>
  <si>
    <t>Connectez-vous avec Apple</t>
  </si>
  <si>
    <t>Apple के साथ साइन इन करें</t>
  </si>
  <si>
    <t>Masuk dengan Apple</t>
  </si>
  <si>
    <t>Accedi con Apple</t>
  </si>
  <si>
    <t>Apple でサインインする</t>
  </si>
  <si>
    <t>ចូលជាមួយ Apple</t>
  </si>
  <si>
    <t>Apple ನೊಂದಿಗೆ ಸೈನ್ ಇನ್ ಮಾಡಿ</t>
  </si>
  <si>
    <t>Apple로 로그인</t>
  </si>
  <si>
    <t>ເຂົ້າສູ່ລະບົບດ້ວຍ Apple</t>
  </si>
  <si>
    <t>Pierakstieties ar Apple</t>
  </si>
  <si>
    <t>Log masuk dengan Apple</t>
  </si>
  <si>
    <t>Log in met Apple</t>
  </si>
  <si>
    <t>Zaloguj się za pomocą Apple</t>
  </si>
  <si>
    <t>Faça login com a Apple</t>
  </si>
  <si>
    <t>Войти с помощью Apple</t>
  </si>
  <si>
    <t>ลงชื่อเข้าใช้ด้วย Apple</t>
  </si>
  <si>
    <t>Apple'la oturum açın</t>
  </si>
  <si>
    <t>Увійдіть за допомогою Apple</t>
  </si>
  <si>
    <t>使用 Apple 登录</t>
  </si>
  <si>
    <t>Đăng nhập bằng Apple</t>
  </si>
  <si>
    <t>recoverMessage</t>
  </si>
  <si>
    <t>You don't have an account because it has been deleted or disabled. If you want to recover your account, send us a request.</t>
  </si>
  <si>
    <t>ليس لديك حساب لأنه تم حذفه أو تعطيله. إذا كنت تريد استرداد حسابك، أرسل لنا طلبًا.</t>
  </si>
  <si>
    <t>Nemáte účet, protože byl smazán nebo deaktivován. Pokud chcete obnovit svůj účet, zašlete nám žádost.</t>
  </si>
  <si>
    <t>Sie haben kein Konto, da es gelöscht oder deaktiviert wurde. Wenn Sie Ihr Konto wiederherstellen möchten, senden Sie uns eine Anfrage.</t>
  </si>
  <si>
    <t>Δεν έχετε λογαριασμό επειδή έχει διαγραφεί ή απενεργοποιηθεί. Εάν θέλετε να ανακτήσετε τον λογαριασμό σας, στείλτε μας ένα αίτημα.</t>
  </si>
  <si>
    <t>No tienes una cuenta porque ha sido eliminada o deshabilitada. Si desea recuperar su cuenta, envíenos una solicitud.</t>
  </si>
  <si>
    <t>Teil pole kontot, kuna see on kustutatud või keelatud. Kui soovite oma kontot taastada, saatke meile taotlus.</t>
  </si>
  <si>
    <t>Sinulla ei ole tiliä, koska se on poistettu tai poistettu käytöstä. Jos haluat palauttaa tilisi, lähetä meille pyyntö.</t>
  </si>
  <si>
    <t>Vous n'avez pas de compte car il a été supprimé ou désactivé. Si vous souhaitez récupérer votre compte, envoyez-nous une demande.</t>
  </si>
  <si>
    <t>आपके पास कोई खाता नहीं है क्योंकि इसे हटा दिया गया है या अक्षम कर दिया गया है। यदि आप अपना खाता पुनर्प्राप्त करना चाहते हैं, तो हमें एक अनुरोध भेजें।</t>
  </si>
  <si>
    <t>Anda tidak memiliki akun karena telah dihapus atau dinonaktifkan. Jika Anda ingin memulihkan akun Anda, kirimkan permintaan kepada kami.</t>
  </si>
  <si>
    <t>Non hai un account perché è stato eliminato o disabilitato. Se vuoi recuperare il tuo account, inviaci una richiesta.</t>
  </si>
  <si>
    <t>削除されたか無効になっているため、アカウントがありません。アカウントを回復したい場合は、リクエストを送信してください。</t>
  </si>
  <si>
    <t>អ្នកមិនមានគណនីទេព្រោះវាត្រូវបានលុប ឬបិទ។ ប្រសិនបើអ្នកចង់សង្គ្រោះគណនីរបស់អ្នក សូមផ្ញើសំណើមកយើង។</t>
  </si>
  <si>
    <t>ನೀವು ಖಾತೆಯನ್ನು ಹೊಂದಿಲ್ಲ ಏಕೆಂದರೆ ಅದನ್ನು ಅಳಿಸಲಾಗಿದೆ ಅಥವಾ ನಿಷ್ಕ್ರಿಯಗೊಳಿಸಲಾಗಿದೆ. ನಿಮ್ಮ ಖಾತೆಯನ್ನು ಮರುಪಡೆಯಲು ನೀವು ಬಯಸಿದರೆ, ನಮಗೆ ವಿನಂತಿಯನ್ನು ಕಳುಹಿಸಿ.</t>
  </si>
  <si>
    <t>계정이 삭제되었거나 비활성화되었기 때문에 계정이 없습니다. 계정을 복구하려면 요청을 보내주세요.</t>
  </si>
  <si>
    <t>ທ່ານບໍ່ມີບັນຊີເພາະມັນຖືກລຶບ ຫຼືປິດການນຳໃຊ້ແລ້ວ. ຖ້າທ່ານຕ້ອງການກູ້ຄືນບັນຊີຂອງທ່ານ, ກະລຸນາສົ່ງຄໍາຮ້ອງຂໍໃຫ້ພວກເຮົາ.</t>
  </si>
  <si>
    <t>Jums nav konta, jo tas ir dzēsts vai atspējots. Ja vēlaties atgūt savu kontu, nosūtiet mums pieprasījumu.</t>
  </si>
  <si>
    <t>Anda tidak mempunyai akaun kerana ia telah dipadamkan atau dilumpuhkan. Jika anda ingin memulihkan akaun anda, hantarkan permintaan kepada kami.</t>
  </si>
  <si>
    <t>U heeft geen account omdat deze is verwijderd of uitgeschakeld. Als u uw account wilt herstellen, kunt u ons een verzoek sturen.</t>
  </si>
  <si>
    <t>Nie masz konta, ponieważ zostało ono usunięte lub wyłączone. Jeśli chcesz odzyskać swoje konto, wyślij nam prośbę.</t>
  </si>
  <si>
    <t>Você não tem uma conta porque ela foi excluída ou desativada. Se você deseja recuperar sua conta, envie-nos uma solicitação.</t>
  </si>
  <si>
    <t>У вас нет учетной записи, поскольку она была удалена или отключена. Если вы хотите восстановить свою учетную запись, отправьте нам запрос.</t>
  </si>
  <si>
    <t>คุณไม่มีบัญชีเนื่องจากถูกลบหรือปิดใช้งานแล้ว หากคุณต้องการกู้คืนบัญชีของคุณ โปรดส่งคำขอถึงเรา</t>
  </si>
  <si>
    <t>Silinmiş veya devre dışı bırakılmış olduğundan hesabınız yok. Hesabınızı kurtarmak istiyorsanız bize bir istek gönderin.</t>
  </si>
  <si>
    <t>У вас немає облікового запису, оскільки його видалено або вимкнено. Якщо ви хочете відновити свій обліковий запис, надішліть нам запит.</t>
  </si>
  <si>
    <t>您没有帐户，因为该帐户已被删除或禁用。如果您想恢复帐户，请向我们发送请求。</t>
  </si>
  <si>
    <t>Bạn không có tài khoản vì nó đã bị xóa hoặc vô hiệu hóa. Nếu bạn muốn khôi phục tài khoản của mình, hãy gửi yêu cầu cho chúng tôi.</t>
  </si>
  <si>
    <t>sendRequest</t>
  </si>
  <si>
    <t>Send request</t>
  </si>
  <si>
    <t>ارسل طلب</t>
  </si>
  <si>
    <t>Poslat žádost</t>
  </si>
  <si>
    <t>Anfrage senden</t>
  </si>
  <si>
    <t>Στείλε αίτημα</t>
  </si>
  <si>
    <t>Enviar petición</t>
  </si>
  <si>
    <t>Saada taotlus</t>
  </si>
  <si>
    <t>Lähetä pyyntö</t>
  </si>
  <si>
    <t>Envoyer une demande</t>
  </si>
  <si>
    <t>अनुरोध भेजा</t>
  </si>
  <si>
    <t>Kirim permintaan</t>
  </si>
  <si>
    <t>Invia richiesta</t>
  </si>
  <si>
    <t>リクエストの送信</t>
  </si>
  <si>
    <t>ផ្ញើសំណើ</t>
  </si>
  <si>
    <t>ಕೊರಿಕೆ ಕಳಿಸು</t>
  </si>
  <si>
    <t>요청 보내기</t>
  </si>
  <si>
    <t>ສົ່ງ​ຄໍາ​ຂໍ</t>
  </si>
  <si>
    <t>Nosūtīt pieprasījumu</t>
  </si>
  <si>
    <t>Hantar permintaan</t>
  </si>
  <si>
    <t>Verzend verzoek</t>
  </si>
  <si>
    <t>Wysłać prośbę</t>
  </si>
  <si>
    <t>Enviar pedido</t>
  </si>
  <si>
    <t>Послать запрос</t>
  </si>
  <si>
    <t>ส่งคำขอ</t>
  </si>
  <si>
    <t>İstek gönder</t>
  </si>
  <si>
    <t>Відправляти запит</t>
  </si>
  <si>
    <t>发送请求</t>
  </si>
  <si>
    <t>Gửi yêu cầu</t>
  </si>
  <si>
    <t>sendRequestSuccess</t>
  </si>
  <si>
    <t>Your information has been sent successfully, please log in using another method or try again in 24 - 72 hours.</t>
  </si>
  <si>
    <t>تم إرسال معلوماتك بنجاح، يرجى تسجيل الدخول باستخدام طريقة أخرى أو المحاولة مرة أخرى خلال 24 - 72 ساعة.</t>
  </si>
  <si>
    <t>Vaše údaje byly úspěšně odeslány, přihlaste se prosím jiným způsobem nebo to zkuste znovu za 24–72 hodin.</t>
  </si>
  <si>
    <t>Ihre Informationen wurden erfolgreich gesendet. Bitte melden Sie sich mit einer anderen Methode an oder versuchen Sie es in 24–72 Stunden erneut.</t>
  </si>
  <si>
    <t>Τα στοιχεία σας στάλθηκαν με επιτυχία, συνδεθείτε χρησιμοποιώντας άλλη μέθοδο ή δοκιμάστε ξανά σε 24 - 72 ώρες.</t>
  </si>
  <si>
    <t>Tu información ha sido enviada exitosamente, inicia sesión usando otro método o inténtalo nuevamente dentro de 24 a 72 horas.</t>
  </si>
  <si>
    <t>Teie teave on edukalt saadetud, logige sisse mõne muu meetodi abil või proovige 24–72 tunni pärast uuesti.</t>
  </si>
  <si>
    <t>Tietosi on lähetetty onnistuneesti, kirjaudu sisään toisella tavalla tai yritä uudelleen 24 - 72 tunnin kuluttua.</t>
  </si>
  <si>
    <t>Vos informations ont été envoyées avec succès, veuillez vous connecter en utilisant une autre méthode ou réessayer dans 24 à 72 heures.</t>
  </si>
  <si>
    <t>आपकी जानकारी सफलतापूर्वक भेज दी गई है, कृपया किसी अन्य विधि का उपयोग करके लॉग इन करें या 24 - 72 घंटों में पुनः प्रयास करें।</t>
  </si>
  <si>
    <t>Informasi Anda telah berhasil terkirim, silakan masuk menggunakan metode lain atau coba lagi dalam 24 - 72 jam.</t>
  </si>
  <si>
    <t>Le tue informazioni sono state inviate con successo, accedi utilizzando un altro metodo o riprova tra 24 - 72 ore.</t>
  </si>
  <si>
    <t>情報は正常に送信されました。別の方法でログインするか、24 ～ 72 時間後にもう一度お試しください。</t>
  </si>
  <si>
    <t>ព័ត៌មានរបស់អ្នកត្រូវបានផ្ញើដោយជោគជ័យ សូមចូលដោយប្រើវិធីសាស្រ្តផ្សេងទៀត ឬព្យាយាមម្តងទៀតក្នុងរយៈពេល 24 - 72 ម៉ោង។</t>
  </si>
  <si>
    <t>ನಿಮ್ಮ ಮಾಹಿತಿಯನ್ನು ಯಶಸ್ವಿಯಾಗಿ ಕಳುಹಿಸಲಾಗಿದೆ, ದಯವಿಟ್ಟು ಇನ್ನೊಂದು ವಿಧಾನವನ್ನು ಬಳಸಿಕೊಂಡು ಲಾಗ್ ಇನ್ ಮಾಡಿ ಅಥವಾ 24 - 72 ಗಂಟೆಗಳಲ್ಲಿ ಮತ್ತೆ ಪ್ರಯತ್ನಿಸಿ.</t>
  </si>
  <si>
    <t>귀하의 정보가 성공적으로 전송되었습니다. 다른 방법을 사용하여 로그인하거나 24~72시간 후에 다시 시도하십시오.</t>
  </si>
  <si>
    <t>ຂໍ້ມູນຂອງທ່ານໄດ້ຖືກສົ່ງສຳເລັດແລ້ວ, ກະລຸນາເຂົ້າສູ່ລະບົບດ້ວຍວິທີອື່ນ ຫຼືລອງໃໝ່ໃນອີກ 24 - 72 ຊົ່ວໂມງ.</t>
  </si>
  <si>
    <t>Jūsu informācija ir veiksmīgi nosūtīta, lūdzu, piesakieties, izmantojot citu metodi, vai mēģiniet vēlreiz pēc 24–72 stundām.</t>
  </si>
  <si>
    <t>Maklumat anda telah berjaya dihantar, sila log masuk menggunakan kaedah lain atau cuba lagi dalam 24 - 72 jam.</t>
  </si>
  <si>
    <t>Uw gegevens zijn succesvol verzonden. Log in op een andere manier of probeer het over 24 - 72 uur opnieuw.</t>
  </si>
  <si>
    <t>Twoje dane zostały pomyślnie przesłane. Zaloguj się inną metodą lub spróbuj ponownie za 24–72 godziny.</t>
  </si>
  <si>
    <t>Suas informações foram enviadas com sucesso. Faça login usando outro método ou tente novamente em 24 a 72 horas.</t>
  </si>
  <si>
    <t>Ваша информация была успешно отправлена, пожалуйста, войдите в систему, используя другой метод, или повторите попытку через 24–72 часа.</t>
  </si>
  <si>
    <t>ข้อมูลของคุณถูกส่งเรียบร้อยแล้ว โปรดเข้าสู่ระบบด้วยวิธีอื่นหรือลองอีกครั้งใน 24 - 72 ชั่วโมง</t>
  </si>
  <si>
    <t>Bilgileriniz başarıyla gönderildi, lütfen başka bir yöntem kullanarak giriş yapın veya 24 - 72 saat sonra tekrar deneyin.</t>
  </si>
  <si>
    <t>Вашу інформацію успішно надіслано, увійдіть іншим способом або повторіть спробу через 24–72 години.</t>
  </si>
  <si>
    <t>您的信息已发送成功，请使用其他方式登录或在24-72小时后重试。</t>
  </si>
  <si>
    <t>Thông tin của bạn đã được gửi thành công, vui lòng đăng nhập bằng cách khác hoặc thử lại sau 24 - 72 giờ.</t>
  </si>
  <si>
    <t>agreePostContent1</t>
  </si>
  <si>
    <t>By tapping the __Post image__ button, you agree to our</t>
  </si>
  <si>
    <t>من خلال النقر على زر __نشر الصورة__، فإنك توافق على ما لدينا</t>
  </si>
  <si>
    <t>Klepnutím na tlačítko __Přidat obrázek__ souhlasíte s našimi</t>
  </si>
  <si>
    <t>Durch Tippen auf die Schaltfläche __Bild posten__ stimmen Sie unserem zu</t>
  </si>
  <si>
    <t>Πατώντας το κουμπί __Δημοσίευση εικόνας__, συμφωνείτε με τη δική μας</t>
  </si>
  <si>
    <t>Al tocar el botón __Publicar imagen__, aceptas nuestra</t>
  </si>
  <si>
    <t>Puudutades nuppu __Postita pilt__, nõustute meiega</t>
  </si>
  <si>
    <t>Napauttamalla __Lähetä kuva__ -painiketta hyväksyt meidän</t>
  </si>
  <si>
    <t>En appuyant sur le bouton __Publier l'image__, vous acceptez notre</t>
  </si>
  <si>
    <t>__छवि पोस्ट करें__ बटन पर टैप करके, आप हमारी बात से सहमत होते हैं</t>
  </si>
  <si>
    <t>Dengan mengetuk tombol __Posting gambar__, Anda menyetujui kami</t>
  </si>
  <si>
    <t>Toccando il pulsante __Pubblica immagine__, accetti i nostri</t>
  </si>
  <si>
    <t>[__投稿画像__] ボタンをタップすると、次の内容に同意したことになります。</t>
  </si>
  <si>
    <t>ដោយចុចប៊ូតុង __បង្ហោះរូបភាព__ អ្នកយល់ព្រមចំពោះរបស់យើង។</t>
  </si>
  <si>
    <t>__ಪೋಸ್ಟ್ ಇಮೇಜ್__ ಬಟನ್ ಅನ್ನು ಟ್ಯಾಪ್ ಮಾಡುವ ಮೂಲಕ, ನೀವು ನಮ್ಮದನ್ನು ಒಪ್ಪುತ್ತೀರಿ</t>
  </si>
  <si>
    <t>__이미지 게시__ 버튼을 누르면 다음 내용에 동의하게 됩니다.</t>
  </si>
  <si>
    <t>ໂດຍການແຕະທີ່ປຸ່ມ __Post image__, ທ່ານຕົກລົງເຫັນດີກັບພວກເຮົາ</t>
  </si>
  <si>
    <t>Pieskaroties pogai __Publicēt attēlu__, jūs piekrītat mūsu</t>
  </si>
  <si>
    <t>Dengan mengetik butang __Siar imej__, anda bersetuju menerima kami</t>
  </si>
  <si>
    <t>Door op de knop __Plaats afbeelding__ te tikken, gaat u akkoord met onze</t>
  </si>
  <si>
    <t>Klikając przycisk __Opublikuj obraz__, wyrażasz zgodę na nasze</t>
  </si>
  <si>
    <t>Ao tocar no botão __Postar imagem__, você concorda com nossos</t>
  </si>
  <si>
    <t>Нажимая кнопку __Опубликовать изображение__, вы соглашаетесь с нашими</t>
  </si>
  <si>
    <t>การแตะปุ่ม __โพสต์ภาพ__ แสดงว่าคุณยอมรับของเรา</t>
  </si>
  <si>
    <t>__Resmi yayınla__ düğmesine dokunarak şunları kabul etmiş olursunuz:</t>
  </si>
  <si>
    <t>Натискаючи кнопку __Опублікувати зображення__, ви погоджуєтеся з нашими</t>
  </si>
  <si>
    <t>点击__发布图片__按钮，即表示您同意我们的</t>
  </si>
  <si>
    <t>Bằng cách nhấn vào nút __Đăng hình ảnh__, bạn đồng ý với các điều khoản của chúng tôi</t>
  </si>
  <si>
    <t>agreePostContent2</t>
  </si>
  <si>
    <t>EULA (End User License Agreement)</t>
  </si>
  <si>
    <t>EULA (اتفاقية ترخيص المستخدم النهائي)</t>
  </si>
  <si>
    <t>EULA (licenční smlouva s koncovým uživatelem)</t>
  </si>
  <si>
    <t>EULA (Endbenutzer-Lizenzvereinbarung)</t>
  </si>
  <si>
    <t>EULA (Άδεια χρήσης τελικού χρήστη)</t>
  </si>
  <si>
    <t>EULA (Acuerdo de licencia de usuario final)</t>
  </si>
  <si>
    <t>EULA (lõppkasutaja litsentsileping)</t>
  </si>
  <si>
    <t>EULA (loppukäyttäjän lisenssisopimus)</t>
  </si>
  <si>
    <t>CLUF (Contrat de Licence Utilisateur Final)</t>
  </si>
  <si>
    <t>EULA (अंतिम उपयोगकर्ता लाइसेंस समझौता)</t>
  </si>
  <si>
    <t>EULA (Perjanjian Lisensi Pengguna Akhir)</t>
  </si>
  <si>
    <t>EULA (Contratto di licenza con l'utente finale)</t>
  </si>
  <si>
    <t>EULA (エンドユーザー使用許諾契約)</t>
  </si>
  <si>
    <t>EULA (កិច្ចព្រមព្រៀងអាជ្ញាប័ណ្ណអ្នកប្រើប្រាស់ចុងក្រោយ)</t>
  </si>
  <si>
    <t>EULA (ಅಂತಿಮ ಬಳಕೆದಾರ ಪರವಾನಗಿ ಒಪ್ಪಂದ)</t>
  </si>
  <si>
    <t>EULA(최종 사용자 라이센스 계약)</t>
  </si>
  <si>
    <t>EULA (ຂໍ້ຕົກລົງໃບອະນຸຍາດຜູ້ໃຊ້ສຸດທ້າຍ)</t>
  </si>
  <si>
    <t>EULA (gala lietotāja licences līgums)</t>
  </si>
  <si>
    <t>EULA (Perjanjian Lesen Pengguna Akhir)</t>
  </si>
  <si>
    <t>EULA (licentieovereenkomst voor eindgebruikers)</t>
  </si>
  <si>
    <t>EULA (Umowa licencyjna użytkownika końcowego)</t>
  </si>
  <si>
    <t>EULA (Contrato de Licença de Usuário Final)</t>
  </si>
  <si>
    <t>EULA (Лицензионное соглашение с конечным пользователем)</t>
  </si>
  <si>
    <t>EULA (ข้อตกลงสิทธิ์การใช้งานสำหรับผู้ใช้ปลายทาง)</t>
  </si>
  <si>
    <t>EULA (Son Kullanıcı Lisans Sözleşmesi)</t>
  </si>
  <si>
    <t>EULA (ліцензійна угода кінцевого користувача)</t>
  </si>
  <si>
    <t>EULA（最终用户许可协议）</t>
  </si>
  <si>
    <t>EULA (Thỏa thuận cấp phép người dùng cuối)</t>
  </si>
  <si>
    <t>wrongEmailOrPassword</t>
  </si>
  <si>
    <t>The email or password you entered is incorrect</t>
  </si>
  <si>
    <t>البريد الإلكتروني أو كلمة المرور التي أدخلتها غير صحيحة</t>
  </si>
  <si>
    <t>E-mail nebo heslo je nesprávné</t>
  </si>
  <si>
    <t>Die von Ihnen eingegebene E-Mail-Adresse oder das Passwort ist falsch</t>
  </si>
  <si>
    <t>Το email ή ο κωδικός πρόσβασης που εισαγάγατε είναι λάθος</t>
  </si>
  <si>
    <t>El email o la contraseña son incorrectos</t>
  </si>
  <si>
    <t>Sisestatud e-posti aadress või parool on vale</t>
  </si>
  <si>
    <t>Antamasi sähköpostiosoite tai salasana on virheellinen</t>
  </si>
  <si>
    <t>L'email ou le mot de passe que vous avez entré est incorrect</t>
  </si>
  <si>
    <t>आपके द्वारा दर्ज ईमेल या पासवर्ड गलत है</t>
  </si>
  <si>
    <t>Email atau sandi yang Anda masukkan salah</t>
  </si>
  <si>
    <t>L'e-mail o la password che hai inserito non sono corrette</t>
  </si>
  <si>
    <t>あなたが入力したメールアドレスまたはパスワードが正しくありません</t>
  </si>
  <si>
    <t>អ៊ីមែល ឬពាក្យសម្ងាត់ដែលអ្នកបានបញ្ចូលមិនត្រឹមត្រូវទេ។</t>
  </si>
  <si>
    <t>ನೀವು ನಮೂದಿಸಿದ ಇಮೇಲ್ ಅಥವಾ ಪಾಸ್ವರ್ಡ್ ತಪ್ಪಾಗಿದೆ</t>
  </si>
  <si>
    <t>당신이 입력 한 이메일 또는 암호가 올바르지 않습니다</t>
  </si>
  <si>
    <t>ອີ​ເມລ​ຫຼື​ລະ​ຫັດ​ຜ່ານ​ທີ່​ທ່ານ​ໄດ້​ເຂົ້າ​ແມ່ນ​ບໍ່​ຖືກ​ຕ້ອງ​</t>
  </si>
  <si>
    <t>Ievadītā e-pasta adrese vai parole nav pareiza</t>
  </si>
  <si>
    <t>E-mel atau kata laluan yang anda masukkan salah</t>
  </si>
  <si>
    <t>Het door u ingevoerde e-mailadres of wachtwoord is onjuist</t>
  </si>
  <si>
    <t>Wpisane przez ciebie email lub hasło są niepoprawne</t>
  </si>
  <si>
    <t>O Email ou a senha que você colocou está errado</t>
  </si>
  <si>
    <t>Введенный вами адрес электронной почты или пароль неверен</t>
  </si>
  <si>
    <t>อีเมลและรหัสผ่านที่คุณป้อนไม่ถูกต้อง</t>
  </si>
  <si>
    <t>Girdiğiniz e-posta veya şifre hatalı</t>
  </si>
  <si>
    <t>E-mail або пароль невірні</t>
  </si>
  <si>
    <t>您输入的用户名或密码不正确</t>
  </si>
  <si>
    <t>Email hoặc mật khẩu bạn nhập không đúng</t>
  </si>
  <si>
    <t>Cute Themes</t>
  </si>
  <si>
    <t>مواضيع لطيف</t>
  </si>
  <si>
    <t>Roztomilé motivy</t>
  </si>
  <si>
    <t>Niedliche Themen</t>
  </si>
  <si>
    <t>Χαριτωμένα θέματα</t>
  </si>
  <si>
    <t>Temas lindos</t>
  </si>
  <si>
    <t>Armsad teemad</t>
  </si>
  <si>
    <t>Söpöjä teemoja</t>
  </si>
  <si>
    <t>Thèmes mignons</t>
  </si>
  <si>
    <t>प्यारे विषय-वस्तु</t>
  </si>
  <si>
    <t>Tema Lucu</t>
  </si>
  <si>
    <t>Temi carini</t>
  </si>
  <si>
    <t>かわいいテーマ</t>
  </si>
  <si>
    <t>ស្បែកគួរឱ្យស្រឡាញ់</t>
  </si>
  <si>
    <t>ಮುದ್ದಾದ ಥೀಮ್‌ಗಳು</t>
  </si>
  <si>
    <t>귀여운 테마</t>
  </si>
  <si>
    <t>ຫົວຂໍ້ໜ້າຮັກ</t>
  </si>
  <si>
    <t>Jauki motīvi</t>
  </si>
  <si>
    <t>Tema Comel</t>
  </si>
  <si>
    <t>Leuke thema's</t>
  </si>
  <si>
    <t>Śliczne motywy</t>
  </si>
  <si>
    <t>Temas fofos</t>
  </si>
  <si>
    <t>Симпатичные темы</t>
  </si>
  <si>
    <t>ธีมน่ารัก</t>
  </si>
  <si>
    <t>Sevimli Temalar</t>
  </si>
  <si>
    <t>Милі теми</t>
  </si>
  <si>
    <t>可爱的主题</t>
  </si>
  <si>
    <t>Chủ đề dễ thương</t>
  </si>
  <si>
    <t>المواضيع</t>
  </si>
  <si>
    <t>Témata</t>
  </si>
  <si>
    <t>Themen</t>
  </si>
  <si>
    <t>Θέματα</t>
  </si>
  <si>
    <t>Teemad</t>
  </si>
  <si>
    <t>Teemat</t>
  </si>
  <si>
    <t>Thèmes</t>
  </si>
  <si>
    <t>विषय-वस्तु</t>
  </si>
  <si>
    <t>Tema</t>
  </si>
  <si>
    <t>Temi</t>
  </si>
  <si>
    <t>テーマ</t>
  </si>
  <si>
    <t>ស្បែក</t>
  </si>
  <si>
    <t>ಥೀಮ್ಗಳು</t>
  </si>
  <si>
    <t>테마</t>
  </si>
  <si>
    <t>ຫົວຂໍ້</t>
  </si>
  <si>
    <t>Tēmas</t>
  </si>
  <si>
    <t>Thema's</t>
  </si>
  <si>
    <t>Motywy</t>
  </si>
  <si>
    <t>Темы</t>
  </si>
  <si>
    <t>ธีมส์</t>
  </si>
  <si>
    <t>Temalar</t>
  </si>
  <si>
    <t>Теми</t>
  </si>
  <si>
    <t>主题</t>
  </si>
  <si>
    <t>Chủ đề</t>
  </si>
  <si>
    <t>أيقونات</t>
  </si>
  <si>
    <t>ikony</t>
  </si>
  <si>
    <t>Symbole</t>
  </si>
  <si>
    <t>εικονίδια</t>
  </si>
  <si>
    <t>Iconos</t>
  </si>
  <si>
    <t>Ikoonid</t>
  </si>
  <si>
    <t>Kuvakkeet</t>
  </si>
  <si>
    <t>Icônes</t>
  </si>
  <si>
    <t>माउस</t>
  </si>
  <si>
    <t>Ikon</t>
  </si>
  <si>
    <t>Icone</t>
  </si>
  <si>
    <t>アイコン</t>
  </si>
  <si>
    <t>រូបតំណាង</t>
  </si>
  <si>
    <t>ಚಿಹ್ನೆಗಳು</t>
  </si>
  <si>
    <t>아이콘</t>
  </si>
  <si>
    <t>ໄອຄອນ</t>
  </si>
  <si>
    <t>Ikonas</t>
  </si>
  <si>
    <t>ikon</t>
  </si>
  <si>
    <t>Pictogrammen</t>
  </si>
  <si>
    <t>Ikony</t>
  </si>
  <si>
    <t>Ícones</t>
  </si>
  <si>
    <t>Иконки</t>
  </si>
  <si>
    <t>ไอคอน</t>
  </si>
  <si>
    <t>Simgeler</t>
  </si>
  <si>
    <t>Ікони</t>
  </si>
  <si>
    <t>图标</t>
  </si>
  <si>
    <t>Biểu tượng</t>
  </si>
  <si>
    <t>الحاجيات</t>
  </si>
  <si>
    <t>Widgety</t>
  </si>
  <si>
    <t>Vidinad</t>
  </si>
  <si>
    <t>Widgetit</t>
  </si>
  <si>
    <t>विजेट</t>
  </si>
  <si>
    <t>Widget</t>
  </si>
  <si>
    <t>ウィジェット</t>
  </si>
  <si>
    <t>ធាតុក្រាហ្វិក</t>
  </si>
  <si>
    <t>ವಿಡ್ಗೆಟ್ಗಳು</t>
  </si>
  <si>
    <t>위젯</t>
  </si>
  <si>
    <t>ວິດເຈັດ</t>
  </si>
  <si>
    <t>Logrīki</t>
  </si>
  <si>
    <t>Widżety</t>
  </si>
  <si>
    <t>Виджеты</t>
  </si>
  <si>
    <t>วิดเจ็ต</t>
  </si>
  <si>
    <t>Widget'lar</t>
  </si>
  <si>
    <t>Віджети</t>
  </si>
  <si>
    <t>小部件</t>
  </si>
  <si>
    <t>خلفيات</t>
  </si>
  <si>
    <t>Tapety</t>
  </si>
  <si>
    <t>Hintergrundbilder</t>
  </si>
  <si>
    <t>Ταπετσαρίες</t>
  </si>
  <si>
    <t>Fondos de pantalla</t>
  </si>
  <si>
    <t>Taustapildid</t>
  </si>
  <si>
    <t>Taustakuvat</t>
  </si>
  <si>
    <t>Fonds d'écran</t>
  </si>
  <si>
    <t>वॉलपेपर</t>
  </si>
  <si>
    <t>Wallpaper</t>
  </si>
  <si>
    <t>Sfondi</t>
  </si>
  <si>
    <t>壁紙</t>
  </si>
  <si>
    <t>ផ្ទាំងរូបភាព</t>
  </si>
  <si>
    <t>ವಾಲ್‌ಪೇಪರ್‌ಗಳು</t>
  </si>
  <si>
    <t>배경화면</t>
  </si>
  <si>
    <t>Tapetes</t>
  </si>
  <si>
    <t>Kertas dinding</t>
  </si>
  <si>
    <t>Achtergronden</t>
  </si>
  <si>
    <t>Papeis de parede</t>
  </si>
  <si>
    <t>Обои</t>
  </si>
  <si>
    <t>วอลเปเปอร์</t>
  </si>
  <si>
    <t>Duvar kağıtları</t>
  </si>
  <si>
    <t>Шпалери</t>
  </si>
  <si>
    <t>壁纸</t>
  </si>
  <si>
    <t>فشل التحميل :((</t>
  </si>
  <si>
    <t>Načítání se nezdařilo :((</t>
  </si>
  <si>
    <t>Laden fehlgeschlagen :((</t>
  </si>
  <si>
    <t>Η φόρτωση απέτυχε :((</t>
  </si>
  <si>
    <t>Carga fallida :((</t>
  </si>
  <si>
    <t>Laadimine ebaõnnestus :((</t>
  </si>
  <si>
    <t>Lataus epäonnistui :((</t>
  </si>
  <si>
    <t>Le chargement a échoué :((</t>
  </si>
  <si>
    <t>लोडिंग विफल :((</t>
  </si>
  <si>
    <t>Gagal Memuat :((</t>
  </si>
  <si>
    <t>Caricamento fallito :((</t>
  </si>
  <si>
    <t>読み込みに失敗しました:((</t>
  </si>
  <si>
    <t>ការផ្ទុកបរាជ័យ :((</t>
  </si>
  <si>
    <t>ಲೋಡ್ ವಿಫಲವಾಗಿದೆ :((</t>
  </si>
  <si>
    <t>로딩 실패 :((</t>
  </si>
  <si>
    <t>ການໂຫຼດລົ້ມເຫລວ :((</t>
  </si>
  <si>
    <t>Ielāde neizdevās :((</t>
  </si>
  <si>
    <t>Memuatkan gagal :((</t>
  </si>
  <si>
    <t>Laden mislukt :((</t>
  </si>
  <si>
    <t>Ładowanie nie powiodło się :((</t>
  </si>
  <si>
    <t>Falha ao carregar :((</t>
  </si>
  <si>
    <t>Загрузка не удалась :((</t>
  </si>
  <si>
    <t>โหลดล้มเหลว :((</t>
  </si>
  <si>
    <t>Yükleme başarısız oldu :((</t>
  </si>
  <si>
    <t>Не вдалося завантажити :((</t>
  </si>
  <si>
    <t>加载失败:((</t>
  </si>
  <si>
    <t>Tải không thành công :((</t>
  </si>
  <si>
    <t>صورة</t>
  </si>
  <si>
    <t>Fotografie</t>
  </si>
  <si>
    <t>Foto</t>
  </si>
  <si>
    <t>φωτογραφία</t>
  </si>
  <si>
    <t>Kuva</t>
  </si>
  <si>
    <t>तस्वीर</t>
  </si>
  <si>
    <t>写真</t>
  </si>
  <si>
    <t>រូបថត</t>
  </si>
  <si>
    <t>ಫೋಟೋ</t>
  </si>
  <si>
    <t>사진</t>
  </si>
  <si>
    <t>ຮູບ</t>
  </si>
  <si>
    <t>Fotoattēls</t>
  </si>
  <si>
    <t>Zdjęcie</t>
  </si>
  <si>
    <t>foto</t>
  </si>
  <si>
    <t>Фото</t>
  </si>
  <si>
    <t>รูปถ่าย</t>
  </si>
  <si>
    <t>Fotoğraf</t>
  </si>
  <si>
    <t>照片</t>
  </si>
  <si>
    <t>Ảnh</t>
  </si>
  <si>
    <t>نص</t>
  </si>
  <si>
    <t>Κείμενο</t>
  </si>
  <si>
    <t>Texto</t>
  </si>
  <si>
    <t>Tekst</t>
  </si>
  <si>
    <t>Teksti</t>
  </si>
  <si>
    <t>Texte</t>
  </si>
  <si>
    <t>मूलपाठ</t>
  </si>
  <si>
    <t>Teks</t>
  </si>
  <si>
    <t>Testo</t>
  </si>
  <si>
    <t>文章</t>
  </si>
  <si>
    <t>អត្ថបទ</t>
  </si>
  <si>
    <t>ಪಠ್ಯ</t>
  </si>
  <si>
    <t>텍스트</t>
  </si>
  <si>
    <t>Teksts</t>
  </si>
  <si>
    <t>Текст</t>
  </si>
  <si>
    <t>Metin</t>
  </si>
  <si>
    <t>текст</t>
  </si>
  <si>
    <t>文本</t>
  </si>
  <si>
    <t>Chữ</t>
  </si>
  <si>
    <t>صالة عرض</t>
  </si>
  <si>
    <t>Galerie</t>
  </si>
  <si>
    <t>Εκθεσιακός χώρος</t>
  </si>
  <si>
    <t>Galería</t>
  </si>
  <si>
    <t>Galerii</t>
  </si>
  <si>
    <t>Galleria</t>
  </si>
  <si>
    <t>गैलरी</t>
  </si>
  <si>
    <t>Galeri</t>
  </si>
  <si>
    <t>ギャラリー</t>
  </si>
  <si>
    <t>វិចិត្រសាល</t>
  </si>
  <si>
    <t>ಗ್ಯಾಲರಿ</t>
  </si>
  <si>
    <t>갤러리</t>
  </si>
  <si>
    <t>ຄັງຮູບ</t>
  </si>
  <si>
    <t>Galerija</t>
  </si>
  <si>
    <t>Galerij</t>
  </si>
  <si>
    <t>Galeria</t>
  </si>
  <si>
    <t>Галерея</t>
  </si>
  <si>
    <t>แกลเลอรี่</t>
  </si>
  <si>
    <t>画廊</t>
  </si>
  <si>
    <t>Phòng trưng bày</t>
  </si>
  <si>
    <t>واضح</t>
  </si>
  <si>
    <t>Průhledná</t>
  </si>
  <si>
    <t>Klar</t>
  </si>
  <si>
    <t>Σαφή</t>
  </si>
  <si>
    <t>Claro</t>
  </si>
  <si>
    <t>Selge</t>
  </si>
  <si>
    <t>Asia selvä</t>
  </si>
  <si>
    <t>Clair</t>
  </si>
  <si>
    <t>स्पष्ट</t>
  </si>
  <si>
    <t>Jernih</t>
  </si>
  <si>
    <t>Chiaro</t>
  </si>
  <si>
    <t>クリア</t>
  </si>
  <si>
    <t>ច្បាស់</t>
  </si>
  <si>
    <t>ಸ್ಪಷ್ಟ</t>
  </si>
  <si>
    <t>분명한</t>
  </si>
  <si>
    <t>ຈະແຈ້ງ</t>
  </si>
  <si>
    <t>Skaidrs</t>
  </si>
  <si>
    <t>Jelas</t>
  </si>
  <si>
    <t>Duidelijk</t>
  </si>
  <si>
    <t>Jasne</t>
  </si>
  <si>
    <t>Прозрачный</t>
  </si>
  <si>
    <t>ชัดเจน</t>
  </si>
  <si>
    <t>Temizlemek</t>
  </si>
  <si>
    <t>ясно</t>
  </si>
  <si>
    <t>清除</t>
  </si>
  <si>
    <t>Thông thoáng</t>
  </si>
  <si>
    <t>الرجاء إدخال النص</t>
  </si>
  <si>
    <t>Zadejte text</t>
  </si>
  <si>
    <t>Bitte geben Sie Text ein</t>
  </si>
  <si>
    <t>Εισαγάγετε κείμενο</t>
  </si>
  <si>
    <t>Por favor ingresa texto</t>
  </si>
  <si>
    <t>Sisestage tekst</t>
  </si>
  <si>
    <t>Kirjoita teksti</t>
  </si>
  <si>
    <t>Veuillez saisir du texte</t>
  </si>
  <si>
    <t>कृपया पाठ दर्ज करें</t>
  </si>
  <si>
    <t>Silakan masukkan teks</t>
  </si>
  <si>
    <t>Inserisci il testo</t>
  </si>
  <si>
    <t>テキストを入力してください</t>
  </si>
  <si>
    <t>សូមបញ្ចូលអត្ថបទ</t>
  </si>
  <si>
    <t>ದಯವಿಟ್ಟು ಪಠ್ಯವನ್ನು ನಮೂದಿಸಿ</t>
  </si>
  <si>
    <t>텍스트를 입력해주세요</t>
  </si>
  <si>
    <t>ກະລຸນາໃສ່ຂໍ້ຄວາມ</t>
  </si>
  <si>
    <t>Lūdzu, ievadiet tekstu</t>
  </si>
  <si>
    <t>Sila masukkan teks</t>
  </si>
  <si>
    <t>Voer tekst in</t>
  </si>
  <si>
    <t>Proszę wpisać tekst</t>
  </si>
  <si>
    <t>Por favor insira o texto</t>
  </si>
  <si>
    <t>Пожалуйста, введите текст</t>
  </si>
  <si>
    <t>กรุณากรอกข้อความ</t>
  </si>
  <si>
    <t>Lütfen metni girin</t>
  </si>
  <si>
    <t>Будь ласка, введіть текст</t>
  </si>
  <si>
    <t>请输入文字</t>
  </si>
  <si>
    <t>Vui lòng nhập văn bản</t>
  </si>
  <si>
    <t>الخط</t>
  </si>
  <si>
    <t>Písmo</t>
  </si>
  <si>
    <t>Schriftart</t>
  </si>
  <si>
    <t>Γραμματοσειρά</t>
  </si>
  <si>
    <t>Fuente</t>
  </si>
  <si>
    <t>Fontti</t>
  </si>
  <si>
    <t>Police de caractère</t>
  </si>
  <si>
    <t>फ़ॉन्ट</t>
  </si>
  <si>
    <t>huruf</t>
  </si>
  <si>
    <t>フォント</t>
  </si>
  <si>
    <t>ពុម្ពអក្សរ</t>
  </si>
  <si>
    <t>ಫಾಂಟ್</t>
  </si>
  <si>
    <t>폰트</t>
  </si>
  <si>
    <t>ຟອນ</t>
  </si>
  <si>
    <t>Fonts</t>
  </si>
  <si>
    <t>fon</t>
  </si>
  <si>
    <t>Lettertype</t>
  </si>
  <si>
    <t>Czcionka</t>
  </si>
  <si>
    <t>Fonte</t>
  </si>
  <si>
    <t>Шрифт</t>
  </si>
  <si>
    <t>แบบอักษร</t>
  </si>
  <si>
    <t>Yazı tipi</t>
  </si>
  <si>
    <t>字体</t>
  </si>
  <si>
    <t>Nét chữ</t>
  </si>
  <si>
    <t>حجم الخط</t>
  </si>
  <si>
    <t>Velikost textu</t>
  </si>
  <si>
    <t>Textgröße</t>
  </si>
  <si>
    <t>Μέγεθος κειμένου</t>
  </si>
  <si>
    <t>Tamano del texto</t>
  </si>
  <si>
    <t>Teksti suurus</t>
  </si>
  <si>
    <t>Tekstin koko</t>
  </si>
  <si>
    <t>Taille du texte</t>
  </si>
  <si>
    <t>टेक्स्ट का साइज़</t>
  </si>
  <si>
    <t>Ukuran teks</t>
  </si>
  <si>
    <t>Dimensione del testo</t>
  </si>
  <si>
    <t>文字サイズ</t>
  </si>
  <si>
    <t>ទំហំអត្ថបទ</t>
  </si>
  <si>
    <t>ಪಠ್ಯದ ಗಾತ್ರ</t>
  </si>
  <si>
    <t>텍스트 크기</t>
  </si>
  <si>
    <t>ຂະໜາດຂໍ້ຄວາມ</t>
  </si>
  <si>
    <t>Teksta lielums</t>
  </si>
  <si>
    <t>Saiz Teks</t>
  </si>
  <si>
    <t>Lettergrootte</t>
  </si>
  <si>
    <t>Rozmiar czcionki</t>
  </si>
  <si>
    <t>Tamanho do texto</t>
  </si>
  <si>
    <t>Размер текста</t>
  </si>
  <si>
    <t>ขนาดข้อความ</t>
  </si>
  <si>
    <t>Yazı Boyutu</t>
  </si>
  <si>
    <t>Розмір тексту</t>
  </si>
  <si>
    <t>字体大小</t>
  </si>
  <si>
    <t>Cỡ chữ</t>
  </si>
  <si>
    <t>إطار الصورة</t>
  </si>
  <si>
    <t>Foto rámeček</t>
  </si>
  <si>
    <t>Bilderrahmen</t>
  </si>
  <si>
    <t>Κορνίζα</t>
  </si>
  <si>
    <t>Marco de la foto</t>
  </si>
  <si>
    <t>Pildiraam</t>
  </si>
  <si>
    <t>Valokuvakehys</t>
  </si>
  <si>
    <t>Cadre photo</t>
  </si>
  <si>
    <t>फोटो फ्रेम</t>
  </si>
  <si>
    <t>Bingkai foto</t>
  </si>
  <si>
    <t>Cornice</t>
  </si>
  <si>
    <t>フォトフレーム</t>
  </si>
  <si>
    <t>ស៊ុម​រូបថត</t>
  </si>
  <si>
    <t>ಫೋಟೋ ಫ್ರೇಮ್</t>
  </si>
  <si>
    <t>사진 프레임</t>
  </si>
  <si>
    <t>ກອບຮູບ</t>
  </si>
  <si>
    <t>Foto rāmis</t>
  </si>
  <si>
    <t>Foto lijstje</t>
  </si>
  <si>
    <t>Ramka na zdjęcia</t>
  </si>
  <si>
    <t>Moldura para fotos</t>
  </si>
  <si>
    <t>Фоторамка</t>
  </si>
  <si>
    <t>กรอบรูป</t>
  </si>
  <si>
    <t>Fotoğraf çerçevesi</t>
  </si>
  <si>
    <t>相框</t>
  </si>
  <si>
    <t>Khung ảnh</t>
  </si>
  <si>
    <t>موقع النص</t>
  </si>
  <si>
    <t>Umístění textu</t>
  </si>
  <si>
    <t>Textposition</t>
  </si>
  <si>
    <t>Τοποθεσία κειμένου</t>
  </si>
  <si>
    <t>Ubicación del texto</t>
  </si>
  <si>
    <t>Teksti asukoht</t>
  </si>
  <si>
    <t>Tekstin sijainti</t>
  </si>
  <si>
    <t>Emplacement du texte</t>
  </si>
  <si>
    <t>पाठ स्थान</t>
  </si>
  <si>
    <t>Lokasi Teks</t>
  </si>
  <si>
    <t>Posizione del testo</t>
  </si>
  <si>
    <t>テキストの場所</t>
  </si>
  <si>
    <t>ទីតាំងអត្ថបទ</t>
  </si>
  <si>
    <t>ಪಠ್ಯ ಸ್ಥಳ</t>
  </si>
  <si>
    <t>텍스트 위치</t>
  </si>
  <si>
    <t>ຂໍ້ຄວາມສະຖານທີ່</t>
  </si>
  <si>
    <t>Teksta atrašanās vieta</t>
  </si>
  <si>
    <t>Tekstlocatie</t>
  </si>
  <si>
    <t>Lokalizacja tekstu</t>
  </si>
  <si>
    <t>Localização do texto</t>
  </si>
  <si>
    <t>Расположение текста</t>
  </si>
  <si>
    <t>ตำแหน่งข้อความ</t>
  </si>
  <si>
    <t>Metin Konumu</t>
  </si>
  <si>
    <t>Розташування тексту</t>
  </si>
  <si>
    <t>文本位置</t>
  </si>
  <si>
    <t>Vị trí văn bản</t>
  </si>
  <si>
    <t>ثَبَّتَ</t>
  </si>
  <si>
    <t>NAINSTALUJTE</t>
  </si>
  <si>
    <t>INSTALLIEREN</t>
  </si>
  <si>
    <t>ΕΓΚΑΘΙΣΤΩ</t>
  </si>
  <si>
    <t>INSTALAR</t>
  </si>
  <si>
    <t>PAIGALDA</t>
  </si>
  <si>
    <t>ASENTAA</t>
  </si>
  <si>
    <t>INSTALLER</t>
  </si>
  <si>
    <t>स्थापित करना</t>
  </si>
  <si>
    <t>INSTALLARE</t>
  </si>
  <si>
    <t>インストール</t>
  </si>
  <si>
    <t>ដំឡើង</t>
  </si>
  <si>
    <t>ಸ್ಥಾಪಿಸಿ</t>
  </si>
  <si>
    <t>설치하다</t>
  </si>
  <si>
    <t>ຕິດຕັ້ງ</t>
  </si>
  <si>
    <t>UZSTĀDĪT</t>
  </si>
  <si>
    <t>PASANG</t>
  </si>
  <si>
    <t>INSTALLEREN</t>
  </si>
  <si>
    <t>ZAINSTALOWAĆ</t>
  </si>
  <si>
    <t>УСТАНОВИТЬ</t>
  </si>
  <si>
    <t>ติดตั้ง</t>
  </si>
  <si>
    <t>DÜZENLEMEK</t>
  </si>
  <si>
    <t>ВСТАНОВИТИ</t>
  </si>
  <si>
    <t>安装</t>
  </si>
  <si>
    <t>CÀI ĐẶT</t>
  </si>
  <si>
    <t>Nainstalujte</t>
  </si>
  <si>
    <t>Installieren</t>
  </si>
  <si>
    <t>Εγκαθιστώ</t>
  </si>
  <si>
    <t>Instalar</t>
  </si>
  <si>
    <t>Installige</t>
  </si>
  <si>
    <t>Asentaa</t>
  </si>
  <si>
    <t>Installer</t>
  </si>
  <si>
    <t>Installare</t>
  </si>
  <si>
    <t>Uzstādīt</t>
  </si>
  <si>
    <t>Pasang</t>
  </si>
  <si>
    <t>Installeren</t>
  </si>
  <si>
    <t>zainstalować</t>
  </si>
  <si>
    <t>Установить</t>
  </si>
  <si>
    <t>встановити</t>
  </si>
  <si>
    <t>القطعة التطبيق</t>
  </si>
  <si>
    <t>Widget aplikace</t>
  </si>
  <si>
    <t>App-Widget</t>
  </si>
  <si>
    <t>Γραφικό στοιχείο εφαρμογής</t>
  </si>
  <si>
    <t>Widget de aplicación</t>
  </si>
  <si>
    <t>Rakenduse vidin</t>
  </si>
  <si>
    <t>Sovellus-widget</t>
  </si>
  <si>
    <t>Widget d'application</t>
  </si>
  <si>
    <t>ऐप विजेट</t>
  </si>
  <si>
    <t>Widget Aplikasi</t>
  </si>
  <si>
    <t>Widget dell'app</t>
  </si>
  <si>
    <t>アプリウィジェット</t>
  </si>
  <si>
    <t>ធាតុក្រាហ្វិកកម្មវិធី</t>
  </si>
  <si>
    <t>ಅಪ್ಲಿಕೇಶನ್ ವಿಜೆಟ್</t>
  </si>
  <si>
    <t>앱 위젯</t>
  </si>
  <si>
    <t>Lietotņu logrīks</t>
  </si>
  <si>
    <t>Widget Apl</t>
  </si>
  <si>
    <t>App-widget</t>
  </si>
  <si>
    <t>Widżet aplikacji</t>
  </si>
  <si>
    <t>Widget de aplicativo</t>
  </si>
  <si>
    <t>Виджет приложения</t>
  </si>
  <si>
    <t>วิดเจ็ตแอป</t>
  </si>
  <si>
    <t>Uygulama Widget'ı</t>
  </si>
  <si>
    <t>Віджет програми</t>
  </si>
  <si>
    <t>应用程序小部件</t>
  </si>
  <si>
    <t>Tiện ích ứng dụng</t>
  </si>
  <si>
    <t>تعيين خلفية</t>
  </si>
  <si>
    <t>Nastavit tapetu</t>
  </si>
  <si>
    <t>Hintergrundbild festlegen</t>
  </si>
  <si>
    <t>Ορισμός ταπετσαρίας</t>
  </si>
  <si>
    <t>Establecer fondo de pantalla</t>
  </si>
  <si>
    <t>Määra taustpilt</t>
  </si>
  <si>
    <t>Aseta taustakuva</t>
  </si>
  <si>
    <t>Définir le papier peint</t>
  </si>
  <si>
    <t>वॉलपेपर सेट करो</t>
  </si>
  <si>
    <t>Memasang wallpaper</t>
  </si>
  <si>
    <t>Imposta sfondo</t>
  </si>
  <si>
    <t>壁紙を設定する</t>
  </si>
  <si>
    <t>កំណត់ផ្ទាំងរូបភាព</t>
  </si>
  <si>
    <t>ವಾಲ್‌ಪೇಪರ್ ಹೊಂದಿಸಿ</t>
  </si>
  <si>
    <t>배경화면 설정</t>
  </si>
  <si>
    <t>ຕັ້ງພາບພື້ນຫຼັງ</t>
  </si>
  <si>
    <t>Iestatīt fona attēlu</t>
  </si>
  <si>
    <t>Tetapkan Kertas Dinding</t>
  </si>
  <si>
    <t>Stel in als achtergrond</t>
  </si>
  <si>
    <t>Ustaw tapetę</t>
  </si>
  <si>
    <t>Definir papel de parede</t>
  </si>
  <si>
    <t>Установка обоев</t>
  </si>
  <si>
    <t>ตั้งค่าวอลเปเปอร์</t>
  </si>
  <si>
    <t>Duvar kağıdı ayarla</t>
  </si>
  <si>
    <t>Встановити шпалери</t>
  </si>
  <si>
    <t>设置壁纸</t>
  </si>
  <si>
    <t>Cài đặt hình nền</t>
  </si>
  <si>
    <t>فشل في تنزيل الاختصار! الرجاء معاودة المحاولة في وقت لاحق</t>
  </si>
  <si>
    <t>Stažení zástupce se nezdařilo! Prosím zkuste to znovu později</t>
  </si>
  <si>
    <t>Shortcut konnte nicht heruntergeladen werden! Bitte versuchen Sie es später noch einmal</t>
  </si>
  <si>
    <t>Η λήψη της συντόμευσης απέτυχε! Παρακαλώ δοκιμάστε ξανά αργότερα</t>
  </si>
  <si>
    <t>¡No se pudo descargar el acceso directo! Por favor, inténtelo de nuevo más tarde</t>
  </si>
  <si>
    <t>Otsetee allalaadimine nurjus! Palun proovi hiljem uuesti</t>
  </si>
  <si>
    <t>Pikakuvakkeen lataaminen epäonnistui! Yritä uudelleen myöhemmin</t>
  </si>
  <si>
    <t>Échec du téléchargement du raccourci ! Veuillez réessayer plus tard</t>
  </si>
  <si>
    <t>शॉर्टकट डाउनलोड करने में विफल! कृपया बाद में पुन: प्रयास करें</t>
  </si>
  <si>
    <t>Gagal mengunduh Pintasan! Silakan coba lagi nanti</t>
  </si>
  <si>
    <t>Impossibile scaricare il collegamento! Per favore riprova più tardi</t>
  </si>
  <si>
    <t>ショートカットのダウンロードに失敗しました!後でもう一度試してください</t>
  </si>
  <si>
    <t>បរាជ័យក្នុងការទាញយកផ្លូវកាត់! សូម​ព្យាយាម​ម្តង​ទៀត​នៅ​ពេល​ក្រោយ</t>
  </si>
  <si>
    <t>ಶಾರ್ಟ್‌ಕಟ್ ಡೌನ್‌ಲೋಡ್ ಮಾಡಲು ವಿಫಲವಾಗಿದೆ! ದಯವಿಟ್ಟು ನಂತರ ಮತ್ತೆ ಪ್ರಯತ್ನಿಸಿ</t>
  </si>
  <si>
    <t>바로가기를 다운로드하지 못했습니다! 나중에 다시 시도 해주십시오</t>
  </si>
  <si>
    <t>ດາວໂຫຼດທາງລັດບໍ່ສຳເລັດ! ກະລຸນາລອງໃໝ່ໃນພາຍຫຼັງ</t>
  </si>
  <si>
    <t>Neizdevās lejupielādēt saīsni! Lūdzu, pamēģiniet vēlreiz vēlāk</t>
  </si>
  <si>
    <t>Gagal memuat turun Pintasan! Sila cuba sebentar lagi</t>
  </si>
  <si>
    <t>Kan snelkoppeling niet downloaden! Probeer het later opnieuw</t>
  </si>
  <si>
    <t>Nie udało się pobrać skrótu! Spróbuj ponownie później</t>
  </si>
  <si>
    <t>Falha ao baixar o atalho! Por favor, tente novamente mais tarde</t>
  </si>
  <si>
    <t>Не удалось загрузить ярлык! Пожалуйста, повторите попытку позже</t>
  </si>
  <si>
    <t>ดาวน์โหลดทางลัดไม่สำเร็จ! กรุณาลองใหม่อีกครั้งในภายหลัง</t>
  </si>
  <si>
    <t>Kısayol indirilemedi! Lütfen daha sonra tekrar deneyiniz</t>
  </si>
  <si>
    <t>Не вдалося завантажити ярлик! Будь-ласка спробуйте пізніше</t>
  </si>
  <si>
    <t>快捷方式下载失败！请稍后再试</t>
  </si>
  <si>
    <t>Không tải xuống được Phím tắt! Vui lòng thử lại sau</t>
  </si>
  <si>
    <t>فشل تنزيل القطعة! الرجاء معاودة المحاولة في وقت لاحق</t>
  </si>
  <si>
    <t>Widget se nepodařilo stáhnout! Prosím zkuste to znovu později</t>
  </si>
  <si>
    <t>Widget konnte nicht heruntergeladen werden! Bitte versuchen Sie es später noch einmal</t>
  </si>
  <si>
    <t>Η λήψη του Widget απέτυχε! Παρακαλώ δοκιμάστε ξανά αργότερα</t>
  </si>
  <si>
    <t>¡No se pudo descargar el widget! Por favor, inténtelo de nuevo más tarde</t>
  </si>
  <si>
    <t>Vidina allalaadimine nurjus! Palun proovi hiljem uuesti</t>
  </si>
  <si>
    <t>Widgetin lataaminen epäonnistui! Yritä uudelleen myöhemmin</t>
  </si>
  <si>
    <t>Échec du téléchargement du widget ! Veuillez réessayer plus tard</t>
  </si>
  <si>
    <t>विजेट डाउनलोड करने में विफल! कृपया बाद में पुन: प्रयास करें</t>
  </si>
  <si>
    <t>Gagal mengunduh Widget! Silakan coba lagi nanti</t>
  </si>
  <si>
    <t>Impossibile scaricare il widget! Per favore riprova più tardi</t>
  </si>
  <si>
    <t>ウィジェットのダウンロードに失敗しました!後でもう一度試してください</t>
  </si>
  <si>
    <t>បរាជ័យក្នុងការទាញយក Widget! សូម​ព្យាយាម​ម្តង​ទៀត​នៅ​ពេល​ក្រោយ</t>
  </si>
  <si>
    <t>ವಿಜೆಟ್ ಡೌನ್‌ಲೋಡ್ ಮಾಡಲು ವಿಫಲವಾಗಿದೆ! ದಯವಿಟ್ಟು ನಂತರ ಮತ್ತೆ ಪ್ರಯತ್ನಿಸಿ</t>
  </si>
  <si>
    <t>위젯을 다운로드하지 못했습니다! 나중에 다시 시도 해주십시오</t>
  </si>
  <si>
    <t>ລົ້ມເຫລວໃນການດາວໂຫຼດ Widget! ກະລຸນາລອງໃໝ່ໃນພາຍຫຼັງ</t>
  </si>
  <si>
    <t>Neizdevās lejupielādēt logrīku! Lūdzu, pamēģiniet vēlreiz vēlāk</t>
  </si>
  <si>
    <t>Gagal memuat turun Widget! Sila cuba sebentar lagi</t>
  </si>
  <si>
    <t>Kan de widget niet downloaden! Probeer het later opnieuw</t>
  </si>
  <si>
    <t>Nie udało się pobrać widgetu! Spróbuj ponownie później</t>
  </si>
  <si>
    <t>Falha ao baixar o widget! Por favor, tente novamente mais tarde</t>
  </si>
  <si>
    <t>Не удалось загрузить виджет! Пожалуйста, повторите попытку позже</t>
  </si>
  <si>
    <t>ดาวน์โหลดวิดเจ็ตไม่สำเร็จ! กรุณาลองใหม่อีกครั้งในภายหลัง</t>
  </si>
  <si>
    <t>Widget indirilemedi! Lütfen daha sonra tekrar deneyiniz</t>
  </si>
  <si>
    <t>Не вдалося завантажити віджет! Будь-ласка спробуйте пізніше</t>
  </si>
  <si>
    <t>下载小部件失败！请稍后再试</t>
  </si>
  <si>
    <t>Không tải được tiện ích xuống! Vui lòng thử lại sau</t>
  </si>
  <si>
    <t>فشل في التحميل! الرجاء معاودة المحاولة في وقت لاحق</t>
  </si>
  <si>
    <t>Stažení se nezdařilo! Prosím zkuste to znovu později</t>
  </si>
  <si>
    <t>Download fehlgeschlagen! Bitte versuchen Sie es später noch einmal</t>
  </si>
  <si>
    <t>Αποτυχία λήψης! Παρακαλώ δοκιμάστε ξανά αργότερα</t>
  </si>
  <si>
    <t>¡Error al descargar! Por favor, inténtelo de nuevo más tarde</t>
  </si>
  <si>
    <t>Allalaadimine ebaõnnestus! Palun proovi hiljem uuesti</t>
  </si>
  <si>
    <t>Lataus epäonnistui! Yritä uudelleen myöhemmin</t>
  </si>
  <si>
    <t>Échec du téléchargement ! Veuillez réessayer plus tard</t>
  </si>
  <si>
    <t>डाउनलोड करने में विफल! कृपया बाद में पुन: प्रयास करें</t>
  </si>
  <si>
    <t>Gagal mengunduh! Silakan coba lagi nanti</t>
  </si>
  <si>
    <t>Download non riuscito! Per favore riprova più tardi</t>
  </si>
  <si>
    <t>ダウンロードに失敗しました!後でもう一度試してください</t>
  </si>
  <si>
    <t>បរាជ័យក្នុងការទាញយក! សូម​ព្យាយាម​ម្តង​ទៀត​នៅ​ពេល​ក្រោយ</t>
  </si>
  <si>
    <t>ಡೌನ್‌ಲೋಡ್ ಮಾಡಲು ವಿಫಲವಾಗಿದೆ! ದಯವಿಟ್ಟು ನಂತರ ಮತ್ತೆ ಪ್ರಯತ್ನಿಸಿ</t>
  </si>
  <si>
    <t>다운로드에 실패했습니다! 나중에 다시 시도 해주십시오</t>
  </si>
  <si>
    <t>ດາວໂຫຼດບໍ່ສຳເລັດ! ກະລຸນາລອງໃໝ່ໃນພາຍຫຼັງ</t>
  </si>
  <si>
    <t>Neizdevās lejupielādēt! Lūdzu, pamēģiniet vēlreiz vēlāk</t>
  </si>
  <si>
    <t>Gagal memuat turun! Sila cuba sebentar lagi</t>
  </si>
  <si>
    <t>Download mislukt! Probeer het later opnieuw</t>
  </si>
  <si>
    <t>Nie udało się pobrać! Spróbuj ponownie później</t>
  </si>
  <si>
    <t>Falhou o download! Por favor, tente novamente mais tarde</t>
  </si>
  <si>
    <t>Не удалось скачать! Пожалуйста, повторите попытку позже</t>
  </si>
  <si>
    <t>ดาวน์โหลดไม่สำเร็จ! กรุณาลองใหม่อีกครั้งในภายหลัง</t>
  </si>
  <si>
    <t>İndirme başarısız oldu! Lütfen daha sonra tekrar deneyiniz</t>
  </si>
  <si>
    <t>Не вдалося завантажити! Будь-ласка спробуйте пізніше</t>
  </si>
  <si>
    <t>下载失败！请稍后再试</t>
  </si>
  <si>
    <t>Không thể tải xuống! Vui lòng thử lại sau</t>
  </si>
  <si>
    <t>فشل في إنشاء الصورة النقطية! الرجاء معاودة المحاولة في وقت لاحق</t>
  </si>
  <si>
    <t>Vytvoření bitmapy se nezdařilo! Prosím zkuste to znovu později</t>
  </si>
  <si>
    <t>Bitmap konnte nicht erstellt werden! Bitte versuchen Sie es später noch einmal</t>
  </si>
  <si>
    <t>Αποτυχία δημιουργίας bitmap! Παρακαλώ δοκιμάστε ξανά αργότερα</t>
  </si>
  <si>
    <t>¡No se pudo crear el mapa de bits! Por favor, inténtelo de nuevo más tarde</t>
  </si>
  <si>
    <t>Bitkaardi loomine ebaõnnestus! Palun proovi hiljem uuesti</t>
  </si>
  <si>
    <t>Bittikartan luominen epäonnistui! Yritä uudelleen myöhemmin</t>
  </si>
  <si>
    <t>Échec de la création du bitmap ! Veuillez réessayer plus tard</t>
  </si>
  <si>
    <t>बिटमैप बनाने में विफल! कृपया बाद में पुन: प्रयास करें</t>
  </si>
  <si>
    <t>Gagal membuat bitmap! Silakan coba lagi nanti</t>
  </si>
  <si>
    <t>Impossibile creare la bitmap! Per favore riprova più tardi</t>
  </si>
  <si>
    <t>ビットマップの作成に失敗しました!後でもう一度試してください</t>
  </si>
  <si>
    <t>បរាជ័យ​ក្នុង​ការ​បង្កើត​ផែនទី​ប៊ីត! សូម​ព្យាយាម​ម្តង​ទៀត​នៅ​ពេល​ក្រោយ</t>
  </si>
  <si>
    <t>ಬಿಟ್‌ಮ್ಯಾಪ್ ರಚಿಸಲು ವಿಫಲವಾಗಿದೆ! ದಯವಿಟ್ಟು ನಂತರ ಮತ್ತೆ ಪ್ರಯತ್ನಿಸಿ</t>
  </si>
  <si>
    <t>비트맵을 생성하지 못했습니다! 나중에 다시 시도 해주십시오</t>
  </si>
  <si>
    <t>ລົ້ມເຫລວໃນການສ້າງແຜນທີ່ບິດ! ກະລຸນາລອງໃໝ່ໃນພາຍຫຼັງ</t>
  </si>
  <si>
    <t>Neizdevās izveidot bitkarti! Lūdzu, pamēģiniet vēlreiz vēlāk</t>
  </si>
  <si>
    <t>Gagal mencipta bitmap! Sila cuba sebentar lagi</t>
  </si>
  <si>
    <t>Kan bitmap niet maken! Probeer het later opnieuw</t>
  </si>
  <si>
    <t>Nie udało się utworzyć bitmapy! Spróbuj ponownie później</t>
  </si>
  <si>
    <t>Falha ao criar bitmap! Por favor, tente novamente mais tarde</t>
  </si>
  <si>
    <t>Не удалось создать растровое изображение! Пожалуйста, повторите попытку позже</t>
  </si>
  <si>
    <t>ไม่สามารถสร้างบิตแมป! กรุณาลองใหม่อีกครั้งในภายหลัง</t>
  </si>
  <si>
    <t>Bitmap oluşturulamadı! Lütfen daha sonra tekrar deneyiniz</t>
  </si>
  <si>
    <t>Не вдалося створити растрове зображення! Будь-ласка спробуйте пізніше</t>
  </si>
  <si>
    <t>创建位图失败！请稍后再试</t>
  </si>
  <si>
    <t>Không tạo được bitmap! Vui lòng thử lại sau</t>
  </si>
  <si>
    <t>حدد التطبيق الخاص بك</t>
  </si>
  <si>
    <t>Wählen Sie Ihre Anwendung aus</t>
  </si>
  <si>
    <t>Επιλέξτε την εφαρμογή σας</t>
  </si>
  <si>
    <t>Selecciona tu aplicación</t>
  </si>
  <si>
    <t>Valige oma rakendus</t>
  </si>
  <si>
    <t>Valitse sovelluksesi</t>
  </si>
  <si>
    <t>Sélectionnez votre candidature</t>
  </si>
  <si>
    <t>अपना आवेदन चुनें</t>
  </si>
  <si>
    <t>Pilih aplikasi Anda</t>
  </si>
  <si>
    <t>Seleziona la tua applicazione</t>
  </si>
  <si>
    <t>アプリケーションを選択してください</t>
  </si>
  <si>
    <t>ជ្រើសរើសកម្មវិធីរបស់អ្នក។</t>
  </si>
  <si>
    <t>ನಿಮ್ಮ ಅಪ್ಲಿಕೇಶನ್ ಆಯ್ಕೆಮಾಡಿ</t>
  </si>
  <si>
    <t>애플리케이션을 선택하세요</t>
  </si>
  <si>
    <t>ເລືອກຄໍາຮ້ອງສະຫມັກຂອງທ່ານ</t>
  </si>
  <si>
    <t>Izvēlieties savu lietojumprogrammu</t>
  </si>
  <si>
    <t>Pilih aplikasi anda</t>
  </si>
  <si>
    <t>Selecteer uw toepassing</t>
  </si>
  <si>
    <t>Wybierz swoją aplikację</t>
  </si>
  <si>
    <t>Selecione seu aplicativo</t>
  </si>
  <si>
    <t>Выберите свое приложение</t>
  </si>
  <si>
    <t>เลือกใบสมัครของคุณ</t>
  </si>
  <si>
    <t>Uygulamanızı seçin</t>
  </si>
  <si>
    <t>Виберіть свою програму</t>
  </si>
  <si>
    <t>选择您的应用程序</t>
  </si>
  <si>
    <t>Chọn ứng dụng của bạn</t>
  </si>
  <si>
    <t>اكتب للبحث</t>
  </si>
  <si>
    <t>Zadejte pro vyhledávání</t>
  </si>
  <si>
    <t>Tippe um zu suchen</t>
  </si>
  <si>
    <t>Πληκτρολογήστε Για Αναζήτηση</t>
  </si>
  <si>
    <t>Escribe para buscar</t>
  </si>
  <si>
    <t>Tippige otsimiseks</t>
  </si>
  <si>
    <t>Kirjoita Hae</t>
  </si>
  <si>
    <t>Tapez pour rechercher</t>
  </si>
  <si>
    <t>खोजने के लिए लिखें</t>
  </si>
  <si>
    <t>Ketik untuk mencari</t>
  </si>
  <si>
    <t>Digita per cercare</t>
  </si>
  <si>
    <t>入力して検索</t>
  </si>
  <si>
    <t>វាយបញ្ចូលដើម្បីស្វែងរក</t>
  </si>
  <si>
    <t>ಹುಡುಕಲು ಟೈಪ್ ಮಾಡಿ</t>
  </si>
  <si>
    <t>검색하려면 입력하세요.</t>
  </si>
  <si>
    <t>ພິມເພື່ອຊອກຫາ</t>
  </si>
  <si>
    <t>Ierakstiet, lai meklētu</t>
  </si>
  <si>
    <t>Taip Untuk Cari</t>
  </si>
  <si>
    <t>Type om te zoeken</t>
  </si>
  <si>
    <t>Wpisz aby wyszukać</t>
  </si>
  <si>
    <t>Escreva para pesquisar</t>
  </si>
  <si>
    <t>Введите для поиска</t>
  </si>
  <si>
    <t>พิมพ์เพื่อค้นหา</t>
  </si>
  <si>
    <t>Aramak İçin Yazın</t>
  </si>
  <si>
    <t>Введіть для пошуку</t>
  </si>
  <si>
    <t>输入搜索</t>
  </si>
  <si>
    <t>Nhập để tìm kiếm</t>
  </si>
  <si>
    <t>المواضيع المختارة</t>
  </si>
  <si>
    <t>Vybraná témata</t>
  </si>
  <si>
    <t>Ausgewählte Themen</t>
  </si>
  <si>
    <t>Επιλεγμένα Θέματα</t>
  </si>
  <si>
    <t>Temas seleccionados</t>
  </si>
  <si>
    <t>Valitud teemad</t>
  </si>
  <si>
    <t>Valitut teemat</t>
  </si>
  <si>
    <t>Thèmes sélectionnés</t>
  </si>
  <si>
    <t>चयनित थीम</t>
  </si>
  <si>
    <t>Tema yang Dipilih</t>
  </si>
  <si>
    <t>Temi selezionati</t>
  </si>
  <si>
    <t>選択されたテーマ</t>
  </si>
  <si>
    <t>ស្បែកដែលបានជ្រើសរើស</t>
  </si>
  <si>
    <t>ಆಯ್ದ ಥೀಮ್‌ಗಳು</t>
  </si>
  <si>
    <t>선택된 테마</t>
  </si>
  <si>
    <t>ຮູບແບບສີສັນທີ່ເລືອກ</t>
  </si>
  <si>
    <t>Atlasītie motīvi</t>
  </si>
  <si>
    <t>Geselecteerde thema's</t>
  </si>
  <si>
    <t>Wybrane tematy</t>
  </si>
  <si>
    <t>Temas Selecionados</t>
  </si>
  <si>
    <t>Выбранные темы</t>
  </si>
  <si>
    <t>ธีมที่เลือก</t>
  </si>
  <si>
    <t>Seçilen Temalar</t>
  </si>
  <si>
    <t>Вибрані теми</t>
  </si>
  <si>
    <t>精选主题</t>
  </si>
  <si>
    <t>Chủ đề đã chọn</t>
  </si>
  <si>
    <t>فتح ورق الجدران</t>
  </si>
  <si>
    <t>Odemknout tapetu</t>
  </si>
  <si>
    <t>Schalte das Hintergrundbild frei</t>
  </si>
  <si>
    <t>Ξεκλείδωμα ταπετσαρίας</t>
  </si>
  <si>
    <t>Desbloquear fondo de pantalla</t>
  </si>
  <si>
    <t>Avage taustpilt</t>
  </si>
  <si>
    <t>Avaa taustakuva</t>
  </si>
  <si>
    <t>Déverrouiller le fond d'écran</t>
  </si>
  <si>
    <t>वॉलपेपर अनलॉक करें</t>
  </si>
  <si>
    <t>Buka Kunci Wallpaper</t>
  </si>
  <si>
    <t>Sblocca lo sfondo</t>
  </si>
  <si>
    <t>壁紙のロックを解除する</t>
  </si>
  <si>
    <t>ដោះសោផ្ទាំងរូបភាព</t>
  </si>
  <si>
    <t>ವಾಲ್‌ಪೇಪರ್ ಅನ್‌ಲಾಕ್ ಮಾಡಿ</t>
  </si>
  <si>
    <t>배경화면 잠금 해제</t>
  </si>
  <si>
    <t>ປົດລັອກວໍເປເປີ</t>
  </si>
  <si>
    <t>Atbloķēt fona attēlu</t>
  </si>
  <si>
    <t>Buka kunci Kertas Dinding</t>
  </si>
  <si>
    <t>Ontgrendel achtergrond</t>
  </si>
  <si>
    <t>Odblokuj tapetę</t>
  </si>
  <si>
    <t>Desbloquear papel de parede</t>
  </si>
  <si>
    <t>Разблокировать обои</t>
  </si>
  <si>
    <t>ปลดล็อควอลเปเปอร์</t>
  </si>
  <si>
    <t>Duvar Kağıdının Kilidini Aç</t>
  </si>
  <si>
    <t>Розблокувати шпалери</t>
  </si>
  <si>
    <t>解锁壁纸</t>
  </si>
  <si>
    <t>Mở khóa hình nền</t>
  </si>
  <si>
    <t>ورق الجدران</t>
  </si>
  <si>
    <t>TAPETA NA ZEĎ</t>
  </si>
  <si>
    <t>HINTERGRUND</t>
  </si>
  <si>
    <t>ΤΑΠΕΤΣΑΡΙΑ</t>
  </si>
  <si>
    <t>FONDO DE PANTALLA</t>
  </si>
  <si>
    <t>TAPEET</t>
  </si>
  <si>
    <t>TAPETTA</t>
  </si>
  <si>
    <t>FOND D'ÉCRAN</t>
  </si>
  <si>
    <t>SFONDO</t>
  </si>
  <si>
    <t>ផ្ទាំង​រូបភាព</t>
  </si>
  <si>
    <t>ವಾಲ್‌ಪೇಪರ್</t>
  </si>
  <si>
    <t>벽지</t>
  </si>
  <si>
    <t>ຮູບວໍເປເປີ</t>
  </si>
  <si>
    <t>TAPETE</t>
  </si>
  <si>
    <t>BEHANG</t>
  </si>
  <si>
    <t>TAPETA</t>
  </si>
  <si>
    <t>PAPEL DE PAREDE</t>
  </si>
  <si>
    <t>ОБОИ</t>
  </si>
  <si>
    <t>วอลล์เปเปอร์</t>
  </si>
  <si>
    <t>DUVAR KAĞIDI</t>
  </si>
  <si>
    <t>ШПАЛЕРИ</t>
  </si>
  <si>
    <t>墙纸</t>
  </si>
  <si>
    <t>HÌNH NỀN</t>
  </si>
  <si>
    <t>ទាញយក</t>
  </si>
  <si>
    <t>ಡೌನ್‌ಲೋಡ್ ಮಾಡಿ</t>
  </si>
  <si>
    <t>ດາວໂຫຼດ</t>
  </si>
  <si>
    <t>ดาวน์โหลด</t>
  </si>
  <si>
    <t>Завантажити</t>
  </si>
  <si>
    <t>Unlock with</t>
  </si>
  <si>
    <t>فتح مع</t>
  </si>
  <si>
    <t>Odemknout pomocí</t>
  </si>
  <si>
    <t>Entsperren Sie mit</t>
  </si>
  <si>
    <t>Ξεκλείδωμα με</t>
  </si>
  <si>
    <t>Desbloquear con</t>
  </si>
  <si>
    <t>Avage rakendusega</t>
  </si>
  <si>
    <t>Avaa lukitus</t>
  </si>
  <si>
    <t>Débloquez avec</t>
  </si>
  <si>
    <t>के साथ अनलॉक करें</t>
  </si>
  <si>
    <t>Buka kunci dengan</t>
  </si>
  <si>
    <t>Sblocca con</t>
  </si>
  <si>
    <t>でロックを解除します</t>
  </si>
  <si>
    <t>ដោះសោជាមួយ</t>
  </si>
  <si>
    <t>ಇದರೊಂದಿಗೆ ಅನ್ಲಾಕ್ ಮಾಡಿ</t>
  </si>
  <si>
    <t>다음으로 잠금 해제</t>
  </si>
  <si>
    <t>ປົດລັອກດ້ວຍ</t>
  </si>
  <si>
    <t>Atbloķēt ar</t>
  </si>
  <si>
    <t>Ontgrendel met</t>
  </si>
  <si>
    <t>Odblokuj za pomocą</t>
  </si>
  <si>
    <t>Desbloquear com</t>
  </si>
  <si>
    <t>Разблокировать с помощью</t>
  </si>
  <si>
    <t>ปลดล็อคด้วย</t>
  </si>
  <si>
    <t>ile kilidini aç</t>
  </si>
  <si>
    <t>Розблокувати за допомогою</t>
  </si>
  <si>
    <t>解锁用</t>
  </si>
  <si>
    <t>Mở khóa bằng</t>
  </si>
  <si>
    <t>Get 200 Gems for FREE</t>
  </si>
  <si>
    <t>احصل على 200 جوهرة مجانا</t>
  </si>
  <si>
    <t>Získejte 200 drahokamů ZDARMA</t>
  </si>
  <si>
    <t>Holen Sie sich 200 Edelsteine ​​KOSTENLOS</t>
  </si>
  <si>
    <t>Αποκτήστε 200 πετράδια ΔΩΡΕΑΝ</t>
  </si>
  <si>
    <t>Consigue 200 gemas GRATIS</t>
  </si>
  <si>
    <t>Hankige 200 kalliskivi TASUTA</t>
  </si>
  <si>
    <t>Hanki 200 jalokivet ILMAISEKSI</t>
  </si>
  <si>
    <t>Obtenez 200 gemmes GRATUITEMENT</t>
  </si>
  <si>
    <t>200 रत्न निःशुल्क प्राप्त करें</t>
  </si>
  <si>
    <t>Dapatkan 200 Permata GRATIS</t>
  </si>
  <si>
    <t>Ottieni 200 gemme GRATIS</t>
  </si>
  <si>
    <t>200ジェムを無料でゲット</t>
  </si>
  <si>
    <t>ទទួលបាន 200 ត្បូងដោយឥតគិតថ្លៃ</t>
  </si>
  <si>
    <t>200 ರತ್ನಗಳನ್ನು ಉಚಿತವಾಗಿ ಪಡೆಯಿರಿ</t>
  </si>
  <si>
    <t>보석 200개를 무료로 받으세요</t>
  </si>
  <si>
    <t>ຮັບ 200 ແກ້ວປະເສີດຟຣີ</t>
  </si>
  <si>
    <t>Saņemiet 200 dārgakmeņus BEZ MAKSAS</t>
  </si>
  <si>
    <t>Dapatkan 200 Permata secara PERCUMA</t>
  </si>
  <si>
    <t>Ontvang GRATIS 200 edelstenen</t>
  </si>
  <si>
    <t>Zdobądź 200 klejnotów ZA DARMO</t>
  </si>
  <si>
    <t>Ganhe 200 joias GRATUITAMENTE</t>
  </si>
  <si>
    <t>Получите 200 драгоценных камней БЕСПЛАТНО</t>
  </si>
  <si>
    <t>รับ 200 อัญมณีฟรี</t>
  </si>
  <si>
    <t>ÜCRETSİZ olarak 200 Mücevher alın</t>
  </si>
  <si>
    <t>Отримайте 200 дорогоцінних каменів БЕЗКОШТОВНО</t>
  </si>
  <si>
    <t>免费获得 200 颗宝石</t>
  </si>
  <si>
    <t>Nhận 200 đá quý MIỄN PHÍ</t>
  </si>
  <si>
    <t>الغاء القفل</t>
  </si>
  <si>
    <t>ODEMKNOUT</t>
  </si>
  <si>
    <t>FREISCHALTEN</t>
  </si>
  <si>
    <t>ΞΕΚΛΕΙΔΩΜΑ</t>
  </si>
  <si>
    <t>DESBLOQUEAR</t>
  </si>
  <si>
    <t>AVASTA</t>
  </si>
  <si>
    <t>अनलॉक</t>
  </si>
  <si>
    <t>MEMBUKA KUNCI</t>
  </si>
  <si>
    <t>SBLOCCARE</t>
  </si>
  <si>
    <t>ロックを解除する</t>
  </si>
  <si>
    <t>ដោះសោ</t>
  </si>
  <si>
    <t>ಅನ್ಲಾಕ್ ಮಾಡಿ</t>
  </si>
  <si>
    <t>터놓다</t>
  </si>
  <si>
    <t>ປົດລັອກ</t>
  </si>
  <si>
    <t>ATbloķēt</t>
  </si>
  <si>
    <t>BUKA KUNCI</t>
  </si>
  <si>
    <t>ONTGRENDELEN</t>
  </si>
  <si>
    <t>ODBLOKOWAĆ</t>
  </si>
  <si>
    <t>РАЗБЛОКИРОВАТЬ</t>
  </si>
  <si>
    <t>ปลดล็อค</t>
  </si>
  <si>
    <t>KİLİDİNİ AÇ</t>
  </si>
  <si>
    <t>РОЗБЛОКУВАТИ</t>
  </si>
  <si>
    <t>开锁</t>
  </si>
  <si>
    <t>MỞ KHÓA</t>
  </si>
  <si>
    <t>فتح الكل</t>
  </si>
  <si>
    <t>ODEMKNOUT VŠE</t>
  </si>
  <si>
    <t>ALLE ENTSPERREN</t>
  </si>
  <si>
    <t>ΞΕΚΛΕΙΔΩΜΑ ΟΛΩΝ</t>
  </si>
  <si>
    <t>DESBLOQUEAR TODOS</t>
  </si>
  <si>
    <t>AVA KÕIK</t>
  </si>
  <si>
    <t>AVAA KAIKKI</t>
  </si>
  <si>
    <t>DÉBLOQUÉ TOUT</t>
  </si>
  <si>
    <t>सबको अनलॉक करें</t>
  </si>
  <si>
    <t>BUKA SEMUA</t>
  </si>
  <si>
    <t>SBLOCCA TUTTO</t>
  </si>
  <si>
    <t>すべてのロックを解除</t>
  </si>
  <si>
    <t>ដោះសោទាំងអស់។</t>
  </si>
  <si>
    <t>ಎಲ್ಲವನ್ನೂ ಅನ್ಲಾಕ್ ಮಾಡಿ</t>
  </si>
  <si>
    <t>모두 잠금 해제</t>
  </si>
  <si>
    <t>ປົດລັອກທັງໝົດ</t>
  </si>
  <si>
    <t>ATKLĀJOT VISU</t>
  </si>
  <si>
    <t>BUKA KUNCI SEMUA</t>
  </si>
  <si>
    <t>SPEEL ALLES VRIJ</t>
  </si>
  <si>
    <t>ODBLOKOWANIE WSZYSTKICH</t>
  </si>
  <si>
    <t>DESTRANCAR TUDO</t>
  </si>
  <si>
    <t>РАЗБЛОКИРОВАТЬ ВСЕ</t>
  </si>
  <si>
    <t>ปลดล็อคทั้งหมด</t>
  </si>
  <si>
    <t>HEPSİNİN KİLİDİNİ AÇ</t>
  </si>
  <si>
    <t>РОЗБЛОКУВАТИ ВСІ</t>
  </si>
  <si>
    <t>全部解锁</t>
  </si>
  <si>
    <t>MỞ KHÓA TẤT CẢ</t>
  </si>
  <si>
    <t>فتح القطعة</t>
  </si>
  <si>
    <t>ODEMKNOUT WIDGET</t>
  </si>
  <si>
    <t>WIDGET ENTSPERREN</t>
  </si>
  <si>
    <t>ΞΕΚΛΕΙΔΩΜΑ WIDGET</t>
  </si>
  <si>
    <t>DESBLOQUEAR WIDGET</t>
  </si>
  <si>
    <t>AVASTA VIDINA</t>
  </si>
  <si>
    <t>AVAA WIDGET</t>
  </si>
  <si>
    <t>DÉBLOQUER LE WIDGET</t>
  </si>
  <si>
    <t>विजेट अनलॉक करें</t>
  </si>
  <si>
    <t>BUKA WIDGET</t>
  </si>
  <si>
    <t>SBLOCCA IL WIDGET</t>
  </si>
  <si>
    <t>ウィジェットのロックを解除</t>
  </si>
  <si>
    <t>ដោះសោធាតុក្រាហ្វិក</t>
  </si>
  <si>
    <t>ವಿಜೆಟ್ ಅನ್ನು ಅನ್ಲಾಕ್ ಮಾಡಿ</t>
  </si>
  <si>
    <t>위젯 잠금 해제</t>
  </si>
  <si>
    <t>ປົດລັອກ widget</t>
  </si>
  <si>
    <t>ATKLĀJOT LOGRĀKU</t>
  </si>
  <si>
    <t>BUKA KUNCI WIDGET</t>
  </si>
  <si>
    <t>ONTGRENDEL WIDGET</t>
  </si>
  <si>
    <t>ODBLOKUJ WIDŻET</t>
  </si>
  <si>
    <t>РАЗБЛОКИРОВАТЬ ВИДЖЕТ</t>
  </si>
  <si>
    <t>ปลดล็อควิดเจ็ต</t>
  </si>
  <si>
    <t>WIDGET'IN KİLİDİNİ AÇ</t>
  </si>
  <si>
    <t>РОЗБЛОКУВАТИ ВІДЖЕТ</t>
  </si>
  <si>
    <t>解锁小部件</t>
  </si>
  <si>
    <t>MỞ KHÓA TIỆN ÍCH</t>
  </si>
  <si>
    <t>الرجاء تحديد القطعة الخاصة بك</t>
  </si>
  <si>
    <t>Vyberte prosím svůj widget</t>
  </si>
  <si>
    <t>Bitte wählen Sie Ihr Widget aus</t>
  </si>
  <si>
    <t>Επιλέξτε το widget σας</t>
  </si>
  <si>
    <t>Por favor seleccione su widget</t>
  </si>
  <si>
    <t>Palun valige oma vidin</t>
  </si>
  <si>
    <t>Valitse widgettisi</t>
  </si>
  <si>
    <t>Veuillez sélectionner votre widget</t>
  </si>
  <si>
    <t>कृपया अपना विजेट चुनें</t>
  </si>
  <si>
    <t>Silakan pilih widget Anda</t>
  </si>
  <si>
    <t>Seleziona il tuo widget</t>
  </si>
  <si>
    <t>ウィジェットを選択してください</t>
  </si>
  <si>
    <t>សូមជ្រើសរើសធាតុក្រាហ្វិករបស់អ្នក។</t>
  </si>
  <si>
    <t>ದಯವಿಟ್ಟು ನಿಮ್ಮ ವಿಜೆಟ್ ಆಯ್ಕೆಮಾಡಿ</t>
  </si>
  <si>
    <t>위젯을 선택해주세요</t>
  </si>
  <si>
    <t>ກະລຸນາເລືອກ widget ຂອງທ່ານ</t>
  </si>
  <si>
    <t>Lūdzu, atlasiet savu logrīku</t>
  </si>
  <si>
    <t>Sila pilih widget anda</t>
  </si>
  <si>
    <t>Selecteer uw widget</t>
  </si>
  <si>
    <t>Wybierz swój widget</t>
  </si>
  <si>
    <t>Selecione seu widget</t>
  </si>
  <si>
    <t>Пожалуйста, выберите виджет</t>
  </si>
  <si>
    <t>โปรดเลือกวิดเจ็ตของคุณ</t>
  </si>
  <si>
    <t>Lütfen widget'ınızı seçin</t>
  </si>
  <si>
    <t>Виберіть свій віджет</t>
  </si>
  <si>
    <t>请选择您的小部件</t>
  </si>
  <si>
    <t>Vui lòng chọn tiện ích của bạn</t>
  </si>
  <si>
    <t>فتح بنجاح!</t>
  </si>
  <si>
    <t>Odemknout úspěšně!</t>
  </si>
  <si>
    <t>Erfolgreich freischalten!</t>
  </si>
  <si>
    <t>Ξεκλείδωμα με επιτυχία!</t>
  </si>
  <si>
    <t>¡Desbloquea con éxito!</t>
  </si>
  <si>
    <t>Avamine õnnestus!</t>
  </si>
  <si>
    <t>Avaa lukitus onnistuneesti!</t>
  </si>
  <si>
    <t>Débloquez avec succès !</t>
  </si>
  <si>
    <t>सफलतापूर्वक अनलॉक!</t>
  </si>
  <si>
    <t>Buka kunci dengan sukses!</t>
  </si>
  <si>
    <t>Sblocca con successo!</t>
  </si>
  <si>
    <t>無事にロック解除完了！</t>
  </si>
  <si>
    <t>ដោះសោដោយជោគជ័យ!</t>
  </si>
  <si>
    <t>ಯಶಸ್ವಿಯಾಗಿ ಅನ್ಲಾಕ್ ಮಾಡಿ!</t>
  </si>
  <si>
    <t>성공적으로 잠금 해제되었습니다!</t>
  </si>
  <si>
    <t>ປົດລັອກສຳເລັດແລ້ວ!</t>
  </si>
  <si>
    <t>Veiksmīgi atbloķēt!</t>
  </si>
  <si>
    <t>Buka kunci berjaya!</t>
  </si>
  <si>
    <t>Ontgrendel succesvol!</t>
  </si>
  <si>
    <t>Odblokuj pomyślnie!</t>
  </si>
  <si>
    <t>Desbloqueie com sucesso!</t>
  </si>
  <si>
    <t>Разблокировка прошла успешно!</t>
  </si>
  <si>
    <t>ปลดล็อคสำเร็จ!</t>
  </si>
  <si>
    <t>Başarıyla kilidini aç!</t>
  </si>
  <si>
    <t>Успішно розблоковано!</t>
  </si>
  <si>
    <t>解锁成功！</t>
  </si>
  <si>
    <t>Mở khóa thành công!</t>
  </si>
  <si>
    <t>لا يكفي الماس!</t>
  </si>
  <si>
    <t>Není dost diamantů!</t>
  </si>
  <si>
    <t>Nicht genug Diamant!</t>
  </si>
  <si>
    <t>Δεν είναι αρκετό το Diamond!</t>
  </si>
  <si>
    <t>¡No hay suficiente diamante!</t>
  </si>
  <si>
    <t>Teemandist ei piisa!</t>
  </si>
  <si>
    <t>Timantti ei riitä!</t>
  </si>
  <si>
    <t>Pas assez de diamant !</t>
  </si>
  <si>
    <t>पर्याप्त हीरा नहीं!</t>
  </si>
  <si>
    <t>Berlian tidak cukup!</t>
  </si>
  <si>
    <t>Non abbastanza diamante!</t>
  </si>
  <si>
    <t>ダイヤモンドが足りない！</t>
  </si>
  <si>
    <t>មិន​គ្រប់​គ្រាន់​ទេ ពេជ្រ!</t>
  </si>
  <si>
    <t>ಸಾಕಷ್ಟು ಡೈಮಂಡ್ ಇಲ್ಲ!</t>
  </si>
  <si>
    <t>다이아몬드가 부족해요!</t>
  </si>
  <si>
    <t>ບໍ່ພໍເພັດ!</t>
  </si>
  <si>
    <t>Par maz dimanta!</t>
  </si>
  <si>
    <t>Tak cukup Intan!</t>
  </si>
  <si>
    <t>Niet genoeg diamant!</t>
  </si>
  <si>
    <t>Za mało Diamentu!</t>
  </si>
  <si>
    <t>Diamante insuficiente!</t>
  </si>
  <si>
    <t>Недостаточно алмаза!</t>
  </si>
  <si>
    <t>เพชรไม่พอ!</t>
  </si>
  <si>
    <t>Yeterli Elmas yok!</t>
  </si>
  <si>
    <t>Недостатньо діаманта!</t>
  </si>
  <si>
    <t>钻石不够！</t>
  </si>
  <si>
    <t>Không đủ kim cương!</t>
  </si>
  <si>
    <t>العنصر مفتوح بالفعل!</t>
  </si>
  <si>
    <t>Položka je již odemčena!</t>
  </si>
  <si>
    <t>Artikel ist bereits freigeschaltet!</t>
  </si>
  <si>
    <t>Το στοιχείο είναι ήδη ξεκλείδωτο!</t>
  </si>
  <si>
    <t>¡El artículo ya está desbloqueado!</t>
  </si>
  <si>
    <t>Üksus on juba lukust lahti!</t>
  </si>
  <si>
    <t>Tuote on jo avattu!</t>
  </si>
  <si>
    <t>L'article est déjà débloqué !</t>
  </si>
  <si>
    <t>आइटम पहले से ही अनलॉक है!</t>
  </si>
  <si>
    <t>Item sudah terbuka!</t>
  </si>
  <si>
    <t>L'oggetto è già sbloccato!</t>
  </si>
  <si>
    <t>アイテムはすでにロック解除されています!</t>
  </si>
  <si>
    <t>ធាតុត្រូវបានដោះសោរួចហើយ!</t>
  </si>
  <si>
    <t>ಐಟಂ ಈಗಾಗಲೇ ಅನ್‌ಲಾಕ್ ಆಗಿದೆ!</t>
  </si>
  <si>
    <t>항목이 이미 잠금 해제되었습니다!</t>
  </si>
  <si>
    <t>ລາຍການຖືກປົດລັອກແລ້ວ!</t>
  </si>
  <si>
    <t>Prece jau ir atbloķēta!</t>
  </si>
  <si>
    <t>Item sudah Dibuka kunci!</t>
  </si>
  <si>
    <t>Het item is al ontgrendeld!</t>
  </si>
  <si>
    <t>Przedmiot jest już odblokowany!</t>
  </si>
  <si>
    <t>O item já está desbloqueado!</t>
  </si>
  <si>
    <t>Предмет уже разблокирован!</t>
  </si>
  <si>
    <t>ไอเท็มนี้ถูกปลดล็อคแล้ว!</t>
  </si>
  <si>
    <t>Öğenin Kilidi zaten Açık!</t>
  </si>
  <si>
    <t>Товар уже розблоковано!</t>
  </si>
  <si>
    <t>物品已经解锁！</t>
  </si>
  <si>
    <t>Vật phẩm đã được mở khóa!</t>
  </si>
  <si>
    <t>Veiksmi!</t>
  </si>
  <si>
    <t>Berjaya!</t>
  </si>
  <si>
    <t>ຜິດພາດ!</t>
  </si>
  <si>
    <t>الرجاء تحديد التطبيق أولا!</t>
  </si>
  <si>
    <t>Nejprve prosím vyberte aplikaci!</t>
  </si>
  <si>
    <t>Bitte zuerst Anwendung auswählen!</t>
  </si>
  <si>
    <t>Επιλέξτε πρώτα την εφαρμογή!</t>
  </si>
  <si>
    <t>¡Por favor seleccione la aplicación primero!</t>
  </si>
  <si>
    <t>Valige esmalt rakendus!</t>
  </si>
  <si>
    <t>Valitse ensin sovellus!</t>
  </si>
  <si>
    <t>Veuillez d'abord sélectionner votre candidature !</t>
  </si>
  <si>
    <t>कृपया पहले आवेदन का चयन करें!</t>
  </si>
  <si>
    <t>Silakan pilih aplikasi terlebih dahulu!</t>
  </si>
  <si>
    <t>Seleziona prima l'applicazione!</t>
  </si>
  <si>
    <t>最初にアプリケーションを選択してください。</t>
  </si>
  <si>
    <t>សូមជ្រើសរើសកម្មវិធីជាមុនសិន!</t>
  </si>
  <si>
    <t>ದಯವಿಟ್ಟು ಮೊದಲು ಅಪ್ಲಿಕೇಶನ್ ಆಯ್ಕೆಮಾಡಿ!</t>
  </si>
  <si>
    <t>먼저 신청을 선택해주세요!</t>
  </si>
  <si>
    <t>ກະລຸນາເລືອກໃບສະໝັກກ່ອນ!</t>
  </si>
  <si>
    <t>Vispirms izvēlieties pieteikumu!</t>
  </si>
  <si>
    <t>Sila pilih permohonan dahulu!</t>
  </si>
  <si>
    <t>Selecteer eerst de toepassing!</t>
  </si>
  <si>
    <t>Najpierw wybierz aplikację!</t>
  </si>
  <si>
    <t>Selecione o aplicativo primeiro!</t>
  </si>
  <si>
    <t>Пожалуйста, сначала выберите приложение!</t>
  </si>
  <si>
    <t>กรุณาเลือกใบสมัครก่อน!</t>
  </si>
  <si>
    <t>Lütfen önce uygulamayı seçin!</t>
  </si>
  <si>
    <t>Спочатку виберіть програму!</t>
  </si>
  <si>
    <t>请先选择应用！</t>
  </si>
  <si>
    <t>Vui lòng chọn ứng dụng trước!</t>
  </si>
  <si>
    <t>القطعة المخصصة</t>
  </si>
  <si>
    <t>Vlastní widget</t>
  </si>
  <si>
    <t>Benutzerdefiniertes Widget</t>
  </si>
  <si>
    <t>Προσαρμοσμένο γραφικό στοιχείο</t>
  </si>
  <si>
    <t>Widget personalizado</t>
  </si>
  <si>
    <t>Kohandatud vidin</t>
  </si>
  <si>
    <t>Mukautettu widget</t>
  </si>
  <si>
    <t>Widget personnalisé</t>
  </si>
  <si>
    <t>कस्टम विजेट</t>
  </si>
  <si>
    <t>Widget Khusus</t>
  </si>
  <si>
    <t>Widget personalizzato</t>
  </si>
  <si>
    <t>カスタムウィジェット</t>
  </si>
  <si>
    <t>ធាតុក្រាហ្វិកផ្ទាល់ខ្លួន</t>
  </si>
  <si>
    <t>ಕಸ್ಟಮ್ ವಿಜೆಟ್</t>
  </si>
  <si>
    <t>맞춤 위젯</t>
  </si>
  <si>
    <t>Widget ກຳນົດເອງ</t>
  </si>
  <si>
    <t>Pielāgots logrīks</t>
  </si>
  <si>
    <t>Widget Tersuai</t>
  </si>
  <si>
    <t>Aangepaste widget</t>
  </si>
  <si>
    <t>Niestandardowy widget</t>
  </si>
  <si>
    <t>Пользовательский виджет</t>
  </si>
  <si>
    <t>วิดเจ็ตที่กำหนดเอง</t>
  </si>
  <si>
    <t>Özel Widget</t>
  </si>
  <si>
    <t>Спеціальний віджет</t>
  </si>
  <si>
    <t>自定义小部件</t>
  </si>
  <si>
    <t>Tiện ích tùy chỉnh</t>
  </si>
  <si>
    <t>UPRAVIT</t>
  </si>
  <si>
    <t>BEARBEITEN</t>
  </si>
  <si>
    <t>ΕΠΕΞΕΡΓΑΣΙΑ</t>
  </si>
  <si>
    <t>EDITAR</t>
  </si>
  <si>
    <t>MUOKATA</t>
  </si>
  <si>
    <t>MODIFIER</t>
  </si>
  <si>
    <t>Sunting</t>
  </si>
  <si>
    <t>MODIFICARE</t>
  </si>
  <si>
    <t>កែសម្រួល</t>
  </si>
  <si>
    <t>REDIĢĒT</t>
  </si>
  <si>
    <t>BEWERKING</t>
  </si>
  <si>
    <t>EDYTOWAĆ</t>
  </si>
  <si>
    <t>РЕДАКТИРОВАТЬ</t>
  </si>
  <si>
    <t>РЕДАГУВАТИ</t>
  </si>
  <si>
    <t>BIÊN TẬP</t>
  </si>
  <si>
    <t>إنشاء القطعة</t>
  </si>
  <si>
    <t>VYTVOŘIT WIDGET</t>
  </si>
  <si>
    <t>WIDGET ERSTELLEN</t>
  </si>
  <si>
    <t>ΔΗΜΙΟΥΡΓΙΑ ΓΡΑΦΙΚΟΥ ΛΟΓΙΟΥ</t>
  </si>
  <si>
    <t>CREAR WIDGET</t>
  </si>
  <si>
    <t>LOO VIDINA</t>
  </si>
  <si>
    <t>LUO WIDGETTI</t>
  </si>
  <si>
    <t>CRÉER UN WIDGET</t>
  </si>
  <si>
    <t>विजेट बनाएं</t>
  </si>
  <si>
    <t>BUAT WIDGET</t>
  </si>
  <si>
    <t>CREA WIDGET</t>
  </si>
  <si>
    <t>ウィジェットの作成</t>
  </si>
  <si>
    <t>បង្កើតធាតុក្រាហ្វិក</t>
  </si>
  <si>
    <t>ವಿಜೆಟ್ ರಚಿಸಿ</t>
  </si>
  <si>
    <t>위젯 만들기</t>
  </si>
  <si>
    <t>ສ້າງ widget</t>
  </si>
  <si>
    <t>IZVEIDOT LOGrīku</t>
  </si>
  <si>
    <t>MAAK WIDGET</t>
  </si>
  <si>
    <t>UTWÓRZ WIDŻET</t>
  </si>
  <si>
    <t>CRIAR WIDGET</t>
  </si>
  <si>
    <t>СОЗДАТЬ ВИДЖЕТ</t>
  </si>
  <si>
    <t>สร้างวิดเจ็ต</t>
  </si>
  <si>
    <t>WIDGET'I OLUŞTUR</t>
  </si>
  <si>
    <t>СТВОРИТИ ВІДЖЕТ</t>
  </si>
  <si>
    <t>创建小部件</t>
  </si>
  <si>
    <t>TẠO TIỆN ÍCH</t>
  </si>
  <si>
    <t>Barva fontu</t>
  </si>
  <si>
    <t>Schriftfarbe</t>
  </si>
  <si>
    <t>Χρώμα γραμματοσειράς</t>
  </si>
  <si>
    <t>Color de fuente</t>
  </si>
  <si>
    <t>Fondi värv</t>
  </si>
  <si>
    <t>Fontin väri</t>
  </si>
  <si>
    <t>Couleur de la police</t>
  </si>
  <si>
    <t>लिपि का रंग</t>
  </si>
  <si>
    <t>Warna huruf</t>
  </si>
  <si>
    <t>Colore del carattere</t>
  </si>
  <si>
    <t>フォントの色</t>
  </si>
  <si>
    <t>ពណ៌ពុម្ពអក្សរ</t>
  </si>
  <si>
    <t>ಫಾಂಟ್ ಬಣ್ಣ</t>
  </si>
  <si>
    <t>글꼴 색상</t>
  </si>
  <si>
    <t>ສີຕົວອັກສອນ</t>
  </si>
  <si>
    <t>Fonta krāsa</t>
  </si>
  <si>
    <t>Warna Fon</t>
  </si>
  <si>
    <t>Lettertypekleur</t>
  </si>
  <si>
    <t>Kolor czcionki</t>
  </si>
  <si>
    <t>Cor da fonte</t>
  </si>
  <si>
    <t>Цвет шрифта</t>
  </si>
  <si>
    <t>สีตัวอักษร</t>
  </si>
  <si>
    <t>Yazı rengi</t>
  </si>
  <si>
    <t>Колір шрифту</t>
  </si>
  <si>
    <t>字体颜色</t>
  </si>
  <si>
    <t>Màu chữ</t>
  </si>
  <si>
    <t>Jätka</t>
  </si>
  <si>
    <t>teruskan</t>
  </si>
  <si>
    <t>Продовжити</t>
  </si>
  <si>
    <t>جارٍ تحميل الأداة…</t>
  </si>
  <si>
    <t>Widget se načítá…</t>
  </si>
  <si>
    <t>Widget wird geladen…</t>
  </si>
  <si>
    <t>Γίνεται φόρτωση του γραφικού στοιχείου…</t>
  </si>
  <si>
    <t>El widget se está cargando...</t>
  </si>
  <si>
    <t>Vidinat laaditakse…</t>
  </si>
  <si>
    <t>Widgetiä ladataan…</t>
  </si>
  <si>
    <t>Le widget est en cours de chargement…</t>
  </si>
  <si>
    <t>विजेट लोड हो रहा है...</t>
  </si>
  <si>
    <t>Widget sedang dimuat…</t>
  </si>
  <si>
    <t>Il widget è in caricamento...</t>
  </si>
  <si>
    <t>ウィジェットを読み込んでいます…</t>
  </si>
  <si>
    <t>ធាតុក្រាហ្វិកកំពុងផ្ទុក...</t>
  </si>
  <si>
    <t>ವಿಜೆಟ್ ಲೋಡ್ ಆಗುತ್ತಿದೆ...</t>
  </si>
  <si>
    <t>위젯 로드 중…</t>
  </si>
  <si>
    <t>ກຳລັງໂຫຼດວິດເຈັດ...</t>
  </si>
  <si>
    <t>Notiek logrīka ielāde…</t>
  </si>
  <si>
    <t>Widget sedang dimuatkan…</t>
  </si>
  <si>
    <t>Widget wordt geladen...</t>
  </si>
  <si>
    <t>Ładowanie widżetu…</t>
  </si>
  <si>
    <t>O widget está carregando…</t>
  </si>
  <si>
    <t>Виджет загружается…</t>
  </si>
  <si>
    <t>กำลังโหลดวิดเจ็ต...</t>
  </si>
  <si>
    <t>Widget yükleniyor…</t>
  </si>
  <si>
    <t>Віджет завантажується…</t>
  </si>
  <si>
    <t>小部件正在加载...</t>
  </si>
  <si>
    <t>Tiện ích đang tải…</t>
  </si>
  <si>
    <t>تَخطِيط</t>
  </si>
  <si>
    <t>Rozložení</t>
  </si>
  <si>
    <t>Διάταξη</t>
  </si>
  <si>
    <t>Disposición</t>
  </si>
  <si>
    <t>Paigutus</t>
  </si>
  <si>
    <t>Mise en page</t>
  </si>
  <si>
    <t>लेआउट</t>
  </si>
  <si>
    <t>Tata Letak</t>
  </si>
  <si>
    <t>Disposizione</t>
  </si>
  <si>
    <t>レイアウト</t>
  </si>
  <si>
    <t>ប្លង់</t>
  </si>
  <si>
    <t>ಲೆಔಟ್</t>
  </si>
  <si>
    <t>공들여 나열한 것</t>
  </si>
  <si>
    <t>ແຜນຜັງ</t>
  </si>
  <si>
    <t>Izkārtojums</t>
  </si>
  <si>
    <t>Susun atur</t>
  </si>
  <si>
    <t>Indeling</t>
  </si>
  <si>
    <t>Układ</t>
  </si>
  <si>
    <t>Disposição</t>
  </si>
  <si>
    <t>Макет</t>
  </si>
  <si>
    <t>เค้าโครง</t>
  </si>
  <si>
    <t>Düzen</t>
  </si>
  <si>
    <t>布局</t>
  </si>
  <si>
    <t>Cách trình bày</t>
  </si>
  <si>
    <t>Valmis</t>
  </si>
  <si>
    <t>រួចរាល់</t>
  </si>
  <si>
    <t>ಮುಗಿದಿದೆ</t>
  </si>
  <si>
    <t>ສຳເລັດແລ້ວ</t>
  </si>
  <si>
    <t>Gatavs</t>
  </si>
  <si>
    <t>Готово</t>
  </si>
  <si>
    <t>لا يوجد اتصال بالإنترنت!</t>
  </si>
  <si>
    <t>Žádné internetové připojení!</t>
  </si>
  <si>
    <t>Keine Internetverbindung!</t>
  </si>
  <si>
    <t>Δεν υπάρχει σύνδεση στο διαδίκτυο!</t>
  </si>
  <si>
    <t>¡Sin conexión a Internet!</t>
  </si>
  <si>
    <t>Interneti-ühendus puudub!</t>
  </si>
  <si>
    <t>Ei Internet-yhteyttä!</t>
  </si>
  <si>
    <t>Pas de connexion Internet!</t>
  </si>
  <si>
    <t>कोई इंटरनेट कनेक्शन नहीं!</t>
  </si>
  <si>
    <t>Tidak ada koneksi internet!</t>
  </si>
  <si>
    <t>Nessuna connessione internet!</t>
  </si>
  <si>
    <t>インターネット接続がありません!</t>
  </si>
  <si>
    <t>គ្មានការតភ្ជាប់អ៊ីនធឺណិត!</t>
  </si>
  <si>
    <t>ಇಂಟರ್ನೆಟ್ ಸಂಪರ್ಕವಿಲ್ಲ!</t>
  </si>
  <si>
    <t>인터넷에 연결되지 않음!</t>
  </si>
  <si>
    <t>ບໍ່ມີການເຊື່ອມຕໍ່ອິນເຕີເນັດ!</t>
  </si>
  <si>
    <t>Nav interneta savienojuma!</t>
  </si>
  <si>
    <t>Tiada sambungan internet!</t>
  </si>
  <si>
    <t>Geen internet verbinding!</t>
  </si>
  <si>
    <t>Brak połączenia z internetem!</t>
  </si>
  <si>
    <t>Sem conexão com a Internet!</t>
  </si>
  <si>
    <t>Нет соединения с интернетом!</t>
  </si>
  <si>
    <t>ไม่มีการเชื่อมต่ออินเทอร์เน็ต!</t>
  </si>
  <si>
    <t>İnternet bağlantısı yok!</t>
  </si>
  <si>
    <t>Немає підключення до Інтернету!</t>
  </si>
  <si>
    <t>没有网络连接！</t>
  </si>
  <si>
    <t>Không có kết nối Internet!</t>
  </si>
  <si>
    <t>لا يوجد اتصال بالإنترنت.\nيُرجى التحقق من الاتصال والمحاولة مرة أخرى.</t>
  </si>
  <si>
    <t>Žádné připojení k internetu.\nZkontrolujte připojení a zkuste to znovu.</t>
  </si>
  <si>
    <t>Keine Internetverbindung.\nBitte überprüfen Sie die Verbindung und versuchen Sie es erneut.</t>
  </si>
  <si>
    <t>Δεν υπάρχει σύνδεση στο διαδίκτυο.\nΕλέγξτε τη σύνδεση και δοκιμάστε ξανά.</t>
  </si>
  <si>
    <t>No hay conexión a Internet.\nComprueba la conexión y vuelve a intentarlo.</t>
  </si>
  <si>
    <t>Interneti-ühendus puudub.\nKontrollige ühendust ja proovige uuesti.</t>
  </si>
  <si>
    <t>Ei internetyhteyttä.\nTarkista yhteys ja yritä uudelleen.</t>
  </si>
  <si>
    <t>Pas de connexion Internet.\nVeuillez vérifier la connexion et réessayer.</t>
  </si>
  <si>
    <t>कोई इंटरनेट कनेक्शन नहीं।\nकृपया कनेक्शन जांचें और पुनः प्रयास करें।</t>
  </si>
  <si>
    <t>Tidak ada koneksi internet.\nSilakan periksa koneksi dan coba lagi.</t>
  </si>
  <si>
    <t>Nessuna connessione Internet.\nControlla la connessione e riprova.</t>
  </si>
  <si>
    <t>インターネット接続がありません。\n接続を確認して、もう一度試してください。</t>
  </si>
  <si>
    <t>មិនមានការតភ្ជាប់អ៊ីនធឺណិតទេ។\nសូមពិនិត្យការតភ្ជាប់ ហើយព្យាយាមម្តងទៀត។</t>
  </si>
  <si>
    <t>ಇಂಟರ್ನೆಟ್ ಸಂಪರ್ಕವಿಲ್ಲ.\nದಯವಿಟ್ಟು ಸಂಪರ್ಕವನ್ನು ಪರಿಶೀಲಿಸಿ ಹಾಗೂ ಮತ್ತೆ ಪ್ರಯತ್ನಿಸಿ.</t>
  </si>
  <si>
    <t>인터넷에 연결되어 있지 않습니다.\n연결을 확인하고 다시 시도해 주세요.</t>
  </si>
  <si>
    <t>ບໍ່ມີການເຊື່ອມຕໍ່ອິນເຕີເນັດ.\nກະລຸນາກວດສອບການເຊື່ອມຕໍ່ແລ້ວລອງໃໝ່ອີກຄັ້ງ.</t>
  </si>
  <si>
    <t>Nav interneta savienojuma.\nLūdzu, pārbaudiet savienojumu un mēģiniet vēlreiz.</t>
  </si>
  <si>
    <t>Tiada sambungan Internet.\nSila semak sambungan dan cuba lagi.</t>
  </si>
  <si>
    <t>Geen internetverbinding.\nControleer de verbinding en probeer het opnieuw.</t>
  </si>
  <si>
    <t>Brak połączenia z internetem.\nSprawdź połączenie i spróbuj ponownie.</t>
  </si>
  <si>
    <t>Sem conexão com a Internet.\nVerifique a conexão e tente novamente.</t>
  </si>
  <si>
    <t>Нет подключения к Интернету.\nПроверьте соединение и повторите попытку.</t>
  </si>
  <si>
    <t>ไม่มีการเชื่อมต่ออินเทอร์เน็ต\nโปรดตรวจสอบการเชื่อมต่อแล้วลองอีกครั้ง</t>
  </si>
  <si>
    <t>İnternet bağlantısı yok.\nLütfen bağlantıyı kontrol edip tekrar deneyin.</t>
  </si>
  <si>
    <t>Немає з’єднання з Інтернетом.\nПеревірте з’єднання та повторіть спробу.</t>
  </si>
  <si>
    <t>没有互联网连接。\n请检查连接并重试。</t>
  </si>
  <si>
    <t>Không có kết nối Internet.\nVui lòng kiểm tra kết nối và thử lại.</t>
  </si>
  <si>
    <t>الأحجار الكريمة</t>
  </si>
  <si>
    <t>Drahokamy</t>
  </si>
  <si>
    <t>Edelsteine</t>
  </si>
  <si>
    <t>Πολύτιμοι λίθοι</t>
  </si>
  <si>
    <t>Gemas</t>
  </si>
  <si>
    <t>Kalliskivid</t>
  </si>
  <si>
    <t>Jalokivet</t>
  </si>
  <si>
    <t>Pierres précieuses</t>
  </si>
  <si>
    <t>रत्न</t>
  </si>
  <si>
    <t>Permata</t>
  </si>
  <si>
    <t>Gemme</t>
  </si>
  <si>
    <t>宝石</t>
  </si>
  <si>
    <t>ត្បូង</t>
  </si>
  <si>
    <t>ರತ್ನಗಳು</t>
  </si>
  <si>
    <t>보석</t>
  </si>
  <si>
    <t>ແກ້ວປະເສີດ</t>
  </si>
  <si>
    <t>Dārgakmeņi</t>
  </si>
  <si>
    <t>permata</t>
  </si>
  <si>
    <t>Edelstenen</t>
  </si>
  <si>
    <t>Klejnoty</t>
  </si>
  <si>
    <t>Драгоценные камни</t>
  </si>
  <si>
    <t>อัญมณี</t>
  </si>
  <si>
    <t>Taşlar</t>
  </si>
  <si>
    <t>дорогоцінні камені</t>
  </si>
  <si>
    <t>đá quý</t>
  </si>
  <si>
    <t>Unlock Widget with</t>
  </si>
  <si>
    <t>فتح القطعة مع</t>
  </si>
  <si>
    <t>Odemkněte widget pomocí</t>
  </si>
  <si>
    <t>Widget entsperren mit</t>
  </si>
  <si>
    <t>Ξεκλείδωμα γραφικού στοιχείου με</t>
  </si>
  <si>
    <t>Desbloquear widget con</t>
  </si>
  <si>
    <t>Ava vidin koos</t>
  </si>
  <si>
    <t>Avaa widget kanssa</t>
  </si>
  <si>
    <t>Débloquez le widget avec</t>
  </si>
  <si>
    <t>के साथ विजेट अनलॉक करें</t>
  </si>
  <si>
    <t>Buka kunci Widget dengan</t>
  </si>
  <si>
    <t>Sblocca il widget con</t>
  </si>
  <si>
    <t>ウィジェットのロックを解除するには</t>
  </si>
  <si>
    <t>ដោះសោធាតុក្រាហ្វិកជាមួយ</t>
  </si>
  <si>
    <t>ಇದರೊಂದಿಗೆ ವಿಜೆಟ್ ಅನ್ನು ಅನ್ಲಾಕ್ ಮಾಡಿ</t>
  </si>
  <si>
    <t>다음으로 위젯 잠금 해제</t>
  </si>
  <si>
    <t>ປົດລັອກ Widget ກັບ</t>
  </si>
  <si>
    <t>Atbloķējiet logrīku ar</t>
  </si>
  <si>
    <t>Ontgrendel widget met</t>
  </si>
  <si>
    <t>Odblokuj widget za pomocą</t>
  </si>
  <si>
    <t>Desbloquear widget com</t>
  </si>
  <si>
    <t>Разблокировать виджет с помощью</t>
  </si>
  <si>
    <t>ปลดล็อควิดเจ็ตด้วย</t>
  </si>
  <si>
    <t>Widget'ın kilidini şununla açın:</t>
  </si>
  <si>
    <t>Розблокувати віджет за допомогою</t>
  </si>
  <si>
    <t>Mở khóa Widget bằng</t>
  </si>
  <si>
    <t>Unlock Wallpaper with</t>
  </si>
  <si>
    <t>فتح ورق الحائط مع</t>
  </si>
  <si>
    <t>Odemknout tapetu pomocí</t>
  </si>
  <si>
    <t>Schalte das Hintergrundbild mit frei</t>
  </si>
  <si>
    <t>Ξεκλείδωμα ταπετσαρίας με</t>
  </si>
  <si>
    <t>Desbloquear fondo de pantalla con</t>
  </si>
  <si>
    <t>Avage taustpilt rakendusega</t>
  </si>
  <si>
    <t>Débloquez le fond d'écran avec</t>
  </si>
  <si>
    <t>इसके साथ वॉलपेपर अनलॉक करें</t>
  </si>
  <si>
    <t>Buka kunci Wallpaper dengan</t>
  </si>
  <si>
    <t>Sblocca lo sfondo con</t>
  </si>
  <si>
    <t>壁紙のロックを解除するには</t>
  </si>
  <si>
    <t>ដោះសោផ្ទាំងរូបភាពជាមួយ</t>
  </si>
  <si>
    <t>ಇದರೊಂದಿಗೆ ವಾಲ್‌ಪೇಪರ್ ಅನ್ನು ಅನ್‌ಲಾಕ್ ಮಾಡಿ</t>
  </si>
  <si>
    <t>다음으로 배경화면 잠금 해제</t>
  </si>
  <si>
    <t>ປົດລັອກ Wallpaper ກັບ</t>
  </si>
  <si>
    <t>Atbloķējiet fona attēlu ar</t>
  </si>
  <si>
    <t>Buka kunci Kertas Dinding dengan</t>
  </si>
  <si>
    <t>Ontgrendel achtergrond met</t>
  </si>
  <si>
    <t>Odblokuj tapetę za pomocą</t>
  </si>
  <si>
    <t>Desbloquear papel de parede com</t>
  </si>
  <si>
    <t>Разблокировать обои с помощью</t>
  </si>
  <si>
    <t>ปลดล็อควอลเปเปอร์ด้วย</t>
  </si>
  <si>
    <t>Розблокувати шпалери за допомогою</t>
  </si>
  <si>
    <t>Mở khóa hình nền với</t>
  </si>
  <si>
    <t>Unlock All Icon with</t>
  </si>
  <si>
    <t>فتح كل أيقونة مع</t>
  </si>
  <si>
    <t>Odemknout všechny ikony pomocí</t>
  </si>
  <si>
    <t>Schalte alle Symbole frei mit</t>
  </si>
  <si>
    <t>Ξεκλειδώστε όλα το εικονίδιο με</t>
  </si>
  <si>
    <t>Desbloquear todos los iconos con</t>
  </si>
  <si>
    <t>Avage kõik ikoon rakendusega</t>
  </si>
  <si>
    <t>Avaa kaikki kuvakkeet</t>
  </si>
  <si>
    <t>Débloquez toutes les icônes avec</t>
  </si>
  <si>
    <t>इसके साथ सभी आइकन को अनलॉक करें</t>
  </si>
  <si>
    <t>Buka Kunci Semua Ikon dengan</t>
  </si>
  <si>
    <t>Sblocca tutte le icone con</t>
  </si>
  <si>
    <t>すべてのアイコンのロックを解除するには</t>
  </si>
  <si>
    <t>ដោះសោរូបតំណាងទាំងអស់ដោយប្រើ</t>
  </si>
  <si>
    <t>ಇದರೊಂದಿಗೆ ಎಲ್ಲಾ ಐಕಾನ್ ಅನ್ನು ಅನ್ಲಾಕ್ ಮಾಡಿ</t>
  </si>
  <si>
    <t>모든 아이콘 잠금 해제</t>
  </si>
  <si>
    <t>ປົດລັອກໄອຄອນທັງໝົດດ້ວຍ</t>
  </si>
  <si>
    <t>Atbloķēt visu ikonu ar</t>
  </si>
  <si>
    <t>Buka kunci Semua Ikon dengan</t>
  </si>
  <si>
    <t>Ontgrendel alle pictogrammen met</t>
  </si>
  <si>
    <t>Odblokuj wszystkie ikony za pomocą</t>
  </si>
  <si>
    <t>Desbloquear todos os ícones com</t>
  </si>
  <si>
    <t>Разблокировать все значки с помощью</t>
  </si>
  <si>
    <t>ปลดล็อคไอคอนทั้งหมดด้วย</t>
  </si>
  <si>
    <t>Tüm Simgelerin Kilidini Aç</t>
  </si>
  <si>
    <t>Розблокувати всі значки за допомогою</t>
  </si>
  <si>
    <t>解锁所有图标</t>
  </si>
  <si>
    <t>Mở khóa tất cả biểu tượng với</t>
  </si>
  <si>
    <t>Unlock Icon with</t>
  </si>
  <si>
    <t>فتح أيقونة مع</t>
  </si>
  <si>
    <t>Odemknout ikonu pomocí</t>
  </si>
  <si>
    <t>Entsperren Sie das Symbol mit</t>
  </si>
  <si>
    <t>Ξεκλείδωμα εικονίδιο με</t>
  </si>
  <si>
    <t>Desbloquear icono con</t>
  </si>
  <si>
    <t>Avage ikoon rakendusega</t>
  </si>
  <si>
    <t>Avaa kuvake</t>
  </si>
  <si>
    <t>Déverrouiller l'icône avec</t>
  </si>
  <si>
    <t>के साथ आइकन अनलॉक करें</t>
  </si>
  <si>
    <t>Buka Kunci Ikon dengan</t>
  </si>
  <si>
    <t>Sblocca l'icona con</t>
  </si>
  <si>
    <t>アイコンのロックを解除する</t>
  </si>
  <si>
    <t>ដោះសោរូបតំណាងជាមួយ</t>
  </si>
  <si>
    <t>ಇದರೊಂದಿಗೆ ಅನ್‌ಲಾಕ್ ಐಕಾನ್</t>
  </si>
  <si>
    <t>아이콘 잠금 해제</t>
  </si>
  <si>
    <t>ປົດລັອກໄອຄອນດ້ວຍ</t>
  </si>
  <si>
    <t>Atbloķēt ikonu ar</t>
  </si>
  <si>
    <t>Buka kunci Ikon dengan</t>
  </si>
  <si>
    <t>Ontgrendel icoon met</t>
  </si>
  <si>
    <t>Odblokuj ikonę za pomocą</t>
  </si>
  <si>
    <t>Desbloquear ícone com</t>
  </si>
  <si>
    <t>Разблокировать значок с помощью</t>
  </si>
  <si>
    <t>ปลดล็อคไอคอนด้วย</t>
  </si>
  <si>
    <t>Simgenin kilidini aç</t>
  </si>
  <si>
    <t>Значок розблокування за допомогою</t>
  </si>
  <si>
    <t>解锁图标与</t>
  </si>
  <si>
    <t>Biểu tượng mở khóa bằng</t>
  </si>
  <si>
    <t>باستخدام السمات اللطيفة، يمكنك بسهولة تغيير سمة هاتفك وأيقونات التطبيقات والأدوات والخلفيات</t>
  </si>
  <si>
    <t>Pomocí roztomilých motivů můžete snadno změnit motiv telefonu, ikony aplikací, widgety a tapety</t>
  </si>
  <si>
    <t>Mit „Cute Themes“ können Sie das Design, die App-Symbole, Widgets und Hintergrundbilder Ihres Telefons ganz einfach ändern</t>
  </si>
  <si>
    <t>Με τα Cute Themes, μπορείτε εύκολα να αλλάξετε το θέμα του τηλεφώνου σας, τα εικονίδια εφαρμογών, τα γραφικά στοιχεία και τις ταπετσαρίες</t>
  </si>
  <si>
    <t>Con Cute Themes, puedes cambiar fácilmente el tema, los íconos de aplicaciones, los widgets y los fondos de pantalla de tu teléfono.</t>
  </si>
  <si>
    <t>Armsate teemade abil saate hõlpsasti muuta oma telefoni teemat, rakenduste ikoone, vidinaid ja taustapilte</t>
  </si>
  <si>
    <t>Söpöjen teemojen avulla voit helposti vaihtaa puhelimesi teemaa, sovelluskuvakkeita, widgetejä ja taustakuvia</t>
  </si>
  <si>
    <t>Avec Thèmes mignons, vous pouvez facilement modifier le thème, les icônes d'application, les widgets et les fonds d'écran de votre téléphone</t>
  </si>
  <si>
    <t>क्यूट थीम के साथ, आप आसानी से अपने फोन की थीम, ऐप आइकन, विजेट और वॉलपेपर बदल सकते हैं</t>
  </si>
  <si>
    <t>Dengan Tema Lucu, Anda dapat dengan mudah mengubah tema, ikon aplikasi, widget, dan wallpaper ponsel Anda</t>
  </si>
  <si>
    <t>Con Temi carini puoi cambiare facilmente il tema del tuo telefono, le icone delle app, i widget e gli sfondi</t>
  </si>
  <si>
    <t>かわいいテーマを使用すると、携帯電話のテーマ、アプリアイコン、ウィジェット、壁紙を簡単に変更できます</t>
  </si>
  <si>
    <t>ជាមួយនឹងរូបរាង Cute អ្នកអាចផ្លាស់ប្តូររូបរាង រូបតំណាងកម្មវិធី ធាតុក្រាហ្វិក និងផ្ទាំងរូបភាពរបស់ទូរសព្ទអ្នកបានយ៉ាងងាយស្រួល</t>
  </si>
  <si>
    <t>ಮುದ್ದಾದ ಥೀಮ್‌ಗಳೊಂದಿಗೆ, ನಿಮ್ಮ ಫೋನ್‌ನ ಥೀಮ್, ಅಪ್ಲಿಕೇಶನ್ ಐಕಾನ್‌ಗಳು, ವಿಜೆಟ್‌ಗಳು ಮತ್ತು ವಾಲ್‌ಪೇಪರ್‌ಗಳನ್ನು ನೀವು ಸುಲಭವಾಗಿ ಬದಲಾಯಿಸಬಹುದು</t>
  </si>
  <si>
    <t>귀여운 테마를 사용하면 휴대전화의 테마, 앱 아이콘, 위젯, 배경화면을 쉽게 변경할 수 있습니다.</t>
  </si>
  <si>
    <t>ດ້ວຍຮູບແບບສີສັນໜ້າຮັກ, ທ່ານສາມາດປ່ຽນຮູບແບບສີສັນຂອງໂທລະສັບ, ໄອຄອນແອັບ, ວິດເຈັດ ແລະຮູບວໍເປເປີໄດ້ຢ່າງງ່າຍດາຍ.</t>
  </si>
  <si>
    <t>Izmantojot jaukus motīvus, varat viegli mainīt tālruņa motīvu, lietotņu ikonas, logrīkus un fona attēlus</t>
  </si>
  <si>
    <t>Dengan Tema Comel, anda boleh menukar tema, ikon apl, widget dan kertas dinding telefon anda dengan mudah</t>
  </si>
  <si>
    <t>Met Leuke Thema's kunt u eenvoudig het thema, app-pictogrammen, widgets en achtergronden van uw telefoon wijzigen</t>
  </si>
  <si>
    <t>Dzięki Ślicznym motywom możesz łatwo zmienić motyw, ikony aplikacji, widżety i tapety swojego telefonu</t>
  </si>
  <si>
    <t>Com Cute Themes, você pode alterar facilmente o tema, ícones de aplicativos, widgets e papéis de parede do seu telefone</t>
  </si>
  <si>
    <t>С помощью Cute Themes вы можете легко изменить тему своего телефона, значки приложений, виджеты и обои.</t>
  </si>
  <si>
    <t>ด้วยธีมน่ารัก คุณสามารถเปลี่ยนธีม ไอคอนแอป วิดเจ็ต และวอลเปเปอร์ของโทรศัพท์ได้อย่างง่ายดาย</t>
  </si>
  <si>
    <t>Sevimli Temalar ile telefonunuzun temasını, uygulama simgelerini, widget'larını ve duvar kağıtlarını kolayca değiştirebilirsiniz.</t>
  </si>
  <si>
    <t>За допомогою Cute Themes ви можете легко змінити тему свого телефону, значки програм, віджети та шпалери</t>
  </si>
  <si>
    <t>使用可爱主题，您可以轻松更改手机的主题、应用程序图标、小部件和壁纸</t>
  </si>
  <si>
    <t>Với Chủ đề dễ thương, bạn có thể dễ dàng thay đổi chủ đề, biểu tượng ứng dụng, tiện ích và hình nền của điện thoại</t>
  </si>
  <si>
    <t>مرحبا بكم في المواضيع لطيف!</t>
  </si>
  <si>
    <t>Vítejte v Cute Themes!</t>
  </si>
  <si>
    <t>Willkommen bei Cute Themes!</t>
  </si>
  <si>
    <t>Καλώς ήρθατε στο Cute Themes!</t>
  </si>
  <si>
    <t>¡Bienvenido a Temas Lindos!</t>
  </si>
  <si>
    <t>Tere tulemast armsate teemade juurde!</t>
  </si>
  <si>
    <t>Tervetuloa söpöihin teemoihin!</t>
  </si>
  <si>
    <t>Bienvenue sur les thèmes mignons !</t>
  </si>
  <si>
    <t>क्यूट थीम्स में आपका स्वागत है!</t>
  </si>
  <si>
    <t>Selamat Datang di Tema Lucu!</t>
  </si>
  <si>
    <t>Benvenuto in Temi carini!</t>
  </si>
  <si>
    <t>かわいいテーマへようこそ!</t>
  </si>
  <si>
    <t>សូមស្វាគមន៍មកកាន់ Cute Themes!</t>
  </si>
  <si>
    <t>ಮುದ್ದಾದ ಥೀಮ್‌ಗಳಿಗೆ ಸುಸ್ವಾಗತ!</t>
  </si>
  <si>
    <t>귀여운 테마에 오신 것을 환영합니다!</t>
  </si>
  <si>
    <t>ຍິນດີຕ້ອນຮັບສູ່ຫົວຂໍ້ໜ້າຮັກ!</t>
  </si>
  <si>
    <t>Laipni lūdzam jaukās tēmās!</t>
  </si>
  <si>
    <t>Selamat datang ke Tema Comel!</t>
  </si>
  <si>
    <t>Welkom bij Leuke Thema's!</t>
  </si>
  <si>
    <t>Witamy w uroczych motywach!</t>
  </si>
  <si>
    <t>Bem-vindo ao Temas Fofos!</t>
  </si>
  <si>
    <t>Добро пожаловать в Симпатичные темы!</t>
  </si>
  <si>
    <t>ยินดีต้อนรับสู่ธีมน่ารัก!</t>
  </si>
  <si>
    <t>Sevimli Temalara Hoş Geldiniz!</t>
  </si>
  <si>
    <t>Ласкаво просимо до Cute Themes!</t>
  </si>
  <si>
    <t>欢迎来到可爱的主题！</t>
  </si>
  <si>
    <t>Chào mừng đến với Chủ đề dễ thương!</t>
  </si>
  <si>
    <t>اجعل أيقونات تطبيقاتك بارزة</t>
  </si>
  <si>
    <t>Nechte své ikony aplikací vyniknout</t>
  </si>
  <si>
    <t>Heben Sie Ihre App-Symbole hervor</t>
  </si>
  <si>
    <t>Κάντε τα εικονίδια της εφαρμογής σας να ξεχωρίζουν</t>
  </si>
  <si>
    <t>Haga que los íconos de su aplicación se destaquen</t>
  </si>
  <si>
    <t>Muutke oma rakenduste ikoonid silmapaistvaks</t>
  </si>
  <si>
    <t>Tee sovelluskuvakkeistasi erottuvia</t>
  </si>
  <si>
    <t>Faites ressortir les icônes de vos applications</t>
  </si>
  <si>
    <t>अपने ऐप आइकन को अलग बनाएं</t>
  </si>
  <si>
    <t>Jadikan Ikon Aplikasi Anda Menonjol</t>
  </si>
  <si>
    <t>Fai risaltare le icone delle tue app</t>
  </si>
  <si>
    <t>アプリのアイコンを目立たせる</t>
  </si>
  <si>
    <t>ធ្វើឱ្យរូបតំណាងកម្មវិធីរបស់អ្នកលេចធ្លោ</t>
  </si>
  <si>
    <t>ನಿಮ್ಮ ಅಪ್ಲಿಕೇಶನ್ ಐಕಾನ್‌ಗಳನ್ನು ಎದ್ದು ಕಾಣುವಂತೆ ಮಾಡಿ</t>
  </si>
  <si>
    <t>앱 아이콘을 눈에 띄게 만드세요</t>
  </si>
  <si>
    <t>ເຮັດໃຫ້ໄອຄອນແອັບຂອງທ່ານໂດດເດັ່ນ</t>
  </si>
  <si>
    <t>Izceliet savas lietotņu ikonas</t>
  </si>
  <si>
    <t>Jadikan Ikon Apl Anda Terserlah</t>
  </si>
  <si>
    <t>Zorg ervoor dat uw app-pictogrammen opvallen</t>
  </si>
  <si>
    <t>Spraw, aby ikony Twojej aplikacji wyróżniały się</t>
  </si>
  <si>
    <t>Faça com que os ícones do seu aplicativo se destaquem</t>
  </si>
  <si>
    <t>Сделайте значки ваших приложений выделяющимися</t>
  </si>
  <si>
    <t>ทำให้ไอคอนแอปของคุณโดดเด่น</t>
  </si>
  <si>
    <t>Uygulama Simgelerinizi Öne Çıkarın</t>
  </si>
  <si>
    <t>Зробіть свої піктограми додатків виділяючими</t>
  </si>
  <si>
    <t>让您的应用程序图标脱颖而出</t>
  </si>
  <si>
    <t>Làm cho biểu tượng ứng dụng của bạn nổi bật</t>
  </si>
  <si>
    <t>تقدم Cute Themes الآلاف من أيقونات التطبيقات الجميلة والفريدة من نوعها للاختيار من بينها</t>
  </si>
  <si>
    <t>Cute Themes nabízí tisíce krásných a jedinečných ikon aplikací, ze kterých si můžete vybrat</t>
  </si>
  <si>
    <t>Cute Themes bietet Tausende wunderschöner und einzigartiger App-Symbole zur Auswahl</t>
  </si>
  <si>
    <t>Το Cute Themes προσφέρει χιλιάδες όμορφα και μοναδικά εικονίδια εφαρμογών για να διαλέξετε</t>
  </si>
  <si>
    <t>Cute Themes ofrece miles de íconos de aplicaciones hermosos y únicos para elegir</t>
  </si>
  <si>
    <t>Armsad teemad pakuvad tuhandete kaunite ja ainulaadsete rakenduste ikoone, mille vahel valida</t>
  </si>
  <si>
    <t>Söpöt teemat tarjoavat tuhansia kauniita ja ainutlaatuisia sovelluskuvakkeita, joista valita</t>
  </si>
  <si>
    <t>Cute Themes propose des milliers d'icônes d'application magnifiques et uniques parmi lesquelles choisir</t>
  </si>
  <si>
    <t>क्यूट थीम्स चुनने के लिए हजारों सुंदर और अद्वितीय ऐप आइकन प्रदान करता है</t>
  </si>
  <si>
    <t>Tema Lucu menawarkan ribuan ikon aplikasi cantik dan unik untuk dipilih</t>
  </si>
  <si>
    <t>Temi carini offre migliaia di icone di app bellissime e uniche tra cui scegliere</t>
  </si>
  <si>
    <t>Cute Themes は、何千もの美しくユニークなアプリアイコンから選択できます</t>
  </si>
  <si>
    <t>Cute Themes ផ្តល់ជូននូវរូបតំណាងកម្មវិធីដ៏ស្រស់ស្អាត និងប្លែកៗរាប់ពាន់ដើម្បីជ្រើសរើស</t>
  </si>
  <si>
    <t>ಮುದ್ದಾದ ಥೀಮ್‌ಗಳು ಆಯ್ಕೆ ಮಾಡಲು ಸಾವಿರಾರು ಸುಂದರವಾದ ಮತ್ತು ಅನನ್ಯ ಅಪ್ಲಿಕೇಶನ್ ಐಕಾನ್‌ಗಳನ್ನು ನೀಡುತ್ತದೆ</t>
  </si>
  <si>
    <t>귀여운 테마는 선택할 수 있는 수천 개의 아름답고 독특한 앱 아이콘을 제공합니다.</t>
  </si>
  <si>
    <t>ຮູບແບບສີສັນໜ້າຮັກມີໄອຄອນແອັບທີ່ສວຍງາມ ແລະ ເປັນເອກະລັກຫຼາຍພັນຮູບໃຫ້ເລືອກ</t>
  </si>
  <si>
    <t>Jauki motīvi piedāvā tūkstošiem skaistu un unikālu lietotņu ikonu, no kurām izvēlēties</t>
  </si>
  <si>
    <t>Tema Comel menawarkan beribu-ribu ikon aplikasi yang cantik dan unik untuk dipilih</t>
  </si>
  <si>
    <t>Cute Themes biedt duizenden prachtige en unieke app-pictogrammen om uit te kiezen</t>
  </si>
  <si>
    <t>Śliczne motywy oferują tysiące pięknych i unikalnych ikon aplikacji do wyboru</t>
  </si>
  <si>
    <t>Cute Themes oferece milhares de ícones de aplicativos lindos e exclusivos para você escolher</t>
  </si>
  <si>
    <t>Cute Themes предлагает тысячи красивых и уникальных значков приложений на выбор.</t>
  </si>
  <si>
    <t>ธีมน่ารักมีไอคอนแอปที่สวยงามและเป็นเอกลักษณ์นับพันให้เลือก</t>
  </si>
  <si>
    <t>Sevimli Temalar, aralarından seçim yapabileceğiniz binlerce güzel ve benzersiz uygulama simgesi sunuyor</t>
  </si>
  <si>
    <t>Cute Themes пропонує тисячі красивих і унікальних піктограм програм на вибір</t>
  </si>
  <si>
    <t>可爱的主题提供数以千计的美丽和独特的应用程序图标可供选择</t>
  </si>
  <si>
    <t>Chủ đề dễ thương cung cấp hàng nghìn biểu tượng ứng dụng đẹp và độc đáo để bạn lựa chọn</t>
  </si>
  <si>
    <t>الحاجيات التي تناسب احتياجاتك</t>
  </si>
  <si>
    <t>Widgety, které vyhovují vašim potřebám</t>
  </si>
  <si>
    <t>Widgets, die Ihren Anforderungen entsprechen</t>
  </si>
  <si>
    <t>Widgets που ταιριάζουν στις ανάγκες σας</t>
  </si>
  <si>
    <t>Widgets que se adaptan a sus necesidades</t>
  </si>
  <si>
    <t>Teie vajadustele vastavad vidinad</t>
  </si>
  <si>
    <t>Widgetit, jotka sopivat tarpeisiisi</t>
  </si>
  <si>
    <t>Des widgets adaptés à vos besoins</t>
  </si>
  <si>
    <t>विजेट जो आपकी आवश्यकताओं के अनुरूप हों</t>
  </si>
  <si>
    <t>Widget yang Sesuai Kebutuhan Anda</t>
  </si>
  <si>
    <t>Widget adatti alle tue esigenze</t>
  </si>
  <si>
    <t>ニーズに合ったウィジェット</t>
  </si>
  <si>
    <t>ធាតុក្រាហ្វិកដែលសមនឹងតម្រូវការរបស់អ្នក។</t>
  </si>
  <si>
    <t>ನಿಮ್ಮ ಅಗತ್ಯಗಳಿಗೆ ಸರಿಹೊಂದುವ ವಿಜೆಟ್‌ಗಳು</t>
  </si>
  <si>
    <t>귀하의 요구에 맞는 위젯</t>
  </si>
  <si>
    <t>Widgets ທີ່​ເຫມາະ​ສົມ​ກັບ​ຄວາມ​ຕ້ອງ​ການ​ຂອງ​ທ່ານ​</t>
  </si>
  <si>
    <t>Logrīki, kas atbilst jūsu vajadzībām</t>
  </si>
  <si>
    <t>Widget Yang Sesuai dengan Keperluan Anda</t>
  </si>
  <si>
    <t>Widgets die aan uw behoeften voldoen</t>
  </si>
  <si>
    <t>Widżety dopasowane do Twoich potrzeb</t>
  </si>
  <si>
    <t>Widgets que atendem às suas necessidades</t>
  </si>
  <si>
    <t>Виджеты, которые соответствуют вашим потребностям</t>
  </si>
  <si>
    <t>วิดเจ็ตที่เหมาะกับความต้องการของคุณ</t>
  </si>
  <si>
    <t>İhtiyaçlarınıza Uygun Widget'lar</t>
  </si>
  <si>
    <t>Віджети, які відповідають вашим потребам</t>
  </si>
  <si>
    <t>满足您需求的小部件</t>
  </si>
  <si>
    <t>Widget phù hợp với nhu cầu của bạn</t>
  </si>
  <si>
    <t>توفر Cute Themes مجموعة متنوعة من الأدوات للاختيار من بينها، بدءًا من الساعات والطقس والأخبار وحتى تطبيقاتك المفضلة.</t>
  </si>
  <si>
    <t>Cute Themes nabízí řadu widgetů, ze kterých si můžete vybrat, od hodin, počasí a zpráv až po vaše oblíbené aplikace.</t>
  </si>
  <si>
    <t>Cute Themes bietet eine Vielzahl von Widgets zur Auswahl, von Uhren, Wetter und Nachrichten bis hin zu Ihren Lieblings-Apps.</t>
  </si>
  <si>
    <t>Το Cute Themes προσφέρει μια ποικιλία γραφικών στοιχείων για να διαλέξετε, από ρολόγια, καιρός και ειδήσεις έως τις αγαπημένες σας εφαρμογές.</t>
  </si>
  <si>
    <t>Cute Themes ofrece una variedad de widgets para elegir, desde relojes, clima y noticias hasta tus aplicaciones favoritas.</t>
  </si>
  <si>
    <t>Armsad teemad pakuvad erinevaid vidinaid kelladest, ilmateadetest ja uudistest kuni lemmikrakendusteni.</t>
  </si>
  <si>
    <t>Cute Themes tarjoaa erilaisia ​​widgetejä, joista valita kelloista, säästä ja uutisista suosikkisovelluksiisi.</t>
  </si>
  <si>
    <t>Cute Themes propose une variété de widgets parmi lesquels choisir, allant des horloges, de la météo et des actualités à vos applications préférées.</t>
  </si>
  <si>
    <t>क्यूट थीम्स घड़ियों, मौसम और समाचार से लेकर आपके पसंदीदा ऐप्स तक चुनने के लिए विभिन्न प्रकार के विजेट प्रदान करता है।</t>
  </si>
  <si>
    <t>Tema Lucu menawarkan beragam widget untuk dipilih, mulai dari jam, cuaca, dan berita hingga aplikasi favorit Anda.</t>
  </si>
  <si>
    <t>Temi carini offre una varietà di widget tra cui scegliere, da orologi, meteo e notizie alle tue app preferite.</t>
  </si>
  <si>
    <t>Cute Themes では、時計、天気、ニュースからお気に入りのアプリまで、さまざまなウィジェットから選択できます。</t>
  </si>
  <si>
    <t>Cute Themes ផ្តល់ជូននូវធាតុក្រាហ្វិកជាច្រើនប្រភេទដើម្បីជ្រើសរើស ចាប់ពីម៉ោង អាកាសធាតុ និងព័ត៌មានទៅកាន់កម្មវិធីដែលអ្នកចូលចិត្ត។</t>
  </si>
  <si>
    <t>ಮುದ್ದಾದ ಥೀಮ್‌ಗಳು ಗಡಿಯಾರಗಳು, ಹವಾಮಾನ ಮತ್ತು ಸುದ್ದಿಗಳಿಂದ ನಿಮ್ಮ ಮೆಚ್ಚಿನ ಅಪ್ಲಿಕೇಶನ್‌ಗಳಿಗೆ ಆಯ್ಕೆ ಮಾಡಲು ವಿವಿಧ ವಿಜೆಟ್‌ಗಳನ್ನು ನೀಡುತ್ತದೆ.</t>
  </si>
  <si>
    <t>Cute Themes는 시계, 날씨, 뉴스부터 좋아하는 앱까지 선택할 수 있는 다양한 위젯을 제공합니다.</t>
  </si>
  <si>
    <t>ຮູບແບບສີສັນໜ້າຮັກມີ widget ຫຼາກຫຼາຍໃຫ້ເລືອກ, ຈາກໂມງ, ສະພາບອາກາດ, ແລະຂ່າວໄປຫາແອັບທີ່ທ່ານມັກ.</t>
  </si>
  <si>
    <t>Jauki motīvi piedāvā dažādus logrīkus, no kuriem izvēlēties, sākot no pulksteņiem, laikapstākļiem un ziņām līdz jūsu iecienītākajām lietotnēm.</t>
  </si>
  <si>
    <t>Tema Comel menawarkan pelbagai widget untuk dipilih, daripada jam, cuaca dan berita kepada apl kegemaran anda.</t>
  </si>
  <si>
    <t>Cute Themes biedt een verscheidenheid aan widgets om uit te kiezen, van klokken, weer en nieuws tot je favoriete apps.</t>
  </si>
  <si>
    <t>Śliczne motywy oferują różnorodne widżety do wyboru, od zegarów, pogody i wiadomości po ulubione aplikacje.</t>
  </si>
  <si>
    <t>Cute Themes oferece uma variedade de widgets para você escolher, desde relógios, previsão do tempo e notícias até seus aplicativos favoritos.</t>
  </si>
  <si>
    <t>Cute Themes предлагает на выбор множество виджетов: от часов, погоды и новостей до ваших любимых приложений.</t>
  </si>
  <si>
    <t>ธีมน่ารักมีวิดเจ็ตหลากหลายให้เลือก ตั้งแต่นาฬิกา สภาพอากาศ ข่าวสาร ไปจนถึงแอปโปรดของคุณ</t>
  </si>
  <si>
    <t>Sevimli Temalar saatler, hava durumu ve haberlerden favori uygulamalarınıza kadar seçebileceğiniz çeşitli widget'lar sunar.</t>
  </si>
  <si>
    <t>Cute Themes пропонує різноманітні віджети на вибір, від годинника, погоди та новин до ваших улюблених програм.</t>
  </si>
  <si>
    <t>可爱的主题提供了多种小部件可供选择，从时钟、天气、新闻到您最喜欢的应用程序。</t>
  </si>
  <si>
    <t>Chủ đề dễ thương cung cấp nhiều tiện ích để bạn lựa chọn, từ đồng hồ, thời tiết và tin tức cho đến các ứng dụng yêu thích của bạn.</t>
  </si>
  <si>
    <t>خلفيات 4K: ارفع مستوى جهازك!</t>
  </si>
  <si>
    <t>4K tapety: pozvedněte své zařízení!</t>
  </si>
  <si>
    <t>4K-Hintergründe: Werten Sie Ihr Gerät auf!</t>
  </si>
  <si>
    <t>Wallpapers 4K: Ανεβάστε τη συσκευή σας!</t>
  </si>
  <si>
    <t>Fondos de pantalla 4K: ¡Mejora tu dispositivo!</t>
  </si>
  <si>
    <t>4K taustapildid: tõstke oma seade kõrgemale!</t>
  </si>
  <si>
    <t>4K-taustakuvat: nosta laitettasi!</t>
  </si>
  <si>
    <t>Fonds d'écran 4K : améliorez votre appareil !</t>
  </si>
  <si>
    <t>4K वॉलपेपर: अपने डिवाइस को उन्नत करें!</t>
  </si>
  <si>
    <t>Wallpaper 4K: Tinggikan Perangkat Anda!</t>
  </si>
  <si>
    <t>Sfondi 4K: eleva il tuo dispositivo!</t>
  </si>
  <si>
    <t>4K 壁紙: デバイスを進化させましょう!</t>
  </si>
  <si>
    <t>ផ្ទាំងរូបភាព 4K៖ លើកឧបករណ៍របស់អ្នក!</t>
  </si>
  <si>
    <t>4K ವಾಲ್‌ಪೇಪರ್‌ಗಳು: ನಿಮ್ಮ ಸಾಧನವನ್ನು ಎತ್ತರಿಸಿ!</t>
  </si>
  <si>
    <t>4K 배경화면: 기기를 향상하세요!</t>
  </si>
  <si>
    <t>ພາບພື້ນຫຼັງ 4K: ຍົກລະດັບອຸປະກອນຂອງທ່ານ!</t>
  </si>
  <si>
    <t>4K fona attēli: paaugstiniet savu ierīci!</t>
  </si>
  <si>
    <t>Kertas Dinding 4K: Tingkatkan Peranti Anda!</t>
  </si>
  <si>
    <t>4K-achtergronden: verhoog uw apparaat!</t>
  </si>
  <si>
    <t>Tapety 4K: podnieś poziom swojego urządzenia!</t>
  </si>
  <si>
    <t>Papéis de parede 4K: eleve seu dispositivo!</t>
  </si>
  <si>
    <t>Обои 4K: усовершенствуйте свое устройство!</t>
  </si>
  <si>
    <t>วอลเปเปอร์ 4K: ยกระดับอุปกรณ์ของคุณ!</t>
  </si>
  <si>
    <t>4K Duvar Kağıtları: Cihazınızı Yükseltin!</t>
  </si>
  <si>
    <t>Шпалери 4K: вдосконалюйте свій пристрій!</t>
  </si>
  <si>
    <t>4K 壁纸：提升您的设备！</t>
  </si>
  <si>
    <t>Hình nền 4K: Nâng tầm thiết bị của bạn!</t>
  </si>
  <si>
    <t>اكتشف عالمًا من الخلفيات المذهلة ذات الدقة العالية جدًا، وستجد الصورة المثالية لك.</t>
  </si>
  <si>
    <t>Objevte svět dechberoucích tapet v ultra vysokém rozlišení, najdete dokonalý obrázek pro vás.</t>
  </si>
  <si>
    <t>Entdecken Sie eine Welt atemberaubender Hintergrundbilder in Ultra-High-Definition, Sie werden das perfekte Bild für sich finden.</t>
  </si>
  <si>
    <t>Ανακαλύψτε έναν κόσμο με ταπετσαρίες που κόβουν την ανάσα σε εξαιρετικά υψηλή ευκρίνεια, θα βρείτε την τέλεια εικόνα για εσάς.</t>
  </si>
  <si>
    <t>Descubre un mundo de impresionantes fondos de pantalla en ultra alta definición, encontrarás la imagen perfecta para ti.</t>
  </si>
  <si>
    <t>Avastage ülikõrglahutusega hingematvate taustapiltide maailm ja leiate endale sobivaima pildi.</t>
  </si>
  <si>
    <t>Tutustu henkeäsalpaavien ultra-teräväpiirtotaustakuvien maailmaan, löydät täydellisen kuvan sinulle.</t>
  </si>
  <si>
    <t>Découvrez un monde de fonds d'écran à couper le souffle en ultra haute définition, vous trouverez l'image parfaite pour vous.</t>
  </si>
  <si>
    <t>अल्ट्रा-हाई डेफिनिशन में लुभावने वॉलपेपर की दुनिया की खोज करें, आपको अपने लिए एकदम सही छवि मिलेगी।</t>
  </si>
  <si>
    <t>Temukan dunia wallpaper menakjubkan dalam definisi ultra-tinggi, Anda akan menemukan gambar yang sempurna untuk Anda.</t>
  </si>
  <si>
    <t>Scopri un mondo di sfondi mozzafiato in altissima definizione, troverai l'immagine perfetta per te.</t>
  </si>
  <si>
    <t>超高解像度の息を呑むような壁紙の世界を発見すれば、あなたにぴったりの画像が見つかります。</t>
  </si>
  <si>
    <t>ស្វែងយល់ពីពិភពនៃផ្ទាំងរូបភាពដ៏អស្ចារ្យនៅក្នុងនិយមន័យខ្ពស់ អ្នកនឹងរកឃើញរូបភាពដ៏ល្អឥតខ្ចោះសម្រាប់អ្នក។</t>
  </si>
  <si>
    <t>ಅಲ್ಟ್ರಾ-ಹೈ ಡೆಫಿನಿಷನ್‌ನಲ್ಲಿ ಉಸಿರುಕಟ್ಟುವ ವಾಲ್‌ಪೇಪರ್‌ಗಳ ಜಗತ್ತನ್ನು ಅನ್ವೇಷಿಸಿ, ನಿಮಗಾಗಿ ಪರಿಪೂರ್ಣ ಚಿತ್ರವನ್ನು ನೀವು ಕಂಡುಕೊಳ್ಳುತ್ತೀರಿ.</t>
  </si>
  <si>
    <t>초고해상도의 숨막히는 배경화면의 세계를 발견하고 자신에게 딱 맞는 이미지를 찾을 수 있습니다.</t>
  </si>
  <si>
    <t>ຄົ້ນພົບໂລກຂອງພາບພື້ນຫຼັງທີ່ໜ້າຕື່ນຕາຕື່ນໃຈໃນຄວາມລະອຽດສູງ, ທ່ານຈະພົບເຫັນຮູບພາບທີ່ສົມບູນແບບສໍາລັບທ່ານ.</t>
  </si>
  <si>
    <t>Atklājiet elpu aizraujošu tapešu pasauli īpaši augstā izšķirtspējā, un jūs atradīsit sev piemērotāko attēlu.</t>
  </si>
  <si>
    <t>Temui dunia kertas dinding yang menakjubkan dalam definisi ultra tinggi, anda akan menemui imej yang sesuai untuk anda.</t>
  </si>
  <si>
    <t>Ontdek een wereld van adembenemende achtergronden in ultrahoge definitie, u zult de perfecte afbeelding voor u vinden.</t>
  </si>
  <si>
    <t>Odkryj świat zapierających dech w piersiach tapet w ultrawysokiej rozdzielczości, a znajdziesz idealny obraz dla siebie.</t>
  </si>
  <si>
    <t>Descubra um mundo de papéis de parede de tirar o fôlego em ultra-alta definição e você encontrará a imagem perfeita para você.</t>
  </si>
  <si>
    <t>Откройте для себя мир захватывающих обоев в сверхвысоком разрешении и вы найдете идеальное изображение для себя.</t>
  </si>
  <si>
    <t>ค้นพบโลกแห่งวอลเปเปอร์ที่น่าทึ่งด้วยความคมชัดสูงเป็นพิเศษ คุณจะพบกับภาพที่สมบูรณ์แบบสำหรับคุณ</t>
  </si>
  <si>
    <t>Ultra yüksek çözünürlüklü, nefes kesen duvar kağıtlarından oluşan bir dünyayı keşfedin, sizin için mükemmel görüntüyü bulacaksınız.</t>
  </si>
  <si>
    <t>Відкрийте для себе світ захоплюючих шпалер у надвисокій роздільній здатності, ви знайдете ідеальне зображення для себе.</t>
  </si>
  <si>
    <t>探索令人惊叹的超高清壁纸世界，您会找到最适合您的图像。</t>
  </si>
  <si>
    <t>Khám phá thế giới hình nền ngoạn mục với độ phân giải cực cao, bạn sẽ tìm thấy hình ảnh hoàn hảo cho mình.</t>
  </si>
  <si>
    <t>لغة</t>
  </si>
  <si>
    <t>Jazyk</t>
  </si>
  <si>
    <t>Sprache</t>
  </si>
  <si>
    <t>Γλώσσα</t>
  </si>
  <si>
    <t>Idioma</t>
  </si>
  <si>
    <t>Keel</t>
  </si>
  <si>
    <t>Kieli</t>
  </si>
  <si>
    <t>Langue</t>
  </si>
  <si>
    <t>भाषा</t>
  </si>
  <si>
    <t>Lingua</t>
  </si>
  <si>
    <t>ಭಾಷೆ</t>
  </si>
  <si>
    <t>Valoda</t>
  </si>
  <si>
    <t>Taal</t>
  </si>
  <si>
    <t>Język</t>
  </si>
  <si>
    <t>Linguagem</t>
  </si>
  <si>
    <t>Язык</t>
  </si>
  <si>
    <t>Dil</t>
  </si>
  <si>
    <t>Мова</t>
  </si>
  <si>
    <t>araabia keel</t>
  </si>
  <si>
    <t>ភាសាអារ៉ាប់</t>
  </si>
  <si>
    <t>ອາຣັບ</t>
  </si>
  <si>
    <t>arābu</t>
  </si>
  <si>
    <t>bahasa arab</t>
  </si>
  <si>
    <t>арабська</t>
  </si>
  <si>
    <t>Tiếng Ả Rập</t>
  </si>
  <si>
    <t>ukrainlane</t>
  </si>
  <si>
    <t>ukrainalainen</t>
  </si>
  <si>
    <t>ウクライナ語</t>
  </si>
  <si>
    <t>អ៊ុយក្រែន</t>
  </si>
  <si>
    <t>ಉಕ್ರೇನಿಯನ್</t>
  </si>
  <si>
    <t>ukraiņu</t>
  </si>
  <si>
    <t>ภาษายูเครน</t>
  </si>
  <si>
    <t>українська</t>
  </si>
  <si>
    <t>Tiếng Ukraina</t>
  </si>
  <si>
    <t>türgi keel</t>
  </si>
  <si>
    <t>turkkilainen</t>
  </si>
  <si>
    <t>ಟರ್ಕಿಶ್</t>
  </si>
  <si>
    <t>터키어</t>
  </si>
  <si>
    <t>ຕວກກີ</t>
  </si>
  <si>
    <t>bahasa Turki</t>
  </si>
  <si>
    <t>ภาษาตุรกี</t>
  </si>
  <si>
    <t>турецька</t>
  </si>
  <si>
    <t>thajština</t>
  </si>
  <si>
    <t>Thailändisch</t>
  </si>
  <si>
    <t>Ταϊλανδός</t>
  </si>
  <si>
    <t>thaimaalainen</t>
  </si>
  <si>
    <t>タイ語</t>
  </si>
  <si>
    <t>ಥಾಯ್</t>
  </si>
  <si>
    <t>태국어</t>
  </si>
  <si>
    <t>ໄທ</t>
  </si>
  <si>
    <t>taju</t>
  </si>
  <si>
    <t>тайский</t>
  </si>
  <si>
    <t>Tay dili</t>
  </si>
  <si>
    <t>тайська</t>
  </si>
  <si>
    <t>hispaania keel</t>
  </si>
  <si>
    <t>ភាសាអេស្ប៉ាញ</t>
  </si>
  <si>
    <t>ಸ್ಪ್ಯಾನಿಷ್</t>
  </si>
  <si>
    <t>ແອສປາໂຍນ</t>
  </si>
  <si>
    <t>spāņu valoda</t>
  </si>
  <si>
    <t>bahasa Sepanyol</t>
  </si>
  <si>
    <t>สเปน</t>
  </si>
  <si>
    <t>Іспанська</t>
  </si>
  <si>
    <t>vene keel</t>
  </si>
  <si>
    <t>រុស្សី</t>
  </si>
  <si>
    <t>ರಷ್ಯನ್</t>
  </si>
  <si>
    <t>krievu valoda</t>
  </si>
  <si>
    <t>bahasa Rusia</t>
  </si>
  <si>
    <t>ภาษารัสเซีย</t>
  </si>
  <si>
    <t>Tiếng Nga</t>
  </si>
  <si>
    <t>portugali keel</t>
  </si>
  <si>
    <t>ព័រទុយហ្គាល់</t>
  </si>
  <si>
    <t>ພາສາປອກຕຸຍການ</t>
  </si>
  <si>
    <t>portugāļu</t>
  </si>
  <si>
    <t>โปรตุเกส</t>
  </si>
  <si>
    <t>португальська</t>
  </si>
  <si>
    <t>poola keel</t>
  </si>
  <si>
    <t>ប៉ូឡូញ</t>
  </si>
  <si>
    <t>poļu</t>
  </si>
  <si>
    <t>Poland</t>
  </si>
  <si>
    <t>Польский</t>
  </si>
  <si>
    <t>польський</t>
  </si>
  <si>
    <t>λετονική</t>
  </si>
  <si>
    <t>lätlane</t>
  </si>
  <si>
    <t>ラトビア語</t>
  </si>
  <si>
    <t>ឡាតវី</t>
  </si>
  <si>
    <t>ಲಟ್ವಿಯನ್</t>
  </si>
  <si>
    <t>latviski</t>
  </si>
  <si>
    <t>bahasa Latvia</t>
  </si>
  <si>
    <t>Lets</t>
  </si>
  <si>
    <t>ลัตเวีย</t>
  </si>
  <si>
    <t>Letonca</t>
  </si>
  <si>
    <t>латиська</t>
  </si>
  <si>
    <t>拉脱维亚语</t>
  </si>
  <si>
    <t>Laotisch</t>
  </si>
  <si>
    <t>laosiano</t>
  </si>
  <si>
    <t>Laotien</t>
  </si>
  <si>
    <t>Laotiano</t>
  </si>
  <si>
    <t>ラオ語</t>
  </si>
  <si>
    <t>ಲಾವೊ</t>
  </si>
  <si>
    <t>라오스</t>
  </si>
  <si>
    <t>Laosa</t>
  </si>
  <si>
    <t>Laotański</t>
  </si>
  <si>
    <t>Лаосский</t>
  </si>
  <si>
    <t>лаоський</t>
  </si>
  <si>
    <t>malajština</t>
  </si>
  <si>
    <t>Μαλαισίας</t>
  </si>
  <si>
    <t>malai</t>
  </si>
  <si>
    <t>malaiji</t>
  </si>
  <si>
    <t>マレー語</t>
  </si>
  <si>
    <t>malajiešu</t>
  </si>
  <si>
    <t>มาเลย์</t>
  </si>
  <si>
    <t>Malayca</t>
  </si>
  <si>
    <t>малайська</t>
  </si>
  <si>
    <t>Tiếng Mã Lai</t>
  </si>
  <si>
    <t>korea keel</t>
  </si>
  <si>
    <t>ಕೊರಿಯನ್</t>
  </si>
  <si>
    <t>korejiešu</t>
  </si>
  <si>
    <t>корейська</t>
  </si>
  <si>
    <t>khmerské</t>
  </si>
  <si>
    <t>jemer</t>
  </si>
  <si>
    <t>khmeerid</t>
  </si>
  <si>
    <t>khmerit</t>
  </si>
  <si>
    <t>クメール語</t>
  </si>
  <si>
    <t>크메르어</t>
  </si>
  <si>
    <t>ຂະເໝນ</t>
  </si>
  <si>
    <t>khmeru</t>
  </si>
  <si>
    <t>кхмерский</t>
  </si>
  <si>
    <t>เขมร</t>
  </si>
  <si>
    <t>Kmer</t>
  </si>
  <si>
    <t>кхмерська</t>
  </si>
  <si>
    <t>高棉语</t>
  </si>
  <si>
    <t>canarés</t>
  </si>
  <si>
    <t>カンナダ語</t>
  </si>
  <si>
    <t>កាណាដា</t>
  </si>
  <si>
    <t>ಕನ್ನಡ</t>
  </si>
  <si>
    <t>ແຄນນາດາ</t>
  </si>
  <si>
    <t>Kanada</t>
  </si>
  <si>
    <t>กันนาดา</t>
  </si>
  <si>
    <t>Kannadaca</t>
  </si>
  <si>
    <t>каннада</t>
  </si>
  <si>
    <t>Jaapani</t>
  </si>
  <si>
    <t>ជប៉ុន</t>
  </si>
  <si>
    <t>ພາສາຍີ່ປຸ່ນ</t>
  </si>
  <si>
    <t>japāņi</t>
  </si>
  <si>
    <t>ايطالي</t>
  </si>
  <si>
    <t>itaalia keel</t>
  </si>
  <si>
    <t>ಇಟಾಲಿಯನ್</t>
  </si>
  <si>
    <t>itāļu valoda</t>
  </si>
  <si>
    <t>Itali</t>
  </si>
  <si>
    <t>итальянский</t>
  </si>
  <si>
    <t>ภาษาอิตาลี</t>
  </si>
  <si>
    <t>італійська</t>
  </si>
  <si>
    <t>意大利语</t>
  </si>
  <si>
    <t>الاندونيسية</t>
  </si>
  <si>
    <t>Ινδονησιακά</t>
  </si>
  <si>
    <t>ಇಂಡೋನೇಷಿಯನ್</t>
  </si>
  <si>
    <t>Indonēziešu</t>
  </si>
  <si>
    <t>Endonezya dili</t>
  </si>
  <si>
    <t>індонезійська</t>
  </si>
  <si>
    <t>ฮินดี</t>
  </si>
  <si>
    <t>kreeka keel</t>
  </si>
  <si>
    <t>kreikkalainen</t>
  </si>
  <si>
    <t>ກຣີກ</t>
  </si>
  <si>
    <t>grieķu valoda</t>
  </si>
  <si>
    <t>bahasa Yunani</t>
  </si>
  <si>
    <t>греческий</t>
  </si>
  <si>
    <t>грецька</t>
  </si>
  <si>
    <t>saksa keel</t>
  </si>
  <si>
    <t>ಜರ್ಮನ್</t>
  </si>
  <si>
    <t>vācu</t>
  </si>
  <si>
    <t>เยอรมัน</t>
  </si>
  <si>
    <t>Tiếng Đức</t>
  </si>
  <si>
    <t>prantsuse keel</t>
  </si>
  <si>
    <t>फ़्रेंच</t>
  </si>
  <si>
    <t>ພາສາຝຣັ່ງ</t>
  </si>
  <si>
    <t>franču valoda</t>
  </si>
  <si>
    <t>французька</t>
  </si>
  <si>
    <t>finština</t>
  </si>
  <si>
    <t>soome keel</t>
  </si>
  <si>
    <t>ಫಿನ್ನಿಶ್</t>
  </si>
  <si>
    <t>핀란드어</t>
  </si>
  <si>
    <t>ຟິນແລນ</t>
  </si>
  <si>
    <t>somu</t>
  </si>
  <si>
    <t>bahasa Finland</t>
  </si>
  <si>
    <t>финский</t>
  </si>
  <si>
    <t>фінська</t>
  </si>
  <si>
    <t>Εσθονικά</t>
  </si>
  <si>
    <t>estonio</t>
  </si>
  <si>
    <t>eesti keel</t>
  </si>
  <si>
    <t>エストニア語</t>
  </si>
  <si>
    <t>ಎಸ್ಟೋನಿಯನ್</t>
  </si>
  <si>
    <t>ເອສໂຕເນຍ</t>
  </si>
  <si>
    <t>igauņu</t>
  </si>
  <si>
    <t>bahasa Estonia</t>
  </si>
  <si>
    <t>Ests</t>
  </si>
  <si>
    <t>Estonyalı</t>
  </si>
  <si>
    <t>Естонська</t>
  </si>
  <si>
    <t>爱沙尼亚语</t>
  </si>
  <si>
    <t>hollandi keel</t>
  </si>
  <si>
    <t>ಡಚ್</t>
  </si>
  <si>
    <t>holandiešu valoda</t>
  </si>
  <si>
    <t>ภาษาดัตช์</t>
  </si>
  <si>
    <t>голландська</t>
  </si>
  <si>
    <t>荷兰语</t>
  </si>
  <si>
    <t>tšehhi</t>
  </si>
  <si>
    <t>Tšekki</t>
  </si>
  <si>
    <t>チェコ語</t>
  </si>
  <si>
    <t>ឆេក</t>
  </si>
  <si>
    <t>čehu</t>
  </si>
  <si>
    <t>bahasa Czech</t>
  </si>
  <si>
    <t>เช็ก</t>
  </si>
  <si>
    <t>чеська</t>
  </si>
  <si>
    <t>捷克语</t>
  </si>
  <si>
    <t>hiina keel</t>
  </si>
  <si>
    <t>ಚೈನೀಸ್</t>
  </si>
  <si>
    <t>ķīniešu</t>
  </si>
  <si>
    <t>cina</t>
  </si>
  <si>
    <t>китайський</t>
  </si>
  <si>
    <t>ភាសាអង់គ្លេស</t>
  </si>
  <si>
    <t>Inggeris</t>
  </si>
  <si>
    <t>англійська</t>
  </si>
  <si>
    <t>الفيتنامية</t>
  </si>
  <si>
    <t>Βιετναμέζικο</t>
  </si>
  <si>
    <t>vietnamlane</t>
  </si>
  <si>
    <t>ベトナム語</t>
  </si>
  <si>
    <t>វៀតណាម</t>
  </si>
  <si>
    <t>ವಿಯೆಟ್ನಾಮೀಸ್</t>
  </si>
  <si>
    <t>ຫວຽດນາມ</t>
  </si>
  <si>
    <t>vjetnamietis</t>
  </si>
  <si>
    <t>bahasa Vietnam</t>
  </si>
  <si>
    <t>ภาษาเวียดนาม</t>
  </si>
  <si>
    <t>в'єтнамська</t>
  </si>
  <si>
    <t>越南语</t>
  </si>
  <si>
    <t>تعيين الشاشة الرئيسية</t>
  </si>
  <si>
    <t>Nastavení domovské obrazovky</t>
  </si>
  <si>
    <t>Startbildschirm festlegen</t>
  </si>
  <si>
    <t>Ρύθμιση αρχικής οθόνης</t>
  </si>
  <si>
    <t>Establecer pantalla de inicio</t>
  </si>
  <si>
    <t>Avakuva seadistamine</t>
  </si>
  <si>
    <t>Aseta aloitusnäyttö</t>
  </si>
  <si>
    <t>Définir l'écran d'accueil</t>
  </si>
  <si>
    <t>होम स्क्रीन सेट करें</t>
  </si>
  <si>
    <t>Setel Layar Beranda</t>
  </si>
  <si>
    <t>Imposta la schermata iniziale</t>
  </si>
  <si>
    <t>ホーム画面の設定</t>
  </si>
  <si>
    <t>កំណត់អេក្រង់ដើម</t>
  </si>
  <si>
    <t>ಹೋಮ್ ಸ್ಕ್ರೀನ್ ಹೊಂದಿಸಿ</t>
  </si>
  <si>
    <t>홈 화면 설정</t>
  </si>
  <si>
    <t>ຕັ້ງໜ້າຈໍຫຼັກ</t>
  </si>
  <si>
    <t>Iestatīt sākuma ekrānu</t>
  </si>
  <si>
    <t>Tetapkan Skrin Utama</t>
  </si>
  <si>
    <t>Startscherm instellen</t>
  </si>
  <si>
    <t>Ustaw ekran główny</t>
  </si>
  <si>
    <t>Definir tela inicial</t>
  </si>
  <si>
    <t>Установить главный экран</t>
  </si>
  <si>
    <t>ตั้งค่าหน้าจอหลัก</t>
  </si>
  <si>
    <t>Ana Ekranı Ayarla</t>
  </si>
  <si>
    <t>Налаштувати головний екран</t>
  </si>
  <si>
    <t>设置主屏幕</t>
  </si>
  <si>
    <t>Thiết lập màn hình chính</t>
  </si>
  <si>
    <t>تعيين قفل الشاشة</t>
  </si>
  <si>
    <t>Nastavit uzamčení obrazovky</t>
  </si>
  <si>
    <t>Sperrbildschirm einstellen</t>
  </si>
  <si>
    <t>Ρύθμιση οθόνης κλειδώματος</t>
  </si>
  <si>
    <t>Establecer pantalla de bloqueo</t>
  </si>
  <si>
    <t>Määrake lukustuskuva</t>
  </si>
  <si>
    <t>Aseta lukitusnäyttö</t>
  </si>
  <si>
    <t>Définir l'écran de verrouillage</t>
  </si>
  <si>
    <t>लॉकस्क्रीन सेट करें</t>
  </si>
  <si>
    <t>Setel Layar Kunci</t>
  </si>
  <si>
    <t>Imposta schermata di blocco</t>
  </si>
  <si>
    <t>ロック画面を設定する</t>
  </si>
  <si>
    <t>កំណត់អេក្រង់ចាក់សោ</t>
  </si>
  <si>
    <t>ಲಾಕ್‌ಸ್ಕ್ರೀನ್ ಹೊಂದಿಸಿ</t>
  </si>
  <si>
    <t>잠금화면 설정</t>
  </si>
  <si>
    <t>ຕັ້ງ Lockscreen</t>
  </si>
  <si>
    <t>Iestatiet bloķēšanas ekrānu</t>
  </si>
  <si>
    <t>Tetapkan Skrin Kunci</t>
  </si>
  <si>
    <t>Vergrendelscherm instellen</t>
  </si>
  <si>
    <t>Ustaw ekran blokady</t>
  </si>
  <si>
    <t>Definir tela de bloqueio</t>
  </si>
  <si>
    <t>Установить экран блокировки</t>
  </si>
  <si>
    <t>ตั้งค่าหน้าจอล็อค</t>
  </si>
  <si>
    <t>Kilit Ekranını Ayarla</t>
  </si>
  <si>
    <t>Встановити екран блокування</t>
  </si>
  <si>
    <t>设置锁屏</t>
  </si>
  <si>
    <t>Đặt màn hình khóa</t>
  </si>
  <si>
    <t>ضع كلاهما</t>
  </si>
  <si>
    <t>Nastavte obojí</t>
  </si>
  <si>
    <t>Stellen Sie „Beide“ ein</t>
  </si>
  <si>
    <t>Ρυθμίστε και τα δύο</t>
  </si>
  <si>
    <t>Establecer ambos</t>
  </si>
  <si>
    <t>Määra mõlemad</t>
  </si>
  <si>
    <t>Aseta molemmat</t>
  </si>
  <si>
    <t>Définir les deux</t>
  </si>
  <si>
    <t>दोनों सेट करें</t>
  </si>
  <si>
    <t>Atur Keduanya</t>
  </si>
  <si>
    <t>Imposta entrambi</t>
  </si>
  <si>
    <t>両方を設定する</t>
  </si>
  <si>
    <t>កំណត់ទាំងពីរ</t>
  </si>
  <si>
    <t>ಎರಡನ್ನೂ ಹೊಂದಿಸಿ</t>
  </si>
  <si>
    <t>둘 다 설정</t>
  </si>
  <si>
    <t>ກໍານົດທັງສອງ</t>
  </si>
  <si>
    <t>Iestatiet abus</t>
  </si>
  <si>
    <t>Tetapkan Kedua-duanya</t>
  </si>
  <si>
    <t>Stel beide in</t>
  </si>
  <si>
    <t>Ustaw oba</t>
  </si>
  <si>
    <t>Definir ambos</t>
  </si>
  <si>
    <t>Установить оба</t>
  </si>
  <si>
    <t>ตั้งทั้งสองอย่าง</t>
  </si>
  <si>
    <t>Her İkisini de Ayarla</t>
  </si>
  <si>
    <t>Встановити обидва</t>
  </si>
  <si>
    <t>设置两者</t>
  </si>
  <si>
    <t>Đặt cả hai</t>
  </si>
  <si>
    <t>جارٍ تحميل الخلفية…</t>
  </si>
  <si>
    <t>Načítání tapety…</t>
  </si>
  <si>
    <t>Hintergrundbild wird geladen…</t>
  </si>
  <si>
    <t>Φόρτωση ταπετσαρίας…</t>
  </si>
  <si>
    <t>Cargando fondo de pantalla…</t>
  </si>
  <si>
    <t>Taustapildi laadimine…</t>
  </si>
  <si>
    <t>Ladataan taustakuvaa…</t>
  </si>
  <si>
    <t>Chargement du fond d'écran…</t>
  </si>
  <si>
    <t>वॉलपेपर लोड हो रहा है...</t>
  </si>
  <si>
    <t>Memuat wallpaper…</t>
  </si>
  <si>
    <t>Caricamento dello sfondo…</t>
  </si>
  <si>
    <t>壁紙を読み込んでいます…</t>
  </si>
  <si>
    <t>កំពុងផ្ទុកផ្ទាំងរូបភាព...</t>
  </si>
  <si>
    <t>ವಾಲ್‌ಪೇಪರ್ ಲೋಡ್ ಆಗುತ್ತಿದೆ...</t>
  </si>
  <si>
    <t>배경화면 로드 중…</t>
  </si>
  <si>
    <t>ກຳລັງໂຫຼດຮູບພື້ນຫຼັງ...</t>
  </si>
  <si>
    <t>Notiek fona tapetes ielāde…</t>
  </si>
  <si>
    <t>Memuatkan kertas dinding…</t>
  </si>
  <si>
    <t>Achtergrond laden...</t>
  </si>
  <si>
    <t>Ładowanie tapety…</t>
  </si>
  <si>
    <t>Carregando papel de parede…</t>
  </si>
  <si>
    <t>Загрузка обоев…</t>
  </si>
  <si>
    <t>กำลังโหลดวอลเปเปอร์...</t>
  </si>
  <si>
    <t>Duvar kağıdı yükleniyor…</t>
  </si>
  <si>
    <t>Завантаження шпалер…</t>
  </si>
  <si>
    <t>正在加载壁纸...</t>
  </si>
  <si>
    <t>Đang tải hình nền…</t>
  </si>
  <si>
    <t>تحميل…</t>
  </si>
  <si>
    <t>Načítání…</t>
  </si>
  <si>
    <t>Wird geladen…</t>
  </si>
  <si>
    <t>Φόρτωση…</t>
  </si>
  <si>
    <t>Cargando…</t>
  </si>
  <si>
    <t>Laadimine…</t>
  </si>
  <si>
    <t>Ladataan…</t>
  </si>
  <si>
    <t>Chargement…</t>
  </si>
  <si>
    <t>लोड हो रहा है…</t>
  </si>
  <si>
    <t>Memuat…</t>
  </si>
  <si>
    <t>Caricamento…</t>
  </si>
  <si>
    <t>読み込み中…</t>
  </si>
  <si>
    <t>កំពុង​ផ្ទុក...</t>
  </si>
  <si>
    <t>ಲೋಡ್ ಆಗುತ್ತಿದೆ...</t>
  </si>
  <si>
    <t>로드 중…</t>
  </si>
  <si>
    <t>ກຳລັງໂຫລດ...</t>
  </si>
  <si>
    <t>Notiek ielāde…</t>
  </si>
  <si>
    <t>Memuatkan…</t>
  </si>
  <si>
    <t>Bezig met laden…</t>
  </si>
  <si>
    <t>Ładowanie…</t>
  </si>
  <si>
    <t>Carregando…</t>
  </si>
  <si>
    <t>Загрузка…</t>
  </si>
  <si>
    <t>กำลังโหลด...</t>
  </si>
  <si>
    <t>Yükleniyor…</t>
  </si>
  <si>
    <t>Завантаження…</t>
  </si>
  <si>
    <t>加载中…</t>
  </si>
  <si>
    <t>Đang tải…</t>
  </si>
  <si>
    <t>جارٍ تحميل الإعلانات، برجاء الانتظار...</t>
  </si>
  <si>
    <t>Načítání reklam, čekejte prosím…</t>
  </si>
  <si>
    <t>Anzeigen werden geladen, bitte warten…</t>
  </si>
  <si>
    <t>Φόρτωση διαφημίσεων, περιμένετε…</t>
  </si>
  <si>
    <t>Cargando anuncios, por favor espere…</t>
  </si>
  <si>
    <t>Reklaamide laadimine, palun oodake…</t>
  </si>
  <si>
    <t>Ladataan mainoksia, odota…</t>
  </si>
  <si>
    <t>Chargement des annonces, veuillez patienter…</t>
  </si>
  <si>
    <t>विज्ञापन लोड हो रहे हैं, कृपया प्रतीक्षा करें...</t>
  </si>
  <si>
    <t>Memuat iklan, harap tunggu…</t>
  </si>
  <si>
    <t>Caricamento annunci, attendere...</t>
  </si>
  <si>
    <t>広告を読み込んでいます。お待ちください…</t>
  </si>
  <si>
    <t>កំពុងផ្ទុកការផ្សាយពាណិជ្ជកម្ម សូមរង់ចាំ...</t>
  </si>
  <si>
    <t>ಜಾಹೀರಾತುಗಳನ್ನು ಲೋಡ್ ಮಾಡಲಾಗುತ್ತಿದೆ, ದಯವಿಟ್ಟು ನಿರೀಕ್ಷಿಸಿ...</t>
  </si>
  <si>
    <t>광고를 로드하는 중입니다. 잠시 기다려 주세요…</t>
  </si>
  <si>
    <t>ກຳລັງໂຫລດໂຄສະນາ, ກະລຸນາລໍຖ້າ...</t>
  </si>
  <si>
    <t>Notiek reklāmu ielāde, lūdzu, uzgaidiet…</t>
  </si>
  <si>
    <t>Memuatkan iklan, sila tunggu…</t>
  </si>
  <si>
    <t>Advertenties worden geladen, een ogenblik geduld...</t>
  </si>
  <si>
    <t>Ładowanie reklam, proszę czekać…</t>
  </si>
  <si>
    <t>Carregando anúncios, aguarde…</t>
  </si>
  <si>
    <t>Загружается реклама, подождите…</t>
  </si>
  <si>
    <t>กำลังโหลดโฆษณา กรุณารอสักครู่...</t>
  </si>
  <si>
    <t>Reklamlar yükleniyor, lütfen bekleyin…</t>
  </si>
  <si>
    <t>Завантаження оголошень, зачекайте…</t>
  </si>
  <si>
    <t>正在加载广告，请稍候...</t>
  </si>
  <si>
    <t>Đang tải quảng cáo, vui lòng đợi...</t>
  </si>
  <si>
    <t>يوصى بالاحتفاظ بهذا الإشعار وإمكانية تحديث الأداة</t>
  </si>
  <si>
    <t>toto upozornění doporučujeme ponechat a widget lze aktualizovat</t>
  </si>
  <si>
    <t>Es wird empfohlen, diese Benachrichtigung beizubehalten und das Widget kann aktualisiert werden</t>
  </si>
  <si>
    <t>Συνιστάται να διατηρήσετε αυτήν την ειδοποίηση και το widget μπορεί να ενημερωθεί</t>
  </si>
  <si>
    <t>Se recomienda mantener esta notificación y el widget se puede actualizar.</t>
  </si>
  <si>
    <t>see märguanne on soovitatav alles jätta ja vidinat saab värskendada</t>
  </si>
  <si>
    <t>on suositeltavaa säilyttää tämä ilmoitus ja widget voidaan päivittää</t>
  </si>
  <si>
    <t>il est recommandé de conserver cette notification et le widget peut être mis à jour</t>
  </si>
  <si>
    <t>इस अधिसूचना को रखने की अनुशंसा की जाती है और विजेट को अपडेट किया जा सकता है</t>
  </si>
  <si>
    <t>disarankan agar notifikasi ______ widget ini tetap diperbarui</t>
  </si>
  <si>
    <t>si consiglia di mantenere questa notifica e il widget può essere aggiornato</t>
  </si>
  <si>
    <t>この通知は保存しておくことをお勧めします。ウィジェットは更新できます</t>
  </si>
  <si>
    <t>វាត្រូវបានណែនាំឱ្យរក្សាការជូនដំណឹងនេះ ហើយធាតុក្រាហ្វិកអាចត្រូវបានធ្វើបច្ចុប្បន្នភាព</t>
  </si>
  <si>
    <t>ಈ ಅಧಿಸೂಚನೆಯನ್ನು ಇರಿಸಿಕೊಳ್ಳಲು ಇದು ಶಿಫಾರಸು ಮಾಡುತ್ತದೆ ಮತ್ತು ವಿಜೆಟ್ ಅನ್ನು ನವೀಕರಿಸಬಹುದು</t>
  </si>
  <si>
    <t>이 알림을 유지하는 것이 좋습니다. 위젯은 업데이트될 수 있습니다.</t>
  </si>
  <si>
    <t>ມັນແນະນຳໃຫ້ເກັບຮັກສາການແຈ້ງເຕືອນນີ້ໄວ້ ແລະສາມາດອັບເດດ widget ໄດ້</t>
  </si>
  <si>
    <t>ieteicams paturēt šo paziņojumu, un logrīku var atjaunināt</t>
  </si>
  <si>
    <t>disyorkan untuk menyimpan pemberitahuan ini ______ widget boleh dikemas kini</t>
  </si>
  <si>
    <t>het is aan te raden deze melding te behouden en de widget kan worden bijgewerkt</t>
  </si>
  <si>
    <t>zaleca się zachowanie tego powiadomienia i możliwość aktualizacji widżetu</t>
  </si>
  <si>
    <t>é recomendável manter esta notificação e o widget pode ser atualizado</t>
  </si>
  <si>
    <t>рекомендуется сохранить это уведомление, виджет можно обновлять.</t>
  </si>
  <si>
    <t>ขอแนะนำให้เก็บการแจ้งเตือนนี้ไว้ ______ วิดเจ็ตสามารถอัปเดตได้</t>
  </si>
  <si>
    <t>Bu bildirimi saklamanız önerilir ve widget güncellenebilir</t>
  </si>
  <si>
    <t>Рекомендуємо зберегти це сповіщення, і віджет можна оновлювати</t>
  </si>
  <si>
    <t>建议保留此通知并且小部件可以更新</t>
  </si>
  <si>
    <t>bạn nên giữ thông báo này và tiện ích có thể được cập nhật</t>
  </si>
  <si>
    <t>تسوق الأحجار الكريمة</t>
  </si>
  <si>
    <t>Nakupujte drahokamy</t>
  </si>
  <si>
    <t>Edelsteine ​​kaufen</t>
  </si>
  <si>
    <t>Αγοράστε πολύτιμοι λίθοι</t>
  </si>
  <si>
    <t>Comprar gemas</t>
  </si>
  <si>
    <t>Ostke kalliskive</t>
  </si>
  <si>
    <t>Osta helmiä</t>
  </si>
  <si>
    <t>Achetez des pierres précieuses</t>
  </si>
  <si>
    <t>रत्नों की दुकान करें</t>
  </si>
  <si>
    <t>Belanja Permata</t>
  </si>
  <si>
    <t>Acquista gemme</t>
  </si>
  <si>
    <t>宝石を購入する</t>
  </si>
  <si>
    <t>ទិញត្បូង</t>
  </si>
  <si>
    <t>ರತ್ನಗಳನ್ನು ಖರೀದಿಸಿ</t>
  </si>
  <si>
    <t>보석 쇼핑하기</t>
  </si>
  <si>
    <t>ຊື້ເຄື່ອງແກ້ວປະເສີດ</t>
  </si>
  <si>
    <t>Pērciet dārgakmeņus</t>
  </si>
  <si>
    <t>Kedai Permata</t>
  </si>
  <si>
    <t>Winkel edelstenen</t>
  </si>
  <si>
    <t>Kupuj klejnoty</t>
  </si>
  <si>
    <t>Comprar joias</t>
  </si>
  <si>
    <t>Магазин драгоценных камней</t>
  </si>
  <si>
    <t>ร้านอัญมณี</t>
  </si>
  <si>
    <t>Mücevher Alışverişi</t>
  </si>
  <si>
    <t>Купуйте дорогоцінні камені</t>
  </si>
  <si>
    <t>购买宝石</t>
  </si>
  <si>
    <t>Mua đá quý</t>
  </si>
  <si>
    <t>هدية يومية</t>
  </si>
  <si>
    <t>Denní dárek</t>
  </si>
  <si>
    <t>Tägliches Geschenk</t>
  </si>
  <si>
    <t>Καθημερινό Δώρο</t>
  </si>
  <si>
    <t>Regalo diario</t>
  </si>
  <si>
    <t>Igapäevane kingitus</t>
  </si>
  <si>
    <t>Päivittäinen lahja</t>
  </si>
  <si>
    <t>Cadeau quotidien</t>
  </si>
  <si>
    <t>दैनिक उपहार</t>
  </si>
  <si>
    <t>Hadiah Harian</t>
  </si>
  <si>
    <t>Regalo quotidiano</t>
  </si>
  <si>
    <t>デイリーギフト</t>
  </si>
  <si>
    <t>អំណោយប្រចាំថ្ងៃ</t>
  </si>
  <si>
    <t>ದೈನಂದಿನ ಉಡುಗೊರೆ</t>
  </si>
  <si>
    <t>일일 선물</t>
  </si>
  <si>
    <t>ຂອງຂວັນປະຈໍາວັນ</t>
  </si>
  <si>
    <t>Ikdienas dāvana</t>
  </si>
  <si>
    <t>Dagelijks geschenk</t>
  </si>
  <si>
    <t>Codzienny prezent</t>
  </si>
  <si>
    <t>Presente Diário</t>
  </si>
  <si>
    <t>Ежедневный подарок</t>
  </si>
  <si>
    <t>ของขวัญประจำวัน</t>
  </si>
  <si>
    <t>Günlük Hediye</t>
  </si>
  <si>
    <t>Щоденний подарунок</t>
  </si>
  <si>
    <t>每日礼物</t>
  </si>
  <si>
    <t>Quà tặng hàng ngày</t>
  </si>
  <si>
    <t>قيمنا</t>
  </si>
  <si>
    <t>Ohodnoťte nás</t>
  </si>
  <si>
    <t>Bewerten Sie uns</t>
  </si>
  <si>
    <t>Βαθμολογήστε μας</t>
  </si>
  <si>
    <t>Nos califica</t>
  </si>
  <si>
    <t>Hinda meid</t>
  </si>
  <si>
    <t>Anna meille arvosana</t>
  </si>
  <si>
    <t>Évaluez nous</t>
  </si>
  <si>
    <t>हमें रेटिंग दें</t>
  </si>
  <si>
    <t>Nilai Kami</t>
  </si>
  <si>
    <t>Valutaci</t>
  </si>
  <si>
    <t>私たちを評価してください</t>
  </si>
  <si>
    <t>វាយតម្លៃពួកយើង</t>
  </si>
  <si>
    <t>ನಮ್ಮನ್ನು ರೇಟ್ ಮಾಡಿ</t>
  </si>
  <si>
    <t>우리를 평가해 주세요</t>
  </si>
  <si>
    <t>ໃຫ້ຄະແນນພວກເຮົາ</t>
  </si>
  <si>
    <t>Novērtē mūs</t>
  </si>
  <si>
    <t>Nilaikan Kami</t>
  </si>
  <si>
    <t>Beoordeel ons</t>
  </si>
  <si>
    <t>Oceń nas</t>
  </si>
  <si>
    <t>Nos avalie</t>
  </si>
  <si>
    <t>Оцените нас</t>
  </si>
  <si>
    <t>ให้คะแนนเรา</t>
  </si>
  <si>
    <t>Bizi değerlendirin</t>
  </si>
  <si>
    <t>Оцініть нас</t>
  </si>
  <si>
    <t>评价我们</t>
  </si>
  <si>
    <t>Đánh giá chúng tôi</t>
  </si>
  <si>
    <t>شاهد فيديو</t>
  </si>
  <si>
    <t>Koukni se na video</t>
  </si>
  <si>
    <t>Ein Video angucken</t>
  </si>
  <si>
    <t>Δες ένα βίντεο</t>
  </si>
  <si>
    <t>Ver un vídeo</t>
  </si>
  <si>
    <t>Vaadake videot</t>
  </si>
  <si>
    <t>Katso video</t>
  </si>
  <si>
    <t>Regarder une vidéo</t>
  </si>
  <si>
    <t>वीडियो देखो</t>
  </si>
  <si>
    <t>Tonton Video</t>
  </si>
  <si>
    <t>Guarda un video</t>
  </si>
  <si>
    <t>ビデオを見る</t>
  </si>
  <si>
    <t>មើលវីដេអូ</t>
  </si>
  <si>
    <t>ವೀಡಿಯೊವನ್ನು ವೀಕ್ಷಿಸಿ</t>
  </si>
  <si>
    <t>비디오 보기</t>
  </si>
  <si>
    <t>ເບິ່ງວິດີໂອ</t>
  </si>
  <si>
    <t>Skatieties video</t>
  </si>
  <si>
    <t>Een video kijken</t>
  </si>
  <si>
    <t>Obejrzyj wideo</t>
  </si>
  <si>
    <t>Assista um video</t>
  </si>
  <si>
    <t>Смотреть видео</t>
  </si>
  <si>
    <t>ชมวิดีโอ</t>
  </si>
  <si>
    <t>Bir video izle</t>
  </si>
  <si>
    <t>Переглянути відео</t>
  </si>
  <si>
    <t>观看视频</t>
  </si>
  <si>
    <t>Xem video</t>
  </si>
  <si>
    <t>شارك مع الاصدقاء</t>
  </si>
  <si>
    <t>Sdílet s přáteli</t>
  </si>
  <si>
    <t>Mit Freunden teilen</t>
  </si>
  <si>
    <t>Μοιράσου με φίλους</t>
  </si>
  <si>
    <t>Compartir con amigos</t>
  </si>
  <si>
    <t>Jaga sõpradega</t>
  </si>
  <si>
    <t>Jaa ystävien kanssa</t>
  </si>
  <si>
    <t>Partager avec des amis</t>
  </si>
  <si>
    <t>दोस्तों के साथ बांटें</t>
  </si>
  <si>
    <t>Bagikan dengan Teman</t>
  </si>
  <si>
    <t>Condividere con gli amici</t>
  </si>
  <si>
    <t>友人たちと分ける</t>
  </si>
  <si>
    <t>ចែករំលែកជាមួយមិត្តភក្តិ</t>
  </si>
  <si>
    <t>ಸ್ನೇಹಿತರೊಂದಿಗೆ ಹಂಚಿಕೊಳ್ಳಿ</t>
  </si>
  <si>
    <t>친구와 공유</t>
  </si>
  <si>
    <t>ແບ່ງປັນກັບຫມູ່ເພື່ອນ</t>
  </si>
  <si>
    <t>Dalīties ar draugiem</t>
  </si>
  <si>
    <t>Kongsi dengan kawan-kawan</t>
  </si>
  <si>
    <t>Delen met vrienden</t>
  </si>
  <si>
    <t>Podziel się z przyjaciółmi</t>
  </si>
  <si>
    <t>Compartilhe com amigos</t>
  </si>
  <si>
    <t>Поделиться с друзьями</t>
  </si>
  <si>
    <t>แบ่งปันกับเพื่อน</t>
  </si>
  <si>
    <t>Arkadaşlarınla ​​paylaş</t>
  </si>
  <si>
    <t>Поділися з друзями</t>
  </si>
  <si>
    <t>和朋友分享</t>
  </si>
  <si>
    <t>Chia sẻ với bạn bè</t>
  </si>
  <si>
    <t>نجاح المشتريات!</t>
  </si>
  <si>
    <t>Úspěch nákupů!</t>
  </si>
  <si>
    <t>Kauferfolg!</t>
  </si>
  <si>
    <t>Επιτυχία αγορών!</t>
  </si>
  <si>
    <t>¡Éxito en compras!</t>
  </si>
  <si>
    <t>Edukad ostud!</t>
  </si>
  <si>
    <t>Onnistuneita hankintoja!</t>
  </si>
  <si>
    <t>Succès des achats !</t>
  </si>
  <si>
    <t>खरीदारी सफल!</t>
  </si>
  <si>
    <t>Pembelian sukses!</t>
  </si>
  <si>
    <t>Successo negli acquisti!</t>
  </si>
  <si>
    <t>購入成功！</t>
  </si>
  <si>
    <t>ការទិញជោគជ័យ!</t>
  </si>
  <si>
    <t>ಖರೀದಿಗಳು ಯಶಸ್ಸು!</t>
  </si>
  <si>
    <t>구매 성공!</t>
  </si>
  <si>
    <t>ສຳເລັດການຊື້!</t>
  </si>
  <si>
    <t>Veiksmīgi pirkumi!</t>
  </si>
  <si>
    <t>Kejayaan pembelian!</t>
  </si>
  <si>
    <t>Aankopen succes!</t>
  </si>
  <si>
    <t>Zakupy zakończone sukcesem!</t>
  </si>
  <si>
    <t>Sucesso nas compras!</t>
  </si>
  <si>
    <t>Покупки удачные!</t>
  </si>
  <si>
    <t>ซื้อสำเร็จ!</t>
  </si>
  <si>
    <t>Başarıyı satın alır!</t>
  </si>
  <si>
    <t>Успішних покупок!</t>
  </si>
  <si>
    <t>购买成功！</t>
  </si>
  <si>
    <t>Mua hàng thành công!</t>
  </si>
  <si>
    <t>معلومات عنا</t>
  </si>
  <si>
    <t>O nás</t>
  </si>
  <si>
    <t>Über uns</t>
  </si>
  <si>
    <t>Σχετικά με εμάς</t>
  </si>
  <si>
    <t>Sobre nosotros</t>
  </si>
  <si>
    <t>Meist</t>
  </si>
  <si>
    <t>Meistä</t>
  </si>
  <si>
    <t>À propos de nous</t>
  </si>
  <si>
    <t>हमारे बारे में</t>
  </si>
  <si>
    <t>Tentang kami</t>
  </si>
  <si>
    <t>Chi siamo</t>
  </si>
  <si>
    <t>私たちについて</t>
  </si>
  <si>
    <t>អំពី​ពួក​យើង</t>
  </si>
  <si>
    <t>ನಮ್ಮ ಬಗ್ಗೆ</t>
  </si>
  <si>
    <t>회사 소개</t>
  </si>
  <si>
    <t>ກ່ຽວ​ກັບ​ພວກ​ເຮົາ</t>
  </si>
  <si>
    <t>Par mums</t>
  </si>
  <si>
    <t>Tentang kita</t>
  </si>
  <si>
    <t>Over ons</t>
  </si>
  <si>
    <t>O nas</t>
  </si>
  <si>
    <t>Sobre nós</t>
  </si>
  <si>
    <t>О нас</t>
  </si>
  <si>
    <t>เกี่ยวกับเรา</t>
  </si>
  <si>
    <t>Hakkımızda</t>
  </si>
  <si>
    <t>Про нас</t>
  </si>
  <si>
    <t>关于我们</t>
  </si>
  <si>
    <t>Về chúng tôi</t>
  </si>
  <si>
    <t>يرجى إعطائنا 5 نجوم إذا أردت وأخبرنا بتعليقاتك</t>
  </si>
  <si>
    <t>Pokud se vám líbí, dejte nám 5 hvězdiček a dejte nám vědět svůj názor</t>
  </si>
  <si>
    <t>Bitte geben Sie uns 5 Sterne, wenn es Ihnen gefällt, und teilen Sie uns Ihr Feedback mit</t>
  </si>
  <si>
    <t>Δώστε μας 5 αστέρια αν σας αρέσει και πείτε μας τα σχόλιά σας</t>
  </si>
  <si>
    <t>Por favor danos 5 estrellas si te gusta y déjanos saber tus comentarios</t>
  </si>
  <si>
    <t>Kui teile meeldib, andke meile 5 tärni ja andke meile oma tagasisidest teada</t>
  </si>
  <si>
    <t>Anna meille 5 tähteä, jos pidät, ja kerro meille palautetta</t>
  </si>
  <si>
    <t>Veuillez nous donner 5 étoiles si vous le souhaitez et faites-nous part de vos commentaires</t>
  </si>
  <si>
    <t>यदि आपको पसंद आए तो कृपया हमें 5-स्टार दें और हमें अपनी प्रतिक्रिया बताएं</t>
  </si>
  <si>
    <t>Per favore, dacci 5 stelle se vuoi e facci sapere il tuo feedback</t>
  </si>
  <si>
    <t>よろしければ5つ星を付けていただき、フィードバックをお聞かせください</t>
  </si>
  <si>
    <t>សូមផ្តល់ឱ្យយើងនូវផ្កាយ 5 ប្រសិនបើអ្នកចូលចិត្ត ______ អនុញ្ញាតឱ្យពួកយើងដឹងពីមតិកែលម្អរបស់អ្នក។</t>
  </si>
  <si>
    <t>ನೀವು ಬಯಸಿದರೆ ದಯವಿಟ್ಟು ನಮಗೆ 5-ಸ್ಟಾರ್‌ಗಳನ್ನು ನೀಡಿ ಮತ್ತು ನಿಮ್ಮ ಪ್ರತಿಕ್ರಿಯೆಯನ್ನು ನಮಗೆ ತಿಳಿಸಿ</t>
  </si>
  <si>
    <t>마음에 드신다면 별 5개를 주시고 피드백을 알려주세요.</t>
  </si>
  <si>
    <t>Lūdzu, piešķiriet mums 5 zvaigznes, ja vēlaties, un dariet mums zināmas savas atsauksmes</t>
  </si>
  <si>
    <t>Sila beri kami 5 bintang jika anda suka ______ beritahu kami maklum balas anda</t>
  </si>
  <si>
    <t>Geef ons alstublieft 5 sterren en laat ons uw feedback weten</t>
  </si>
  <si>
    <t>Jeśli chcesz, daj nam 5 gwiazdek i daj nam znać, co myślisz</t>
  </si>
  <si>
    <t>Por favor, dê-nos 5 estrelas se quiser e deixe-nos saber seu feedback</t>
  </si>
  <si>
    <t>Пожалуйста, дайте нам 5 звезд, если вам нравится, и дайте нам знать ваш отзыв</t>
  </si>
  <si>
    <t>โปรดให้ 5 ดาวแก่เราหากคุณต้องการและแจ้งให้เราทราบความคิดเห็นของคุณ</t>
  </si>
  <si>
    <t>İsterseniz lütfen bize 5 yıldız verin ve geri bildiriminizi bize bildirin</t>
  </si>
  <si>
    <t>Будь ласка, дайте нам 5 зірок, якщо вам подобається, і повідомте нам свій відгук</t>
  </si>
  <si>
    <t>如果您喜欢，请给我们 5 星并让我们知道您的反馈</t>
  </si>
  <si>
    <t>Vui lòng cho chúng tôi 5 sao nếu bạn thích và cho chúng tôi biết phản hồi của bạn</t>
  </si>
  <si>
    <t>اضغط هنا للخروج</t>
  </si>
  <si>
    <t>free_gems</t>
  </si>
  <si>
    <t>Free Gems</t>
  </si>
  <si>
    <t>جواهر مجانية</t>
  </si>
  <si>
    <t>Drahokamy zdarma</t>
  </si>
  <si>
    <t>Kostenlose Edelsteine</t>
  </si>
  <si>
    <t>Δωρεάν πολύτιμοι λίθοι</t>
  </si>
  <si>
    <t>Gemas gratis</t>
  </si>
  <si>
    <t>Tasuta kalliskivid</t>
  </si>
  <si>
    <t>Ilmaisia ​​helmiä</t>
  </si>
  <si>
    <t>Gemmes gratuites</t>
  </si>
  <si>
    <t>निःशुल्क रत्न</t>
  </si>
  <si>
    <t>Permata Gratis</t>
  </si>
  <si>
    <t>Gemme gratuite</t>
  </si>
  <si>
    <t>無料のジェム</t>
  </si>
  <si>
    <t>ត្បូងឥតគិតថ្លៃ</t>
  </si>
  <si>
    <t>ಉಚಿತ ರತ್ನಗಳು</t>
  </si>
  <si>
    <t>무료 보석</t>
  </si>
  <si>
    <t>ແກ້ວປະເສີດຟຣີ</t>
  </si>
  <si>
    <t>Bezmaksas dārgakmeņi</t>
  </si>
  <si>
    <t>Permata Percuma</t>
  </si>
  <si>
    <t>Gratis edelstenen</t>
  </si>
  <si>
    <t>Darmowe klejnoty</t>
  </si>
  <si>
    <t>Gemas grátis</t>
  </si>
  <si>
    <t>Бесплатные драгоценные камни</t>
  </si>
  <si>
    <t>อัญมณีฟรี</t>
  </si>
  <si>
    <t>Ücretsiz Taşlar</t>
  </si>
  <si>
    <t>Безкоштовні дорогоцінні камені</t>
  </si>
  <si>
    <t>免费宝石</t>
  </si>
  <si>
    <t>Đá quý miễn phí</t>
  </si>
  <si>
    <t>daily_gift_limited</t>
  </si>
  <si>
    <t>You received it today! Comeback on tomorrow and get more.</t>
  </si>
  <si>
    <t>لقد تلقيتها اليوم! العودة غدا والحصول على المزيد.</t>
  </si>
  <si>
    <t>Dnes jste to dostali! Vraťte se zítra a získejte více.</t>
  </si>
  <si>
    <t>Du hast es heute erhalten! Kommen Sie morgen zurück und holen Sie sich mehr.</t>
  </si>
  <si>
    <t>Το έλαβες σήμερα! Επιστρέψτε αύριο και αποκτήστε περισσότερα.</t>
  </si>
  <si>
    <t>¡Lo recibiste hoy! Vuelve mañana y consigue más.</t>
  </si>
  <si>
    <t>Saite selle täna kätte! Tulge homme tagasi ja hankige rohkem.</t>
  </si>
  <si>
    <t>Sait sen tänään! Tule huomenna ja hanki lisää.</t>
  </si>
  <si>
    <t>Vous l'avez reçu aujourd'hui ! Revenez demain et obtenez-en plus.</t>
  </si>
  <si>
    <t>आपको यह आज प्राप्त हुआ! कल वापस आएँ और और अधिक प्राप्त करें।</t>
  </si>
  <si>
    <t>Anda menerimanya hari ini! Kembalilah besok dan dapatkan lebih banyak.</t>
  </si>
  <si>
    <t>L'hai ricevuto oggi! Torna domani e ottieni di più.</t>
  </si>
  <si>
    <t>本日受け取りました！明日はカムバックして、さらに多くのものを手に入れましょう。</t>
  </si>
  <si>
    <t>អ្នកបានទទួលវាថ្ងៃនេះ! ត្រលប់មកវិញនៅថ្ងៃស្អែក ហើយទទួលបានច្រើនទៀត។</t>
  </si>
  <si>
    <t>ನೀವು ಇಂದು ಅದನ್ನು ಸ್ವೀಕರಿಸಿದ್ದೀರಿ! ನಾಳೆಗೆ ಹಿಂತಿರುಗಿ ಮತ್ತು ಹೆಚ್ಚಿನದನ್ನು ಪಡೆಯಿರಿ.</t>
  </si>
  <si>
    <t>오늘 받으셨군요! 내일 다시 돌아와서 더 많은 것을 얻으세요.</t>
  </si>
  <si>
    <t>ທ່ານໄດ້ຮັບມັນໃນມື້ນີ້! ກັບມາມື້ອື່ນ ແລະຮັບເພີ່ມເຕີມ.</t>
  </si>
  <si>
    <t>Jūs to saņēmāt šodien! Atgriezieties rīt un iegūstiet vairāk.</t>
  </si>
  <si>
    <t>Anda menerimanya hari ini! Kembali esok dan dapatkan lebih banyak lagi.</t>
  </si>
  <si>
    <t>Je hebt hem vandaag ontvangen! Kom morgen terug en krijg meer.</t>
  </si>
  <si>
    <t>Otrzymałeś to dzisiaj! Wróć jutro i zdobądź więcej.</t>
  </si>
  <si>
    <t>Você recebeu hoje! Volte amanhã e consiga mais.</t>
  </si>
  <si>
    <t>Вы получили его сегодня! Приходите завтра и получите больше.</t>
  </si>
  <si>
    <t>คุณได้รับมันแล้ววันนี้! กลับมาในวันพรุ่งนี้และรับมากขึ้น</t>
  </si>
  <si>
    <t>Bugün aldın! Yarın geri dönün ve daha fazlasını alın.</t>
  </si>
  <si>
    <t>Ви отримали його сьогодні! Поверніться завтра та отримайте більше.</t>
  </si>
  <si>
    <t>您今天收到了！明天回来并获得更多。</t>
  </si>
  <si>
    <t>Bạn đã nhận được nó ngày hôm nay! Hãy trở lại vào ngày mai và nhận được nhiều hơn.</t>
  </si>
  <si>
    <t>title_flower_keyboard</t>
  </si>
  <si>
    <t>Keyboard</t>
  </si>
  <si>
    <t>لوحة المفاتيح</t>
  </si>
  <si>
    <t>Klávesnice</t>
  </si>
  <si>
    <t>Tastatur</t>
  </si>
  <si>
    <t>Πληκτρολόγιο</t>
  </si>
  <si>
    <t>Teclado</t>
  </si>
  <si>
    <t>Klaviatuur</t>
  </si>
  <si>
    <t>Näppäimistö</t>
  </si>
  <si>
    <t>Clavier</t>
  </si>
  <si>
    <t>कीबोर्ड</t>
  </si>
  <si>
    <t>Papan ketik</t>
  </si>
  <si>
    <t>Tastiera</t>
  </si>
  <si>
    <t>キーボード</t>
  </si>
  <si>
    <t>ក្ដារចុច</t>
  </si>
  <si>
    <t>ಕೀಬೋರ್ಡ್</t>
  </si>
  <si>
    <t>건반</t>
  </si>
  <si>
    <t>ແປ້ນພິມ</t>
  </si>
  <si>
    <t>Tastatūra</t>
  </si>
  <si>
    <t>papan kekunci</t>
  </si>
  <si>
    <t>Toetsenbord</t>
  </si>
  <si>
    <t>Klawiatura</t>
  </si>
  <si>
    <t>Клавиатура</t>
  </si>
  <si>
    <t>คีย์บอร์ด</t>
  </si>
  <si>
    <t>Tuş takımı</t>
  </si>
  <si>
    <t>Клавіатура</t>
  </si>
  <si>
    <t>键盘</t>
  </si>
  <si>
    <t>Bàn phím</t>
  </si>
  <si>
    <t>flower_keyboard</t>
  </si>
  <si>
    <t>Flower Keyboard</t>
  </si>
  <si>
    <t>لوحة المفاتيح زهرة</t>
  </si>
  <si>
    <t>Květinová klávesnice</t>
  </si>
  <si>
    <t>Blumentastatur</t>
  </si>
  <si>
    <t>Πληκτρολόγιο λουλουδιών</t>
  </si>
  <si>
    <t>Teclado de flores</t>
  </si>
  <si>
    <t>Lilleklaviatuur</t>
  </si>
  <si>
    <t>Kukkanäppäimistö</t>
  </si>
  <si>
    <t>Clavier de fleurs</t>
  </si>
  <si>
    <t>फूल कीबोर्ड</t>
  </si>
  <si>
    <t>Papan Ketik Bunga</t>
  </si>
  <si>
    <t>Tastiera floreale</t>
  </si>
  <si>
    <t>フラワーキーボード</t>
  </si>
  <si>
    <t>ក្ដារចុចផ្កា</t>
  </si>
  <si>
    <t>ಹೂವಿನ ಕೀಬೋರ್ಡ್</t>
  </si>
  <si>
    <t>꽃 키보드</t>
  </si>
  <si>
    <t>ແປ້ນພິມດອກ</t>
  </si>
  <si>
    <t>Ziedu tastatūra</t>
  </si>
  <si>
    <t>Papan Kekunci Bunga</t>
  </si>
  <si>
    <t>Bloementoetsenbord</t>
  </si>
  <si>
    <t>Klawiatura kwiatowa</t>
  </si>
  <si>
    <t>Цветочная клавиатура</t>
  </si>
  <si>
    <t>แป้นพิมพ์ดอกไม้</t>
  </si>
  <si>
    <t>Çiçek Klavye</t>
  </si>
  <si>
    <t>Квіткова клавіатура</t>
  </si>
  <si>
    <t>花键盘</t>
  </si>
  <si>
    <t>Bàn phím hoa</t>
  </si>
  <si>
    <t>get_more_gems</t>
  </si>
  <si>
    <t>Get more Gems</t>
  </si>
  <si>
    <t>احصل على المزيد من الأحجار الكريمة</t>
  </si>
  <si>
    <t>Získejte více drahokamů</t>
  </si>
  <si>
    <t>Holen Sie sich mehr Edelsteine</t>
  </si>
  <si>
    <t>Αποκτήστε περισσότερους πολύτιμους λίθους</t>
  </si>
  <si>
    <t>Consigue más gemas</t>
  </si>
  <si>
    <t>Hankige rohkem kalliskive</t>
  </si>
  <si>
    <t>Hanki lisää helmiä</t>
  </si>
  <si>
    <t>Obtenez plus de gemmes</t>
  </si>
  <si>
    <t>अधिक रत्न प्राप्त करें</t>
  </si>
  <si>
    <t>Dapatkan lebih banyak Permata</t>
  </si>
  <si>
    <t>Ottieni più gemme</t>
  </si>
  <si>
    <t>もっと宝石を手に入れましょう</t>
  </si>
  <si>
    <t>ទទួលបានត្បូងជាច្រើនទៀត</t>
  </si>
  <si>
    <t>ಹೆಚ್ಚಿನ ರತ್ನಗಳನ್ನು ಪಡೆಯಿರಿ</t>
  </si>
  <si>
    <t>더 많은 보석을 얻으세요</t>
  </si>
  <si>
    <t>ເອົາແກ້ວປະເສີດເພີ່ມເຕີມ</t>
  </si>
  <si>
    <t>Iegūstiet vairāk dārgakmeņu</t>
  </si>
  <si>
    <t>Verkrijg meer edelstenen</t>
  </si>
  <si>
    <t>Zdobądź więcej klejnotów</t>
  </si>
  <si>
    <t>Obtenha mais joias</t>
  </si>
  <si>
    <t>Получите больше драгоценных камней</t>
  </si>
  <si>
    <t>รับอัญมณีมากขึ้น</t>
  </si>
  <si>
    <t>Daha fazla Mücevher alın</t>
  </si>
  <si>
    <t>Отримайте більше дорогоцінних каменів</t>
  </si>
  <si>
    <t>获得更多宝石</t>
  </si>
  <si>
    <t>Nhận thêm đá quý</t>
  </si>
  <si>
    <t>Theme Packs</t>
  </si>
  <si>
    <t>حزم الموضوع</t>
  </si>
  <si>
    <t>Tématické balíčky</t>
  </si>
  <si>
    <t>Themenpakete</t>
  </si>
  <si>
    <t>Πακέτα θεμάτων</t>
  </si>
  <si>
    <t>Paquetes temáticos</t>
  </si>
  <si>
    <t>Teemapaketid</t>
  </si>
  <si>
    <t>Teemapaketit</t>
  </si>
  <si>
    <t>Packs thématiques</t>
  </si>
  <si>
    <t>थीम पैक</t>
  </si>
  <si>
    <t>Paket Tema</t>
  </si>
  <si>
    <t>Pacchetti a tema</t>
  </si>
  <si>
    <t>テーマパック</t>
  </si>
  <si>
    <t>កញ្ចប់ប្រធានបទ</t>
  </si>
  <si>
    <t>ಥೀಮ್ ಪ್ಯಾಕ್‌ಗಳು</t>
  </si>
  <si>
    <t>테마 팩</t>
  </si>
  <si>
    <t>ຊຸດຮູບແບບ</t>
  </si>
  <si>
    <t>Tēmu komplekti</t>
  </si>
  <si>
    <t>Pek Tema</t>
  </si>
  <si>
    <t>Themapakketten</t>
  </si>
  <si>
    <t>Pakiety tematyczne</t>
  </si>
  <si>
    <t>Pacotes Temáticos</t>
  </si>
  <si>
    <t>Тематические пакеты</t>
  </si>
  <si>
    <t>ธีมแพ็ค</t>
  </si>
  <si>
    <t>Tema Paketleri</t>
  </si>
  <si>
    <t>Тематичні пакети</t>
  </si>
  <si>
    <t>主题包</t>
  </si>
  <si>
    <t>Gói chủ đề</t>
  </si>
  <si>
    <t>With Theme Packs, you can easily change your phone\'s theme, app icons, widgets and wallpapers</t>
  </si>
  <si>
    <t>باستخدام حزم السمات، يمكنك بسهولة تغيير سمة هاتفك وأيقونات التطبيقات والأدوات والخلفيات</t>
  </si>
  <si>
    <t>S Theme Packs můžete snadno změnit motiv telefonu, ikony aplikací, widgety a tapety</t>
  </si>
  <si>
    <t>Mit Theme Packs können Sie das Design, die App-Symbole, Widgets und Hintergrundbilder Ihres Telefons ganz einfach ändern</t>
  </si>
  <si>
    <t>Με τα Theme Packs, μπορείτε εύκολα να αλλάξετε το θέμα, τα εικονίδια εφαρμογών, τα γραφικά στοιχεία και τις ταπετσαρίες του τηλεφώνου σας</t>
  </si>
  <si>
    <t>Con los paquetes de temas, puedes cambiar fácilmente el tema, los íconos de aplicaciones, los widgets y los fondos de pantalla de tu teléfono.</t>
  </si>
  <si>
    <t>Teemapakettidega saate hõlpsalt muuta oma telefoni teemat, rakenduste ikoone, vidinaid ja taustapilte</t>
  </si>
  <si>
    <t>Teemapakettien avulla voit helposti vaihtaa puhelimesi teemaa, sovelluskuvakkeita, widgetejä ja taustakuvia</t>
  </si>
  <si>
    <t>Avec les packs thématiques, vous pouvez facilement modifier le thème, les icônes d'application, les widgets et les fonds d'écran de votre téléphone.</t>
  </si>
  <si>
    <t>थीम पैक के साथ, आप आसानी से अपने फोन की थीम, ऐप आइकन, विजेट और वॉलपेपर बदल सकते हैं</t>
  </si>
  <si>
    <t>Dengan Paket Tema, Anda dapat dengan mudah mengubah tema, ikon aplikasi, widget, dan wallpaper ponsel Anda</t>
  </si>
  <si>
    <t>Con i pacchetti di temi puoi modificare facilmente il tema del tuo telefono, le icone delle app, i widget e gli sfondi</t>
  </si>
  <si>
    <t>テーマ パックを使用すると、携帯電話のテーマ、アプリ アイコン、ウィジェット、壁紙を簡単に変更できます</t>
  </si>
  <si>
    <t>ជាមួយនឹងកញ្ចប់ធីម អ្នកអាចផ្លាស់ប្តូររូបរាង រូបតំណាងកម្មវិធី ធាតុក្រាហ្វិក និងផ្ទាំងរូបភាពរបស់ទូរសព្ទអ្នកបានយ៉ាងងាយស្រួល</t>
  </si>
  <si>
    <t>ಥೀಮ್ ಪ್ಯಾಕ್‌ಗಳೊಂದಿಗೆ, ನಿಮ್ಮ ಫೋನ್‌ನ ಥೀಮ್, ಅಪ್ಲಿಕೇಶನ್ ಐಕಾನ್‌ಗಳು, ವಿಜೆಟ್‌ಗಳು ಮತ್ತು ವಾಲ್‌ಪೇಪರ್‌ಗಳನ್ನು ನೀವು ಸುಲಭವಾಗಿ ಬದಲಾಯಿಸಬಹುದು</t>
  </si>
  <si>
    <t>테마 팩을 사용하면 휴대전화의 테마, 앱 아이콘, 위젯, 배경화면을 쉽게 변경할 수 있습니다.</t>
  </si>
  <si>
    <t>ດ້ວຍຊຸດຮູບແບບສີສັນ, ທ່ານສາມາດປ່ຽນຮູບແບບສີສັນຂອງໂທລະສັບ, ໄອຄອນແອັບ, ວິດເຈັດ ແລະຮູບວໍເປເປີໄດ້ຢ່າງງ່າຍດາຍ.</t>
  </si>
  <si>
    <t>Izmantojot motīvu pakotnes, varat viegli mainīt tālruņa motīvu, lietotņu ikonas, logrīkus un fona attēlus</t>
  </si>
  <si>
    <t>Dengan Pek Tema, anda boleh menukar tema, ikon apl, widget dan kertas dinding telefon anda dengan mudah</t>
  </si>
  <si>
    <t>Met themapakketten kunt u eenvoudig het thema, app-pictogrammen, widgets en achtergronden van uw telefoon wijzigen</t>
  </si>
  <si>
    <t>Dzięki pakietom motywów możesz łatwo zmieniać motyw telefonu, ikony aplikacji, widżety i tapety</t>
  </si>
  <si>
    <t>Com os pacotes temáticos, você pode alterar facilmente o tema, ícones de aplicativos, widgets e papéis de parede do seu telefone</t>
  </si>
  <si>
    <t>С помощью пакетов тем вы можете легко изменить тему своего телефона, значки приложений, виджеты и обои.</t>
  </si>
  <si>
    <t>ด้วย Theme Packs คุณสามารถเปลี่ยนธีมของโทรศัพท์ ไอคอนแอป วิดเจ็ต และวอลเปเปอร์ได้อย่างง่ายดาย</t>
  </si>
  <si>
    <t>Tema Paketleri ile telefonunuzun temasını, uygulama simgelerini, widget'larını ve duvar kağıtlarını kolayca değiştirebilirsiniz</t>
  </si>
  <si>
    <t>За допомогою пакетів тем ви можете легко змінювати тему свого телефону, значки програм, віджети та шпалери</t>
  </si>
  <si>
    <t>使用主题包，您可以轻松更改手机的主题、应用程序图标、小部件和壁纸</t>
  </si>
  <si>
    <t>Với Gói chủ đề, bạn có thể dễ dàng thay đổi chủ đề, biểu tượng ứng dụng, tiện ích và hình nền của điện thoại</t>
  </si>
  <si>
    <t>Welcome to Theme Packs!</t>
  </si>
  <si>
    <t>مرحبًا بك في حزم السمات!</t>
  </si>
  <si>
    <t>Vítejte v balíčcích témat!</t>
  </si>
  <si>
    <t>Willkommen bei den Themenpaketen!</t>
  </si>
  <si>
    <t>Καλώς ήρθατε στα Θεματικά Πακέτα!</t>
  </si>
  <si>
    <t>¡Bienvenido a los paquetes temáticos!</t>
  </si>
  <si>
    <t>Tere tulemast teemapakettidesse!</t>
  </si>
  <si>
    <t>Tervetuloa teemapaketteihin!</t>
  </si>
  <si>
    <t>Bienvenue dans les packs thématiques !</t>
  </si>
  <si>
    <t>थीम पैक में आपका स्वागत है!</t>
  </si>
  <si>
    <t>Selamat datang di Paket Tema!</t>
  </si>
  <si>
    <t>Benvenuto nei pacchetti tematici!</t>
  </si>
  <si>
    <t>テーマ パックへようこそ!</t>
  </si>
  <si>
    <t>សូមស្វាគមន៍មកកាន់ Theme Packs!</t>
  </si>
  <si>
    <t>ಥೀಮ್ ಪ್ಯಾಕ್‌ಗಳಿಗೆ ಸುಸ್ವಾಗತ!</t>
  </si>
  <si>
    <t>테마 팩에 오신 것을 환영합니다!</t>
  </si>
  <si>
    <t>ຍິນດີຕ້ອນຮັບສູ່ຊຸດຮູບແບບສີສັນ!</t>
  </si>
  <si>
    <t>Laipni lūdzam tēmu komplektos!</t>
  </si>
  <si>
    <t>Selamat datang ke Pek Tema!</t>
  </si>
  <si>
    <t>Welkom bij Themapakketten!</t>
  </si>
  <si>
    <t>Witamy w pakietach tematycznych!</t>
  </si>
  <si>
    <t>Bem-vindo aos pacotes temáticos!</t>
  </si>
  <si>
    <t>Добро пожаловать в тематические пакеты!</t>
  </si>
  <si>
    <t>ยินดีต้อนรับสู่ธีมแพ็ค!</t>
  </si>
  <si>
    <t>Tema Paketlerine Hoş Geldiniz!</t>
  </si>
  <si>
    <t>Ласкаво просимо до тематичних пакетів!</t>
  </si>
  <si>
    <t>欢迎使用主题包！</t>
  </si>
  <si>
    <t>Chào mừng bạn đến với Gói chủ đề!</t>
  </si>
  <si>
    <t>Theme Packs offers thousands of beautiful and unique app icons to choose from</t>
  </si>
  <si>
    <t>توفر حزم السمات الآلاف من أيقونات التطبيقات الجميلة والفريدة من نوعها للاختيار من بينها</t>
  </si>
  <si>
    <t>Theme Packs nabízí tisíce krásných a jedinečných ikon aplikací, ze kterých si můžete vybrat</t>
  </si>
  <si>
    <t>Theme Packs bietet Tausende wunderschöner und einzigartiger App-Symbole zur Auswahl</t>
  </si>
  <si>
    <t>Τα Theme Packs προσφέρουν χιλιάδες όμορφα και μοναδικά εικονίδια εφαρμογών για να διαλέξετε</t>
  </si>
  <si>
    <t>Theme Packs ofrece miles de íconos de aplicaciones hermosos y únicos para elegir</t>
  </si>
  <si>
    <t>Teemapaketid pakuvad tuhandete kaunite ja ainulaadsete rakenduste ikoone, mille vahel valida</t>
  </si>
  <si>
    <t>Theme Packs tarjoaa tuhansia kauniita ja ainutlaatuisia sovelluskuvakkeita, joista valita</t>
  </si>
  <si>
    <t>Les packs thématiques proposent des milliers d'icônes d'application magnifiques et uniques parmi lesquelles choisir</t>
  </si>
  <si>
    <t>थीम पैक चुनने के लिए हजारों सुंदर और अद्वितीय ऐप आइकन प्रदान करता है</t>
  </si>
  <si>
    <t>Paket Tema menawarkan ribuan ikon aplikasi cantik dan unik untuk dipilih</t>
  </si>
  <si>
    <t>I pacchetti di temi offrono migliaia di icone di app bellissime e uniche tra cui scegliere</t>
  </si>
  <si>
    <t>テーマ パックでは、何千もの美しくユニークなアプリ アイコンから選択できます</t>
  </si>
  <si>
    <t>Theme Packs ផ្តល់ជូននូវរូបតំណាងកម្មវិធីដ៏ស្រស់ស្អាត និងប្លែកៗរាប់ពាន់ដើម្បីជ្រើសរើស</t>
  </si>
  <si>
    <t>ಥೀಮ್ ಪ್ಯಾಕ್‌ಗಳು ಆಯ್ಕೆ ಮಾಡಲು ಸಾವಿರಾರು ಸುಂದರವಾದ ಮತ್ತು ಅನನ್ಯ ಅಪ್ಲಿಕೇಶನ್ ಐಕಾನ್‌ಗಳನ್ನು ನೀಡುತ್ತದೆ</t>
  </si>
  <si>
    <t>테마 팩은 선택할 수 있는 수천 개의 아름답고 독특한 앱 아이콘을 제공합니다.</t>
  </si>
  <si>
    <t>ຊຸດຮູບແບບມີໄອຄອນແອັບທີ່ສວຍງາມ ແລະ ເປັນເອກະລັກຫຼາຍພັນຮູບໃຫ້ເລືອກ</t>
  </si>
  <si>
    <t>Motīvu pakotnes piedāvā tūkstošiem skaistu un unikālu lietotņu ikonu, no kurām izvēlēties</t>
  </si>
  <si>
    <t>Pek Tema menawarkan beribu-ribu ikon aplikasi yang cantik dan unik untuk dipilih</t>
  </si>
  <si>
    <t>Themapakketten bieden duizenden prachtige en unieke app-pictogrammen om uit te kiezen</t>
  </si>
  <si>
    <t>Pakiety tematyczne oferują tysiące pięknych i unikalnych ikon aplikacji do wyboru</t>
  </si>
  <si>
    <t>Os pacotes temáticos oferecem milhares de ícones de aplicativos lindos e exclusivos para você escolher</t>
  </si>
  <si>
    <t>Пакеты тем предлагают на выбор тысячи красивых и уникальных значков приложений.</t>
  </si>
  <si>
    <t>Theme Packs มีไอคอนแอปที่สวยงามและมีเอกลักษณ์นับพันให้เลือก</t>
  </si>
  <si>
    <t>Tema Paketleri, aralarından seçim yapabileceğiniz binlerce güzel ve benzersiz uygulama simgesi sunar</t>
  </si>
  <si>
    <t>Theme Packs пропонує тисячі красивих і унікальних піктограм програм на вибір</t>
  </si>
  <si>
    <t>主题包提供数千个美丽且独特的应用程序图标可供选择</t>
  </si>
  <si>
    <t>Gói chủ đề cung cấp hàng nghìn biểu tượng ứng dụng đẹp và độc đáo để bạn lựa chọn</t>
  </si>
  <si>
    <t>Theme Packs offers a variety of widgets to choose from, from clocks, weather, and news to your favorite apps.</t>
  </si>
  <si>
    <t>توفر حزم السمات مجموعة متنوعة من الأدوات للاختيار من بينها، بدءًا من الساعات والطقس والأخبار وحتى تطبيقاتك المفضلة.</t>
  </si>
  <si>
    <t>Theme Packs nabízí řadu widgetů, ze kterých si můžete vybrat, od hodin, počasí a zpráv až po vaše oblíbené aplikace.</t>
  </si>
  <si>
    <t>Theme Packs bietet eine Vielzahl von Widgets zur Auswahl, von Uhren, Wetter und Nachrichten bis hin zu Ihren Lieblings-Apps.</t>
  </si>
  <si>
    <t>Τα Theme Packs προσφέρουν μια ποικιλία γραφικών στοιχείων για να διαλέξετε, από ρολόγια, καιρός και ειδήσεις έως τις αγαπημένες σας εφαρμογές.</t>
  </si>
  <si>
    <t>Theme Packs ofrece una variedad de widgets para elegir, desde relojes, clima y noticias hasta tus aplicaciones favoritas.</t>
  </si>
  <si>
    <t>Theme Packs pakub erinevaid vidinaid kelladest, ilmateadetest ja uudistest kuni lemmikrakendusteni.</t>
  </si>
  <si>
    <t>Theme Packs tarjoaa erilaisia ​​widgetejä, joista valita kelloista, säästä ja uutisista suosikkisovelluksiisi.</t>
  </si>
  <si>
    <t>Les packs thématiques offrent une variété de widgets parmi lesquels choisir, depuis les horloges, la météo et les actualités jusqu'à vos applications préférées.</t>
  </si>
  <si>
    <t>थीम पैक घड़ियों, मौसम और समाचार से लेकर आपके पसंदीदा ऐप्स तक चुनने के लिए विभिन्न प्रकार के विजेट प्रदान करता है।</t>
  </si>
  <si>
    <t>Paket Tema menawarkan beragam widget untuk dipilih, mulai dari jam, cuaca, dan berita hingga aplikasi favorit Anda.</t>
  </si>
  <si>
    <t>I pacchetti temi offrono una varietà di widget tra cui scegliere, da orologi, meteo e notizie alle tue app preferite.</t>
  </si>
  <si>
    <t>テーマ パックには、時計、天気、ニュースからお気に入りのアプリまで、さまざまなウィジェットから選択できます。</t>
  </si>
  <si>
    <t>Theme Packs ផ្តល់ជូននូវធាតុក្រាហ្វិកជាច្រើនប្រភេទដើម្បីជ្រើសរើសពីនាឡិកា អាកាសធាតុ និងព័ត៌មានទៅកាន់កម្មវិធីដែលអ្នកចូលចិត្ត។</t>
  </si>
  <si>
    <t>ಥೀಮ್ ಪ್ಯಾಕ್‌ಗಳು ಗಡಿಯಾರಗಳು, ಹವಾಮಾನ ಮತ್ತು ಸುದ್ದಿಗಳಿಂದ ಹಿಡಿದು ನಿಮ್ಮ ಮೆಚ್ಚಿನ ಅಪ್ಲಿಕೇಶನ್‌ಗಳಿಗೆ ಆಯ್ಕೆ ಮಾಡಲು ವಿವಿಧ ವಿಜೆಟ್‌ಗಳನ್ನು ನೀಡುತ್ತದೆ.</t>
  </si>
  <si>
    <t>테마 팩은 시계, 날씨, 뉴스부터 즐겨 사용하는 앱까지 선택할 수 있는 다양한 위젯을 제공합니다.</t>
  </si>
  <si>
    <t>Theme Packs ສະໜອງ widget ຫຼາກຫຼາຍຊະນິດໃຫ້ເລືອກ, ຈາກໂມງ, ສະພາບອາກາດ, ແລະຂ່າວໄປຫາແອັບທີ່ທ່ານມັກ.</t>
  </si>
  <si>
    <t>Motīvu pakotnes piedāvā dažādus logrīkus, no kuriem izvēlēties, sākot no pulksteņiem, laikapstākļiem un ziņām līdz jūsu iecienītākajām lietotnēm.</t>
  </si>
  <si>
    <t>Pek Tema menawarkan pelbagai widget untuk dipilih, daripada jam, cuaca dan berita kepada apl kegemaran anda.</t>
  </si>
  <si>
    <t>Themapakketten bieden een verscheidenheid aan widgets waaruit u kunt kiezen, van klokken, weer en nieuws tot uw favoriete apps.</t>
  </si>
  <si>
    <t>Pakiety tematyczne oferują różnorodne widżety do wyboru, od zegarów, pogody i wiadomości po ulubione aplikacje.</t>
  </si>
  <si>
    <t>Os pacotes temáticos oferecem uma variedade de widgets para você escolher, desde relógios, previsão do tempo e notícias até seus aplicativos favoritos.</t>
  </si>
  <si>
    <t>Пакеты тем предлагают на выбор множество виджетов: от часов, погоды и новостей до ваших любимых приложений.</t>
  </si>
  <si>
    <t>Theme Packs มีวิดเจ็ตหลากหลายให้เลือก ตั้งแต่นาฬิกา สภาพอากาศ ข่าวสาร ไปจนถึงแอปโปรดของคุณ</t>
  </si>
  <si>
    <t>Tema Paketleri, saatler, hava durumu ve haberlerden favori uygulamalarınıza kadar aralarından seçim yapabileceğiniz çeşitli widget'lar sunar.</t>
  </si>
  <si>
    <t>Theme Packs пропонує різноманітні віджети на вибір, від годинника, погоди та новин до ваших улюблених програм.</t>
  </si>
  <si>
    <t>主题包提供多种小部件可供选择，从时钟、天气、新闻到您最喜欢的应用程序。</t>
  </si>
  <si>
    <t>Gói chủ đề cung cấp nhiều tiện ích để bạn lựa chọn, từ đồng hồ, thời tiết và tin tức cho đến các ứng dụng yêu thích của bạn.</t>
  </si>
  <si>
    <t>get_premium</t>
  </si>
  <si>
    <t>GET PREMIUM</t>
  </si>
  <si>
    <t>احصل على قسط</t>
  </si>
  <si>
    <t>ZÍSKEJTE PREMIUM</t>
  </si>
  <si>
    <t>ERHALTEN SIE PREMIUM</t>
  </si>
  <si>
    <t>ΑΠΟΚΤΗΣΤΕ PREMIUM</t>
  </si>
  <si>
    <t>OBTÉN PREMIUM</t>
  </si>
  <si>
    <t>SAADA PREMIUM</t>
  </si>
  <si>
    <t>HANKI PREMIUM</t>
  </si>
  <si>
    <t>OBTENEZ UNE PREMIUM</t>
  </si>
  <si>
    <t>प्रीमियम प्राप्त करें</t>
  </si>
  <si>
    <t>DAPATKAN PREMIUM</t>
  </si>
  <si>
    <t>OTTIENI PREMIO</t>
  </si>
  <si>
    <t>プレミアムをゲット</t>
  </si>
  <si>
    <t>ទទួលបានកម្រិតពិសេស</t>
  </si>
  <si>
    <t>ಪ್ರೀಮಿಯಂ ಪಡೆಯಿರಿ</t>
  </si>
  <si>
    <t>프리미엄을 받으세요</t>
  </si>
  <si>
    <t>ຮັບ PREMIUM</t>
  </si>
  <si>
    <t>IEGŪT PREMIUM</t>
  </si>
  <si>
    <t>KRIJG PREMIUM</t>
  </si>
  <si>
    <t>OTRZYMAJ PREMIUM</t>
  </si>
  <si>
    <t>OBTER PRÊMIO</t>
  </si>
  <si>
    <t>ПОЛУЧИТЬ ПРЕМИУМ</t>
  </si>
  <si>
    <t>รับพรีเมี่ยม</t>
  </si>
  <si>
    <t>PREMIUM ALIN</t>
  </si>
  <si>
    <t>ОТРИМАЙТЕ ПРЕМІУМ</t>
  </si>
  <si>
    <t>获得溢价</t>
  </si>
  <si>
    <t>NÂNG CẤP PREMIUM</t>
  </si>
  <si>
    <t>unlock_all_features</t>
  </si>
  <si>
    <t>Unlock all features</t>
  </si>
  <si>
    <t>فتح كافة الميزات</t>
  </si>
  <si>
    <t>Odemkněte všechny funkce</t>
  </si>
  <si>
    <t>Schalten Sie alle Funktionen frei</t>
  </si>
  <si>
    <t>Ξεκλειδώστε όλες τις δυνατότητες</t>
  </si>
  <si>
    <t>Desbloquea todas las funciones</t>
  </si>
  <si>
    <t>Avage kõik funktsioonid</t>
  </si>
  <si>
    <t>Avaa kaikki ominaisuudet</t>
  </si>
  <si>
    <t>Débloquez toutes les fonctionnalités</t>
  </si>
  <si>
    <t>सभी सुविधाएं अनलॉक करें</t>
  </si>
  <si>
    <t>Buka kunci semua fitur</t>
  </si>
  <si>
    <t>Sblocca tutte le funzionalità</t>
  </si>
  <si>
    <t>すべての機能のロックを解除する</t>
  </si>
  <si>
    <t>ដោះសោមុខងារទាំងអស់។</t>
  </si>
  <si>
    <t>ಎಲ್ಲಾ ವೈಶಿಷ್ಟ್ಯಗಳನ್ನು ಅನ್ಲಾಕ್ ಮಾಡಿ</t>
  </si>
  <si>
    <t>모든 기능 잠금 해제</t>
  </si>
  <si>
    <t>ປົດລັອກຄຸນສົມບັດທັງໝົດ</t>
  </si>
  <si>
    <t>Atbloķējiet visas funkcijas</t>
  </si>
  <si>
    <t>Buka kunci semua ciri</t>
  </si>
  <si>
    <t>Ontgrendel alle functies</t>
  </si>
  <si>
    <t>Odblokuj wszystkie funkcje</t>
  </si>
  <si>
    <t>Desbloqueie todos os recursos</t>
  </si>
  <si>
    <t>Разблокируйте все функции</t>
  </si>
  <si>
    <t>ปลดล็อคคุณสมบัติทั้งหมด</t>
  </si>
  <si>
    <t>Tüm özelliklerin kilidini açın</t>
  </si>
  <si>
    <t>Розблокуйте всі функції</t>
  </si>
  <si>
    <t>解锁所有功能</t>
  </si>
  <si>
    <t>Mở khóa tất cả các tính năng</t>
  </si>
  <si>
    <t>no_ads</t>
  </si>
  <si>
    <t>No ADS</t>
  </si>
  <si>
    <t>لا إعلانات</t>
  </si>
  <si>
    <t>Χωρίς ADS</t>
  </si>
  <si>
    <t>reklaame pole</t>
  </si>
  <si>
    <t>Pas de publicité</t>
  </si>
  <si>
    <t>कोई विज्ञापन नहीं</t>
  </si>
  <si>
    <t>Tidak ada IKLAN</t>
  </si>
  <si>
    <t>ADSなし</t>
  </si>
  <si>
    <t>គ្មាន ADS</t>
  </si>
  <si>
    <t>ಯಾವುದೇ ADS ಇಲ್ಲ</t>
  </si>
  <si>
    <t>ບໍ່ມີ ADS</t>
  </si>
  <si>
    <t>Tiada ADS</t>
  </si>
  <si>
    <t>Geen ADVERTENTIES</t>
  </si>
  <si>
    <t>Brak reklam</t>
  </si>
  <si>
    <t>Нет рекламы</t>
  </si>
  <si>
    <t>REKLAM YOK</t>
  </si>
  <si>
    <t>Без реклами</t>
  </si>
  <si>
    <t>无ADS</t>
  </si>
  <si>
    <t>Không có quảng cáo</t>
  </si>
  <si>
    <t>unlimited_icons</t>
  </si>
  <si>
    <t>Unlimited icons, themes, widgets</t>
  </si>
  <si>
    <t>عدد غير محدود من الأيقونات والموضوعات والأدوات</t>
  </si>
  <si>
    <t>Neomezené množství ikon, motivů, widgetů</t>
  </si>
  <si>
    <t>Unbegrenzte Symbole, Themen, Widgets</t>
  </si>
  <si>
    <t>Απεριόριστα εικονίδια, θέματα, γραφικά στοιχεία</t>
  </si>
  <si>
    <t>Iconos, temas y widgets ilimitados</t>
  </si>
  <si>
    <t>Piiramatu arv ikoone, teemasid, vidinaid</t>
  </si>
  <si>
    <t>Rajoittamaton määrä kuvakkeita, teemoja, widgetejä</t>
  </si>
  <si>
    <t>Icônes, thèmes et widgets illimités</t>
  </si>
  <si>
    <t>असीमित आइकन, थीम, विजेट</t>
  </si>
  <si>
    <t>Ikon, tema, widget tidak terbatas</t>
  </si>
  <si>
    <t>Icone, temi, widget illimitati</t>
  </si>
  <si>
    <t>無制限のアイコン、テーマ、ウィジェット</t>
  </si>
  <si>
    <t>រូបតំណាង ស្បែក ធាតុក្រាហ្វិកគ្មានដែនកំណត់</t>
  </si>
  <si>
    <t>ಅನಿಯಮಿತ ಐಕಾನ್‌ಗಳು, ಥೀಮ್‌ಗಳು, ವಿಜೆಟ್‌ಗಳು</t>
  </si>
  <si>
    <t>무제한 아이콘, 테마, 위젯</t>
  </si>
  <si>
    <t>ໄອຄອນບໍ່ຈຳກັດ, ຮູບແບບສີສັນ, ວິດເຈັດ</t>
  </si>
  <si>
    <t>Neierobežots ikonu, motīvu, logrīku skaits</t>
  </si>
  <si>
    <t>Ikon, tema, widget tanpa had</t>
  </si>
  <si>
    <t>Onbeperkte pictogrammen, thema's, widgets</t>
  </si>
  <si>
    <t>Nieograniczone ikony, motywy, widżety</t>
  </si>
  <si>
    <t>Ícones, temas e widgets ilimitados</t>
  </si>
  <si>
    <t>Неограниченное количество значков, тем, виджетов</t>
  </si>
  <si>
    <t>ไอคอน ธีม วิดเจ็ตไม่จำกัด</t>
  </si>
  <si>
    <t>Sınırsız simgeler, temalar, widget'lar</t>
  </si>
  <si>
    <t>Необмежена кількість значків, тем, віджетів</t>
  </si>
  <si>
    <t>无限的图标、主题、小部件</t>
  </si>
  <si>
    <t>Không giới hạn biểu tượng, chủ đề, widget</t>
  </si>
  <si>
    <t>try_3_days_free</t>
  </si>
  <si>
    <t>Try 3 Days free trial</t>
  </si>
  <si>
    <t>جرب الإصدار التجريبي المجاني لمدة 3 أيام</t>
  </si>
  <si>
    <t>Vyzkoušejte 3denní bezplatnou zkušební verzi</t>
  </si>
  <si>
    <t>Probieren Sie die kostenlose 3-Tage-Testversion aus</t>
  </si>
  <si>
    <t>Δοκιμάστε τη δωρεάν δοκιμή 3 ημερών</t>
  </si>
  <si>
    <t>Pruebe la prueba gratuita de 3 días</t>
  </si>
  <si>
    <t>Proovige 3 päeva tasuta prooviperioodi</t>
  </si>
  <si>
    <t>Kokeile 3 päivän ilmaista kokeilujaksoa</t>
  </si>
  <si>
    <t>Essayez l'essai gratuit de 3 jours</t>
  </si>
  <si>
    <t>3 दिन का निःशुल्क परीक्षण आज़माएँ</t>
  </si>
  <si>
    <t>Coba uji coba gratis 3 hari</t>
  </si>
  <si>
    <t>Prova una prova gratuita di 3 giorni</t>
  </si>
  <si>
    <t>3日間の無料トライアルを試す</t>
  </si>
  <si>
    <t>សាកល្បងសាកល្បងឥតគិតថ្លៃ 3 ថ្ងៃ។</t>
  </si>
  <si>
    <t>3 ದಿನಗಳ ಉಚಿತ ಪ್ರಯೋಗವನ್ನು ಪ್ರಯತ್ನಿಸಿ</t>
  </si>
  <si>
    <t>3일 무료 평가판을 사용해 보세요</t>
  </si>
  <si>
    <t>ລອງທົດລອງໃຊ້ຟຣີ 3 ມື້</t>
  </si>
  <si>
    <t>Izmēģiniet 3 dienu bezmaksas izmēģinājumu</t>
  </si>
  <si>
    <t>Cuba 3 Hari percubaan percuma</t>
  </si>
  <si>
    <t>Probeer een gratis proefperiode van 3 dagen</t>
  </si>
  <si>
    <t>Wypróbuj 3-dniowy bezpłatny okres próbny</t>
  </si>
  <si>
    <t>Experimente o teste gratuito de 3 dias</t>
  </si>
  <si>
    <t>Попробуйте 3-дневную бесплатную пробную версию</t>
  </si>
  <si>
    <t>ทดลองใช้ฟรี 3 วัน</t>
  </si>
  <si>
    <t>3 Günlük ücretsiz denemeyi deneyin</t>
  </si>
  <si>
    <t>Спробуйте 3-денну безкоштовну пробну версію</t>
  </si>
  <si>
    <t>尝试 3 天免费试用</t>
  </si>
  <si>
    <t>3 ngày dùng thử miễn phí</t>
  </si>
  <si>
    <t>start_my_free</t>
  </si>
  <si>
    <t>Start my free trial</t>
  </si>
  <si>
    <t>ابدأ تجربتي المجانية</t>
  </si>
  <si>
    <t>Spusťte bezplatnou zkušební verzi</t>
  </si>
  <si>
    <t>Starten Sie meine kostenlose Testversion</t>
  </si>
  <si>
    <t>Ξεκινήστε τη δωρεάν δοκιμή μου</t>
  </si>
  <si>
    <t>Iniciar mi prueba gratuita</t>
  </si>
  <si>
    <t>Alusta minu tasuta prooviperioodi</t>
  </si>
  <si>
    <t>Aloita ilmainen kokeilujaksoni</t>
  </si>
  <si>
    <t>Commencer mon essai gratuit</t>
  </si>
  <si>
    <t>मेरा निःशुल्क परीक्षण प्रारंभ करें</t>
  </si>
  <si>
    <t>Mulai uji coba gratis saya</t>
  </si>
  <si>
    <t>Inizia la mia prova gratuita</t>
  </si>
  <si>
    <t>無料トライアルを開始する</t>
  </si>
  <si>
    <t>ចាប់ផ្តើមការសាកល្បងឥតគិតថ្លៃរបស់ខ្ញុំ</t>
  </si>
  <si>
    <t>ನನ್ನ ಉಚಿತ ಪ್ರಯೋಗವನ್ನು ಪ್ರಾರಂಭಿಸಿ</t>
  </si>
  <si>
    <t>무료 평가판 시작</t>
  </si>
  <si>
    <t>ເລີ່ມການທົດລອງໃຊ້ຟຣີຂອງຂ້ອຍ</t>
  </si>
  <si>
    <t>Sāciet manu bezmaksas izmēģinājumu</t>
  </si>
  <si>
    <t>Mulakan percubaan percuma saya</t>
  </si>
  <si>
    <t>Start mijn gratis proefperiode</t>
  </si>
  <si>
    <t>Rozpocznij mój bezpłatny okres próbny</t>
  </si>
  <si>
    <t>Iniciar meu teste gratuito</t>
  </si>
  <si>
    <t>Начать мою бесплатную пробную версию</t>
  </si>
  <si>
    <t>เริ่มทดลองใช้ฟรีของฉัน</t>
  </si>
  <si>
    <t>Ücretsiz denememi başlat</t>
  </si>
  <si>
    <t>Розпочніть мою безкоштовну пробну версію</t>
  </si>
  <si>
    <t>开始我的免费试用</t>
  </si>
  <si>
    <t>Bắt đầu dùng thử miễn phí!</t>
  </si>
  <si>
    <t>lifetime</t>
  </si>
  <si>
    <t>Lifetime</t>
  </si>
  <si>
    <t>حياة</t>
  </si>
  <si>
    <t>Celý život</t>
  </si>
  <si>
    <t>Lebensdauer</t>
  </si>
  <si>
    <t>Διάρκεια ζωής</t>
  </si>
  <si>
    <t>Vida</t>
  </si>
  <si>
    <t>Eluaeg</t>
  </si>
  <si>
    <t>Elinikäinen</t>
  </si>
  <si>
    <t>Durée de vie</t>
  </si>
  <si>
    <t>जीवनभर</t>
  </si>
  <si>
    <t>Seumur hidup</t>
  </si>
  <si>
    <t>Tutta la vita</t>
  </si>
  <si>
    <t>一生</t>
  </si>
  <si>
    <t>ពេញមួយជីវិត</t>
  </si>
  <si>
    <t>ಜೀವಮಾನ</t>
  </si>
  <si>
    <t>일생</t>
  </si>
  <si>
    <t>ຕະຫຼອດຊີວິດ</t>
  </si>
  <si>
    <t>Visu mūžu</t>
  </si>
  <si>
    <t>seumur hidup</t>
  </si>
  <si>
    <t>Levensduur</t>
  </si>
  <si>
    <t>Życie</t>
  </si>
  <si>
    <t>Продолжительность жизни</t>
  </si>
  <si>
    <t>ตลอดชีวิต</t>
  </si>
  <si>
    <t>Ömür boyu</t>
  </si>
  <si>
    <t>Тривалість життя</t>
  </si>
  <si>
    <t>寿命</t>
  </si>
  <si>
    <t>Trọn đời</t>
  </si>
  <si>
    <t>onetime_payment</t>
  </si>
  <si>
    <t>One-time Payment. All Updates ______ New Features - Forever</t>
  </si>
  <si>
    <t>الدفع لمرة واحدة. جميع التحديثات ______ الميزات الجديدة - إلى الأبد</t>
  </si>
  <si>
    <t>Jednorázová platba. Všechny aktualizace ______ Nové funkce – navždy</t>
  </si>
  <si>
    <t>Einmalige Zahlung. Alle Updates ______ Neue Funktionen – für immer</t>
  </si>
  <si>
    <t>Εφάπαξ Πληρωμή. Όλες οι ενημερώσεις ______ Νέες δυνατότητες - Για πάντα</t>
  </si>
  <si>
    <t>Pago único. Todas las actualizaciones ______ Nuevas funciones: para siempre</t>
  </si>
  <si>
    <t>Ühekordne makse. Kõik värskendused ______ Uued funktsioonid – igavesti</t>
  </si>
  <si>
    <t>Kertamaksu. Kaikki päivitykset ______ Uudet ominaisuudet – ikuisesti</t>
  </si>
  <si>
    <t>Paiement unique. Toutes les mises à jour ______ Nouvelles fonctionnalités - Pour toujours</t>
  </si>
  <si>
    <t>एक - बारगी भुगतान। सभी अपडेट ______ नई सुविधाएँ - सदैव</t>
  </si>
  <si>
    <t>Pembayaran Satu Kali. Semua Pembaruan ______ Fitur Baru - Selamanya</t>
  </si>
  <si>
    <t>Pagamento una tantum. Tutti gli aggiornamenti ______ Nuove funzionalità - Per sempre</t>
  </si>
  <si>
    <t>1回払い。すべてのアップデート ______ 新機能 - 永久に</t>
  </si>
  <si>
    <t>ការទូទាត់តែម្តង។ ការអាប់ដេតទាំងអស់ ______ លក្ខណៈពិសេសថ្មី - ជារៀងរហូត</t>
  </si>
  <si>
    <t>ಒಂದು ಬಾರಿ ಪಾವತಿ. ಎಲ್ಲಾ ನವೀಕರಣಗಳು ______ ಹೊಸ ವೈಶಿಷ್ಟ್ಯಗಳು - ಶಾಶ್ವತವಾಗಿ</t>
  </si>
  <si>
    <t>일회성 결제. 모든 업데이트 ______ 새로운 기능 - 영원히</t>
  </si>
  <si>
    <t>ການຈ່າຍເງິນຄັ້ງດຽວ. ອັບເດດທັງໝົດ ______ ຄຸນສົມບັດໃໝ່ - ຕະຫຼອດໄປ</t>
  </si>
  <si>
    <t>Vienreizējs maksājums. Visi atjauninājumi ______ Jaunas funkcijas — uz visiem laikiem</t>
  </si>
  <si>
    <t>Bayaran Sekali. Semua Kemas Kini ______ Ciri Baharu - Selamanya</t>
  </si>
  <si>
    <t>Eenmalige betaling. Alle updates ______ Nieuwe functies - voor altijd</t>
  </si>
  <si>
    <t>Płatność jednorazowa. Wszystkie aktualizacje ______ Nowe funkcje — na zawsze</t>
  </si>
  <si>
    <t>Pagamento único. Todas as atualizações ______ Novos recursos - para sempre</t>
  </si>
  <si>
    <t>Единовременный платеж. Все обновления ______ Новые функции – навсегда</t>
  </si>
  <si>
    <t>ชำระเงินครั้งเดียว การอัปเดตทั้งหมด ______ คุณสมบัติใหม่ - ตลอดไป</t>
  </si>
  <si>
    <t>Tek Seferlik Ödeme. Tüm Güncellemeler ______ Yeni Özellikler - Sonsuza Kadar</t>
  </si>
  <si>
    <t>Одноразова оплата. Усі оновлення ______ Нові функції - назавжди</t>
  </si>
  <si>
    <t>一次性付款。所有更新 ______ 新功能 - 永远</t>
  </si>
  <si>
    <t>Thanh toán một lần. Tất cả các bản cập nhật ______ tính năng mới - mãi mãi</t>
  </si>
  <si>
    <t>monthly</t>
  </si>
  <si>
    <t>Μηνιαίος</t>
  </si>
  <si>
    <t>Mensal</t>
  </si>
  <si>
    <t>Hàng tháng</t>
  </si>
  <si>
    <t>the_auto_renew</t>
  </si>
  <si>
    <t>The auto renewing subscription charged monthly</t>
  </si>
  <si>
    <t>يتم تحصيل اشتراك التجديد التلقائي شهريًا</t>
  </si>
  <si>
    <t>Automatické obnovení předplatného je účtováno měsíčně</t>
  </si>
  <si>
    <t>Das Abonnement mit automatischer Verlängerung wird monatlich berechnet</t>
  </si>
  <si>
    <t>Η συνδρομή αυτόματης ανανέωσης χρεώνεται κάθε μήνα</t>
  </si>
  <si>
    <t>La suscripción de renovación automática se cobra mensualmente.</t>
  </si>
  <si>
    <t>Automaatselt uuendatava tellimuse eest võetakse tasu iga kuu</t>
  </si>
  <si>
    <t>Automaattinen uusiutuva tilaus veloitetaan kuukausittain</t>
  </si>
  <si>
    <t>L'abonnement à renouvellement automatique facturé mensuellement</t>
  </si>
  <si>
    <t>स्वतः नवीनीकरण सदस्यता का मासिक शुल्क लिया जाता है</t>
  </si>
  <si>
    <t>Langganan perpanjangan otomatis dikenakan biaya bulanan</t>
  </si>
  <si>
    <t>L'abbonamento con rinnovo automatico viene addebitato mensilmente</t>
  </si>
  <si>
    <t>毎月請求される自動更新サブスクリプション</t>
  </si>
  <si>
    <t>ការជាវបន្តដោយស្វ័យប្រវត្តិត្រូវបានគិតប្រាក់ប្រចាំខែ</t>
  </si>
  <si>
    <t>ಸ್ವಯಂ ನವೀಕರಣ ಚಂದಾದಾರಿಕೆಗೆ ಮಾಸಿಕ ಶುಲ್ಕ ವಿಧಿಸಲಾಗುತ್ತದೆ</t>
  </si>
  <si>
    <t>매월 청구되는 자동 갱신 구독</t>
  </si>
  <si>
    <t>ການຕໍ່ອາຍຸການສະໝັກໃຊ້ອັດຕະໂນມັດແມ່ນຄິດຄ່າບໍລິການລາຍເດືອນ</t>
  </si>
  <si>
    <t>Automātiskās atjaunošanas abonements tiek iekasēts katru mēnesi</t>
  </si>
  <si>
    <t>Langganan pembaharuan automatik dicaj setiap bulan</t>
  </si>
  <si>
    <t>Het abonnement voor automatische verlenging wordt maandelijks in rekening gebracht</t>
  </si>
  <si>
    <t>Subskrypcja automatycznego odnawiania pobierana co miesiąc</t>
  </si>
  <si>
    <t>A assinatura com renovação automática cobrada mensalmente</t>
  </si>
  <si>
    <t>Подписка с автоматическим продлением взимается ежемесячно.</t>
  </si>
  <si>
    <t>การสมัครสมาชิกต่ออายุอัตโนมัติเรียกเก็บเงินรายเดือน</t>
  </si>
  <si>
    <t>Otomatik yenilenen abonelik aylık olarak ücretlendirilir</t>
  </si>
  <si>
    <t>Підписка з автоматичним оновленням стягується щомісячно</t>
  </si>
  <si>
    <t>自动续订按月收费</t>
  </si>
  <si>
    <t>Thuê bao tự động gia hạn được tính phí hàng tháng</t>
  </si>
  <si>
    <t>cancel_anytime</t>
  </si>
  <si>
    <t>Cancel anytime</t>
  </si>
  <si>
    <t>إلغاء في أي وقت</t>
  </si>
  <si>
    <t>Zrušit kdykoli</t>
  </si>
  <si>
    <t>Jederzeit kündbar</t>
  </si>
  <si>
    <t>Ακύρωση ανά πάσα στιγμή</t>
  </si>
  <si>
    <t>Cancelar en cualquier momento</t>
  </si>
  <si>
    <t>Tühistage igal ajal</t>
  </si>
  <si>
    <t>Peru milloin tahansa</t>
  </si>
  <si>
    <t>Annuler à tout moment</t>
  </si>
  <si>
    <t>किसी भी समय रद्द करें</t>
  </si>
  <si>
    <t>Batalkan kapan saja</t>
  </si>
  <si>
    <t>Annulla in qualsiasi momento</t>
  </si>
  <si>
    <t>いつでもキャンセル可能</t>
  </si>
  <si>
    <t>បោះបង់នៅពេលណាក៏បាន</t>
  </si>
  <si>
    <t>ಯಾವಾಗ ಬೇಕಾದರೂ ರದ್ದುಮಾಡಿ</t>
  </si>
  <si>
    <t>언제든지 취소</t>
  </si>
  <si>
    <t>ຍົກເລີກໄດ້ທຸກເວລາ</t>
  </si>
  <si>
    <t>Atcelt jebkurā laikā</t>
  </si>
  <si>
    <t>Batalkan bila-bila masa</t>
  </si>
  <si>
    <t>Annuleer op elk gewenst moment</t>
  </si>
  <si>
    <t>Anuluj w dowolnym momencie</t>
  </si>
  <si>
    <t>Cancele a qualquer momento</t>
  </si>
  <si>
    <t>Отменить в любое время</t>
  </si>
  <si>
    <t>ยกเลิกได้ตลอดเวลา</t>
  </si>
  <si>
    <t>İstediğiniz zaman iptal edin</t>
  </si>
  <si>
    <t>Скасувати будь-коли</t>
  </si>
  <si>
    <t>随时取消</t>
  </si>
  <si>
    <t>Hủy bất cứ lúc nào</t>
  </si>
  <si>
    <t>subscription_terms</t>
  </si>
  <si>
    <t>Subscription Terms</t>
  </si>
  <si>
    <t>شروط الاشتراك</t>
  </si>
  <si>
    <t>Podmínky předplatného</t>
  </si>
  <si>
    <t>Abonnementbedingungen</t>
  </si>
  <si>
    <t>Όροι συνδρομής</t>
  </si>
  <si>
    <t>Términos de suscripción</t>
  </si>
  <si>
    <t>Tellimistingimused</t>
  </si>
  <si>
    <t>Tilausehdot</t>
  </si>
  <si>
    <t>Conditions d'abonnement</t>
  </si>
  <si>
    <t>सदस्यता शर्तें</t>
  </si>
  <si>
    <t>Ketentuan Berlangganan</t>
  </si>
  <si>
    <t>Termini di abbonamento</t>
  </si>
  <si>
    <t>サブスクリプション規約</t>
  </si>
  <si>
    <t>លក្ខខណ្ឌនៃការជាវ</t>
  </si>
  <si>
    <t>ಚಂದಾದಾರಿಕೆ ನಿಯಮಗಳು</t>
  </si>
  <si>
    <t>구독 조건</t>
  </si>
  <si>
    <t>ເງື່ອນໄຂການສະໝັກສະມາຊິກ</t>
  </si>
  <si>
    <t>Abonēšanas noteikumi</t>
  </si>
  <si>
    <t>Syarat Langganan</t>
  </si>
  <si>
    <t>Abonnementsvoorwaarden</t>
  </si>
  <si>
    <t>Warunki subskrypcji</t>
  </si>
  <si>
    <t>Termos de assinatura</t>
  </si>
  <si>
    <t>Условия подписки</t>
  </si>
  <si>
    <t>เงื่อนไขการสมัครสมาชิก</t>
  </si>
  <si>
    <t>Abonelik Koşulları</t>
  </si>
  <si>
    <t>Умови підписки</t>
  </si>
  <si>
    <t>订阅条款</t>
  </si>
  <si>
    <t>Điều khoản gói đăng ký</t>
  </si>
  <si>
    <t>purchase_error</t>
  </si>
  <si>
    <t>Purchase Error!</t>
  </si>
  <si>
    <t>خطأ في الشراء!</t>
  </si>
  <si>
    <t>Chyba nákupu!</t>
  </si>
  <si>
    <t>Kauffehler!</t>
  </si>
  <si>
    <t>Σφάλμα αγοράς!</t>
  </si>
  <si>
    <t>¡Error de compra!</t>
  </si>
  <si>
    <t>Ostu viga!</t>
  </si>
  <si>
    <t>Ostovirhe!</t>
  </si>
  <si>
    <t>Erreur d'achat !</t>
  </si>
  <si>
    <t>खरीदारी में त्रुटि!</t>
  </si>
  <si>
    <t>Kesalahan Pembelian!</t>
  </si>
  <si>
    <t>Errore di acquisto!</t>
  </si>
  <si>
    <t>購入エラーです！</t>
  </si>
  <si>
    <t>កំហុសក្នុងការទិញ!</t>
  </si>
  <si>
    <t>ಖರೀದಿ ದೋಷ!</t>
  </si>
  <si>
    <t>구매 오류!</t>
  </si>
  <si>
    <t>ການ​ຊື້​ຜິດ​ພາດ​!</t>
  </si>
  <si>
    <t>Pirkuma kļūda!</t>
  </si>
  <si>
    <t>Ralat Pembelian!</t>
  </si>
  <si>
    <t>Aankoopfout!</t>
  </si>
  <si>
    <t>Błąd zakupu!</t>
  </si>
  <si>
    <t>Erro de compra!</t>
  </si>
  <si>
    <t>Ошибка покупки!</t>
  </si>
  <si>
    <t>ข้อผิดพลาดในการซื้อ!</t>
  </si>
  <si>
    <t>Satın Alma Hatası!</t>
  </si>
  <si>
    <t>Помилка покупки!</t>
  </si>
  <si>
    <t>购买错误！</t>
  </si>
  <si>
    <t>Lỗi mua hàng!</t>
  </si>
  <si>
    <t>purchase_success</t>
  </si>
  <si>
    <t>Purchase Success!</t>
  </si>
  <si>
    <t>نجاح الشراء!</t>
  </si>
  <si>
    <t>Úspěch nákupu!</t>
  </si>
  <si>
    <t>Αγορά Επιτυχία!</t>
  </si>
  <si>
    <t>¡Compra exitosa!</t>
  </si>
  <si>
    <t>Edu ostlemisel!</t>
  </si>
  <si>
    <t>Osto onnistui!</t>
  </si>
  <si>
    <t>Achat réussi !</t>
  </si>
  <si>
    <t>Pembelian Sukses!</t>
  </si>
  <si>
    <t>Acquista il successo!</t>
  </si>
  <si>
    <t>ಖರೀದಿ ಯಶಸ್ಸು!</t>
  </si>
  <si>
    <t>Veiksmi pirkumā!</t>
  </si>
  <si>
    <t>Kejayaan Pembelian!</t>
  </si>
  <si>
    <t>Aankoop succes!</t>
  </si>
  <si>
    <t>Zakup udany!</t>
  </si>
  <si>
    <t>Sucesso na compra!</t>
  </si>
  <si>
    <t>Удачной покупки!</t>
  </si>
  <si>
    <t>Başarı Satın Alın!</t>
  </si>
  <si>
    <t>Вдала покупка!</t>
  </si>
  <si>
    <t>Mua thành công!</t>
  </si>
  <si>
    <t>txt_then</t>
  </si>
  <si>
    <t>Then</t>
  </si>
  <si>
    <t>ثم</t>
  </si>
  <si>
    <t>Pak</t>
  </si>
  <si>
    <t>Dann</t>
  </si>
  <si>
    <t>Τότε</t>
  </si>
  <si>
    <t>Entonces</t>
  </si>
  <si>
    <t>Siis</t>
  </si>
  <si>
    <t>Sitten</t>
  </si>
  <si>
    <t>Alors</t>
  </si>
  <si>
    <t>तब</t>
  </si>
  <si>
    <t>Kemudian</t>
  </si>
  <si>
    <t>Poi</t>
  </si>
  <si>
    <t>それから</t>
  </si>
  <si>
    <t>បន្ទាប់មក</t>
  </si>
  <si>
    <t>ನಂತರ</t>
  </si>
  <si>
    <t>그 다음에</t>
  </si>
  <si>
    <t>ຈາກນັ້ນ</t>
  </si>
  <si>
    <t>Tad</t>
  </si>
  <si>
    <t>Następnie</t>
  </si>
  <si>
    <t>Então</t>
  </si>
  <si>
    <t>Затем</t>
  </si>
  <si>
    <t>แล้ว</t>
  </si>
  <si>
    <t>Daha sonra</t>
  </si>
  <si>
    <t>Потім</t>
  </si>
  <si>
    <t>然后</t>
  </si>
  <si>
    <t>Sau đó</t>
  </si>
  <si>
    <t>txt_per_yearly</t>
  </si>
  <si>
    <t>per yearly</t>
  </si>
  <si>
    <t>سنويا</t>
  </si>
  <si>
    <t>za rok</t>
  </si>
  <si>
    <t>pro Jahr</t>
  </si>
  <si>
    <t>ανά έτος</t>
  </si>
  <si>
    <t>por año</t>
  </si>
  <si>
    <t>aasta kohta</t>
  </si>
  <si>
    <t>vuodessa</t>
  </si>
  <si>
    <t>par an</t>
  </si>
  <si>
    <t>प्रति वर्ष</t>
  </si>
  <si>
    <t>per tahunan</t>
  </si>
  <si>
    <t>all'anno</t>
  </si>
  <si>
    <t>ក្នុងមួយឆ្នាំ</t>
  </si>
  <si>
    <t>ಪ್ರತಿ ವರ್ಷಕ್ಕೆ</t>
  </si>
  <si>
    <t>ຕໍ່​ປີ</t>
  </si>
  <si>
    <t>gadā</t>
  </si>
  <si>
    <t>per jaar</t>
  </si>
  <si>
    <t>rocznie</t>
  </si>
  <si>
    <t>por ano</t>
  </si>
  <si>
    <t>в год</t>
  </si>
  <si>
    <t>ต่อปี</t>
  </si>
  <si>
    <t>yıllık</t>
  </si>
  <si>
    <t>на рік</t>
  </si>
  <si>
    <t>mỗi năm</t>
  </si>
  <si>
    <t>app_title</t>
  </si>
  <si>
    <t>Touch Roulette</t>
  </si>
  <si>
    <t>Touch Roulette: Make Decisions</t>
  </si>
  <si>
    <t>chooser</t>
  </si>
  <si>
    <t>Chooser</t>
  </si>
  <si>
    <t>منتقي</t>
  </si>
  <si>
    <t>Výběr</t>
  </si>
  <si>
    <t>Wähler</t>
  </si>
  <si>
    <t>Εκλέγων</t>
  </si>
  <si>
    <t>Elección</t>
  </si>
  <si>
    <t>Valija</t>
  </si>
  <si>
    <t>Valitsija</t>
  </si>
  <si>
    <t>Sélecteur</t>
  </si>
  <si>
    <t>चयनकर्ता</t>
  </si>
  <si>
    <t>Pemilih</t>
  </si>
  <si>
    <t>Selezionatore</t>
  </si>
  <si>
    <t>セレクター</t>
  </si>
  <si>
    <t>អ្នកជ្រើសរើស</t>
  </si>
  <si>
    <t>ಆಯ್ಕೆ ಮಾಡುವವರು</t>
  </si>
  <si>
    <t>선택자</t>
  </si>
  <si>
    <t>ໂຕເລືອກ</t>
  </si>
  <si>
    <t>Izvēlētājs</t>
  </si>
  <si>
    <t>Kiezer</t>
  </si>
  <si>
    <t>Wybieracz</t>
  </si>
  <si>
    <t>Seletor</t>
  </si>
  <si>
    <t>Выбор</t>
  </si>
  <si>
    <t>ตัวเลือก</t>
  </si>
  <si>
    <t>Seçici</t>
  </si>
  <si>
    <t>Вибір</t>
  </si>
  <si>
    <t>选择器</t>
  </si>
  <si>
    <t>Trình chọn</t>
  </si>
  <si>
    <t>homograft</t>
  </si>
  <si>
    <t>Homograft</t>
  </si>
  <si>
    <t>طعم متجانس</t>
  </si>
  <si>
    <t>Homotransplantat</t>
  </si>
  <si>
    <t>Ομομόσχευμα</t>
  </si>
  <si>
    <t>Homoinjerto</t>
  </si>
  <si>
    <t>Homogreffe</t>
  </si>
  <si>
    <t>होमोग्राफ़्ट</t>
  </si>
  <si>
    <t>Omotrapianto</t>
  </si>
  <si>
    <t>同種移植片</t>
  </si>
  <si>
    <t>ಹೋಮೋಗ್ರಾಫ್ಟ್</t>
  </si>
  <si>
    <t>동종 이식</t>
  </si>
  <si>
    <t>Homotransplantāts</t>
  </si>
  <si>
    <t>Homograf</t>
  </si>
  <si>
    <t>Homoenxerto</t>
  </si>
  <si>
    <t>Гомографт</t>
  </si>
  <si>
    <t>โฮโมกราฟต์</t>
  </si>
  <si>
    <t>гомотрансплантат</t>
  </si>
  <si>
    <t>同种移植物</t>
  </si>
  <si>
    <t>Bắt cặp</t>
  </si>
  <si>
    <t>ranking</t>
  </si>
  <si>
    <t>Ranking</t>
  </si>
  <si>
    <t>تصنيف</t>
  </si>
  <si>
    <t>Pořadí</t>
  </si>
  <si>
    <t>Rang</t>
  </si>
  <si>
    <t>Κατάταξη</t>
  </si>
  <si>
    <t>Categoría</t>
  </si>
  <si>
    <t>Edetabel</t>
  </si>
  <si>
    <t>Sijoitus</t>
  </si>
  <si>
    <t>Classement</t>
  </si>
  <si>
    <t>श्रेणी</t>
  </si>
  <si>
    <t>Peringkat</t>
  </si>
  <si>
    <t>Classifica</t>
  </si>
  <si>
    <t>ランキング</t>
  </si>
  <si>
    <t>ចំណាត់ថ្នាក់</t>
  </si>
  <si>
    <t>ಶ್ರೇಯಾಂಕ</t>
  </si>
  <si>
    <t>순위</t>
  </si>
  <si>
    <t>ອັນດັບ</t>
  </si>
  <si>
    <t>Kedudukan</t>
  </si>
  <si>
    <t>Ranglijst</t>
  </si>
  <si>
    <t>Zaszeregowanie</t>
  </si>
  <si>
    <t>Classificação</t>
  </si>
  <si>
    <t>Рейтинг</t>
  </si>
  <si>
    <t>การจัดอันดับ</t>
  </si>
  <si>
    <t>Sıralama</t>
  </si>
  <si>
    <t>排行</t>
  </si>
  <si>
    <t>Xếp hạng</t>
  </si>
  <si>
    <t>spinner_wheel</t>
  </si>
  <si>
    <t>Spinner Wheel</t>
  </si>
  <si>
    <t>عجلة سبينر</t>
  </si>
  <si>
    <t>Spinnerrad</t>
  </si>
  <si>
    <t>Περιστρεφόμενος τροχός</t>
  </si>
  <si>
    <t>Rueda giratoria</t>
  </si>
  <si>
    <t>Spinneri ratas</t>
  </si>
  <si>
    <t>Spinner pyörä</t>
  </si>
  <si>
    <t>Roue tournante</t>
  </si>
  <si>
    <t>स्पिनर व्हील</t>
  </si>
  <si>
    <t>Roda Pemintal</t>
  </si>
  <si>
    <t>Ruota girevole</t>
  </si>
  <si>
    <t>スピナーホイール</t>
  </si>
  <si>
    <t>កង់វិល</t>
  </si>
  <si>
    <t>ಸ್ಪಿನ್ನರ್ ವ್ಹೀಲ್</t>
  </si>
  <si>
    <t>스피너 휠</t>
  </si>
  <si>
    <t>ລໍ້ Spinner</t>
  </si>
  <si>
    <t>Spinera ritenis</t>
  </si>
  <si>
    <t>Spinnerwiel</t>
  </si>
  <si>
    <t>Koło obrotowe</t>
  </si>
  <si>
    <t>Roda giratória</t>
  </si>
  <si>
    <t>Вращающееся колесо</t>
  </si>
  <si>
    <t>ล้อปินเนอร์</t>
  </si>
  <si>
    <t>Döndürücü Çark</t>
  </si>
  <si>
    <t>旋转轮</t>
  </si>
  <si>
    <t>Xoay vòng</t>
  </si>
  <si>
    <t>Asetukset</t>
  </si>
  <si>
    <t>सेटिंग्स</t>
  </si>
  <si>
    <t>ಸೆಟ್ಟಿಂಗ್‌ಗಳು</t>
  </si>
  <si>
    <t>new_roulette</t>
  </si>
  <si>
    <t>New Roulette</t>
  </si>
  <si>
    <t>الروليت الجديدة</t>
  </si>
  <si>
    <t>Nová ruleta</t>
  </si>
  <si>
    <t>Neues Roulette</t>
  </si>
  <si>
    <t>Νέα Ρουλέτα</t>
  </si>
  <si>
    <t>Nueva Ruleta</t>
  </si>
  <si>
    <t>Uus rulett</t>
  </si>
  <si>
    <t>Uusi ruletti</t>
  </si>
  <si>
    <t>Nouvelle roulette</t>
  </si>
  <si>
    <t>नया रूलेट</t>
  </si>
  <si>
    <t>Roulette Baru</t>
  </si>
  <si>
    <t>Nuova roulette</t>
  </si>
  <si>
    <t>新しいルーレット</t>
  </si>
  <si>
    <t>រ៉ូឡែតថ្មី។</t>
  </si>
  <si>
    <t>ಹೊಸ ರೂಲೆಟ್</t>
  </si>
  <si>
    <t>새로운 룰렛</t>
  </si>
  <si>
    <t>ຮູເລັດໃໝ່</t>
  </si>
  <si>
    <t>Jauna rulete</t>
  </si>
  <si>
    <t>Rolet Baru</t>
  </si>
  <si>
    <t>Nieuwe roulette</t>
  </si>
  <si>
    <t>Nowa ruletka</t>
  </si>
  <si>
    <t>Nova Roleta</t>
  </si>
  <si>
    <t>Новая рулетка</t>
  </si>
  <si>
    <t>รูเล็ตใหม่</t>
  </si>
  <si>
    <t>Yeni Rulet</t>
  </si>
  <si>
    <t>Нова рулетка</t>
  </si>
  <si>
    <t>新轮盘赌</t>
  </si>
  <si>
    <t>Roulette mới</t>
  </si>
  <si>
    <t>roullete</t>
  </si>
  <si>
    <t>Roullete</t>
  </si>
  <si>
    <t>الروليت</t>
  </si>
  <si>
    <t>Ruleta</t>
  </si>
  <si>
    <t>Roulette</t>
  </si>
  <si>
    <t>Ρουλέτα</t>
  </si>
  <si>
    <t>ruleta</t>
  </si>
  <si>
    <t>Rulett</t>
  </si>
  <si>
    <t>Ruletti</t>
  </si>
  <si>
    <t>रूलेट</t>
  </si>
  <si>
    <t>rolet</t>
  </si>
  <si>
    <t>ルーレット</t>
  </si>
  <si>
    <t>រ៉ូឡែត</t>
  </si>
  <si>
    <t>ರೂಲೆಟ್</t>
  </si>
  <si>
    <t>룰렛</t>
  </si>
  <si>
    <t>Rulete</t>
  </si>
  <si>
    <t>Ruletka</t>
  </si>
  <si>
    <t>Roleta</t>
  </si>
  <si>
    <t>рулетка</t>
  </si>
  <si>
    <t>รูเล็ต</t>
  </si>
  <si>
    <t>Rulet</t>
  </si>
  <si>
    <t>Рулетка</t>
  </si>
  <si>
    <t>轮盘赌</t>
  </si>
  <si>
    <t>replay</t>
  </si>
  <si>
    <t>Replay</t>
  </si>
  <si>
    <t>إعادة التشغيل</t>
  </si>
  <si>
    <t>Přehrát znovu</t>
  </si>
  <si>
    <t>Wiederholung</t>
  </si>
  <si>
    <t>Ξαναπαίζω</t>
  </si>
  <si>
    <t>Repetición</t>
  </si>
  <si>
    <t>Kordus</t>
  </si>
  <si>
    <t>Uusinta</t>
  </si>
  <si>
    <t>Rejouer</t>
  </si>
  <si>
    <t>REPLAY</t>
  </si>
  <si>
    <t>Memutar ulang</t>
  </si>
  <si>
    <t>Rigiocare</t>
  </si>
  <si>
    <t>リプレイ</t>
  </si>
  <si>
    <t>ចាក់ឡើងវិញ</t>
  </si>
  <si>
    <t>ಮರುಪಂದ್ಯ</t>
  </si>
  <si>
    <t>다시 하다</t>
  </si>
  <si>
    <t>ຫຼິ້ນຄືນ</t>
  </si>
  <si>
    <t>Atskaņot vēlreiz</t>
  </si>
  <si>
    <t>Main semula</t>
  </si>
  <si>
    <t>Opnieuw afspelen</t>
  </si>
  <si>
    <t>Powtórna rozgrywka</t>
  </si>
  <si>
    <t>Повтор</t>
  </si>
  <si>
    <t>เล่นซ้ำ</t>
  </si>
  <si>
    <t>Tekrar oynat</t>
  </si>
  <si>
    <t>重播</t>
  </si>
  <si>
    <t>Phát lại</t>
  </si>
  <si>
    <t>add_item</t>
  </si>
  <si>
    <t>Add item</t>
  </si>
  <si>
    <t>إضافة عنصر</t>
  </si>
  <si>
    <t>Přidat položku</t>
  </si>
  <si>
    <t>Artikel hinzufügen</t>
  </si>
  <si>
    <t>Προσθήκη στοιχείου</t>
  </si>
  <si>
    <t>Agregar artículo</t>
  </si>
  <si>
    <t>Lisa üksus</t>
  </si>
  <si>
    <t>Lisää kohde</t>
  </si>
  <si>
    <t>Ajouter un article</t>
  </si>
  <si>
    <t>मद जोड़ें</t>
  </si>
  <si>
    <t>Tambahkan barang</t>
  </si>
  <si>
    <t>Aggiungi elemento</t>
  </si>
  <si>
    <t>アイテムの追加</t>
  </si>
  <si>
    <t>បន្ថែមធាតុ</t>
  </si>
  <si>
    <t>ಐಟಂ ಸೇರಿಸಿ</t>
  </si>
  <si>
    <t>항목 추가</t>
  </si>
  <si>
    <t>ເພີ່ມລາຍການ</t>
  </si>
  <si>
    <t>Pievienot vienumu</t>
  </si>
  <si>
    <t>Tambah item</t>
  </si>
  <si>
    <t>Artikel toevoegen</t>
  </si>
  <si>
    <t>Dodaj element</t>
  </si>
  <si>
    <t>Adicionar item</t>
  </si>
  <si>
    <t>Добавить элемент</t>
  </si>
  <si>
    <t>เพิ่มรายการ</t>
  </si>
  <si>
    <t>Öğe ekle</t>
  </si>
  <si>
    <t>Додати товар</t>
  </si>
  <si>
    <t>添加项目</t>
  </si>
  <si>
    <t>Thêm mục</t>
  </si>
  <si>
    <t>Aloita</t>
  </si>
  <si>
    <t>Почніть</t>
  </si>
  <si>
    <t>shock_roulette</t>
  </si>
  <si>
    <t>Shock Roulette</t>
  </si>
  <si>
    <t>الروليت الصدمة</t>
  </si>
  <si>
    <t>Šoková ruleta</t>
  </si>
  <si>
    <t>Schock-Roulette</t>
  </si>
  <si>
    <t>Ρουλέτα σοκ</t>
  </si>
  <si>
    <t>Ruleta de choque</t>
  </si>
  <si>
    <t>Šoki rulett</t>
  </si>
  <si>
    <t>Shock Ruletti</t>
  </si>
  <si>
    <t>Roulette de choc</t>
  </si>
  <si>
    <t>शॉक रूलेट</t>
  </si>
  <si>
    <t>Roulette Kejutan</t>
  </si>
  <si>
    <t>Roulette shock</t>
  </si>
  <si>
    <t>ショックルーレット</t>
  </si>
  <si>
    <t>រ៉ូឡែតឆក់</t>
  </si>
  <si>
    <t>ಶಾಕ್ ರೂಲೆಟ್</t>
  </si>
  <si>
    <t>충격 룰렛</t>
  </si>
  <si>
    <t>Šoka rulete</t>
  </si>
  <si>
    <t>Rolet Kejutan</t>
  </si>
  <si>
    <t>Schokroulette</t>
  </si>
  <si>
    <t>Szokująca ruletka</t>
  </si>
  <si>
    <t>Roleta de choque</t>
  </si>
  <si>
    <t>Шоковая рулетка</t>
  </si>
  <si>
    <t>ช็อตรูเล็ต</t>
  </si>
  <si>
    <t>Şok Rulet</t>
  </si>
  <si>
    <t>Шокова рулетка</t>
  </si>
  <si>
    <t>震动轮盘</t>
  </si>
  <si>
    <t>Sốc Roulette</t>
  </si>
  <si>
    <t>roulette</t>
  </si>
  <si>
    <t>रूले</t>
  </si>
  <si>
    <t>Rolet</t>
  </si>
  <si>
    <t>ຮູເລັດ</t>
  </si>
  <si>
    <t>the_winner_is</t>
  </si>
  <si>
    <t>The winner is</t>
  </si>
  <si>
    <t>الفائز هو</t>
  </si>
  <si>
    <t>Vítězem je</t>
  </si>
  <si>
    <t>Der Gewinner ist</t>
  </si>
  <si>
    <t>Ο νικητής είναι</t>
  </si>
  <si>
    <t>el ganador es</t>
  </si>
  <si>
    <t>Võitja on</t>
  </si>
  <si>
    <t>Voittaja on</t>
  </si>
  <si>
    <t>Le gagnant est</t>
  </si>
  <si>
    <t>विजेता है</t>
  </si>
  <si>
    <t>Pemenangnya adalah</t>
  </si>
  <si>
    <t>Il vincitore è</t>
  </si>
  <si>
    <t>勝者は</t>
  </si>
  <si>
    <t>អ្នកឈ្នះគឺ</t>
  </si>
  <si>
    <t>ವಿಜೇತರು</t>
  </si>
  <si>
    <t>승자는</t>
  </si>
  <si>
    <t>ຜູ້ຊະນະແມ່ນ</t>
  </si>
  <si>
    <t>Uzvarētājs ir</t>
  </si>
  <si>
    <t>Pemenangnya ialah</t>
  </si>
  <si>
    <t>De winnaar is</t>
  </si>
  <si>
    <t>Zwycięzcą jest</t>
  </si>
  <si>
    <t>O vencedor é</t>
  </si>
  <si>
    <t>Победитель</t>
  </si>
  <si>
    <t>ผู้ชนะคือ</t>
  </si>
  <si>
    <t>Kazanan</t>
  </si>
  <si>
    <t>Переможець є</t>
  </si>
  <si>
    <t>获胜者是</t>
  </si>
  <si>
    <t>Người chiến thắng là</t>
  </si>
  <si>
    <t>Name:</t>
  </si>
  <si>
    <t>اسم:</t>
  </si>
  <si>
    <t>Jméno:</t>
  </si>
  <si>
    <t>Ονομα:</t>
  </si>
  <si>
    <t>Nombre:</t>
  </si>
  <si>
    <t>Nimi:</t>
  </si>
  <si>
    <t>Nom:</t>
  </si>
  <si>
    <t>नाम:</t>
  </si>
  <si>
    <t>Nama:</t>
  </si>
  <si>
    <t>Nome:</t>
  </si>
  <si>
    <t>名前：</t>
  </si>
  <si>
    <t>ឈ្មោះ៖</t>
  </si>
  <si>
    <t>ಹೆಸರು:</t>
  </si>
  <si>
    <t>이름:</t>
  </si>
  <si>
    <t>ຊື່:</t>
  </si>
  <si>
    <t>Vārds:</t>
  </si>
  <si>
    <t>nama:</t>
  </si>
  <si>
    <t>Naam:</t>
  </si>
  <si>
    <t>Nazwa:</t>
  </si>
  <si>
    <t>Имя:</t>
  </si>
  <si>
    <t>ชื่อ:</t>
  </si>
  <si>
    <t>İsim:</t>
  </si>
  <si>
    <t>Ім'я:</t>
  </si>
  <si>
    <t>姓名：</t>
  </si>
  <si>
    <t>Tên:</t>
  </si>
  <si>
    <t>player_1</t>
  </si>
  <si>
    <t>Player 1</t>
  </si>
  <si>
    <t>اللاعب 1</t>
  </si>
  <si>
    <t>Hráč 1</t>
  </si>
  <si>
    <t>Spieler 1</t>
  </si>
  <si>
    <t>Παίκτης 1</t>
  </si>
  <si>
    <t>Jugador 1</t>
  </si>
  <si>
    <t>Mängija 1</t>
  </si>
  <si>
    <t>Pelaaja 1</t>
  </si>
  <si>
    <t>Joueur 1</t>
  </si>
  <si>
    <t>खिलाड़ी 1</t>
  </si>
  <si>
    <t>Pemain 1</t>
  </si>
  <si>
    <t>Giocatore 1</t>
  </si>
  <si>
    <t>プレイヤー 1</t>
  </si>
  <si>
    <t>អ្នកលេង ១</t>
  </si>
  <si>
    <t>ಆಟಗಾರ 1</t>
  </si>
  <si>
    <t>플레이어 1</t>
  </si>
  <si>
    <t>ຜູ້ນ 1</t>
  </si>
  <si>
    <t>Spēlētājs 1</t>
  </si>
  <si>
    <t>Speler 1</t>
  </si>
  <si>
    <t>Gracz 1</t>
  </si>
  <si>
    <t>Jogador 1</t>
  </si>
  <si>
    <t>Игрок 1</t>
  </si>
  <si>
    <t>ผู้เล่น 1</t>
  </si>
  <si>
    <t>Oyuncu 1</t>
  </si>
  <si>
    <t>Гравець 1</t>
  </si>
  <si>
    <t>玩家1</t>
  </si>
  <si>
    <t>Người chơi 1</t>
  </si>
  <si>
    <t>player_2</t>
  </si>
  <si>
    <t>Player 2</t>
  </si>
  <si>
    <t>اللاعب 2</t>
  </si>
  <si>
    <t>Hráč 2</t>
  </si>
  <si>
    <t>Spieler 2</t>
  </si>
  <si>
    <t>Παίκτης 2</t>
  </si>
  <si>
    <t>Jugador 2</t>
  </si>
  <si>
    <t>Mängija 2</t>
  </si>
  <si>
    <t>Pelaaja 2</t>
  </si>
  <si>
    <t>Joueur 2</t>
  </si>
  <si>
    <t>खिलाड़ी 2</t>
  </si>
  <si>
    <t>Pemain 2</t>
  </si>
  <si>
    <t>Giocatore 2</t>
  </si>
  <si>
    <t>プレイヤー2</t>
  </si>
  <si>
    <t>អ្នកលេង ២</t>
  </si>
  <si>
    <t>ಆಟಗಾರ 2</t>
  </si>
  <si>
    <t>플레이어 2</t>
  </si>
  <si>
    <t>ຜູ້ນ 2</t>
  </si>
  <si>
    <t>Spēlētājs 2</t>
  </si>
  <si>
    <t>Speler 2</t>
  </si>
  <si>
    <t>Gracz 2</t>
  </si>
  <si>
    <t>Jogador 2</t>
  </si>
  <si>
    <t>Игрок 2</t>
  </si>
  <si>
    <t>ผู้เล่น 2</t>
  </si>
  <si>
    <t>Oyuncu 2</t>
  </si>
  <si>
    <t>Гравець 2</t>
  </si>
  <si>
    <t>玩家2</t>
  </si>
  <si>
    <t>Người chơi 2</t>
  </si>
  <si>
    <t>please_enter_all_name</t>
  </si>
  <si>
    <t>Please enter all name</t>
  </si>
  <si>
    <t>الرجاء إدخال الاسم بالكامل</t>
  </si>
  <si>
    <t>Zadejte prosím všechna jména</t>
  </si>
  <si>
    <t>Bitte geben Sie alle Namen ein</t>
  </si>
  <si>
    <t>Εισαγάγετε όλο το όνομα</t>
  </si>
  <si>
    <t>Por favor ingrese todo el nombre</t>
  </si>
  <si>
    <t>Palun sisestage kogu nimi</t>
  </si>
  <si>
    <t>Anna kaikki nimet</t>
  </si>
  <si>
    <t>Veuillez entrer tous les noms</t>
  </si>
  <si>
    <t>कृपया सभी नाम दर्ज करें</t>
  </si>
  <si>
    <t>Silakan masukkan semua nama</t>
  </si>
  <si>
    <t>Inserisci tutti i nomi</t>
  </si>
  <si>
    <t>全員の名前を入力してください</t>
  </si>
  <si>
    <t>សូមបញ្ចូលឈ្មោះទាំងអស់។</t>
  </si>
  <si>
    <t>ದಯವಿಟ್ಟು ಎಲ್ಲಾ ಹೆಸರನ್ನು ನಮೂದಿಸಿ</t>
  </si>
  <si>
    <t>이름을 모두 입력해주세요</t>
  </si>
  <si>
    <t>ກະລຸນາໃສ່ຊື່ທັງໝົດ</t>
  </si>
  <si>
    <t>Lūdzu, ievadiet visu vārdu</t>
  </si>
  <si>
    <t>Sila masukkan semua nama</t>
  </si>
  <si>
    <t>Voer alle namen in</t>
  </si>
  <si>
    <t>Proszę wpisać wszystkie nazwy</t>
  </si>
  <si>
    <t>Por favor insira todos os nomes</t>
  </si>
  <si>
    <t>Пожалуйста, введите все имя</t>
  </si>
  <si>
    <t>กรุณากรอกชื่อทั้งหมด</t>
  </si>
  <si>
    <t>Lütfen tüm adı girin</t>
  </si>
  <si>
    <t>Введіть усі назви</t>
  </si>
  <si>
    <t>请输入全部姓名</t>
  </si>
  <si>
    <t>Vui lòng nhập đầy đủ tên</t>
  </si>
  <si>
    <t>Please give us 5-stars if you like &amp; let us know your feedback</t>
  </si>
  <si>
    <t>Tolong beri kami bintang 5 jika Anda suka &amp; beri tahu kami tanggapan Anda</t>
  </si>
  <si>
    <t>សូមផ្តល់ឱ្យយើងនូវផ្កាយ 5 ប្រសិនបើអ្នកចូលចិត្ត &amp; អនុញ្ញាតឱ្យពួកយើងដឹងពីមតិកែលម្អរបស់អ្នក។</t>
  </si>
  <si>
    <t>ກະລຸນາໃຫ້ພວກເຮົາ 5 ດາວຖ້າທ່ານຕ້ອງການ &amp; ໃຫ້ພວກເຮົາຮູ້ຄໍາຕິຊົມຂອງທ່ານ</t>
  </si>
  <si>
    <t>Lūdzu, piešķiriet mums 5 zvaigznes, ja vēlaties, un dariet mums zināmas savas atsauksmes</t>
  </si>
  <si>
    <t>Sila beri kami 5 bintang jika anda suka &amp; beritahu kami maklum balas anda</t>
  </si>
  <si>
    <t>Zrušit</t>
  </si>
  <si>
    <t>Cancellare</t>
  </si>
  <si>
    <t>Kielet</t>
  </si>
  <si>
    <t>Lingue</t>
  </si>
  <si>
    <t>Jakaa</t>
  </si>
  <si>
    <t>Kebijakan Privasi</t>
  </si>
  <si>
    <t>គោលការណ៍ឯកជនភាព</t>
  </si>
  <si>
    <t>ಗೌಪ್ಯತೆ ನೀತಿ</t>
  </si>
  <si>
    <t>개인 정보 보호 정책</t>
  </si>
  <si>
    <t>الشروط والأحكام</t>
  </si>
  <si>
    <t>Smluvní podmínky</t>
  </si>
  <si>
    <t>Όροι και Προϋποθέσεις</t>
  </si>
  <si>
    <t>Ehdot</t>
  </si>
  <si>
    <t>Terma dan Syarat</t>
  </si>
  <si>
    <t>Algemene voorwaarden</t>
  </si>
  <si>
    <t>Điều khoản và Điều kiện</t>
  </si>
  <si>
    <t>language_arabic</t>
  </si>
  <si>
    <t>arabia</t>
  </si>
  <si>
    <t>arabo</t>
  </si>
  <si>
    <t>ಅರೇಬಿಕ್</t>
  </si>
  <si>
    <t>arābu valoda</t>
  </si>
  <si>
    <t>language_ukrainian</t>
  </si>
  <si>
    <t>우크라이나 말</t>
  </si>
  <si>
    <t>Украинский</t>
  </si>
  <si>
    <t>language_turkish</t>
  </si>
  <si>
    <t>تركي</t>
  </si>
  <si>
    <t>turku</t>
  </si>
  <si>
    <t>language_thai</t>
  </si>
  <si>
    <t>Tailandês</t>
  </si>
  <si>
    <t>language_spanish</t>
  </si>
  <si>
    <t>ισπανικά</t>
  </si>
  <si>
    <t>espanja</t>
  </si>
  <si>
    <t>Spanyol</t>
  </si>
  <si>
    <t>스페인 사람</t>
  </si>
  <si>
    <t>language_russian</t>
  </si>
  <si>
    <t>ρωσικός</t>
  </si>
  <si>
    <t>venäjäksi</t>
  </si>
  <si>
    <t>rosyjski</t>
  </si>
  <si>
    <t>російська</t>
  </si>
  <si>
    <t>language_portuguese</t>
  </si>
  <si>
    <t>Πορτογάλος</t>
  </si>
  <si>
    <t>portugali</t>
  </si>
  <si>
    <t>portugais</t>
  </si>
  <si>
    <t>language_polish</t>
  </si>
  <si>
    <t>بولندي</t>
  </si>
  <si>
    <t>ಪೋಲಿಷ್</t>
  </si>
  <si>
    <t>language_latvian</t>
  </si>
  <si>
    <t>latvialainen</t>
  </si>
  <si>
    <t>латышский</t>
  </si>
  <si>
    <t>language_lao</t>
  </si>
  <si>
    <t>лаоська</t>
  </si>
  <si>
    <t>language_malay</t>
  </si>
  <si>
    <t>language_korean</t>
  </si>
  <si>
    <t>كوري</t>
  </si>
  <si>
    <t>korealainen</t>
  </si>
  <si>
    <t>韓国人</t>
  </si>
  <si>
    <t>корейский</t>
  </si>
  <si>
    <t>Korece</t>
  </si>
  <si>
    <t>Tiếng Hàn</t>
  </si>
  <si>
    <t>language_khmer</t>
  </si>
  <si>
    <t>language_kannada</t>
  </si>
  <si>
    <t>language_japanese</t>
  </si>
  <si>
    <t>japonais</t>
  </si>
  <si>
    <t>Japanse</t>
  </si>
  <si>
    <t>japoński</t>
  </si>
  <si>
    <t>японский</t>
  </si>
  <si>
    <t>language_italian</t>
  </si>
  <si>
    <t>ιταλικά</t>
  </si>
  <si>
    <t>イタリア語</t>
  </si>
  <si>
    <t>włoski</t>
  </si>
  <si>
    <t>language_indonesian</t>
  </si>
  <si>
    <t>language_hindi</t>
  </si>
  <si>
    <t>language_greek</t>
  </si>
  <si>
    <t>ελληνικά</t>
  </si>
  <si>
    <t>ಗ್ರೀಕ್</t>
  </si>
  <si>
    <t>그리스 사람</t>
  </si>
  <si>
    <t>language_german</t>
  </si>
  <si>
    <t>الألمانية</t>
  </si>
  <si>
    <t>saksaksi</t>
  </si>
  <si>
    <t>tedesco</t>
  </si>
  <si>
    <t>ドイツ語</t>
  </si>
  <si>
    <t>niemiecki</t>
  </si>
  <si>
    <t>немецкий</t>
  </si>
  <si>
    <t>language_french</t>
  </si>
  <si>
    <t>Γάλλος</t>
  </si>
  <si>
    <t>ranskalainen</t>
  </si>
  <si>
    <t>francuski</t>
  </si>
  <si>
    <t>language_finnish</t>
  </si>
  <si>
    <t>suomalainen</t>
  </si>
  <si>
    <t>language_estonian</t>
  </si>
  <si>
    <t>Εσθονική</t>
  </si>
  <si>
    <t>virolainen</t>
  </si>
  <si>
    <t>Estonca</t>
  </si>
  <si>
    <t>language_dutch</t>
  </si>
  <si>
    <t>hollantilainen</t>
  </si>
  <si>
    <t>オランダ語</t>
  </si>
  <si>
    <t>language_czech</t>
  </si>
  <si>
    <t>tschechisch</t>
  </si>
  <si>
    <t>czeski</t>
  </si>
  <si>
    <t>чешский</t>
  </si>
  <si>
    <t>language_chinese</t>
  </si>
  <si>
    <t>الصينية</t>
  </si>
  <si>
    <t>chinesisch</t>
  </si>
  <si>
    <t>kiinalainen</t>
  </si>
  <si>
    <t>cinese</t>
  </si>
  <si>
    <t>китайский</t>
  </si>
  <si>
    <t>Tiếng Trung</t>
  </si>
  <si>
    <t>language_english</t>
  </si>
  <si>
    <t>angličtina</t>
  </si>
  <si>
    <t>αγγλικός</t>
  </si>
  <si>
    <t>inglise keel</t>
  </si>
  <si>
    <t>englanti</t>
  </si>
  <si>
    <t>ಇಂಗ್ಲೀಷ್</t>
  </si>
  <si>
    <t>angļu valoda</t>
  </si>
  <si>
    <t>angielski</t>
  </si>
  <si>
    <t>language_vietnamese</t>
  </si>
  <si>
    <t>베트남 사람</t>
  </si>
  <si>
    <t>got_it</t>
  </si>
  <si>
    <t>Got it</t>
  </si>
  <si>
    <t>فهمتها</t>
  </si>
  <si>
    <t>Rozumím</t>
  </si>
  <si>
    <t>Habe es</t>
  </si>
  <si>
    <t>Κατάλαβα</t>
  </si>
  <si>
    <t>Entiendo</t>
  </si>
  <si>
    <t>Sain aru</t>
  </si>
  <si>
    <t>Selvä</t>
  </si>
  <si>
    <t>J'ai compris</t>
  </si>
  <si>
    <t>समझ गया</t>
  </si>
  <si>
    <t>Mengerti</t>
  </si>
  <si>
    <t>わかった</t>
  </si>
  <si>
    <t>យល់ហើយ។</t>
  </si>
  <si>
    <t>ಅರ್ಥವಾಯಿತು</t>
  </si>
  <si>
    <t>알았어요</t>
  </si>
  <si>
    <t>ໄດ້ແລ້ວ</t>
  </si>
  <si>
    <t>Sapratu</t>
  </si>
  <si>
    <t>faham</t>
  </si>
  <si>
    <t>Ik heb het</t>
  </si>
  <si>
    <t>Rozumiem</t>
  </si>
  <si>
    <t>Entendi</t>
  </si>
  <si>
    <t>Понятно</t>
  </si>
  <si>
    <t>เข้าใจแล้ว</t>
  </si>
  <si>
    <t>Anladım</t>
  </si>
  <si>
    <t>зрозумів</t>
  </si>
  <si>
    <t>知道了</t>
  </si>
  <si>
    <t>Hiểu rồi</t>
  </si>
  <si>
    <t>how_to_play</t>
  </si>
  <si>
    <t>How to play?</t>
  </si>
  <si>
    <t>كيف تلعب؟</t>
  </si>
  <si>
    <t>jak hrát?</t>
  </si>
  <si>
    <t>Wie wird gespielt?</t>
  </si>
  <si>
    <t>Πώς να παίξετε;</t>
  </si>
  <si>
    <t>¿Cómo jugar?</t>
  </si>
  <si>
    <t>Kuidas mängida?</t>
  </si>
  <si>
    <t>Kuinka pelata?</t>
  </si>
  <si>
    <t>Comment jouer ?</t>
  </si>
  <si>
    <t>कैसे खेलने के लिए?</t>
  </si>
  <si>
    <t>Bagaimana cara bermainnya?</t>
  </si>
  <si>
    <t>Come si gioca?</t>
  </si>
  <si>
    <t>遊び方は？</t>
  </si>
  <si>
    <t>របៀបលេង?</t>
  </si>
  <si>
    <t>ಆಡುವುದು ಹೇಗೆ?</t>
  </si>
  <si>
    <t>플레이하는 방법?</t>
  </si>
  <si>
    <t>ຫຼິ້ນແນວໃດ?</t>
  </si>
  <si>
    <t>Kā spēlēt?</t>
  </si>
  <si>
    <t>Bagaimana untuk bermain?</t>
  </si>
  <si>
    <t>Hoe te spelen?</t>
  </si>
  <si>
    <t>Jak grać?</t>
  </si>
  <si>
    <t>Como jogar?</t>
  </si>
  <si>
    <t>Как играть?</t>
  </si>
  <si>
    <t>วิธีการเล่น?</t>
  </si>
  <si>
    <t>Nasıl oynanır?</t>
  </si>
  <si>
    <t>Як грати?</t>
  </si>
  <si>
    <t>怎么玩？</t>
  </si>
  <si>
    <t>Làm thế nào để chơi?</t>
  </si>
  <si>
    <t>tutorial</t>
  </si>
  <si>
    <t>When you and your friends are deciding who is \"it\", place and hold your fingers on the screen for at least 3 seconds, then the Spin Wheel will choose one for you!</t>
  </si>
  <si>
    <t>عندما تقرر أنت وأصدقاؤك من هو "هذا الشخص"، ضع أصابعك مع الاستمرار على الشاشة لمدة 3 ثوانٍ على الأقل، ثم ستختار عجلة الدوران واحدة لك!</t>
  </si>
  <si>
    <t>Když se vy a vaši přátelé rozhodujete, kdo je \"to\", umístěte a podržte prsty na obrazovce po dobu alespoň 3 sekund, pak točící kolo vybere jeden za vás!</t>
  </si>
  <si>
    <t>Wenn Sie und Ihre Freunde entscheiden, wer „es“ ist, legen Sie Ihre Finger mindestens 3 Sekunden lang auf den Bildschirm, dann wählt das Spin Wheel einen für Sie aus!</t>
  </si>
  <si>
    <t>Όταν εσείς και οι φίλοι σας αποφασίζετε ποιος είναι \"αυτό\", τοποθετήστε και κρατήστε τα δάχτυλά σας στην οθόνη για τουλάχιστον 3 δευτερόλεπτα, τότε ο Τροχός περιστροφής θα επιλέξει ένα για εσάς!</t>
  </si>
  <si>
    <t>Cuando tú y tus amigos estén decidiendo quién es \"eso\", coloca y mantén tus dedos en la pantalla durante al menos 3 segundos, ¡luego la rueda giratoria elegirá uno por ti!</t>
  </si>
  <si>
    <t>Kui teie ja teie sõbrad otsustavad, kes on \"see\", asetage ja hoidke oma sõrmi ekraanil vähemalt 3 sekundit, siis valib pöörlemisratas teie jaoks sobiva!</t>
  </si>
  <si>
    <t>Kun sinä ja ystäväsi päätät, kuka on \"se\", pidä sormesi näytöllä vähintään 3 sekuntia, niin Spin Wheel valitsee sinulle sopivan!</t>
  </si>
  <si>
    <t>Lorsque vous et vos amis décidez qui est "cela", placez et maintenez vos doigts sur l'écran pendant au moins 3 secondes, puis la Spin Wheel en choisira un pour vous !</t>
  </si>
  <si>
    <t>जब आप और आपके दोस्त यह तय कर रहे हों कि "यह" कौन है, तो अपनी अंगुलियों को स्क्रीन पर कम से कम 3 सेकंड के लिए रखें, फिर स्पिन व्हील आपके लिए एक का चयन करेगा!</t>
  </si>
  <si>
    <t>Saat Anda dan teman Anda memutuskan siapa \"itu\", letakkan dan tahan jari Anda di layar setidaknya selama 3 detik, maka Roda Putar akan memilih satu untuk Anda!</t>
  </si>
  <si>
    <t>Quando tu e i tuoi amici decidete chi è \"esso\", posiziona e tieni le dita sullo schermo per almeno 3 secondi, quindi la rotella ne sceglierà una per te!</t>
  </si>
  <si>
    <t>あなたとあなたの友達が誰が「それ」であるかを決めるとき、指を画面上に少なくとも 3 秒間置き続けてください。そうすれば、スピンホイールがあなたのために 1 人を選択します。</t>
  </si>
  <si>
    <t>នៅពេលអ្នក និងមិត្តភក្តិរបស់អ្នកកំពុងសម្រេចចិត្តថាអ្នកណាជា \"វា\" ដាក់ម្រាមដៃរបស់អ្នកនៅលើអេក្រង់យ៉ាងហោចណាស់ 3 វិនាទី បន្ទាប់មក Spin Wheel នឹងជ្រើសរើសមួយសម្រាប់អ្នក!</t>
  </si>
  <si>
    <t>ನೀವು ಮತ್ತು ನಿಮ್ಮ ಸ್ನೇಹಿತರು ಯಾರು \"ಇದು\" ಎಂದು ನಿರ್ಧರಿಸುತ್ತಿರುವಾಗ, ಕನಿಷ್ಠ 3 ಸೆಕೆಂಡುಗಳ ಕಾಲ ನಿಮ್ಮ ಬೆರಳುಗಳನ್ನು ಪರದೆಯ ಮೇಲೆ ಇರಿಸಿ ಮತ್ತು ಹಿಡಿದುಕೊಳ್ಳಿ, ನಂತರ ಸ್ಪಿನ್ ವ್ಹೀಲ್ ನಿಮಗಾಗಿ ಒಂದನ್ನು ಆಯ್ಕೆ ಮಾಡುತ್ತದೆ!</t>
  </si>
  <si>
    <t>당신과 당신의 친구들이 누가 \"그 사람\"인지 결정할 때 화면에 손가락을 3초 이상 대고 있으면 스핀 휠이 당신을 위해 하나를 선택합니다!</t>
  </si>
  <si>
    <t>ເມື່ອທ່ານ ແລະ ໝູ່ຂອງເຈົ້າກຳລັງຕັດສິນໃຈວ່າໃຜເປັນ \"ມັນ\", ເອົານິ້ວມືຂອງເຈົ້າຄ້າງໄວ້ເທິງໜ້າຈໍຢ່າງໜ້ອຍ 3 ວິນາທີ, ຈາກນັ້ນ Spin Wheel ຈະເລືອກອັນໜຶ່ງໃຫ້ກັບເຈົ້າ!</t>
  </si>
  <si>
    <t>Kad jūs un jūsu draugi izlemjat, kurš ir \"tas\", novietojiet un turiet pirkstus uz ekrāna vismaz 3 sekundes, tad Spin Wheel izvēlēsies vienu jūsu vietā!</t>
  </si>
  <si>
    <t>Apabila anda dan rakan anda memutuskan siapa \"ia\", letak dan tahan jari anda pada skrin selama sekurang-kurangnya 3 saat, kemudian Roda Putaran akan memilih satu untuk anda!</t>
  </si>
  <si>
    <t>Wanneer jij en je vrienden beslissen wie 'het' is, plaats je je vingers minimaal 3 seconden op het scherm, waarna het Spin Wheel er een voor je kiest!</t>
  </si>
  <si>
    <t>Kiedy Ty i Twoi znajomi zdecydujecie, kto jest „tym”, połóżcie i przytrzymajcie palce na ekranie przez co najmniej 3 sekundy, a Spin Wheel wybierze jednego za Was!</t>
  </si>
  <si>
    <t>Quando você e seus amigos estiverem decidindo quem é "ele", coloque e segure os dedos na tela por pelo menos 3 segundos, então a Roda Giratória escolherá um para você!</t>
  </si>
  <si>
    <t>Когда вы и ваши друзья решаете, кто «это», поместите и удерживайте пальцы на экране не менее 3 секунд, и Spin Wheel выберет для вас одного!</t>
  </si>
  <si>
    <t>เมื่อคุณและเพื่อนของคุณกำลังตัดสินใจว่าใครคือ \"มัน\" ให้วางนิ้วของคุณบนหน้าจอค้างไว้อย่างน้อย 3 วินาที จากนั้น Spin Wheel จะเลือกอันหนึ่งให้คุณ!</t>
  </si>
  <si>
    <t>Siz ve arkadaşlarınız "o"nun kim olduğuna karar verirken, parmaklarınızı ekrana yerleştirip en az 3 saniye basılı tutun, ardından Döndürme Çarkı sizin için bir tane seçecektir!</t>
  </si>
  <si>
    <t>Коли ви та ваші друзі вирішуєте, хто \"це\", покладіть і утримуйте пальці на екрані принаймні 3 секунди, тоді Spin Wheel вибере для вас одного!</t>
  </si>
  <si>
    <t>当您和您的朋友正在决定谁是“它”时，请将手指放在屏幕上并按住至少 3 秒钟，然后旋转轮将为您选择一个！</t>
  </si>
  <si>
    <t>Khi bạn và bạn bè của bạn đang quyết định "nó\" là ai, hãy đặt và giữ ngón tay của bạn trên màn hình trong ít nhất 3 giây thì Bánh xe quay sẽ chọn một ngón tay cho bạn!</t>
  </si>
  <si>
    <t>play_again</t>
  </si>
  <si>
    <t>Play again</t>
  </si>
  <si>
    <t>العب مرة أخرى</t>
  </si>
  <si>
    <t>Hrát znovu</t>
  </si>
  <si>
    <t>Spielen Sie noch einmal</t>
  </si>
  <si>
    <t>jugar de nuevo</t>
  </si>
  <si>
    <t>Mängi uuesti</t>
  </si>
  <si>
    <t>Pelaa uudelleen</t>
  </si>
  <si>
    <t>फिर से चालू करें</t>
  </si>
  <si>
    <t>Mainkan lagi</t>
  </si>
  <si>
    <t>Gioca di nuovo</t>
  </si>
  <si>
    <t>もう一度プレイしてください</t>
  </si>
  <si>
    <t>លេងម្តងទៀត</t>
  </si>
  <si>
    <t>ಮತ್ತೆ ಆಟವಾಡಿ</t>
  </si>
  <si>
    <t>다시 플레이</t>
  </si>
  <si>
    <t>ຫຼິ້ນອີກ</t>
  </si>
  <si>
    <t>Spēlējiet vēlreiz</t>
  </si>
  <si>
    <t>Main lagi</t>
  </si>
  <si>
    <t>Speel opnieuw</t>
  </si>
  <si>
    <t>Zagraj ponownie</t>
  </si>
  <si>
    <t>Jogue novamente</t>
  </si>
  <si>
    <t>Играй еще раз</t>
  </si>
  <si>
    <t>เล่นอีกครั้ง</t>
  </si>
  <si>
    <t>Tekrar oyna</t>
  </si>
  <si>
    <t>Грати знову</t>
  </si>
  <si>
    <t>再玩一次</t>
  </si>
  <si>
    <t>Chơi lại</t>
  </si>
  <si>
    <t>please_touch_more_point</t>
  </si>
  <si>
    <t>Please touch more point</t>
  </si>
  <si>
    <t>يرجى لمس المزيد من النقاط</t>
  </si>
  <si>
    <t>Dotkněte se prosím více bodů</t>
  </si>
  <si>
    <t>Bitte berühren Sie einen weiteren Punkt</t>
  </si>
  <si>
    <t>Παρακαλώ αγγίξτε περισσότερο σημείο</t>
  </si>
  <si>
    <t>Por favor toca más puntos</t>
  </si>
  <si>
    <t>Palun puudutage rohkem punkte</t>
  </si>
  <si>
    <t>Kosketa lisää kohtaa</t>
  </si>
  <si>
    <t>Veuillez toucher plus de points</t>
  </si>
  <si>
    <t>कृपया अधिक बिंदु स्पर्श करें</t>
  </si>
  <si>
    <t>Silakan sentuh lebih banyak poin</t>
  </si>
  <si>
    <t>Si prega di toccare più punti</t>
  </si>
  <si>
    <t>もっとポイントに触れてください</t>
  </si>
  <si>
    <t>សូមប៉ះចំណុចបន្ថែម</t>
  </si>
  <si>
    <t>ದಯವಿಟ್ಟು ಹೆಚ್ಚಿನ ಅಂಶವನ್ನು ಸ್ಪರ್ಶಿಸಿ</t>
  </si>
  <si>
    <t>더 많은 포인트를 터치해주세요</t>
  </si>
  <si>
    <t>ກະລຸນາແຕະຈຸດເພີ່ມເຕີມ</t>
  </si>
  <si>
    <t>Lūdzu, pieskarieties vairāk punktam</t>
  </si>
  <si>
    <t>Sila sentuh lebih banyak perkara</t>
  </si>
  <si>
    <t>Raak meer punt aan</t>
  </si>
  <si>
    <t>Proszę dotknąć więcej punktów</t>
  </si>
  <si>
    <t>Por favor, toque em mais pontos</t>
  </si>
  <si>
    <t>Пожалуйста, коснитесь еще точки</t>
  </si>
  <si>
    <t>กรุณาสัมผัสจุดเพิ่มเติม</t>
  </si>
  <si>
    <t>Lütfen daha fazla noktaya dokunun</t>
  </si>
  <si>
    <t>Будь ласка, торкніться більше</t>
  </si>
  <si>
    <t>请多点指点</t>
  </si>
  <si>
    <t>Hãy chạm vào nhiều điểm hơn</t>
  </si>
  <si>
    <t>starting</t>
  </si>
  <si>
    <t>Starting</t>
  </si>
  <si>
    <t>Spuštění</t>
  </si>
  <si>
    <t>Beginnt</t>
  </si>
  <si>
    <t>Εκκίνηση</t>
  </si>
  <si>
    <t>A partir de</t>
  </si>
  <si>
    <t>Käivitamine</t>
  </si>
  <si>
    <t>Alkaa</t>
  </si>
  <si>
    <t>Départ</t>
  </si>
  <si>
    <t>प्रारंभ</t>
  </si>
  <si>
    <t>Mulai</t>
  </si>
  <si>
    <t>Di partenza</t>
  </si>
  <si>
    <t>起動</t>
  </si>
  <si>
    <t>ಪ್ರಾರಂಭವಾಗುತ್ತಿದೆ</t>
  </si>
  <si>
    <t>Sākas</t>
  </si>
  <si>
    <t>Beginnen</t>
  </si>
  <si>
    <t>Startowy</t>
  </si>
  <si>
    <t>Começando</t>
  </si>
  <si>
    <t>Начало</t>
  </si>
  <si>
    <t>กำลังเริ่มต้น</t>
  </si>
  <si>
    <t>Запуск</t>
  </si>
  <si>
    <t>intro1</t>
  </si>
  <si>
    <t>It brings a fun, social, and exciting computing experience like you\'ve never had before. Get ready to explore endless possibilities and enjoy technology in a whole new light.</t>
  </si>
  <si>
    <t>إنه يوفر تجربة حوسبة ممتعة واجتماعية ومثيرة لم يسبق لك تجربتها من قبل. استعد لاستكشاف إمكانيات لا حصر لها والاستمتاع بالتكنولوجيا في ضوء جديد تمامًا.</t>
  </si>
  <si>
    <t>Přináší zábavný, společenský a vzrušující zážitek z práce s počítačem, jaký jste nikdy předtím nezažili. Připravte se prozkoumat nekonečné možnosti a užijte si technologie ve zcela novém světle.</t>
  </si>
  <si>
    <t>Es bietet ein unterhaltsames, soziales und aufregendes Computererlebnis, wie Sie es noch nie zuvor hatten. Machen Sie sich bereit, endlose Möglichkeiten zu erkunden und Technologie in einem ganz neuen Licht zu genießen.</t>
  </si>
  <si>
    <t>Φέρνει μια διασκεδαστική, κοινωνική και συναρπαστική εμπειρία υπολογιστών όπως δεν είχατε ποτέ πριν. Ετοιμαστείτε να εξερευνήσετε ατελείωτες δυνατότητες και να απολαύσετε την τεχνολογία υπό ένα εντελώς νέο φως.</t>
  </si>
  <si>
    <t>Brinda una experiencia informática divertida, social y emocionante como nunca antes la había tenido. Prepárese para explorar infinitas posibilidades y disfrutar de la tecnología desde una perspectiva completamente nueva.</t>
  </si>
  <si>
    <t>See pakub lõbusat, sotsiaalset ja põnevat arvutikogemust, mida pole kunagi varem olnud. Olge valmis avastama lõputuid võimalusi ja nautige tehnoloogiat täiesti uues valguses.</t>
  </si>
  <si>
    <t>Se tuo hauskan, sosiaalisen ja jännittävän tietojenkäsittelykokemuksen, jollaista sinulla ei ole koskaan ennen ollut. Valmistaudu tutkimaan loputtomia mahdollisuuksia ja nauti tekniikasta aivan uudessa valossa.</t>
  </si>
  <si>
    <t>Il apporte une expérience informatique amusante, sociale et passionnante comme vous n'en avez jamais eu auparavant. Préparez-vous à explorer des possibilités infinies et à profiter de la technologie sous un tout nouveau jour.</t>
  </si>
  <si>
    <t>यह एक मज़ेदार, सामाजिक और रोमांचक कंप्यूटिंग अनुभव लाता है जैसा आपने पहले कभी नहीं किया होगा। अनंत संभावनाओं का पता लगाने और बिल्कुल नई रोशनी में प्रौद्योगिकी का आनंद लेने के लिए तैयार हो जाइए।</t>
  </si>
  <si>
    <t>Ini menghadirkan pengalaman komputasi yang menyenangkan, sosial, dan mengasyikkan yang belum pernah Anda alami sebelumnya. Bersiaplah untuk menjelajahi kemungkinan tanpa batas dan nikmati teknologi dengan cara yang benar-benar baru.</t>
  </si>
  <si>
    <t>Offre un'esperienza informatica divertente, sociale ed emozionante come non hai mai avuto prima. Preparati a esplorare infinite possibilità e goditi la tecnologia sotto una luce completamente nuova.</t>
  </si>
  <si>
    <t>これまでにないような楽しく、ソーシャルで、エキサイティングなコンピューティング エクスペリエンスをもたらします。無限の可能性を探求し、まったく新しい観点からテクノロジーを楽しむ準備をしましょう。</t>
  </si>
  <si>
    <t>វានាំមកនូវបទពិសោធន៍កុំព្យូទ័រដ៏រីករាយ សង្គម និងគួរឱ្យរំភើបដូចដែលអ្នកមិនធ្លាប់មានពីមុនមក។ ត្រៀមខ្លួនដើម្បីស្វែងរកលទ្ធភាពគ្មានទីបញ្ចប់ និងរីករាយជាមួយបច្ចេកវិទ្យានៅក្នុងពន្លឺថ្មីទាំងមូល។</t>
  </si>
  <si>
    <t>ನೀವು ಹಿಂದೆಂದೂ ಹೊಂದಿರದಂತಹ ವಿನೋದ, ಸಾಮಾಜಿಕ ಮತ್ತು ಉತ್ತೇಜಕ ಕಂಪ್ಯೂಟಿಂಗ್ ಅನುಭವವನ್ನು ಇದು ತರುತ್ತದೆ. ಅಂತ್ಯವಿಲ್ಲದ ಸಾಧ್ಯತೆಗಳನ್ನು ಅನ್ವೇಷಿಸಲು ಸಿದ್ಧರಾಗಿ ಮತ್ತು ಸಂಪೂರ್ಣ ಹೊಸ ಬೆಳಕಿನಲ್ಲಿ ತಂತ್ರಜ್ಞಾನವನ್ನು ಆನಂದಿಸಿ.</t>
  </si>
  <si>
    <t>이전에는 경험해 보지 못한 재미있고, 사교적이며, 흥미진진한 컴퓨팅 경험을 제공합니다. 끝없는 가능성을 탐구하고 완전히 새로운 시각으로 기술을 즐길 준비를 하세요.</t>
  </si>
  <si>
    <t>ມັນນໍາເອົາປະສົບການຄອມພິວເຕີທີ່ມ່ວນ, ສັງຄົມ ແລະຕື່ນເຕັ້ນແບບທີ່ທ່ານບໍ່ເຄີຍມີມາກ່ອນ. ກຽມພ້ອມທີ່ຈະສຳຫຼວດຄວາມເປັນໄປໄດ້ທີ່ບໍ່ມີທີ່ສິ້ນສຸດ ແລະເພີດເພີນກັບເທັກໂນໂລຍີໃນແສງສະຫວ່າງອັນໃໝ່.</t>
  </si>
  <si>
    <t>Tas sniedz jautru, sabiedrisku un aizraujošu skaitļošanas pieredzi, kāda jums nekad nav bijusi. Sagatavojieties izpētīt bezgalīgas iespējas un izbaudiet tehnoloģiju pilnīgi jaunā gaismā.</t>
  </si>
  <si>
    <t>Ia membawa pengalaman pengkomputeran yang menyeronokkan, sosial dan menarik seperti yang anda tidak pernah alami sebelum ini. Bersedia untuk meneroka kemungkinan yang tidak berkesudahan dan nikmati teknologi dalam cahaya baharu.</t>
  </si>
  <si>
    <t>Het zorgt voor een leuke, sociale en opwindende computerervaring zoals je nog nooit eerder hebt gehad. Maak je klaar om eindeloze mogelijkheden te verkennen en te genieten van technologie in een geheel nieuw licht.</t>
  </si>
  <si>
    <t>Zapewnia zabawne, społeczne i ekscytujące wrażenia z korzystania z komputera, jakich nigdy wcześniej nie doświadczyłeś. Przygotuj się na odkrywanie nieskończonych możliwości i ciesz się technologią w zupełnie nowym świetle.</t>
  </si>
  <si>
    <t>Ele traz uma experiência de computação divertida, social e emocionante como você nunca teve antes. Prepare-se para explorar possibilidades infinitas e desfrutar da tecnologia sob uma luz totalmente nova.</t>
  </si>
  <si>
    <t>Это приносит веселый, социальный и захватывающий опыт работы на компьютере, которого вы никогда раньше не имели. Приготовьтесь исследовать безграничные возможности и насладиться технологиями в совершенно новом свете.</t>
  </si>
  <si>
    <t>มอบประสบการณ์การใช้คอมพิวเตอร์ที่สนุกสนาน โซเชียล และน่าตื่นเต้นอย่างที่คุณไม่เคยมีมาก่อน เตรียมพร้อมที่จะสำรวจความเป็นไปได้ไม่รู้จบและเพลิดเพลินไปกับเทคโนโลยีในมุมมองใหม่</t>
  </si>
  <si>
    <t>Daha önce hiç yaşamadığınız eğlenceli, sosyal ve heyecan verici bir bilgisayar deneyimi sunuyor. Sonsuz olasılıkları keşfetmeye ve teknolojinin keyfini yepyeni bir açıdan çıkarmaya hazır olun.</t>
  </si>
  <si>
    <t>Це забезпечує веселий, соціальний і захоплюючий досвід роботи з комп’ютером, якого ви ніколи раніше не мали. Будьте готові досліджувати нескінченні можливості та насолоджуватися технологіями в абсолютно новому світлі.</t>
  </si>
  <si>
    <t>它带来了您以前从未有过的有趣、社交和令人兴奋的计算体验。准备好探索无限的可能性并以全新的视角享受技术。</t>
  </si>
  <si>
    <t>Nó mang đến trải nghiệm điện toán thú vị, mang tính xã hội và thú vị mà bạn chưa từng có trước đây. Hãy sẵn sàng khám phá những khả năng vô tận và tận hưởng công nghệ dưới một góc nhìn hoàn toàn mới.</t>
  </si>
  <si>
    <t>intro2</t>
  </si>
  <si>
    <t>Those lively colors are used in Spin Wheel with fun effects and sounds. Each spin bursts with vibrant hues and playful audio, creating an engaging and dynamic experience.</t>
  </si>
  <si>
    <t>يتم استخدام هذه الألوان المفعمة بالحيوية في Spin Wheel مع تأثيرات وأصوات ممتعة. تنبض كل دورة بألوان نابضة بالحياة وصوت مرح، مما يخلق تجربة جذابة وديناميكية.</t>
  </si>
  <si>
    <t>Tyto živé barvy jsou použity v Spin Wheel se zábavnými efekty a zvuky. Každé otočení překypuje živými odstíny a hravým zvukem, což vytváří poutavý a dynamický zážitek.</t>
  </si>
  <si>
    <t>Diese lebendigen Farben werden in Spin Wheel mit lustigen Effekten und Sounds verwendet. Jede Drehung strotzt vor lebendigen Farben und verspieltem Klang und sorgt für ein fesselndes und dynamisches Erlebnis.</t>
  </si>
  <si>
    <t>Αυτά τα ζωηρά χρώματα χρησιμοποιούνται στο Spin Wheel με διασκεδαστικά εφέ και ήχους. Κάθε περιστροφή ξεσπά με ζωντανές αποχρώσεις και παιχνιδιάρικο ήχο, δημιουργώντας μια συναρπαστική και δυναμική εμπειρία.</t>
  </si>
  <si>
    <t>Esos colores vivos se utilizan en Spin Wheel con efectos y sonidos divertidos. Cada giro está lleno de tonos vibrantes y audio divertido, creando una experiencia atractiva y dinámica.</t>
  </si>
  <si>
    <t>Neid elavaid värve kasutatakse Spin Wheelis koos lõbusate efektide ja helidega. Iga pöörlemine pakatab elavatest toonidest ja mängulisest helist, luues kaasahaarava ja dünaamilise kogemuse.</t>
  </si>
  <si>
    <t>Näitä eloisia värejä käytetään Spin Wheelissä hauskoilla tehosteilla ja äänillä. Jokainen kierros räjähtää eloisilla sävyillä ja leikkisällä äänellä, mikä luo mukaansatempaavan ja dynaamisen kokemuksen.</t>
  </si>
  <si>
    <t>Ces couleurs vives sont utilisées dans Spin Wheel avec des effets et des sons amusants. Chaque tour regorge de teintes vibrantes et d’un son ludique, créant une expérience engageante et dynamique.</t>
  </si>
  <si>
    <t>उन जीवंत रंगों का उपयोग स्पिन व्हील में मज़ेदार प्रभावों और ध्वनियों के साथ किया जाता है। प्रत्येक स्पिन जीवंत रंगों और चंचल ऑडियो के साथ फूटती है, जो एक आकर्षक और गतिशील अनुभव बनाती है।</t>
  </si>
  <si>
    <t>Warna-warna cerah tersebut digunakan di Spin Wheel dengan efek dan suara yang menyenangkan. Setiap putaran penuh dengan warna-warna cerah dan audio yang menyenangkan, menciptakan pengalaman yang menarik dan dinamis.</t>
  </si>
  <si>
    <t>Questi colori vivaci vengono utilizzati in Spin Wheel con effetti e suoni divertenti. Ogni giro esplode di tonalità vibranti e audio giocoso, creando un'esperienza coinvolgente e dinamica.</t>
  </si>
  <si>
    <t>これらの生き生きとした色は、楽しいエフェクトとサウンドを備えたスピン ホイールで使用されます。各スピンは鮮やかな色合いと遊び心のあるオーディオで爆発し、魅力的でダイナミックな体験を生み出します。</t>
  </si>
  <si>
    <t>ពណ៌ដ៏រស់រវើកទាំងនោះត្រូវបានប្រើប្រាស់នៅក្នុង Spin Wheel ជាមួយនឹងឥទ្ធិពលរីករាយ និងសំឡេង។ ការបង្វិលនីមួយៗបានផ្ទុះឡើងជាមួយនឹងពណ៌ដ៏រស់រវើក និងសំឡេងលេងសើច បង្កើតបទពិសោធន៍ដែលគួរឱ្យចាប់អារម្មណ៍ និងសកម្ម។</t>
  </si>
  <si>
    <t>ಆ ಉತ್ಸಾಹಭರಿತ ಬಣ್ಣಗಳನ್ನು ಸ್ಪಿನ್ ವೀಲ್‌ನಲ್ಲಿ ಮೋಜಿನ ಪರಿಣಾಮಗಳು ಮತ್ತು ಶಬ್ದಗಳೊಂದಿಗೆ ಬಳಸಲಾಗುತ್ತದೆ. ಪ್ರತಿ ಸ್ಪಿನ್ ರೋಮಾಂಚಕ ವರ್ಣಗಳು ಮತ್ತು ತಮಾಷೆಯ ಆಡಿಯೊದೊಂದಿಗೆ ಸಿಡಿಯುತ್ತದೆ, ತೊಡಗಿಸಿಕೊಳ್ಳುವ ಮತ್ತು ಕ್ರಿಯಾತ್ಮಕ ಅನುಭವವನ್ನು ಸೃಷ್ಟಿಸುತ್ತದೆ.</t>
  </si>
  <si>
    <t>이러한 생동감 넘치는 색상은 Spin Wheel에서 재미있는 효과와 사운드와 함께 사용됩니다. 각 스핀은 생생한 색상과 재미있는 오디오로 가득 차 있어 매력적이고 역동적인 경험을 선사합니다.</t>
  </si>
  <si>
    <t>ສີທີ່ມີຊີວິດຊີວາເຫຼົ່ານັ້ນໄດ້ຖືກນໍາໃຊ້ໃນ Spin Wheel ດ້ວຍຜົນກະທົບທີ່ມ່ວນແລະສຽງ. ແຕ່ລະການປັ່ນປ່ວນອອກມາດ້ວຍສີສັນສົດໃສ ແລະສຽງທີ່ມ່ວນ, ສ້າງປະສົບການທີ່ມີສ່ວນຮ່ວມ ແລະເຄື່ອນໄຫວ.</t>
  </si>
  <si>
    <t>Šīs dzīvīgās krāsas tiek izmantotas Spin Wheel ar jautriem efektiem un skaņām. Katrs grieziens izplūst ar košām nokrāsām un rotaļīgu audio, radot saistošu un dinamisku pieredzi.</t>
  </si>
  <si>
    <t>Warna-warna meriah itu digunakan dalam Spin Wheel dengan kesan dan bunyi yang menyeronokkan. Setiap putaran meletus dengan rona terang dan audio yang menyeronokkan, mencipta pengalaman yang menarik dan dinamik.</t>
  </si>
  <si>
    <t>Deze levendige kleuren worden gebruikt in Spin Wheel met leuke effecten en geluiden. Elke draai barst van levendige tinten en speelse audio, waardoor een boeiende en dynamische ervaring ontstaat.</t>
  </si>
  <si>
    <t>Te żywe kolory są używane w Spin Wheel z zabawnymi efektami i dźwiękami. Każdy obrót tryska żywymi barwami i zabawnym dźwiękiem, tworząc wciągające i dynamiczne wrażenia.</t>
  </si>
  <si>
    <t>Essas cores vivas são usadas no Spin Wheel com efeitos e sons divertidos. Cada giro explode com tons vibrantes e áudio divertido, criando uma experiência envolvente e dinâmica.</t>
  </si>
  <si>
    <t>Эти яркие цвета используются в Spin Wheel с забавными эффектами и звуками. Каждое вращение наполнено яркими оттенками и игривым звуком, создавая захватывающий и динамичный опыт.</t>
  </si>
  <si>
    <t>สีสันที่มีชีวิตชีวาเหล่านั้นถูกใช้ใน Spin Wheel พร้อมเอฟเฟกต์และเสียงที่สนุกสนาน การหมุนแต่ละครั้งจะระเบิดด้วยเฉดสีที่สดใสและเสียงที่สนุกสนาน สร้างประสบการณ์ที่น่าดึงดูดและมีชีวิตชีวา</t>
  </si>
  <si>
    <t>Bu canlı renkler, Spin Wheel'de eğlenceli efektler ve seslerle kullanılıyor. Her dönüş, canlı tonlar ve eğlenceli seslerle dolup taşarak ilgi çekici ve dinamik bir deneyim yaratıyor.</t>
  </si>
  <si>
    <t>Ці живі кольори використовуються в Spin Wheel із веселими ефектами та звуками. Кожне обертання сповнюється яскравими відтінками та грайливим звуком, створюючи захоплюючий та динамічний досвід.</t>
  </si>
  <si>
    <t>旋转轮中使用了这些活泼的颜色，并具有有趣的效果和声音。每次旋转都会爆发出鲜艳的色彩和有趣的音频，创造出引人入胜的动态体验。</t>
  </si>
  <si>
    <t>Những màu sắc sống động đó được sử dụng trong Spin Wheel với những hiệu ứng và âm thanh vui nhộn. Mỗi vòng quay bùng nổ với màu sắc rực rỡ và âm thanh vui tươi, tạo ra trải nghiệm hấp dẫn và năng động.</t>
  </si>
  <si>
    <t>intro3</t>
  </si>
  <si>
    <t>The winner is chosen randomly when players join the game. Each participant has an equal chance, adding to the excitement and unpredictability.</t>
  </si>
  <si>
    <t>يتم اختيار الفائز بشكل عشوائي عندما ينضم اللاعبون إلى اللعبة. يتمتع كل مشارك بفرصة متساوية، مما يزيد من الإثارة وعدم القدرة على التنبؤ.</t>
  </si>
  <si>
    <t>Vítěz je vybrán náhodně, když se hráči zapojí do hry. Každý účastník má stejnou šanci, což zvyšuje vzrušení a nepředvídatelnost.</t>
  </si>
  <si>
    <t>Der Gewinner wird zufällig ausgewählt, wenn Spieler dem Spiel beitreten. Jeder Teilnehmer hat die gleichen Chancen, was die Spannung und Unvorhersehbarkeit erhöht.</t>
  </si>
  <si>
    <t>Ο νικητής επιλέγεται τυχαία όταν οι παίκτες συμμετέχουν στο παιχνίδι. Κάθε συμμετέχων έχει ίσες ευκαιρίες, αυξάνοντας τον ενθουσιασμό και το απρόβλεπτο.</t>
  </si>
  <si>
    <t>El ganador se elige al azar cuando los jugadores se unen al juego. Cada participante tiene las mismas posibilidades, lo que aumenta la emoción y la imprevisibilidad.</t>
  </si>
  <si>
    <t>Võitja valitakse juhuslikult, kui mängijad mänguga liituvad. Igal osalejal on võrdne võimalus, mis lisab põnevust ja ettearvamatust.</t>
  </si>
  <si>
    <t>Voittaja valitaan sattumanvaraisesti, kun pelaajat liittyvät peliin. Jokaisella osallistujalla on yhtäläiset mahdollisuudet, mikä lisää jännitystä ja arvaamattomuutta.</t>
  </si>
  <si>
    <t>Le gagnant est choisi au hasard lorsque les joueurs rejoignent la partie. Chaque participant a une chance égale, ce qui ajoute à l'excitation et à l'imprévisibilité.</t>
  </si>
  <si>
    <t>जब खिलाड़ी खेल में शामिल होते हैं तो विजेता को यादृच्छिक रूप से चुना जाता है। प्रत्येक प्रतिभागी को समान अवसर मिलता है, जिससे उत्साह और अप्रत्याशितता बढ़ जाती है।</t>
  </si>
  <si>
    <t>Pemenang dipilih secara acak ketika pemain bergabung dalam permainan. Setiap peserta memiliki kesempatan yang sama, sehingga menambah keseruan dan ketidakpastian.</t>
  </si>
  <si>
    <t>Il vincitore viene scelto casualmente quando i giocatori si uniscono al gioco. Ogni partecipante ha le stesse possibilità, il che aumenta l'eccitazione e l'imprevedibilità.</t>
  </si>
  <si>
    <t>勝者は、プレイヤーがゲームに参加するときにランダムに選ばれます。各参加者には平等なチャンスがあり、興奮と予測不可能性がさらに高まります。</t>
  </si>
  <si>
    <t>អ្នកឈ្នះត្រូវបានជ្រើសរើសដោយចៃដន្យ នៅពេលដែលអ្នកលេងចូលរួមក្នុងហ្គេម។ អ្នកចូលរួមម្នាក់ៗមានឱកាសស្មើគ្នា ដោយបន្ថែមភាពរំភើប និងមិនអាចទាយទុកជាមុនបាន។</t>
  </si>
  <si>
    <t>ಆಟಗಾರರು ಆಟಕ್ಕೆ ಸೇರಿದಾಗ ವಿಜೇತರನ್ನು ಯಾದೃಚ್ಛಿಕವಾಗಿ ಆಯ್ಕೆ ಮಾಡಲಾಗುತ್ತದೆ. ಪ್ರತಿಯೊಬ್ಬ ಭಾಗವಹಿಸುವವರಿಗೆ ಸಮಾನ ಅವಕಾಶವಿದೆ, ಇದು ಉತ್ಸಾಹ ಮತ್ತು ಅನಿರೀಕ್ಷಿತತೆಯನ್ನು ಹೆಚ್ಚಿಸುತ್ತದೆ.</t>
  </si>
  <si>
    <t>승자는 플레이어가 게임에 참여할 때 무작위로 선택됩니다. 각 참가자는 동일한 기회를 가지게 되어 흥미로움과 예측 불가능성을 더해줍니다.</t>
  </si>
  <si>
    <t>ຜູ້ຊະນະຈະຖືກເລືອກແບບສຸ່ມເມື່ອຜູ້ຫຼິ້ນເຂົ້າຮ່ວມເກມ. ຜູ້ເຂົ້າຮ່ວມແຕ່ລະຄົນມີໂອກາດເທົ່າທຽມກັນ, ເພີ່ມຄວາມຕື່ນເຕັ້ນແລະບໍ່ສາມາດຄາດເດົາໄດ້.</t>
  </si>
  <si>
    <t>Uzvarētājs tiek izvēlēts nejauši, kad spēlētāji pievienojas spēlei. Katram dalībniekam ir vienādas iespējas, kas palielina azartu un neparedzamību.</t>
  </si>
  <si>
    <t>Pemenang dipilih secara rawak apabila pemain menyertai permainan. Setiap peserta mempunyai peluang yang sama, menambah keseronokan dan tidak dapat diramalkan.</t>
  </si>
  <si>
    <t>De winnaar wordt willekeurig gekozen wanneer spelers meedoen aan het spel. Elke deelnemer heeft een gelijke kans, wat de spanning en onvoorspelbaarheid vergroot.</t>
  </si>
  <si>
    <t>Zwycięzca zostanie wybrany losowo, gdy gracze dołączą do gry. Każdy uczestnik ma równe szanse, co dodaje emocji i nieprzewidywalności.</t>
  </si>
  <si>
    <t>O vencedor é escolhido aleatoriamente quando os jogadores entram no jogo. Cada participante tem chances iguais, aumentando a emoção e a imprevisibilidade.</t>
  </si>
  <si>
    <t>Победитель выбирается случайным образом при присоединении игроков к игре. У каждого участника равные шансы, что добавляет азарта и непредсказуемости.</t>
  </si>
  <si>
    <t>ผู้ชนะจะถูกเลือกโดยการสุ่มเมื่อผู้เล่นเข้าร่วมเกม ผู้เข้าร่วมแต่ละคนมีโอกาสเท่าเทียมกัน เพิ่มความน่าตื่นเต้นและคาดเดาไม่ได้</t>
  </si>
  <si>
    <t>Kazanan, oyuncular oyuna katıldığında rastgele seçilir. Her katılımcının eşit şansa sahip olması heyecanı ve öngörülemezliği artırıyor.</t>
  </si>
  <si>
    <t>Переможець обирається випадковим чином, коли гравці приєднуються до гри. Кожен учасник має рівні шанси, що додає азарту та непередбачуваності.</t>
  </si>
  <si>
    <t>当玩家加入游戏时，获胜者是随机选择的。每个参与者都有平等的机会，这增加了兴奋感和不可预测性。</t>
  </si>
  <si>
    <t>Người chiến thắng được chọn ngẫu nhiên khi người chơi tham gia trò chơi. Mỗi người tham gia đều có cơ hội như nhau, làm tăng thêm sự phấn khích và khó đoán.</t>
  </si>
  <si>
    <t>tap_roulette</t>
  </si>
  <si>
    <t>Tap Roulette</t>
  </si>
  <si>
    <t>اضغط على الروليت</t>
  </si>
  <si>
    <t>Klepněte na Ruleta</t>
  </si>
  <si>
    <t>Tippen Sie auf Roulette</t>
  </si>
  <si>
    <t>Πατήστε Ρουλέτα</t>
  </si>
  <si>
    <t>Toca Ruleta</t>
  </si>
  <si>
    <t>Puudutage valikut Rulett</t>
  </si>
  <si>
    <t>Napauta Ruletti</t>
  </si>
  <si>
    <t>Appuyez sur Roulette</t>
  </si>
  <si>
    <t>रूलेट टैप करें</t>
  </si>
  <si>
    <t>Ketuk Roulette</t>
  </si>
  <si>
    <t>Tocca Roulette</t>
  </si>
  <si>
    <t>タップルーレット</t>
  </si>
  <si>
    <t>ប៉ះរ៉ូឡែត</t>
  </si>
  <si>
    <t>ರೂಲೆಟ್ ಟ್ಯಾಪ್ ಮಾಡಿ</t>
  </si>
  <si>
    <t>룰렛을 탭하세요</t>
  </si>
  <si>
    <t>ແຕະ Roulette</t>
  </si>
  <si>
    <t>Pieskarieties Roulette</t>
  </si>
  <si>
    <t>Ketik Roulette</t>
  </si>
  <si>
    <t>Tik op Roulette</t>
  </si>
  <si>
    <t>Kliknij Ruletkę</t>
  </si>
  <si>
    <t>Toque na Roleta</t>
  </si>
  <si>
    <t>Нажмите «Рулетка»</t>
  </si>
  <si>
    <t>แตะรูเล็ต</t>
  </si>
  <si>
    <t>Rulete dokunun</t>
  </si>
  <si>
    <t>Натисніть Рулетка</t>
  </si>
  <si>
    <t>点击轮盘赌</t>
  </si>
  <si>
    <t>Nhấn vào Roulette</t>
  </si>
  <si>
    <t>spin_wheel</t>
  </si>
  <si>
    <t>Spin Wheel</t>
  </si>
  <si>
    <t>عجلة تدور</t>
  </si>
  <si>
    <t>Drehrad</t>
  </si>
  <si>
    <t>Τροχός περιστροφής</t>
  </si>
  <si>
    <t>Pöörlemisratas</t>
  </si>
  <si>
    <t>Pyörivä pyörä</t>
  </si>
  <si>
    <t>घूमता हुआ पहिया</t>
  </si>
  <si>
    <t>Roda Putar</t>
  </si>
  <si>
    <t>スピンホイール</t>
  </si>
  <si>
    <t>ಸ್ಪಿನ್ ವ್ಹೀಲ್</t>
  </si>
  <si>
    <t>스핀 휠</t>
  </si>
  <si>
    <t>ລໍ້ເລື່ອນ</t>
  </si>
  <si>
    <t>Griešanas ritenis</t>
  </si>
  <si>
    <t>Roda Pusing</t>
  </si>
  <si>
    <t>Draaiwiel</t>
  </si>
  <si>
    <t>ล้อหมุน</t>
  </si>
  <si>
    <t>Döndürme Çarkı</t>
  </si>
  <si>
    <t>Bánh xe quay</t>
  </si>
  <si>
    <t>instructions</t>
  </si>
  <si>
    <t>Instructions</t>
  </si>
  <si>
    <t>تعليمات</t>
  </si>
  <si>
    <t>Instrukce</t>
  </si>
  <si>
    <t>Anweisungen</t>
  </si>
  <si>
    <t>Οδηγίες</t>
  </si>
  <si>
    <t>Instrucciones</t>
  </si>
  <si>
    <t>Juhised</t>
  </si>
  <si>
    <t>Ohjeet</t>
  </si>
  <si>
    <t>निर्देश</t>
  </si>
  <si>
    <t>instruksi</t>
  </si>
  <si>
    <t>Istruzioni</t>
  </si>
  <si>
    <t>説明書</t>
  </si>
  <si>
    <t>សេចក្តីណែនាំ</t>
  </si>
  <si>
    <t>ಸೂಚನೆಗಳು</t>
  </si>
  <si>
    <t>지침</t>
  </si>
  <si>
    <t>ຄໍາແນະນໍາ</t>
  </si>
  <si>
    <t>Norādījumi</t>
  </si>
  <si>
    <t>Arahan</t>
  </si>
  <si>
    <t>Instructies</t>
  </si>
  <si>
    <t>Instrukcje</t>
  </si>
  <si>
    <t>Instruções</t>
  </si>
  <si>
    <t>Инструкции</t>
  </si>
  <si>
    <t>คำแนะนำ</t>
  </si>
  <si>
    <t>Talimatlar</t>
  </si>
  <si>
    <t>Інструкції</t>
  </si>
  <si>
    <t>指示</t>
  </si>
  <si>
    <t>Hướng dẫn</t>
  </si>
  <si>
    <t>btn_next</t>
  </si>
  <si>
    <t>Další</t>
  </si>
  <si>
    <t>Επόμενος</t>
  </si>
  <si>
    <t>Seuraavaksi</t>
  </si>
  <si>
    <t>Tālāk</t>
  </si>
  <si>
    <t>Kế tiếp</t>
  </si>
  <si>
    <t>Get started</t>
  </si>
  <si>
    <t>ابدأ</t>
  </si>
  <si>
    <t>Začněte</t>
  </si>
  <si>
    <t>Fangen Sie an</t>
  </si>
  <si>
    <t>Ξεκινήστε</t>
  </si>
  <si>
    <t>empezar</t>
  </si>
  <si>
    <t>Alustage</t>
  </si>
  <si>
    <t>Mulailah</t>
  </si>
  <si>
    <t>Inizia</t>
  </si>
  <si>
    <t>시작하기</t>
  </si>
  <si>
    <t>ເລີ່ມຕົ້ນ</t>
  </si>
  <si>
    <t>Sāciet darbu</t>
  </si>
  <si>
    <t>Ga aan de slag</t>
  </si>
  <si>
    <t>Zacznij</t>
  </si>
  <si>
    <t>Comece</t>
  </si>
  <si>
    <t>เริ่มต้นเลย</t>
  </si>
  <si>
    <t>Başlayın</t>
  </si>
  <si>
    <t>Почніть роботу</t>
  </si>
  <si>
    <t>开始使用</t>
  </si>
  <si>
    <t>best_deal</t>
  </si>
  <si>
    <t>Best deal</t>
  </si>
  <si>
    <t>أفضل صفقة</t>
  </si>
  <si>
    <t>Nejlepší nabídka</t>
  </si>
  <si>
    <t>Bestes Angebot</t>
  </si>
  <si>
    <t>Η καλύτερη προσφορά</t>
  </si>
  <si>
    <t>Mejor oferta</t>
  </si>
  <si>
    <t>Parim pakkumine</t>
  </si>
  <si>
    <t>Paras sopimus</t>
  </si>
  <si>
    <t>Meilleure offre</t>
  </si>
  <si>
    <t>सर्वश्रेष्ठ सौदा</t>
  </si>
  <si>
    <t>Kesepakatan terbaik</t>
  </si>
  <si>
    <t>Il miglior affare</t>
  </si>
  <si>
    <t>最高の取引</t>
  </si>
  <si>
    <t>កិច្ចព្រមព្រៀងល្អបំផុត</t>
  </si>
  <si>
    <t>ಅತ್ಯುತ್ತಮ ವ್ಯವಹಾರ</t>
  </si>
  <si>
    <t>최고의 거래</t>
  </si>
  <si>
    <t>ຂໍ້ຕົກລົງທີ່ດີທີ່ສຸດ</t>
  </si>
  <si>
    <t>Labākais piedāvājums</t>
  </si>
  <si>
    <t>Tawaran terbaik</t>
  </si>
  <si>
    <t>Beste deal</t>
  </si>
  <si>
    <t>Najlepsza oferta</t>
  </si>
  <si>
    <t>Melhor negócio</t>
  </si>
  <si>
    <t>Лучшее предложение</t>
  </si>
  <si>
    <t>ข้อตกลงที่ดีที่สุด</t>
  </si>
  <si>
    <t>En iyi fırsat</t>
  </si>
  <si>
    <t>Найкраща угода</t>
  </si>
  <si>
    <t>最划算</t>
  </si>
  <si>
    <t>Tốt nhất</t>
  </si>
  <si>
    <t>sorry_this_product_is_not_available_right_now</t>
  </si>
  <si>
    <t>Sorry, this product is not available right now.</t>
  </si>
  <si>
    <t>عذرا، هذا المنتج غير متوفر حاليا.</t>
  </si>
  <si>
    <t>Omlouváme se, ale tento produkt není momentálně dostupný.</t>
  </si>
  <si>
    <t>Leider ist dieses Produkt derzeit nicht verfügbar.</t>
  </si>
  <si>
    <t>Λυπούμαστε, αυτό το προϊόν δεν είναι διαθέσιμο αυτήν τη στιγμή.</t>
  </si>
  <si>
    <t>Lo sentimos, este producto no está disponible en este momento.</t>
  </si>
  <si>
    <t>Kahjuks pole see toode praegu saadaval.</t>
  </si>
  <si>
    <t>Valitettavasti tämä tuote ei ole saatavilla juuri nyt.</t>
  </si>
  <si>
    <t>Désolé, ce produit n'est pas disponible actuellement.</t>
  </si>
  <si>
    <t>क्षमा करें, यह उत्पाद अभी उपलब्ध नहीं है।</t>
  </si>
  <si>
    <t>Maaf, produk ini tidak tersedia saat ini.</t>
  </si>
  <si>
    <t>Siamo spiacenti, questo prodotto non è disponibile al momento.</t>
  </si>
  <si>
    <t>申し訳ございませんが、この製品は現在ご利用いただけません。</t>
  </si>
  <si>
    <t>សូមអភ័យទោស ផលិតផលនេះមិនអាចរកបាននៅពេលនេះទេ។</t>
  </si>
  <si>
    <t>ಕ್ಷಮಿಸಿ, ಈ ಉತ್ಪನ್ನವು ಇದೀಗ ಲಭ್ಯವಿಲ್ಲ.</t>
  </si>
  <si>
    <t>죄송합니다. 이 제품은 현재 구매할 수 없습니다.</t>
  </si>
  <si>
    <t>ຂໍອະໄພ, ຜະລິດຕະພັນນີ້ບໍ່ສາມາດໃຊ້ໄດ້ໃນຕອນນີ້.</t>
  </si>
  <si>
    <t>Atvainojiet, šis produkts šobrīd nav pieejams.</t>
  </si>
  <si>
    <t>Maaf, produk ini tidak tersedia sekarang.</t>
  </si>
  <si>
    <t>Sorry, dit product is momenteel niet beschikbaar.</t>
  </si>
  <si>
    <t>Przepraszamy, ten produkt jest obecnie niedostępny.</t>
  </si>
  <si>
    <t>Desculpe, este produto não está disponível no momento.</t>
  </si>
  <si>
    <t>К сожалению, этот товар сейчас недоступен.</t>
  </si>
  <si>
    <t>ขออภัย สินค้านี้ไม่มีจำหน่ายในขณะนี้</t>
  </si>
  <si>
    <t>Üzgünüz, bu ürün şu anda mevcut değil.</t>
  </si>
  <si>
    <t>Вибачте, цей продукт зараз недоступний.</t>
  </si>
  <si>
    <t>抱歉，该产品目前不可用。</t>
  </si>
  <si>
    <t>Rất tiếc, sản phẩm này hiện không có sẵn.</t>
  </si>
  <si>
    <t>yearly</t>
  </si>
  <si>
    <t>щорічно</t>
  </si>
  <si>
    <t>month</t>
  </si>
  <si>
    <t>شهر</t>
  </si>
  <si>
    <t>měsíc</t>
  </si>
  <si>
    <t>Monat</t>
  </si>
  <si>
    <t>μήνας</t>
  </si>
  <si>
    <t>mes</t>
  </si>
  <si>
    <t>kuu</t>
  </si>
  <si>
    <t>kuukausi</t>
  </si>
  <si>
    <t>mois</t>
  </si>
  <si>
    <t>महीना</t>
  </si>
  <si>
    <t>bulan</t>
  </si>
  <si>
    <t>mese</t>
  </si>
  <si>
    <t>月</t>
  </si>
  <si>
    <t>ខែ</t>
  </si>
  <si>
    <t>ತಿಂಗಳು</t>
  </si>
  <si>
    <t>월</t>
  </si>
  <si>
    <t>ເດືອນ</t>
  </si>
  <si>
    <t>mēnesis</t>
  </si>
  <si>
    <t>maand</t>
  </si>
  <si>
    <t>miesiąc</t>
  </si>
  <si>
    <t>mês</t>
  </si>
  <si>
    <t>месяц</t>
  </si>
  <si>
    <t>เดือน</t>
  </si>
  <si>
    <t>ay</t>
  </si>
  <si>
    <t>місяць</t>
  </si>
  <si>
    <t>tháng</t>
  </si>
  <si>
    <t>year</t>
  </si>
  <si>
    <t>سنة</t>
  </si>
  <si>
    <t>rok</t>
  </si>
  <si>
    <t>Jahr</t>
  </si>
  <si>
    <t>έτος</t>
  </si>
  <si>
    <t>año</t>
  </si>
  <si>
    <t>aastal</t>
  </si>
  <si>
    <t>vuosi</t>
  </si>
  <si>
    <t>année</t>
  </si>
  <si>
    <t>वर्ष</t>
  </si>
  <si>
    <t>tahun</t>
  </si>
  <si>
    <t>anno</t>
  </si>
  <si>
    <t>年</t>
  </si>
  <si>
    <t>ឆ្នាំ</t>
  </si>
  <si>
    <t>ವರ್ಷ</t>
  </si>
  <si>
    <t>년도</t>
  </si>
  <si>
    <t>ປີ</t>
  </si>
  <si>
    <t>jaar</t>
  </si>
  <si>
    <t>ano</t>
  </si>
  <si>
    <t>год</t>
  </si>
  <si>
    <t>ปี</t>
  </si>
  <si>
    <t>yıl</t>
  </si>
  <si>
    <t>рік</t>
  </si>
  <si>
    <t>năm</t>
  </si>
  <si>
    <t>upgrade_premium</t>
  </si>
  <si>
    <t>Upgrade Premium</t>
  </si>
  <si>
    <t>ترقية بريميوم</t>
  </si>
  <si>
    <t>Premium upgraden</t>
  </si>
  <si>
    <t>Αναβάθμιση Premium</t>
  </si>
  <si>
    <t>Actualizar Premium</t>
  </si>
  <si>
    <t>Uuendage Premium</t>
  </si>
  <si>
    <t>Päivitä Premium</t>
  </si>
  <si>
    <t>Mise à niveau premium</t>
  </si>
  <si>
    <t>प्रीमियम अपग्रेड करें</t>
  </si>
  <si>
    <t>Tingkatkan Premium</t>
  </si>
  <si>
    <t>Aggiorna Premium</t>
  </si>
  <si>
    <t>アップグレードプレミアム</t>
  </si>
  <si>
    <t>ដំឡើងកំណែ Premium</t>
  </si>
  <si>
    <t>ಪ್ರೀಮಿಯಂ ಅನ್ನು ಅಪ್‌ಗ್ರೇಡ್ ಮಾಡಿ</t>
  </si>
  <si>
    <t>프리미엄 업그레이드</t>
  </si>
  <si>
    <t>ອັບເກຣດ Premium</t>
  </si>
  <si>
    <t>Jauniniet Premium</t>
  </si>
  <si>
    <t>Uaktualnij Premium</t>
  </si>
  <si>
    <t>Atualizar Premium</t>
  </si>
  <si>
    <t>Обновить Премиум</t>
  </si>
  <si>
    <t>อัปเกรดพรีเมียม</t>
  </si>
  <si>
    <t>Premium'u Yükselt</t>
  </si>
  <si>
    <t>Оновити Premium</t>
  </si>
  <si>
    <t>升级高级版</t>
  </si>
  <si>
    <t>Nâng cấp Premium</t>
  </si>
  <si>
    <t>lifetime_support</t>
  </si>
  <si>
    <t>Lifetime Support</t>
  </si>
  <si>
    <t>دعم مدى الحياة</t>
  </si>
  <si>
    <t>Doživotní podpora</t>
  </si>
  <si>
    <t>Lebenslange Unterstützung</t>
  </si>
  <si>
    <t>Υποστήριξη δια βίου</t>
  </si>
  <si>
    <t>Soporte de por vida</t>
  </si>
  <si>
    <t>Eluaegne tugi</t>
  </si>
  <si>
    <t>Elinikäinen tuki</t>
  </si>
  <si>
    <t>Assistance à vie</t>
  </si>
  <si>
    <t>आजीवन समर्थन</t>
  </si>
  <si>
    <t>Dukungan Seumur Hidup</t>
  </si>
  <si>
    <t>Supporto a vita</t>
  </si>
  <si>
    <t>生涯サポート</t>
  </si>
  <si>
    <t>ការគាំទ្រពេញមួយជីវិត</t>
  </si>
  <si>
    <t>ಜೀವಮಾನದ ಬೆಂಬಲ</t>
  </si>
  <si>
    <t>평생 지원</t>
  </si>
  <si>
    <t>ສະຫນັບສະຫນູນຕະຫຼອດຊີວິດ</t>
  </si>
  <si>
    <t>Mūža atbalsts</t>
  </si>
  <si>
    <t>Sokongan Sepanjang Hayat</t>
  </si>
  <si>
    <t>Levenslange ondersteuning</t>
  </si>
  <si>
    <t>Wsparcie na całe życie</t>
  </si>
  <si>
    <t>Suporte vitalício</t>
  </si>
  <si>
    <t>Пожизненная поддержка</t>
  </si>
  <si>
    <t>การสนับสนุนตลอดชีวิต</t>
  </si>
  <si>
    <t>Ömür Boyu Destek</t>
  </si>
  <si>
    <t>Довічна підтримка</t>
  </si>
  <si>
    <t>终身支持</t>
  </si>
  <si>
    <t>Hỗ trợ trọn đời</t>
  </si>
  <si>
    <t>remove_all_ads</t>
  </si>
  <si>
    <t>Remove all ads</t>
  </si>
  <si>
    <t>إزالة كافة الإعلانات</t>
  </si>
  <si>
    <t>Odstraňte všechny reklamy</t>
  </si>
  <si>
    <t>Entfernen Sie alle Anzeigen</t>
  </si>
  <si>
    <t>Καταργήστε όλες τις διαφημίσεις</t>
  </si>
  <si>
    <t>Eliminar todos los anuncios</t>
  </si>
  <si>
    <t>Eemalda kõik reklaamid</t>
  </si>
  <si>
    <t>Poista kaikki mainokset</t>
  </si>
  <si>
    <t>Supprimer toutes les annonces</t>
  </si>
  <si>
    <t>सभी विज्ञापन हटाएँ</t>
  </si>
  <si>
    <t>Hapus semua iklan</t>
  </si>
  <si>
    <t>Rimuovi tutti gli annunci</t>
  </si>
  <si>
    <t>すべての広告を削除する</t>
  </si>
  <si>
    <t>លុបការផ្សាយពាណិជ្ជកម្មទាំងអស់។</t>
  </si>
  <si>
    <t>ಎಲ್ಲಾ ಜಾಹೀರಾತುಗಳನ್ನು ತೆಗೆದುಹಾಕಿ</t>
  </si>
  <si>
    <t>모든 광고 제거</t>
  </si>
  <si>
    <t>ເອົາໂຄສະນາທັງໝົດອອກ</t>
  </si>
  <si>
    <t>Noņemiet visas reklāmas</t>
  </si>
  <si>
    <t>Alih keluar semua iklan</t>
  </si>
  <si>
    <t>Verwijder alle advertenties</t>
  </si>
  <si>
    <t>Usuń wszystkie reklamy</t>
  </si>
  <si>
    <t>Remover todos os anúncios</t>
  </si>
  <si>
    <t>Удалить все объявления</t>
  </si>
  <si>
    <t>ลบโฆษณาทั้งหมด</t>
  </si>
  <si>
    <t>Tüm reklamları kaldır</t>
  </si>
  <si>
    <t>Видалити всі оголошення</t>
  </si>
  <si>
    <t>删除所有广告</t>
  </si>
  <si>
    <t>Xóa tất cả quảng cáo</t>
  </si>
  <si>
    <t>Unlock all modes and features</t>
  </si>
  <si>
    <t>فتح جميع الأوضاع والميزات</t>
  </si>
  <si>
    <t>Odemkněte všechny režimy a funkce</t>
  </si>
  <si>
    <t>Schalten Sie alle Modi und Funktionen frei</t>
  </si>
  <si>
    <t>Ξεκλειδώστε όλες τις λειτουργίες και τις λειτουργίες</t>
  </si>
  <si>
    <t>Desbloquea todos los modos y funciones.</t>
  </si>
  <si>
    <t>Avage kõik režiimid ja funktsioonid</t>
  </si>
  <si>
    <t>Avaa kaikki tilat ja ominaisuudet</t>
  </si>
  <si>
    <t>Débloquez tous les modes et fonctionnalités</t>
  </si>
  <si>
    <t>सभी मोड और सुविधाओं को अनलॉक करें</t>
  </si>
  <si>
    <t>Buka kunci semua mode dan fitur</t>
  </si>
  <si>
    <t>Sblocca tutte le modalità e funzionalità</t>
  </si>
  <si>
    <t>すべてのモードと機能のロックを解除します</t>
  </si>
  <si>
    <t>ដោះសោរបៀប និងមុខងារទាំងអស់។</t>
  </si>
  <si>
    <t>ಎಲ್ಲಾ ವಿಧಾನಗಳು ಮತ್ತು ವೈಶಿಷ್ಟ್ಯಗಳನ್ನು ಅನ್ಲಾಕ್ ಮಾಡಿ</t>
  </si>
  <si>
    <t>모든 모드 및 기능 잠금 해제</t>
  </si>
  <si>
    <t>ປົດລັອກທຸກໂໝດ ແລະຄຸນສົມບັດ</t>
  </si>
  <si>
    <t>Atbloķējiet visus režīmus un funkcijas</t>
  </si>
  <si>
    <t>Buka kunci semua mod dan ciri</t>
  </si>
  <si>
    <t>Ontgrendel alle modi en functies</t>
  </si>
  <si>
    <t>Odblokuj wszystkie tryby i funkcje</t>
  </si>
  <si>
    <t>Desbloqueie todos os modos e recursos</t>
  </si>
  <si>
    <t>Разблокируйте все режимы и функции</t>
  </si>
  <si>
    <t>ปลดล็อคโหมดและคุณสมบัติทั้งหมด</t>
  </si>
  <si>
    <t>Tüm modların ve özelliklerin kilidini açın</t>
  </si>
  <si>
    <t>Розблокуйте всі режими та функції</t>
  </si>
  <si>
    <t>解锁所有模式和功能</t>
  </si>
  <si>
    <t>Mở khóa tất cả các chế độ và tính năng</t>
  </si>
  <si>
    <t>Get Premium</t>
  </si>
  <si>
    <t>Získejte Premium</t>
  </si>
  <si>
    <t>Holen Sie sich Premium</t>
  </si>
  <si>
    <t>Αποκτήστε Premium</t>
  </si>
  <si>
    <t>Obtener prima</t>
  </si>
  <si>
    <t>Hankige Premium</t>
  </si>
  <si>
    <t>Hanki Premium</t>
  </si>
  <si>
    <t>Obtenez une prime</t>
  </si>
  <si>
    <t>Dapatkan Premium</t>
  </si>
  <si>
    <t>Ottieni Premium</t>
  </si>
  <si>
    <t>プレミアムを入手</t>
  </si>
  <si>
    <t>ទទួលបាន Premium</t>
  </si>
  <si>
    <t>프리미엄 받기</t>
  </si>
  <si>
    <t>ຮັບ Premium</t>
  </si>
  <si>
    <t>Iegūstiet Premium</t>
  </si>
  <si>
    <t>Ontvang Premium</t>
  </si>
  <si>
    <t>Uzyskaj wersję Premium</t>
  </si>
  <si>
    <t>Seja Premium</t>
  </si>
  <si>
    <t>Получить Премиум</t>
  </si>
  <si>
    <t>Premium'u Alın</t>
  </si>
  <si>
    <t>Отримайте Premium</t>
  </si>
  <si>
    <t>获得高级版</t>
  </si>
  <si>
    <t>Nhận phí bảo hiểm</t>
  </si>
  <si>
    <t>Aucune publicité</t>
  </si>
  <si>
    <t>Tanpa Iklan</t>
  </si>
  <si>
    <t>គ្មានការផ្សាយពាណិជ្ជកម្ម</t>
  </si>
  <si>
    <t>Tiada Iklan</t>
  </si>
  <si>
    <t>Reklam Yok</t>
  </si>
  <si>
    <t>tv_GET</t>
  </si>
  <si>
    <t>GET</t>
  </si>
  <si>
    <t>يحصل</t>
  </si>
  <si>
    <t>ZÍSKAT</t>
  </si>
  <si>
    <t>ERHALTEN</t>
  </si>
  <si>
    <t>ΠΑΙΡΝΩ</t>
  </si>
  <si>
    <t>CONSEGUIR</t>
  </si>
  <si>
    <t>SAADA</t>
  </si>
  <si>
    <t>OBTENIR</t>
  </si>
  <si>
    <t>पाना</t>
  </si>
  <si>
    <t>MENDAPATKAN</t>
  </si>
  <si>
    <t>OTTENERE</t>
  </si>
  <si>
    <t>得る</t>
  </si>
  <si>
    <t>ទទួលបាន</t>
  </si>
  <si>
    <t>ಪಡೆಯಿರಿ</t>
  </si>
  <si>
    <t>얻다</t>
  </si>
  <si>
    <t>ໄດ້ຮັບ</t>
  </si>
  <si>
    <t>IEGŪT</t>
  </si>
  <si>
    <t>DAPATKAN</t>
  </si>
  <si>
    <t>KRIJGEN</t>
  </si>
  <si>
    <t>DOSTAWAĆ</t>
  </si>
  <si>
    <t>PEGAR</t>
  </si>
  <si>
    <t>ПОЛУЧАТЬ</t>
  </si>
  <si>
    <t>รับ</t>
  </si>
  <si>
    <t>ELDE ETMEK</t>
  </si>
  <si>
    <t>ОТРИМАТИ</t>
  </si>
  <si>
    <t>得到</t>
  </si>
  <si>
    <t>LẤY</t>
  </si>
  <si>
    <t>Dùng thử 3 ngày dùng thử miễn phí</t>
  </si>
  <si>
    <t>Bắt đầu dùng thử miễn phí của tôi</t>
  </si>
  <si>
    <t>One-time Payment. All Updates and New Features - Forever</t>
  </si>
  <si>
    <t>الدفع لمرة واحدة. جميع التحديثات والميزات الجديدة - إلى الأبد</t>
  </si>
  <si>
    <t>Jednorázová platba. Všechny aktualizace a nové funkce – navždy</t>
  </si>
  <si>
    <t>Einmalige Zahlung. Alle Updates und neuen Funktionen – für immer</t>
  </si>
  <si>
    <t>Εφάπαξ πληρωμή. Όλες οι ενημερώσεις και οι νέες δυνατότητες - Για πάντα</t>
  </si>
  <si>
    <t>Pago único. Todas las actualizaciones y nuevas funciones: para siempre</t>
  </si>
  <si>
    <t>Ühekordne makse. Kõik värskendused ja uued funktsioonid – igavesti</t>
  </si>
  <si>
    <t>Kertamaksu. Kaikki päivitykset ja uudet ominaisuudet – ikuisesti</t>
  </si>
  <si>
    <t>Paiement unique. Toutes les mises à jour et nouvelles fonctionnalités - Pour toujours</t>
  </si>
  <si>
    <t>एक - बारगी भुगतान। सभी अपडेट और नई सुविधाएँ - सदैव</t>
  </si>
  <si>
    <t>Pembayaran Satu Kali. Semua Pembaruan dan Fitur Baru - Selamanya</t>
  </si>
  <si>
    <t>Pagamento una tantum. Tutti gli aggiornamenti e le nuove funzionalità - Per sempre</t>
  </si>
  <si>
    <t>1回払い。すべてのアップデートと新機能 - 永久に</t>
  </si>
  <si>
    <t>ការទូទាត់តែម្តង។ ការអាប់ដេត និងមុខងារថ្មីទាំងអស់ - ជារៀងរហូត</t>
  </si>
  <si>
    <t>ಒಂದು ಬಾರಿ ಪಾವತಿ. ಎಲ್ಲಾ ನವೀಕರಣಗಳು ಮತ್ತು ಹೊಸ ವೈಶಿಷ್ಟ್ಯಗಳು - ಶಾಶ್ವತವಾಗಿ</t>
  </si>
  <si>
    <t>일회성 결제. 모든 업데이트 및 새로운 기능 - 영원히</t>
  </si>
  <si>
    <t>ການຈ່າຍເງິນຄັ້ງດຽວ. ການອັບເດດທັງໝົດ ແລະຄຸນສົມບັດໃໝ່ - ຕະຫຼອດໄປ</t>
  </si>
  <si>
    <t>Vienreizējs maksājums. Visi atjauninājumi un jaunas funkcijas — uz visiem laikiem</t>
  </si>
  <si>
    <t>Bayaran Sekali. Semua Kemas Kini dan Ciri Baharu - Selamanya</t>
  </si>
  <si>
    <t>Eenmalige betaling. Alle updates en nieuwe functies - voor altijd</t>
  </si>
  <si>
    <t>Płatność jednorazowa. Wszystkie aktualizacje i nowe funkcje – na zawsze</t>
  </si>
  <si>
    <t>Pagamento único. Todas as atualizações e novos recursos - para sempre</t>
  </si>
  <si>
    <t>Единовременный платеж. Все обновления и новые функции – навсегда</t>
  </si>
  <si>
    <t>ชำระเงินครั้งเดียว การอัปเดตและคุณสมบัติใหม่ทั้งหมด - ตลอดไป</t>
  </si>
  <si>
    <t>Tek Seferlik Ödeme. Tüm Güncellemeler ve Yeni Özellikler - Sonsuza Kadar</t>
  </si>
  <si>
    <t>Одноразова оплата. Усі оновлення та нові функції – назавжди</t>
  </si>
  <si>
    <t>一次性付款。所有更新和新功能 - 永远</t>
  </si>
  <si>
    <t>Thanh toán một lần. Tất cả các bản cập nhật và tính năng mới - Mãi mãi</t>
  </si>
  <si>
    <t>Automātiski atjaunojošs abonements tiek iekasēts katru mēnesi</t>
  </si>
  <si>
    <t>Điều khoản đăng ký</t>
  </si>
</sst>
</file>

<file path=xl/styles.xml><?xml version="1.0" encoding="utf-8"?>
<styleSheet xmlns="http://schemas.openxmlformats.org/spreadsheetml/2006/main" xmlns:x14ac="http://schemas.microsoft.com/office/spreadsheetml/2009/9/ac" xmlns:mc="http://schemas.openxmlformats.org/markup-compatibility/2006">
  <fonts count="43">
    <font>
      <sz val="10.0"/>
      <color rgb="FF000000"/>
      <name val="Arial"/>
      <scheme val="minor"/>
    </font>
    <font>
      <sz val="10.0"/>
      <color theme="1"/>
      <name val="Arial"/>
      <scheme val="minor"/>
    </font>
    <font>
      <sz val="10.0"/>
      <color theme="1"/>
      <name val="Arial"/>
    </font>
    <font>
      <sz val="10.0"/>
      <color rgb="FF1F2328"/>
      <name val="Arial"/>
      <scheme val="minor"/>
    </font>
    <font>
      <b/>
      <sz val="10.0"/>
      <color rgb="FF1C00CF"/>
      <name val="Arial"/>
      <scheme val="minor"/>
    </font>
    <font>
      <b/>
      <sz val="12.0"/>
      <color rgb="FF000000"/>
      <name val="&quot;Helvetica Neue&quot;"/>
    </font>
    <font>
      <sz val="12.0"/>
      <color theme="1"/>
      <name val="Arial"/>
      <scheme val="minor"/>
    </font>
    <font>
      <sz val="12.0"/>
      <color rgb="FF000000"/>
      <name val="&quot;Helvetica Neue&quot;"/>
    </font>
    <font>
      <sz val="12.0"/>
      <color rgb="FF000000"/>
      <name val="&quot;Geeza Pro&quot;"/>
    </font>
    <font>
      <sz val="12.0"/>
      <color rgb="FF000000"/>
      <name val="&quot;Kohinoor Devanagari&quot;"/>
    </font>
    <font>
      <sz val="12.0"/>
      <color rgb="FF000000"/>
      <name val="&quot;PingFang SC&quot;"/>
    </font>
    <font>
      <sz val="12.0"/>
      <color rgb="FF000000"/>
      <name val="&quot;Khmer Sangam MN&quot;"/>
    </font>
    <font>
      <sz val="12.0"/>
      <color rgb="FF000000"/>
      <name val="&quot;Noto Sans Kannada&quot;"/>
    </font>
    <font>
      <sz val="12.0"/>
      <color rgb="FF000000"/>
      <name val="&quot;Apple SD Gothic Neo&quot;"/>
    </font>
    <font>
      <sz val="12.0"/>
      <color rgb="FF000000"/>
      <name val="&quot;Lao Sangam MN&quot;"/>
    </font>
    <font>
      <sz val="12.0"/>
      <color rgb="FF000000"/>
      <name val="Thonburi"/>
    </font>
    <font>
      <sz val="12.0"/>
      <color rgb="FF000000"/>
      <name val="Arial"/>
    </font>
    <font>
      <sz val="12.0"/>
      <color theme="1"/>
      <name val="Arial"/>
    </font>
    <font>
      <b/>
      <sz val="8.0"/>
      <color rgb="FF000000"/>
      <name val="&quot;Helvetica Neue&quot;"/>
    </font>
    <font>
      <sz val="8.0"/>
      <color rgb="FF000000"/>
      <name val="&quot;Helvetica Neue&quot;"/>
    </font>
    <font>
      <sz val="8.0"/>
      <color rgb="FF000000"/>
      <name val="&quot;Geeza Pro&quot;"/>
    </font>
    <font>
      <sz val="8.0"/>
      <color rgb="FF000000"/>
      <name val="&quot;Khmer Sangam MN&quot;"/>
    </font>
    <font>
      <sz val="8.0"/>
      <color rgb="FF000000"/>
      <name val="&quot;Lao Sangam MN&quot;"/>
    </font>
    <font>
      <sz val="8.0"/>
      <color rgb="FF000000"/>
      <name val="Thonburi"/>
    </font>
    <font>
      <sz val="8.0"/>
      <color rgb="FF000000"/>
      <name val="&quot;PingFang SC&quot;"/>
    </font>
    <font>
      <sz val="8.0"/>
      <color rgb="FF000000"/>
      <name val="&quot;Kohinoor Devanagari&quot;"/>
    </font>
    <font>
      <sz val="8.0"/>
      <color rgb="FF000000"/>
      <name val="&quot;Noto Sans Kannada&quot;"/>
    </font>
    <font>
      <sz val="8.0"/>
      <color rgb="FF000000"/>
      <name val="&quot;Apple SD Gothic Neo&quot;"/>
    </font>
    <font>
      <b/>
      <sz val="12.0"/>
      <color rgb="FF000000"/>
      <name val="Arial"/>
      <scheme val="minor"/>
    </font>
    <font>
      <sz val="12.0"/>
      <color rgb="FF000000"/>
      <name val="Arial"/>
      <scheme val="minor"/>
    </font>
    <font>
      <sz val="12.0"/>
      <color theme="1"/>
      <name val="Calibri"/>
    </font>
    <font>
      <color theme="1"/>
      <name val="Arial"/>
      <scheme val="minor"/>
    </font>
    <font>
      <sz val="12.0"/>
      <color theme="1"/>
      <name val="&quot;Helvetica Neue&quot;"/>
    </font>
    <font>
      <sz val="12.0"/>
      <color theme="1"/>
      <name val="&quot;Geeza Pro&quot;"/>
    </font>
    <font>
      <sz val="12.0"/>
      <color theme="1"/>
      <name val="&quot;Kohinoor Devanagari&quot;"/>
    </font>
    <font>
      <sz val="12.0"/>
      <color theme="1"/>
      <name val="&quot;PingFang SC&quot;"/>
    </font>
    <font>
      <sz val="12.0"/>
      <color theme="1"/>
      <name val="&quot;Khmer Sangam MN&quot;"/>
    </font>
    <font>
      <sz val="12.0"/>
      <color theme="1"/>
      <name val="&quot;Noto Sans Kannada&quot;"/>
    </font>
    <font>
      <sz val="12.0"/>
      <color theme="1"/>
      <name val="&quot;Apple SD Gothic Neo&quot;"/>
    </font>
    <font>
      <sz val="12.0"/>
      <color theme="1"/>
      <name val="&quot;Lao Sangam MN&quot;"/>
    </font>
    <font>
      <sz val="12.0"/>
      <color theme="1"/>
      <name val="Thonburi"/>
    </font>
    <font>
      <sz val="8.0"/>
      <color rgb="FF000000"/>
      <name val="&quot;Hiragino Sans&quot;"/>
    </font>
    <font>
      <sz val="12.0"/>
      <color rgb="FF000000"/>
      <name val="&quot;Hiragino Sans&quot;"/>
    </font>
  </fonts>
  <fills count="5">
    <fill>
      <patternFill patternType="none"/>
    </fill>
    <fill>
      <patternFill patternType="lightGray"/>
    </fill>
    <fill>
      <patternFill patternType="solid">
        <fgColor rgb="FFFFFFFF"/>
        <bgColor rgb="FFFFFFFF"/>
      </patternFill>
    </fill>
    <fill>
      <patternFill patternType="solid">
        <fgColor rgb="FFB0B3B2"/>
        <bgColor rgb="FFB0B3B2"/>
      </patternFill>
    </fill>
    <fill>
      <patternFill patternType="solid">
        <fgColor rgb="FFD4D4D4"/>
        <bgColor rgb="FFD4D4D4"/>
      </patternFill>
    </fill>
  </fills>
  <borders count="7">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113">
    <xf borderId="0" fillId="0" fontId="0" numFmtId="0" xfId="0" applyAlignment="1" applyFont="1">
      <alignment readingOrder="0" shrinkToFit="0" vertical="bottom" wrapText="0"/>
    </xf>
    <xf borderId="1" fillId="0" fontId="1" numFmtId="0" xfId="0" applyAlignment="1" applyBorder="1" applyFont="1">
      <alignment readingOrder="0" shrinkToFit="0" vertical="bottom" wrapText="0"/>
    </xf>
    <xf borderId="1" fillId="0" fontId="1" numFmtId="0" xfId="0" applyAlignment="1" applyBorder="1" applyFont="1">
      <alignment shrinkToFit="0" vertical="bottom" wrapText="0"/>
    </xf>
    <xf borderId="0" fillId="0" fontId="1" numFmtId="0" xfId="0" applyAlignment="1" applyFont="1">
      <alignment shrinkToFit="0" vertical="bottom" wrapText="0"/>
    </xf>
    <xf borderId="0" fillId="0" fontId="1" numFmtId="0" xfId="0" applyAlignment="1" applyFont="1">
      <alignment shrinkToFit="0" vertical="bottom" wrapText="0"/>
    </xf>
    <xf borderId="0" fillId="0" fontId="1" numFmtId="0" xfId="0" applyAlignment="1" applyFont="1">
      <alignment shrinkToFit="0" wrapText="0"/>
    </xf>
    <xf borderId="1" fillId="0" fontId="0" numFmtId="0" xfId="0" applyAlignment="1" applyBorder="1" applyFont="1">
      <alignment readingOrder="0" vertical="bottom"/>
    </xf>
    <xf borderId="1" fillId="0" fontId="1" numFmtId="0" xfId="0" applyAlignment="1" applyBorder="1" applyFont="1">
      <alignment readingOrder="0" vertical="bottom"/>
    </xf>
    <xf borderId="1" fillId="0" fontId="1" numFmtId="0" xfId="0" applyAlignment="1" applyBorder="1" applyFont="1">
      <alignment vertical="bottom"/>
    </xf>
    <xf borderId="1" fillId="0" fontId="1" numFmtId="0" xfId="0" applyAlignment="1" applyBorder="1" applyFont="1">
      <alignment shrinkToFit="0" wrapText="0"/>
    </xf>
    <xf borderId="1" fillId="0" fontId="1" numFmtId="0" xfId="0" applyAlignment="1" applyBorder="1" applyFont="1">
      <alignment shrinkToFit="0" vertical="bottom" wrapText="0"/>
    </xf>
    <xf borderId="0" fillId="0" fontId="2" numFmtId="0" xfId="0" applyAlignment="1" applyFont="1">
      <alignment vertical="bottom"/>
    </xf>
    <xf borderId="0" fillId="2" fontId="3" numFmtId="0" xfId="0" applyAlignment="1" applyFill="1" applyFont="1">
      <alignment horizontal="left" readingOrder="0"/>
    </xf>
    <xf borderId="1" fillId="2" fontId="4" numFmtId="0" xfId="0" applyAlignment="1" applyBorder="1" applyFont="1">
      <alignment readingOrder="0"/>
    </xf>
    <xf borderId="1" fillId="2" fontId="0" numFmtId="0" xfId="0" applyAlignment="1" applyBorder="1" applyFont="1">
      <alignment horizontal="left" readingOrder="0"/>
    </xf>
    <xf borderId="1" fillId="0" fontId="1" numFmtId="0" xfId="0" applyAlignment="1" applyBorder="1" applyFont="1">
      <alignment horizontal="right" shrinkToFit="0" wrapText="0"/>
    </xf>
    <xf borderId="0" fillId="2" fontId="4" numFmtId="0" xfId="0" applyAlignment="1" applyFont="1">
      <alignment readingOrder="0"/>
    </xf>
    <xf borderId="0" fillId="2" fontId="0" numFmtId="0" xfId="0" applyAlignment="1" applyFont="1">
      <alignment horizontal="left" readingOrder="0"/>
    </xf>
    <xf borderId="1" fillId="3" fontId="5" numFmtId="0" xfId="0" applyAlignment="1" applyBorder="1" applyFill="1" applyFont="1">
      <alignment readingOrder="0" shrinkToFit="0" vertical="top" wrapText="1"/>
    </xf>
    <xf borderId="0" fillId="0" fontId="6" numFmtId="0" xfId="0" applyAlignment="1" applyFont="1">
      <alignment shrinkToFit="0" vertical="bottom" wrapText="1"/>
    </xf>
    <xf borderId="0" fillId="0" fontId="6" numFmtId="0" xfId="0" applyAlignment="1" applyFont="1">
      <alignment shrinkToFit="0" vertical="bottom" wrapText="1"/>
    </xf>
    <xf borderId="0" fillId="0" fontId="6" numFmtId="0" xfId="0" applyAlignment="1" applyFont="1">
      <alignment shrinkToFit="0" wrapText="1"/>
    </xf>
    <xf borderId="1" fillId="4" fontId="5" numFmtId="0" xfId="0" applyAlignment="1" applyBorder="1" applyFill="1" applyFont="1">
      <alignment readingOrder="0" shrinkToFit="0" vertical="top" wrapText="1"/>
    </xf>
    <xf borderId="1" fillId="0" fontId="7" numFmtId="0" xfId="0" applyAlignment="1" applyBorder="1" applyFont="1">
      <alignment readingOrder="0" shrinkToFit="0" vertical="top" wrapText="1"/>
    </xf>
    <xf borderId="1" fillId="0" fontId="8" numFmtId="0" xfId="0" applyAlignment="1" applyBorder="1" applyFont="1">
      <alignment readingOrder="0" shrinkToFit="0" vertical="top" wrapText="1"/>
    </xf>
    <xf borderId="1" fillId="0" fontId="9" numFmtId="0" xfId="0" applyAlignment="1" applyBorder="1" applyFont="1">
      <alignment readingOrder="0" shrinkToFit="0" vertical="top" wrapText="1"/>
    </xf>
    <xf borderId="1" fillId="0" fontId="10" numFmtId="0" xfId="0" applyAlignment="1" applyBorder="1" applyFont="1">
      <alignment readingOrder="0" shrinkToFit="0" vertical="top" wrapText="1"/>
    </xf>
    <xf borderId="1" fillId="0" fontId="11" numFmtId="0" xfId="0" applyAlignment="1" applyBorder="1" applyFont="1">
      <alignment readingOrder="0" shrinkToFit="0" vertical="top" wrapText="1"/>
    </xf>
    <xf borderId="1" fillId="0" fontId="12" numFmtId="0" xfId="0" applyAlignment="1" applyBorder="1" applyFont="1">
      <alignment readingOrder="0" shrinkToFit="0" vertical="top" wrapText="1"/>
    </xf>
    <xf borderId="1" fillId="0" fontId="13" numFmtId="0" xfId="0" applyAlignment="1" applyBorder="1" applyFont="1">
      <alignment readingOrder="0" shrinkToFit="0" vertical="top" wrapText="1"/>
    </xf>
    <xf borderId="1" fillId="0" fontId="14" numFmtId="0" xfId="0" applyAlignment="1" applyBorder="1" applyFont="1">
      <alignment readingOrder="0" shrinkToFit="0" vertical="top" wrapText="1"/>
    </xf>
    <xf borderId="1" fillId="0" fontId="15" numFmtId="0" xfId="0" applyAlignment="1" applyBorder="1" applyFont="1">
      <alignment readingOrder="0" shrinkToFit="0" vertical="top" wrapText="1"/>
    </xf>
    <xf borderId="1" fillId="0" fontId="16" numFmtId="0" xfId="0" applyAlignment="1" applyBorder="1" applyFont="1">
      <alignment readingOrder="0" shrinkToFit="0" vertical="top" wrapText="1"/>
    </xf>
    <xf borderId="1" fillId="0" fontId="7" numFmtId="0" xfId="0" applyAlignment="1" applyBorder="1" applyFont="1">
      <alignment readingOrder="0" shrinkToFit="0" vertical="top" wrapText="1"/>
    </xf>
    <xf borderId="0" fillId="0" fontId="6" numFmtId="0" xfId="0" applyAlignment="1" applyFont="1">
      <alignment shrinkToFit="0" vertical="top" wrapText="1"/>
    </xf>
    <xf borderId="0" fillId="0" fontId="6" numFmtId="0" xfId="0" applyAlignment="1" applyFont="1">
      <alignment shrinkToFit="0" vertical="top" wrapText="1"/>
    </xf>
    <xf borderId="0" fillId="0" fontId="17" numFmtId="0" xfId="0" applyAlignment="1" applyFont="1">
      <alignment shrinkToFit="0" vertical="bottom" wrapText="1"/>
    </xf>
    <xf borderId="1" fillId="4" fontId="5" numFmtId="0" xfId="0" applyAlignment="1" applyBorder="1" applyFont="1">
      <alignment readingOrder="0" vertical="top"/>
    </xf>
    <xf borderId="1" fillId="0" fontId="7" numFmtId="0" xfId="0" applyAlignment="1" applyBorder="1" applyFont="1">
      <alignment readingOrder="0" vertical="top"/>
    </xf>
    <xf borderId="1" fillId="0" fontId="8" numFmtId="0" xfId="0" applyAlignment="1" applyBorder="1" applyFont="1">
      <alignment readingOrder="0" vertical="top"/>
    </xf>
    <xf borderId="1" fillId="0" fontId="9" numFmtId="0" xfId="0" applyAlignment="1" applyBorder="1" applyFont="1">
      <alignment readingOrder="0" vertical="top"/>
    </xf>
    <xf borderId="1" fillId="0" fontId="10" numFmtId="0" xfId="0" applyAlignment="1" applyBorder="1" applyFont="1">
      <alignment readingOrder="0" vertical="top"/>
    </xf>
    <xf borderId="1" fillId="0" fontId="11" numFmtId="0" xfId="0" applyAlignment="1" applyBorder="1" applyFont="1">
      <alignment readingOrder="0" vertical="top"/>
    </xf>
    <xf borderId="1" fillId="0" fontId="12" numFmtId="0" xfId="0" applyAlignment="1" applyBorder="1" applyFont="1">
      <alignment readingOrder="0" vertical="top"/>
    </xf>
    <xf borderId="1" fillId="0" fontId="13" numFmtId="0" xfId="0" applyAlignment="1" applyBorder="1" applyFont="1">
      <alignment readingOrder="0" vertical="top"/>
    </xf>
    <xf borderId="1" fillId="0" fontId="14" numFmtId="0" xfId="0" applyAlignment="1" applyBorder="1" applyFont="1">
      <alignment readingOrder="0" vertical="top"/>
    </xf>
    <xf borderId="1" fillId="0" fontId="15" numFmtId="0" xfId="0" applyAlignment="1" applyBorder="1" applyFont="1">
      <alignment readingOrder="0" vertical="top"/>
    </xf>
    <xf borderId="1" fillId="4" fontId="18" numFmtId="0" xfId="0" applyAlignment="1" applyBorder="1" applyFont="1">
      <alignment readingOrder="0" vertical="top"/>
    </xf>
    <xf borderId="1" fillId="0" fontId="19" numFmtId="0" xfId="0" applyAlignment="1" applyBorder="1" applyFont="1">
      <alignment readingOrder="0" vertical="top"/>
    </xf>
    <xf borderId="1" fillId="0" fontId="20" numFmtId="0" xfId="0" applyAlignment="1" applyBorder="1" applyFont="1">
      <alignment readingOrder="0" vertical="top"/>
    </xf>
    <xf borderId="1" fillId="0" fontId="21" numFmtId="0" xfId="0" applyAlignment="1" applyBorder="1" applyFont="1">
      <alignment readingOrder="0" vertical="top"/>
    </xf>
    <xf borderId="1" fillId="0" fontId="22" numFmtId="0" xfId="0" applyAlignment="1" applyBorder="1" applyFont="1">
      <alignment readingOrder="0" vertical="top"/>
    </xf>
    <xf borderId="1" fillId="0" fontId="23" numFmtId="0" xfId="0" applyAlignment="1" applyBorder="1" applyFont="1">
      <alignment readingOrder="0" vertical="top"/>
    </xf>
    <xf borderId="1" fillId="0" fontId="24" numFmtId="0" xfId="0" applyAlignment="1" applyBorder="1" applyFont="1">
      <alignment readingOrder="0" vertical="top"/>
    </xf>
    <xf borderId="1" fillId="0" fontId="25" numFmtId="0" xfId="0" applyAlignment="1" applyBorder="1" applyFont="1">
      <alignment readingOrder="0" vertical="top"/>
    </xf>
    <xf borderId="1" fillId="0" fontId="26" numFmtId="0" xfId="0" applyAlignment="1" applyBorder="1" applyFont="1">
      <alignment readingOrder="0" vertical="top"/>
    </xf>
    <xf borderId="1" fillId="0" fontId="27" numFmtId="0" xfId="0" applyAlignment="1" applyBorder="1" applyFont="1">
      <alignment readingOrder="0" vertical="top"/>
    </xf>
    <xf borderId="0" fillId="0" fontId="6" numFmtId="0" xfId="0" applyAlignment="1" applyFont="1">
      <alignment readingOrder="0" shrinkToFit="0" wrapText="1"/>
    </xf>
    <xf borderId="1" fillId="3" fontId="28" numFmtId="0" xfId="0" applyAlignment="1" applyBorder="1" applyFont="1">
      <alignment readingOrder="0" shrinkToFit="0" vertical="top" wrapText="1"/>
    </xf>
    <xf borderId="1" fillId="4" fontId="28" numFmtId="0" xfId="0" applyAlignment="1" applyBorder="1" applyFont="1">
      <alignment readingOrder="0" shrinkToFit="0" vertical="top" wrapText="1"/>
    </xf>
    <xf borderId="1" fillId="0" fontId="29" numFmtId="0" xfId="0" applyAlignment="1" applyBorder="1" applyFont="1">
      <alignment readingOrder="0" shrinkToFit="0" vertical="top" wrapText="1"/>
    </xf>
    <xf borderId="1" fillId="0" fontId="29" numFmtId="0" xfId="0" applyAlignment="1" applyBorder="1" applyFont="1">
      <alignment readingOrder="0" shrinkToFit="0" vertical="top" wrapText="1"/>
    </xf>
    <xf borderId="1" fillId="4" fontId="28" numFmtId="0" xfId="0" applyAlignment="1" applyBorder="1" applyFont="1">
      <alignment readingOrder="0" vertical="top"/>
    </xf>
    <xf borderId="1" fillId="0" fontId="29" numFmtId="0" xfId="0" applyAlignment="1" applyBorder="1" applyFont="1">
      <alignment readingOrder="0" vertical="top"/>
    </xf>
    <xf borderId="1" fillId="0" fontId="29" numFmtId="0" xfId="0" applyAlignment="1" applyBorder="1" applyFont="1">
      <alignment readingOrder="0" vertical="top"/>
    </xf>
    <xf borderId="0" fillId="0" fontId="6" numFmtId="0" xfId="0" applyFont="1"/>
    <xf borderId="0" fillId="0" fontId="30" numFmtId="0" xfId="0" applyAlignment="1" applyFont="1">
      <alignment vertical="bottom"/>
    </xf>
    <xf borderId="0" fillId="0" fontId="6" numFmtId="0" xfId="0" applyAlignment="1" applyFont="1">
      <alignment shrinkToFit="0" vertical="bottom" wrapText="0"/>
    </xf>
    <xf borderId="0" fillId="0" fontId="6" numFmtId="0" xfId="0" applyAlignment="1" applyFont="1">
      <alignment readingOrder="0" shrinkToFit="0" vertical="bottom" wrapText="0"/>
    </xf>
    <xf borderId="0" fillId="0" fontId="6" numFmtId="0" xfId="0" applyAlignment="1" applyFont="1">
      <alignment shrinkToFit="0" vertical="bottom" wrapText="0"/>
    </xf>
    <xf borderId="0" fillId="0" fontId="17" numFmtId="0" xfId="0" applyAlignment="1" applyFont="1">
      <alignment shrinkToFit="0" vertical="bottom" wrapText="0"/>
    </xf>
    <xf borderId="0" fillId="0" fontId="6" numFmtId="0" xfId="0" applyAlignment="1" applyFont="1">
      <alignment shrinkToFit="0" wrapText="0"/>
    </xf>
    <xf borderId="0" fillId="0" fontId="30" numFmtId="0" xfId="0" applyAlignment="1" applyFont="1">
      <alignment vertical="bottom"/>
    </xf>
    <xf borderId="0" fillId="0" fontId="31" numFmtId="0" xfId="0" applyAlignment="1" applyFont="1">
      <alignment horizontal="center" readingOrder="0"/>
    </xf>
    <xf borderId="0" fillId="0" fontId="31" numFmtId="0" xfId="0" applyAlignment="1" applyFont="1">
      <alignment horizontal="center"/>
    </xf>
    <xf borderId="0" fillId="0" fontId="31" numFmtId="0" xfId="0" applyAlignment="1" applyFont="1">
      <alignment horizontal="center"/>
    </xf>
    <xf borderId="0" fillId="0" fontId="6" numFmtId="0" xfId="0" applyAlignment="1" applyFont="1">
      <alignment readingOrder="0" shrinkToFit="0" wrapText="0"/>
    </xf>
    <xf borderId="0" fillId="2" fontId="16" numFmtId="0" xfId="0" applyAlignment="1" applyFont="1">
      <alignment horizontal="left" readingOrder="0"/>
    </xf>
    <xf borderId="1" fillId="0" fontId="32" numFmtId="0" xfId="0" applyAlignment="1" applyBorder="1" applyFont="1">
      <alignment readingOrder="0" shrinkToFit="0" vertical="top" wrapText="1"/>
    </xf>
    <xf borderId="1" fillId="0" fontId="33" numFmtId="0" xfId="0" applyAlignment="1" applyBorder="1" applyFont="1">
      <alignment readingOrder="0" shrinkToFit="0" vertical="top" wrapText="1"/>
    </xf>
    <xf borderId="1" fillId="0" fontId="34" numFmtId="0" xfId="0" applyAlignment="1" applyBorder="1" applyFont="1">
      <alignment readingOrder="0" shrinkToFit="0" vertical="top" wrapText="1"/>
    </xf>
    <xf borderId="1" fillId="0" fontId="35" numFmtId="0" xfId="0" applyAlignment="1" applyBorder="1" applyFont="1">
      <alignment readingOrder="0" shrinkToFit="0" vertical="top" wrapText="1"/>
    </xf>
    <xf borderId="1" fillId="0" fontId="36" numFmtId="0" xfId="0" applyAlignment="1" applyBorder="1" applyFont="1">
      <alignment readingOrder="0" shrinkToFit="0" vertical="top" wrapText="1"/>
    </xf>
    <xf borderId="1" fillId="0" fontId="37" numFmtId="0" xfId="0" applyAlignment="1" applyBorder="1" applyFont="1">
      <alignment readingOrder="0" shrinkToFit="0" vertical="top" wrapText="1"/>
    </xf>
    <xf borderId="1" fillId="0" fontId="38" numFmtId="0" xfId="0" applyAlignment="1" applyBorder="1" applyFont="1">
      <alignment readingOrder="0" shrinkToFit="0" vertical="top" wrapText="1"/>
    </xf>
    <xf borderId="1" fillId="0" fontId="39" numFmtId="0" xfId="0" applyAlignment="1" applyBorder="1" applyFont="1">
      <alignment readingOrder="0" shrinkToFit="0" vertical="top" wrapText="1"/>
    </xf>
    <xf borderId="1" fillId="0" fontId="40" numFmtId="0" xfId="0" applyAlignment="1" applyBorder="1" applyFont="1">
      <alignment readingOrder="0" shrinkToFit="0" vertical="top" wrapText="1"/>
    </xf>
    <xf borderId="1" fillId="0" fontId="32" numFmtId="0" xfId="0" applyAlignment="1" applyBorder="1" applyFont="1">
      <alignment readingOrder="0" vertical="top"/>
    </xf>
    <xf borderId="1" fillId="0" fontId="33" numFmtId="0" xfId="0" applyAlignment="1" applyBorder="1" applyFont="1">
      <alignment readingOrder="0" vertical="top"/>
    </xf>
    <xf borderId="1" fillId="0" fontId="34" numFmtId="0" xfId="0" applyAlignment="1" applyBorder="1" applyFont="1">
      <alignment readingOrder="0" vertical="top"/>
    </xf>
    <xf borderId="1" fillId="0" fontId="35" numFmtId="0" xfId="0" applyAlignment="1" applyBorder="1" applyFont="1">
      <alignment readingOrder="0" vertical="top"/>
    </xf>
    <xf borderId="1" fillId="0" fontId="36" numFmtId="0" xfId="0" applyAlignment="1" applyBorder="1" applyFont="1">
      <alignment readingOrder="0" vertical="top"/>
    </xf>
    <xf borderId="1" fillId="0" fontId="37" numFmtId="0" xfId="0" applyAlignment="1" applyBorder="1" applyFont="1">
      <alignment readingOrder="0" vertical="top"/>
    </xf>
    <xf borderId="1" fillId="0" fontId="38" numFmtId="0" xfId="0" applyAlignment="1" applyBorder="1" applyFont="1">
      <alignment readingOrder="0" vertical="top"/>
    </xf>
    <xf borderId="1" fillId="0" fontId="39" numFmtId="0" xfId="0" applyAlignment="1" applyBorder="1" applyFont="1">
      <alignment readingOrder="0" vertical="top"/>
    </xf>
    <xf borderId="1" fillId="0" fontId="40" numFmtId="0" xfId="0" applyAlignment="1" applyBorder="1" applyFont="1">
      <alignment readingOrder="0" vertical="top"/>
    </xf>
    <xf borderId="1" fillId="0" fontId="6" numFmtId="0" xfId="0" applyAlignment="1" applyBorder="1" applyFont="1">
      <alignment readingOrder="0" shrinkToFit="0" wrapText="1"/>
    </xf>
    <xf borderId="1" fillId="0" fontId="6" numFmtId="0" xfId="0" applyAlignment="1" applyBorder="1" applyFont="1">
      <alignment readingOrder="0" shrinkToFit="0" wrapText="1"/>
    </xf>
    <xf borderId="1" fillId="0" fontId="6" numFmtId="0" xfId="0" applyAlignment="1" applyBorder="1" applyFont="1">
      <alignment shrinkToFit="0" wrapText="1"/>
    </xf>
    <xf borderId="0" fillId="0" fontId="6" numFmtId="0" xfId="0" applyAlignment="1" applyFont="1">
      <alignment readingOrder="0" shrinkToFit="0" wrapText="1"/>
    </xf>
    <xf borderId="1" fillId="0" fontId="7" numFmtId="0" xfId="0" applyAlignment="1" applyBorder="1" applyFont="1">
      <alignment readingOrder="0" vertical="top"/>
    </xf>
    <xf borderId="1" fillId="0" fontId="6" numFmtId="0" xfId="0" applyAlignment="1" applyBorder="1" applyFont="1">
      <alignment horizontal="center" readingOrder="0" shrinkToFit="0" wrapText="1"/>
    </xf>
    <xf borderId="1" fillId="0" fontId="6" numFmtId="0" xfId="0" applyAlignment="1" applyBorder="1" applyFont="1">
      <alignment horizontal="center" readingOrder="0" shrinkToFit="0" wrapText="1"/>
    </xf>
    <xf borderId="1" fillId="0" fontId="41" numFmtId="0" xfId="0" applyAlignment="1" applyBorder="1" applyFont="1">
      <alignment readingOrder="0" vertical="top"/>
    </xf>
    <xf borderId="1" fillId="0" fontId="31" numFmtId="0" xfId="0" applyAlignment="1" applyBorder="1" applyFont="1">
      <alignment readingOrder="0" vertical="top"/>
    </xf>
    <xf borderId="1" fillId="0" fontId="31" numFmtId="0" xfId="0" applyAlignment="1" applyBorder="1" applyFont="1">
      <alignment readingOrder="0" vertical="top"/>
    </xf>
    <xf borderId="1" fillId="0" fontId="42" numFmtId="0" xfId="0" applyAlignment="1" applyBorder="1" applyFont="1">
      <alignment readingOrder="0" vertical="top"/>
    </xf>
    <xf borderId="2" fillId="0" fontId="5" numFmtId="0" xfId="0" applyAlignment="1" applyBorder="1" applyFont="1">
      <alignment readingOrder="0" shrinkToFit="0" vertical="top" wrapText="1"/>
    </xf>
    <xf borderId="0" fillId="0" fontId="5" numFmtId="0" xfId="0" applyAlignment="1" applyFont="1">
      <alignment readingOrder="0" shrinkToFit="0" vertical="top" wrapText="1"/>
    </xf>
    <xf borderId="3" fillId="0" fontId="5" numFmtId="0" xfId="0" applyAlignment="1" applyBorder="1" applyFont="1">
      <alignment readingOrder="0" shrinkToFit="0" vertical="top" wrapText="1"/>
    </xf>
    <xf borderId="4" fillId="0" fontId="5" numFmtId="0" xfId="0" applyAlignment="1" applyBorder="1" applyFont="1">
      <alignment readingOrder="0" shrinkToFit="0" vertical="top" wrapText="1"/>
    </xf>
    <xf borderId="5" fillId="0" fontId="5" numFmtId="0" xfId="0" applyAlignment="1" applyBorder="1" applyFont="1">
      <alignment readingOrder="0" shrinkToFit="0" vertical="top" wrapText="1"/>
    </xf>
    <xf borderId="6" fillId="0" fontId="5" numFmtId="0" xfId="0" applyAlignment="1" applyBorder="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75"/>
    <col customWidth="1" min="2" max="3" width="39.25"/>
    <col customWidth="1" min="4" max="4" width="29.88"/>
    <col customWidth="1" min="5" max="5" width="41.5"/>
    <col customWidth="1" min="6" max="6" width="27.63"/>
  </cols>
  <sheetData>
    <row r="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3"/>
      <c r="AF1" s="3"/>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5"/>
      <c r="BM1" s="5"/>
      <c r="BN1" s="5"/>
    </row>
    <row r="2">
      <c r="A2" s="6" t="s">
        <v>30</v>
      </c>
      <c r="B2" s="7" t="s">
        <v>31</v>
      </c>
      <c r="C2" s="8" t="s">
        <v>32</v>
      </c>
      <c r="D2" s="9" t="str">
        <f>IFERROR(__xludf.DUMMYFUNCTION("GOOGLETRANSLATE(C2,""en"",""vi"")"),"Máy tính")</f>
        <v>Máy tính</v>
      </c>
      <c r="E2" s="9" t="str">
        <f>IFERROR(__xludf.DUMMYFUNCTION("GOOGLETRANSLATE(C2,""en"",""ar"")"),"آلة حاسبة")</f>
        <v>آلة حاسبة</v>
      </c>
      <c r="F2" s="9" t="str">
        <f>IFERROR(__xludf.DUMMYFUNCTION("GOOGLETRANSLATE(C2,""en"",""cs"")"),"Kalkulačka")</f>
        <v>Kalkulačka</v>
      </c>
      <c r="G2" s="9" t="str">
        <f>IFERROR(__xludf.DUMMYFUNCTION("GOOGLETRANSLATE(C2,""en"",""de"")"),"Kalkulator")</f>
        <v>Kalkulator</v>
      </c>
      <c r="H2" s="9" t="str">
        <f>IFERROR(__xludf.DUMMYFUNCTION("GOOGLETRANSLATE(C2,""en"",""el"")"),"Αριθμομηχανή")</f>
        <v>Αριθμομηχανή</v>
      </c>
      <c r="I2" s="9" t="str">
        <f>IFERROR(__xludf.DUMMYFUNCTION("GOOGLETRANSLATE(C2,""en"",""es"")"),"Calculadora")</f>
        <v>Calculadora</v>
      </c>
      <c r="J2" s="9" t="str">
        <f>IFERROR(__xludf.DUMMYFUNCTION("GOOGLETRANSLATE(C2,""en"",""et"")"),"Kalkulaator")</f>
        <v>Kalkulaator</v>
      </c>
      <c r="K2" s="9" t="str">
        <f>IFERROR(__xludf.DUMMYFUNCTION("GOOGLETRANSLATE(C2,""en"",""fi"")"),"Laskin")</f>
        <v>Laskin</v>
      </c>
      <c r="L2" s="9" t="str">
        <f>IFERROR(__xludf.DUMMYFUNCTION("GOOGLETRANSLATE(C2,""en"",""fr"")"),"Calculatrice")</f>
        <v>Calculatrice</v>
      </c>
      <c r="M2" s="9" t="str">
        <f>IFERROR(__xludf.DUMMYFUNCTION("GOOGLETRANSLATE(C2,""en"",""hi"")"),"कैलकुलेटर")</f>
        <v>कैलकुलेटर</v>
      </c>
      <c r="N2" s="9" t="str">
        <f>IFERROR(__xludf.DUMMYFUNCTION("GOOGLETRANSLATE(C2,""en"",""id"")"),"Kalkulator")</f>
        <v>Kalkulator</v>
      </c>
      <c r="O2" s="9" t="str">
        <f>IFERROR(__xludf.DUMMYFUNCTION("GOOGLETRANSLATE(C2,""en"",""it"")"),"Calcolatrice")</f>
        <v>Calcolatrice</v>
      </c>
      <c r="P2" s="9" t="str">
        <f>IFERROR(__xludf.DUMMYFUNCTION("GOOGLETRANSLATE(C2,""en"",""ja"")"),"電卓")</f>
        <v>電卓</v>
      </c>
      <c r="Q2" s="9" t="str">
        <f>IFERROR(__xludf.DUMMYFUNCTION("GOOGLETRANSLATE(C2,""en"",""km"")"),"ម៉ាស៊ីនគិតលេខ")</f>
        <v>ម៉ាស៊ីនគិតលេខ</v>
      </c>
      <c r="R2" s="9" t="str">
        <f>IFERROR(__xludf.DUMMYFUNCTION("GOOGLETRANSLATE(C2,""en"",""kn"")"),"ಕ್ಯಾಲ್ಕುಲೇಟರ್")</f>
        <v>ಕ್ಯಾಲ್ಕುಲೇಟರ್</v>
      </c>
      <c r="S2" s="9" t="str">
        <f>IFERROR(__xludf.DUMMYFUNCTION("GOOGLETRANSLATE(C2,""en"",""ko"")"),"계산자")</f>
        <v>계산자</v>
      </c>
      <c r="T2" s="9" t="str">
        <f>IFERROR(__xludf.DUMMYFUNCTION("GOOGLETRANSLATE(C2,""en"",""lo"")"),"ເຄື່ອງຄິດເລກ")</f>
        <v>ເຄື່ອງຄິດເລກ</v>
      </c>
      <c r="U2" s="9" t="str">
        <f>IFERROR(__xludf.DUMMYFUNCTION("GOOGLETRANSLATE(C2,""en"",""lv"")"),"Kalkulators")</f>
        <v>Kalkulators</v>
      </c>
      <c r="V2" s="9" t="str">
        <f>IFERROR(__xludf.DUMMYFUNCTION("GOOGLETRANSLATE(C2,""en"",""ms"")"),"Kalkulator")</f>
        <v>Kalkulator</v>
      </c>
      <c r="W2" s="9" t="str">
        <f>IFERROR(__xludf.DUMMYFUNCTION("GOOGLETRANSLATE(C2,""en"",""nl"")"),"Rekenmachine")</f>
        <v>Rekenmachine</v>
      </c>
      <c r="X2" s="9" t="str">
        <f>IFERROR(__xludf.DUMMYFUNCTION("GOOGLETRANSLATE(C2,""en"",""pl"")"),"Kalkulator")</f>
        <v>Kalkulator</v>
      </c>
      <c r="Y2" s="9" t="str">
        <f>IFERROR(__xludf.DUMMYFUNCTION("GOOGLETRANSLATE(C2,""en"",""pt-PT"")"),"Calculadora")</f>
        <v>Calculadora</v>
      </c>
      <c r="Z2" s="9" t="str">
        <f>IFERROR(__xludf.DUMMYFUNCTION("GOOGLETRANSLATE(C2,""en"",""ru"")"),"Калькулятор")</f>
        <v>Калькулятор</v>
      </c>
      <c r="AA2" s="9" t="str">
        <f>IFERROR(__xludf.DUMMYFUNCTION("GOOGLETRANSLATE(C2,""en"",""th"")"),"เครื่องคิดเลข")</f>
        <v>เครื่องคิดเลข</v>
      </c>
      <c r="AB2" s="9" t="str">
        <f>IFERROR(__xludf.DUMMYFUNCTION("GOOGLETRANSLATE(C2,""en"",""tr"")"),"Hesap Makinesi")</f>
        <v>Hesap Makinesi</v>
      </c>
      <c r="AC2" s="9" t="str">
        <f>IFERROR(__xludf.DUMMYFUNCTION("GOOGLETRANSLATE(C2,""en"",""uk"")"),"Калькулятор")</f>
        <v>Калькулятор</v>
      </c>
      <c r="AD2" s="9" t="str">
        <f>IFERROR(__xludf.DUMMYFUNCTION("GOOGLETRANSLATE(C2,""en"",""zh-CN"")"),"计算器")</f>
        <v>计算器</v>
      </c>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row>
    <row r="3">
      <c r="A3" s="6" t="s">
        <v>30</v>
      </c>
      <c r="B3" s="7" t="s">
        <v>33</v>
      </c>
      <c r="C3" s="8" t="s">
        <v>34</v>
      </c>
      <c r="D3" s="9" t="str">
        <f>IFERROR(__xludf.DUMMYFUNCTION("GOOGLETRANSLATE(C3,""en"",""vi"")"),"Cân")</f>
        <v>Cân</v>
      </c>
      <c r="E3" s="9" t="str">
        <f>IFERROR(__xludf.DUMMYFUNCTION("GOOGLETRANSLATE(C3,""en"",""ar"")"),"وزن")</f>
        <v>وزن</v>
      </c>
      <c r="F3" s="9" t="str">
        <f>IFERROR(__xludf.DUMMYFUNCTION("GOOGLETRANSLATE(C3,""en"",""cs"")"),"Vážení")</f>
        <v>Vážení</v>
      </c>
      <c r="G3" s="9" t="str">
        <f>IFERROR(__xludf.DUMMYFUNCTION("GOOGLETRANSLATE(C3,""en"",""de"")"),"Wiegen")</f>
        <v>Wiegen</v>
      </c>
      <c r="H3" s="9" t="str">
        <f>IFERROR(__xludf.DUMMYFUNCTION("GOOGLETRANSLATE(C3,""en"",""el"")"),"Ζύγισμα")</f>
        <v>Ζύγισμα</v>
      </c>
      <c r="I3" s="9" t="str">
        <f>IFERROR(__xludf.DUMMYFUNCTION("GOOGLETRANSLATE(C3,""en"",""es"")"),"Peso")</f>
        <v>Peso</v>
      </c>
      <c r="J3" s="9" t="str">
        <f>IFERROR(__xludf.DUMMYFUNCTION("GOOGLETRANSLATE(C3,""en"",""et"")"),"Kaalumine")</f>
        <v>Kaalumine</v>
      </c>
      <c r="K3" s="9" t="str">
        <f>IFERROR(__xludf.DUMMYFUNCTION("GOOGLETRANSLATE(C3,""en"",""fi"")"),"Punnitus")</f>
        <v>Punnitus</v>
      </c>
      <c r="L3" s="9" t="str">
        <f>IFERROR(__xludf.DUMMYFUNCTION("GOOGLETRANSLATE(C3,""en"",""fr"")"),"Pesée")</f>
        <v>Pesée</v>
      </c>
      <c r="M3" s="9" t="str">
        <f>IFERROR(__xludf.DUMMYFUNCTION("GOOGLETRANSLATE(C3,""en"",""hi"")"),"वजन")</f>
        <v>वजन</v>
      </c>
      <c r="N3" s="9" t="str">
        <f>IFERROR(__xludf.DUMMYFUNCTION("GOOGLETRANSLATE(C3,""en"",""id"")"),"Menimbang")</f>
        <v>Menimbang</v>
      </c>
      <c r="O3" s="9" t="str">
        <f>IFERROR(__xludf.DUMMYFUNCTION("GOOGLETRANSLATE(C3,""en"",""it"")"),"Pesatura")</f>
        <v>Pesatura</v>
      </c>
      <c r="P3" s="9" t="str">
        <f>IFERROR(__xludf.DUMMYFUNCTION("GOOGLETRANSLATE(C3,""en"",""ja"")"),"計量")</f>
        <v>計量</v>
      </c>
      <c r="Q3" s="9" t="str">
        <f>IFERROR(__xludf.DUMMYFUNCTION("GOOGLETRANSLATE(C3,""en"",""km"")"),"ថ្លឹង")</f>
        <v>ថ្លឹង</v>
      </c>
      <c r="R3" s="9" t="str">
        <f>IFERROR(__xludf.DUMMYFUNCTION("GOOGLETRANSLATE(C3,""en"",""kn"")"),"ತೂಗುತ್ತಿದೆ")</f>
        <v>ತೂಗುತ್ತಿದೆ</v>
      </c>
      <c r="S3" s="9" t="str">
        <f>IFERROR(__xludf.DUMMYFUNCTION("GOOGLETRANSLATE(C3,""en"",""ko"")"),"계량")</f>
        <v>계량</v>
      </c>
      <c r="T3" s="9" t="str">
        <f>IFERROR(__xludf.DUMMYFUNCTION("GOOGLETRANSLATE(C3,""en"",""lo"")"),"ນ້ຳໜັກ")</f>
        <v>ນ້ຳໜັກ</v>
      </c>
      <c r="U3" s="9" t="str">
        <f>IFERROR(__xludf.DUMMYFUNCTION("GOOGLETRANSLATE(C3,""en"",""lv"")"),"Svēršana")</f>
        <v>Svēršana</v>
      </c>
      <c r="V3" s="9" t="str">
        <f>IFERROR(__xludf.DUMMYFUNCTION("GOOGLETRANSLATE(C3,""en"",""ms"")"),"Menimbang")</f>
        <v>Menimbang</v>
      </c>
      <c r="W3" s="9" t="str">
        <f>IFERROR(__xludf.DUMMYFUNCTION("GOOGLETRANSLATE(C3,""en"",""nl"")"),"Weging")</f>
        <v>Weging</v>
      </c>
      <c r="X3" s="9" t="str">
        <f>IFERROR(__xludf.DUMMYFUNCTION("GOOGLETRANSLATE(C3,""en"",""pl"")"),"Ważenie")</f>
        <v>Ważenie</v>
      </c>
      <c r="Y3" s="9" t="str">
        <f>IFERROR(__xludf.DUMMYFUNCTION("GOOGLETRANSLATE(C3,""en"",""pt-PT"")"),"Pesagem")</f>
        <v>Pesagem</v>
      </c>
      <c r="Z3" s="9" t="str">
        <f>IFERROR(__xludf.DUMMYFUNCTION("GOOGLETRANSLATE(C3,""en"",""ru"")"),"Взвешивание")</f>
        <v>Взвешивание</v>
      </c>
      <c r="AA3" s="9" t="str">
        <f>IFERROR(__xludf.DUMMYFUNCTION("GOOGLETRANSLATE(C3,""en"",""th"")"),"การชั่งน้ำหนัก")</f>
        <v>การชั่งน้ำหนัก</v>
      </c>
      <c r="AB3" s="9" t="str">
        <f>IFERROR(__xludf.DUMMYFUNCTION("GOOGLETRANSLATE(C3,""en"",""tr"")"),"Tartım")</f>
        <v>Tartım</v>
      </c>
      <c r="AC3" s="9" t="str">
        <f>IFERROR(__xludf.DUMMYFUNCTION("GOOGLETRANSLATE(C3,""en"",""uk"")"),"зважування")</f>
        <v>зважування</v>
      </c>
      <c r="AD3" s="9" t="str">
        <f>IFERROR(__xludf.DUMMYFUNCTION("GOOGLETRANSLATE(C3,""en"",""zh-CN"")"),"称重")</f>
        <v>称重</v>
      </c>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row>
    <row r="4">
      <c r="A4" s="6" t="s">
        <v>30</v>
      </c>
      <c r="B4" s="7" t="s">
        <v>35</v>
      </c>
      <c r="C4" s="8" t="s">
        <v>36</v>
      </c>
      <c r="D4" s="9" t="str">
        <f>IFERROR(__xludf.DUMMYFUNCTION("GOOGLETRANSLATE(C4,""en"",""vi"")"),"Cài đặt")</f>
        <v>Cài đặt</v>
      </c>
      <c r="E4" s="9" t="str">
        <f>IFERROR(__xludf.DUMMYFUNCTION("GOOGLETRANSLATE(C4,""en"",""ar"")"),"إعدادات")</f>
        <v>إعدادات</v>
      </c>
      <c r="F4" s="9" t="str">
        <f>IFERROR(__xludf.DUMMYFUNCTION("GOOGLETRANSLATE(C4,""en"",""cs"")"),"Nastavení")</f>
        <v>Nastavení</v>
      </c>
      <c r="G4" s="9" t="str">
        <f>IFERROR(__xludf.DUMMYFUNCTION("GOOGLETRANSLATE(C4,""en"",""de"")"),"Einstellungen")</f>
        <v>Einstellungen</v>
      </c>
      <c r="H4" s="9" t="str">
        <f>IFERROR(__xludf.DUMMYFUNCTION("GOOGLETRANSLATE(C4,""en"",""el"")"),"Ρυθμίσεις")</f>
        <v>Ρυθμίσεις</v>
      </c>
      <c r="I4" s="9" t="str">
        <f>IFERROR(__xludf.DUMMYFUNCTION("GOOGLETRANSLATE(C4,""en"",""es"")"),"Ajustes")</f>
        <v>Ajustes</v>
      </c>
      <c r="J4" s="9" t="str">
        <f>IFERROR(__xludf.DUMMYFUNCTION("GOOGLETRANSLATE(C4,""en"",""et"")"),"Seaded")</f>
        <v>Seaded</v>
      </c>
      <c r="K4" s="9" t="str">
        <f>IFERROR(__xludf.DUMMYFUNCTION("GOOGLETRANSLATE(C4,""en"",""fi"")"),"Asetukset")</f>
        <v>Asetukset</v>
      </c>
      <c r="L4" s="9" t="str">
        <f>IFERROR(__xludf.DUMMYFUNCTION("GOOGLETRANSLATE(C4,""en"",""fr"")"),"Paramètres")</f>
        <v>Paramètres</v>
      </c>
      <c r="M4" s="9" t="str">
        <f>IFERROR(__xludf.DUMMYFUNCTION("GOOGLETRANSLATE(C4,""en"",""hi"")"),"सेटिंग्स")</f>
        <v>सेटिंग्स</v>
      </c>
      <c r="N4" s="9" t="str">
        <f>IFERROR(__xludf.DUMMYFUNCTION("GOOGLETRANSLATE(C4,""en"",""id"")"),"Pengaturan")</f>
        <v>Pengaturan</v>
      </c>
      <c r="O4" s="9" t="str">
        <f>IFERROR(__xludf.DUMMYFUNCTION("GOOGLETRANSLATE(C4,""en"",""it"")"),"Impostazioni")</f>
        <v>Impostazioni</v>
      </c>
      <c r="P4" s="9" t="str">
        <f>IFERROR(__xludf.DUMMYFUNCTION("GOOGLETRANSLATE(C4,""en"",""ja"")"),"設定")</f>
        <v>設定</v>
      </c>
      <c r="Q4" s="9" t="str">
        <f>IFERROR(__xludf.DUMMYFUNCTION("GOOGLETRANSLATE(C4,""en"",""km"")"),"ការកំណត់")</f>
        <v>ការកំណត់</v>
      </c>
      <c r="R4" s="9" t="str">
        <f>IFERROR(__xludf.DUMMYFUNCTION("GOOGLETRANSLATE(C4,""en"",""kn"")"),"ಸೆಟ್ಟಿಂಗ್‌ಗಳು")</f>
        <v>ಸೆಟ್ಟಿಂಗ್‌ಗಳು</v>
      </c>
      <c r="S4" s="9" t="str">
        <f>IFERROR(__xludf.DUMMYFUNCTION("GOOGLETRANSLATE(C4,""en"",""ko"")"),"설정")</f>
        <v>설정</v>
      </c>
      <c r="T4" s="9" t="str">
        <f>IFERROR(__xludf.DUMMYFUNCTION("GOOGLETRANSLATE(C4,""en"",""lo"")"),"ການຕັ້ງຄ່າ")</f>
        <v>ການຕັ້ງຄ່າ</v>
      </c>
      <c r="U4" s="9" t="str">
        <f>IFERROR(__xludf.DUMMYFUNCTION("GOOGLETRANSLATE(C4,""en"",""lv"")"),"Iestatījumi")</f>
        <v>Iestatījumi</v>
      </c>
      <c r="V4" s="9" t="str">
        <f>IFERROR(__xludf.DUMMYFUNCTION("GOOGLETRANSLATE(C4,""en"",""ms"")"),"tetapan")</f>
        <v>tetapan</v>
      </c>
      <c r="W4" s="9" t="str">
        <f>IFERROR(__xludf.DUMMYFUNCTION("GOOGLETRANSLATE(C4,""en"",""nl"")"),"Instellingen")</f>
        <v>Instellingen</v>
      </c>
      <c r="X4" s="9" t="str">
        <f>IFERROR(__xludf.DUMMYFUNCTION("GOOGLETRANSLATE(C4,""en"",""pl"")"),"Ustawienia")</f>
        <v>Ustawienia</v>
      </c>
      <c r="Y4" s="9" t="str">
        <f>IFERROR(__xludf.DUMMYFUNCTION("GOOGLETRANSLATE(C4,""en"",""pt-PT"")"),"Configurações")</f>
        <v>Configurações</v>
      </c>
      <c r="Z4" s="9" t="str">
        <f>IFERROR(__xludf.DUMMYFUNCTION("GOOGLETRANSLATE(C4,""en"",""ru"")"),"Настройки")</f>
        <v>Настройки</v>
      </c>
      <c r="AA4" s="9" t="str">
        <f>IFERROR(__xludf.DUMMYFUNCTION("GOOGLETRANSLATE(C4,""en"",""th"")"),"การตั้งค่า")</f>
        <v>การตั้งค่า</v>
      </c>
      <c r="AB4" s="9" t="str">
        <f>IFERROR(__xludf.DUMMYFUNCTION("GOOGLETRANSLATE(C4,""en"",""tr"")"),"Ayarlar")</f>
        <v>Ayarlar</v>
      </c>
      <c r="AC4" s="9" t="str">
        <f>IFERROR(__xludf.DUMMYFUNCTION("GOOGLETRANSLATE(C4,""en"",""uk"")"),"Налаштування")</f>
        <v>Налаштування</v>
      </c>
      <c r="AD4" s="9" t="str">
        <f>IFERROR(__xludf.DUMMYFUNCTION("GOOGLETRANSLATE(C4,""en"",""zh-CN"")"),"设置")</f>
        <v>设置</v>
      </c>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row>
    <row r="5">
      <c r="A5" s="8" t="s">
        <v>37</v>
      </c>
      <c r="B5" s="8" t="s">
        <v>38</v>
      </c>
      <c r="C5" s="8" t="s">
        <v>39</v>
      </c>
      <c r="D5" s="10" t="str">
        <f>IFERROR(__xludf.DUMMYFUNCTION("GOOGLETRANSLATE(C5,""en"",""vi"")"),"Cân trái cây")</f>
        <v>Cân trái cây</v>
      </c>
      <c r="E5" s="10" t="str">
        <f>IFERROR(__xludf.DUMMYFUNCTION("GOOGLETRANSLATE(C5,""en"",""ar"")"),"وزن الفاكهة")</f>
        <v>وزن الفاكهة</v>
      </c>
      <c r="F5" s="10" t="str">
        <f>IFERROR(__xludf.DUMMYFUNCTION("GOOGLETRANSLATE(C5,""en"",""cs"")"),"Vážení ovoce")</f>
        <v>Vážení ovoce</v>
      </c>
      <c r="G5" s="10" t="str">
        <f>IFERROR(__xludf.DUMMYFUNCTION("GOOGLETRANSLATE(C5,""en"",""de"")"),"Obst wiegen")</f>
        <v>Obst wiegen</v>
      </c>
      <c r="H5" s="10" t="str">
        <f>IFERROR(__xludf.DUMMYFUNCTION("GOOGLETRANSLATE(C5,""en"",""el"")"),"Ζύγιση φρούτων")</f>
        <v>Ζύγιση φρούτων</v>
      </c>
      <c r="I5" s="10" t="str">
        <f>IFERROR(__xludf.DUMMYFUNCTION("GOOGLETRANSLATE(C5,""en"",""es"")"),"Pesaje de frutas")</f>
        <v>Pesaje de frutas</v>
      </c>
      <c r="J5" s="10" t="str">
        <f>IFERROR(__xludf.DUMMYFUNCTION("GOOGLETRANSLATE(C5,""en"",""et"")"),"Puuviljade kaalumine")</f>
        <v>Puuviljade kaalumine</v>
      </c>
      <c r="K5" s="10" t="str">
        <f>IFERROR(__xludf.DUMMYFUNCTION("GOOGLETRANSLATE(C5,""en"",""fi"")"),"Hedelmien punnitus")</f>
        <v>Hedelmien punnitus</v>
      </c>
      <c r="L5" s="10" t="str">
        <f>IFERROR(__xludf.DUMMYFUNCTION("GOOGLETRANSLATE(C5,""en"",""fr"")"),"Pesée des fruits")</f>
        <v>Pesée des fruits</v>
      </c>
      <c r="M5" s="10" t="str">
        <f>IFERROR(__xludf.DUMMYFUNCTION("GOOGLETRANSLATE(C5,""en"",""hi"")"),"फल तोलना")</f>
        <v>फल तोलना</v>
      </c>
      <c r="N5" s="10" t="str">
        <f>IFERROR(__xludf.DUMMYFUNCTION("GOOGLETRANSLATE(C5,""en"",""id"")"),"Penimbangan Buah")</f>
        <v>Penimbangan Buah</v>
      </c>
      <c r="O5" s="10" t="str">
        <f>IFERROR(__xludf.DUMMYFUNCTION("GOOGLETRANSLATE(C5,""en"",""it"")"),"Pesatura della frutta")</f>
        <v>Pesatura della frutta</v>
      </c>
      <c r="P5" s="10" t="str">
        <f>IFERROR(__xludf.DUMMYFUNCTION("GOOGLETRANSLATE(C5,""en"",""ja"")"),"果物の計量")</f>
        <v>果物の計量</v>
      </c>
      <c r="Q5" s="10" t="str">
        <f>IFERROR(__xludf.DUMMYFUNCTION("GOOGLETRANSLATE(C5,""en"",""km"")"),"ការថ្លឹងផ្លែឈើ")</f>
        <v>ការថ្លឹងផ្លែឈើ</v>
      </c>
      <c r="R5" s="10" t="str">
        <f>IFERROR(__xludf.DUMMYFUNCTION("GOOGLETRANSLATE(C5,""en"",""kn"")"),"ಹಣ್ಣಿನ ತೂಕ")</f>
        <v>ಹಣ್ಣಿನ ತೂಕ</v>
      </c>
      <c r="S5" s="10" t="str">
        <f>IFERROR(__xludf.DUMMYFUNCTION("GOOGLETRANSLATE(C5,""en"",""ko"")"),"과일 무게")</f>
        <v>과일 무게</v>
      </c>
      <c r="T5" s="10" t="str">
        <f>IFERROR(__xludf.DUMMYFUNCTION("GOOGLETRANSLATE(C5,""en"",""lo"")"),"ນ້ຳໜັກໝາກໄມ້")</f>
        <v>ນ້ຳໜັກໝາກໄມ້</v>
      </c>
      <c r="U5" s="10" t="str">
        <f>IFERROR(__xludf.DUMMYFUNCTION("GOOGLETRANSLATE(C5,""en"",""lv"")"),"Augļu svēršana")</f>
        <v>Augļu svēršana</v>
      </c>
      <c r="V5" s="10" t="str">
        <f>IFERROR(__xludf.DUMMYFUNCTION("GOOGLETRANSLATE(C5,""en"",""ms"")"),"Timbang Buah")</f>
        <v>Timbang Buah</v>
      </c>
      <c r="W5" s="10" t="str">
        <f>IFERROR(__xludf.DUMMYFUNCTION("GOOGLETRANSLATE(C5,""en"",""nl"")"),"Fruit wegen")</f>
        <v>Fruit wegen</v>
      </c>
      <c r="X5" s="10" t="str">
        <f>IFERROR(__xludf.DUMMYFUNCTION("GOOGLETRANSLATE(C5,""en"",""pl"")"),"Ważenie owoców")</f>
        <v>Ważenie owoców</v>
      </c>
      <c r="Y5" s="10" t="str">
        <f>IFERROR(__xludf.DUMMYFUNCTION("GOOGLETRANSLATE(C5,""en"",""pt-PT"")"),"Pesagem de frutas")</f>
        <v>Pesagem de frutas</v>
      </c>
      <c r="Z5" s="10" t="str">
        <f>IFERROR(__xludf.DUMMYFUNCTION("GOOGLETRANSLATE(C5,""en"",""ru"")"),"Взвешивание фруктов")</f>
        <v>Взвешивание фруктов</v>
      </c>
      <c r="AA5" s="10" t="str">
        <f>IFERROR(__xludf.DUMMYFUNCTION("GOOGLETRANSLATE(C5,""en"",""th"")"),"การชั่งน้ำหนักผลไม้")</f>
        <v>การชั่งน้ำหนักผลไม้</v>
      </c>
      <c r="AB5" s="10" t="str">
        <f>IFERROR(__xludf.DUMMYFUNCTION("GOOGLETRANSLATE(C5,""en"",""tr"")"),"Meyve Tartımı")</f>
        <v>Meyve Tartımı</v>
      </c>
      <c r="AC5" s="10" t="str">
        <f>IFERROR(__xludf.DUMMYFUNCTION("GOOGLETRANSLATE(C5,""en"",""uk"")"),"Зважування фруктів")</f>
        <v>Зважування фруктів</v>
      </c>
      <c r="AD5" s="10" t="str">
        <f>IFERROR(__xludf.DUMMYFUNCTION("GOOGLETRANSLATE(C5,""en"",""zh-CN"")"),"水果称重")</f>
        <v>水果称重</v>
      </c>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row>
    <row r="6">
      <c r="A6" s="6" t="s">
        <v>37</v>
      </c>
      <c r="B6" s="6" t="s">
        <v>40</v>
      </c>
      <c r="C6" s="12" t="s">
        <v>41</v>
      </c>
      <c r="D6" s="9" t="str">
        <f>IFERROR(__xludf.DUMMYFUNCTION("GOOGLETRANSLATE(C6,""en"",""vi"")"),"Bản tóm tắt")</f>
        <v>Bản tóm tắt</v>
      </c>
      <c r="E6" s="9" t="str">
        <f>IFERROR(__xludf.DUMMYFUNCTION("GOOGLETRANSLATE(C6,""en"",""ar"")"),"ملخص")</f>
        <v>ملخص</v>
      </c>
      <c r="F6" s="9" t="str">
        <f>IFERROR(__xludf.DUMMYFUNCTION("GOOGLETRANSLATE(C6,""en"",""cs"")"),"Shrnutí")</f>
        <v>Shrnutí</v>
      </c>
      <c r="G6" s="9" t="str">
        <f>IFERROR(__xludf.DUMMYFUNCTION("GOOGLETRANSLATE(C6,""en"",""de"")"),"Zusammenfassung")</f>
        <v>Zusammenfassung</v>
      </c>
      <c r="H6" s="9" t="str">
        <f>IFERROR(__xludf.DUMMYFUNCTION("GOOGLETRANSLATE(C6,""en"",""el"")"),"Περίληψη")</f>
        <v>Περίληψη</v>
      </c>
      <c r="I6" s="9" t="str">
        <f>IFERROR(__xludf.DUMMYFUNCTION("GOOGLETRANSLATE(C6,""en"",""es"")"),"Resumen")</f>
        <v>Resumen</v>
      </c>
      <c r="J6" s="9" t="str">
        <f>IFERROR(__xludf.DUMMYFUNCTION("GOOGLETRANSLATE(C6,""en"",""et"")"),"Kokkuvõte")</f>
        <v>Kokkuvõte</v>
      </c>
      <c r="K6" s="9" t="str">
        <f>IFERROR(__xludf.DUMMYFUNCTION("GOOGLETRANSLATE(C6,""en"",""fi"")"),"Yhteenveto")</f>
        <v>Yhteenveto</v>
      </c>
      <c r="L6" s="9" t="str">
        <f>IFERROR(__xludf.DUMMYFUNCTION("GOOGLETRANSLATE(C6,""en"",""fr"")"),"Résumé")</f>
        <v>Résumé</v>
      </c>
      <c r="M6" s="9" t="str">
        <f>IFERROR(__xludf.DUMMYFUNCTION("GOOGLETRANSLATE(C6,""en"",""hi"")"),"सारांश")</f>
        <v>सारांश</v>
      </c>
      <c r="N6" s="9" t="str">
        <f>IFERROR(__xludf.DUMMYFUNCTION("GOOGLETRANSLATE(C6,""en"",""id"")"),"Ringkasan")</f>
        <v>Ringkasan</v>
      </c>
      <c r="O6" s="9" t="str">
        <f>IFERROR(__xludf.DUMMYFUNCTION("GOOGLETRANSLATE(C6,""en"",""it"")"),"Riepilogo")</f>
        <v>Riepilogo</v>
      </c>
      <c r="P6" s="9" t="str">
        <f>IFERROR(__xludf.DUMMYFUNCTION("GOOGLETRANSLATE(C6,""en"",""ja"")"),"まとめ")</f>
        <v>まとめ</v>
      </c>
      <c r="Q6" s="9" t="str">
        <f>IFERROR(__xludf.DUMMYFUNCTION("GOOGLETRANSLATE(C6,""en"",""km"")"),"សង្ខេប")</f>
        <v>សង្ខេប</v>
      </c>
      <c r="R6" s="9" t="str">
        <f>IFERROR(__xludf.DUMMYFUNCTION("GOOGLETRANSLATE(C6,""en"",""kn"")"),"ಸಾರಾಂಶ")</f>
        <v>ಸಾರಾಂಶ</v>
      </c>
      <c r="S6" s="9" t="str">
        <f>IFERROR(__xludf.DUMMYFUNCTION("GOOGLETRANSLATE(C6,""en"",""ko"")"),"요약")</f>
        <v>요약</v>
      </c>
      <c r="T6" s="9" t="str">
        <f>IFERROR(__xludf.DUMMYFUNCTION("GOOGLETRANSLATE(C6,""en"",""lo"")"),"ສະຫຼຸບ")</f>
        <v>ສະຫຼຸບ</v>
      </c>
      <c r="U6" s="9" t="str">
        <f>IFERROR(__xludf.DUMMYFUNCTION("GOOGLETRANSLATE(C6,""en"",""lv"")"),"Kopsavilkums")</f>
        <v>Kopsavilkums</v>
      </c>
      <c r="V6" s="9" t="str">
        <f>IFERROR(__xludf.DUMMYFUNCTION("GOOGLETRANSLATE(C6,""en"",""ms"")"),"Ringkasan")</f>
        <v>Ringkasan</v>
      </c>
      <c r="W6" s="9" t="str">
        <f>IFERROR(__xludf.DUMMYFUNCTION("GOOGLETRANSLATE(C6,""en"",""nl"")"),"Samenvatting")</f>
        <v>Samenvatting</v>
      </c>
      <c r="X6" s="9" t="str">
        <f>IFERROR(__xludf.DUMMYFUNCTION("GOOGLETRANSLATE(C6,""en"",""pl"")"),"Streszczenie")</f>
        <v>Streszczenie</v>
      </c>
      <c r="Y6" s="9" t="str">
        <f>IFERROR(__xludf.DUMMYFUNCTION("GOOGLETRANSLATE(C6,""en"",""pt-PT"")"),"Resumo")</f>
        <v>Resumo</v>
      </c>
      <c r="Z6" s="9" t="str">
        <f>IFERROR(__xludf.DUMMYFUNCTION("GOOGLETRANSLATE(C6,""en"",""ru"")"),"Краткое содержание")</f>
        <v>Краткое содержание</v>
      </c>
      <c r="AA6" s="9" t="str">
        <f>IFERROR(__xludf.DUMMYFUNCTION("GOOGLETRANSLATE(C6,""en"",""th"")"),"สรุป")</f>
        <v>สรุป</v>
      </c>
      <c r="AB6" s="9" t="str">
        <f>IFERROR(__xludf.DUMMYFUNCTION("GOOGLETRANSLATE(C6,""en"",""tr"")"),"Özet")</f>
        <v>Özet</v>
      </c>
      <c r="AC6" s="9" t="str">
        <f>IFERROR(__xludf.DUMMYFUNCTION("GOOGLETRANSLATE(C6,""en"",""uk"")"),"Резюме")</f>
        <v>Резюме</v>
      </c>
      <c r="AD6" s="9" t="str">
        <f>IFERROR(__xludf.DUMMYFUNCTION("GOOGLETRANSLATE(C6,""en"",""zh-CN"")"),"概括")</f>
        <v>概括</v>
      </c>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row>
    <row r="7">
      <c r="A7" s="6" t="s">
        <v>37</v>
      </c>
      <c r="B7" s="6" t="s">
        <v>42</v>
      </c>
      <c r="C7" s="12" t="s">
        <v>43</v>
      </c>
      <c r="D7" s="9" t="str">
        <f>IFERROR(__xludf.DUMMYFUNCTION("GOOGLETRANSLATE(C7,""en"",""vi"")"),"Hàng hóa xuất khẩu")</f>
        <v>Hàng hóa xuất khẩu</v>
      </c>
      <c r="E7" s="9" t="str">
        <f>IFERROR(__xludf.DUMMYFUNCTION("GOOGLETRANSLATE(C7,""en"",""ar"")"),"تصدير البضائع")</f>
        <v>تصدير البضائع</v>
      </c>
      <c r="F7" s="9" t="str">
        <f>IFERROR(__xludf.DUMMYFUNCTION("GOOGLETRANSLATE(C7,""en"",""cs"")"),"Export zboží")</f>
        <v>Export zboží</v>
      </c>
      <c r="G7" s="9" t="str">
        <f>IFERROR(__xludf.DUMMYFUNCTION("GOOGLETRANSLATE(C7,""en"",""de"")"),"Waren exportieren")</f>
        <v>Waren exportieren</v>
      </c>
      <c r="H7" s="9" t="str">
        <f>IFERROR(__xludf.DUMMYFUNCTION("GOOGLETRANSLATE(C7,""en"",""el"")"),"Εξαγωγή αγαθών")</f>
        <v>Εξαγωγή αγαθών</v>
      </c>
      <c r="I7" s="9" t="str">
        <f>IFERROR(__xludf.DUMMYFUNCTION("GOOGLETRANSLATE(C7,""en"",""es"")"),"exportar bienes")</f>
        <v>exportar bienes</v>
      </c>
      <c r="J7" s="9" t="str">
        <f>IFERROR(__xludf.DUMMYFUNCTION("GOOGLETRANSLATE(C7,""en"",""et"")"),"Ekspordi kaupu")</f>
        <v>Ekspordi kaupu</v>
      </c>
      <c r="K7" s="9" t="str">
        <f>IFERROR(__xludf.DUMMYFUNCTION("GOOGLETRANSLATE(C7,""en"",""fi"")"),"Vie tavaroita")</f>
        <v>Vie tavaroita</v>
      </c>
      <c r="L7" s="9" t="str">
        <f>IFERROR(__xludf.DUMMYFUNCTION("GOOGLETRANSLATE(C7,""en"",""fr"")"),"Exporter des marchandises")</f>
        <v>Exporter des marchandises</v>
      </c>
      <c r="M7" s="9" t="str">
        <f>IFERROR(__xludf.DUMMYFUNCTION("GOOGLETRANSLATE(C7,""en"",""hi"")"),"माल निर्यात करें")</f>
        <v>माल निर्यात करें</v>
      </c>
      <c r="N7" s="9" t="str">
        <f>IFERROR(__xludf.DUMMYFUNCTION("GOOGLETRANSLATE(C7,""en"",""id"")"),"Ekspor barang")</f>
        <v>Ekspor barang</v>
      </c>
      <c r="O7" s="9" t="str">
        <f>IFERROR(__xludf.DUMMYFUNCTION("GOOGLETRANSLATE(C7,""en"",""it"")"),"Esportare merci")</f>
        <v>Esportare merci</v>
      </c>
      <c r="P7" s="9" t="str">
        <f>IFERROR(__xludf.DUMMYFUNCTION("GOOGLETRANSLATE(C7,""en"",""ja"")"),"輸出品")</f>
        <v>輸出品</v>
      </c>
      <c r="Q7" s="9" t="str">
        <f>IFERROR(__xludf.DUMMYFUNCTION("GOOGLETRANSLATE(C7,""en"",""km"")"),"ទំនិញនាំចេញ")</f>
        <v>ទំនិញនាំចេញ</v>
      </c>
      <c r="R7" s="9" t="str">
        <f>IFERROR(__xludf.DUMMYFUNCTION("GOOGLETRANSLATE(C7,""en"",""kn"")"),"ಸರಕುಗಳನ್ನು ರಫ್ತು ಮಾಡಿ")</f>
        <v>ಸರಕುಗಳನ್ನು ರಫ್ತು ಮಾಡಿ</v>
      </c>
      <c r="S7" s="9" t="str">
        <f>IFERROR(__xludf.DUMMYFUNCTION("GOOGLETRANSLATE(C7,""en"",""ko"")"),"수출품")</f>
        <v>수출품</v>
      </c>
      <c r="T7" s="9" t="str">
        <f>IFERROR(__xludf.DUMMYFUNCTION("GOOGLETRANSLATE(C7,""en"",""lo"")"),"ສິນຄ້າສົ່ງອອກ")</f>
        <v>ສິນຄ້າສົ່ງອອກ</v>
      </c>
      <c r="U7" s="9" t="str">
        <f>IFERROR(__xludf.DUMMYFUNCTION("GOOGLETRANSLATE(C7,""en"",""lv"")"),"Eksportēt preces")</f>
        <v>Eksportēt preces</v>
      </c>
      <c r="V7" s="9" t="str">
        <f>IFERROR(__xludf.DUMMYFUNCTION("GOOGLETRANSLATE(C7,""en"",""ms"")"),"Barang eksport")</f>
        <v>Barang eksport</v>
      </c>
      <c r="W7" s="9" t="str">
        <f>IFERROR(__xludf.DUMMYFUNCTION("GOOGLETRANSLATE(C7,""en"",""nl"")"),"Goederen exporteren")</f>
        <v>Goederen exporteren</v>
      </c>
      <c r="X7" s="9" t="str">
        <f>IFERROR(__xludf.DUMMYFUNCTION("GOOGLETRANSLATE(C7,""en"",""pl"")"),"Eksportuj towary")</f>
        <v>Eksportuj towary</v>
      </c>
      <c r="Y7" s="9" t="str">
        <f>IFERROR(__xludf.DUMMYFUNCTION("GOOGLETRANSLATE(C7,""en"",""pt-PT"")"),"Exportar mercadorias")</f>
        <v>Exportar mercadorias</v>
      </c>
      <c r="Z7" s="9" t="str">
        <f>IFERROR(__xludf.DUMMYFUNCTION("GOOGLETRANSLATE(C7,""en"",""ru"")"),"Экспортные товары")</f>
        <v>Экспортные товары</v>
      </c>
      <c r="AA7" s="9" t="str">
        <f>IFERROR(__xludf.DUMMYFUNCTION("GOOGLETRANSLATE(C7,""en"",""th"")"),"สินค้าส่งออก")</f>
        <v>สินค้าส่งออก</v>
      </c>
      <c r="AB7" s="9" t="str">
        <f>IFERROR(__xludf.DUMMYFUNCTION("GOOGLETRANSLATE(C7,""en"",""tr"")"),"İhracat malları")</f>
        <v>İhracat malları</v>
      </c>
      <c r="AC7" s="9" t="str">
        <f>IFERROR(__xludf.DUMMYFUNCTION("GOOGLETRANSLATE(C7,""en"",""uk"")"),"Експортні товари")</f>
        <v>Експортні товари</v>
      </c>
      <c r="AD7" s="9" t="str">
        <f>IFERROR(__xludf.DUMMYFUNCTION("GOOGLETRANSLATE(C7,""en"",""zh-CN"")"),"出口商品")</f>
        <v>出口商品</v>
      </c>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row>
    <row r="8">
      <c r="A8" s="6" t="s">
        <v>37</v>
      </c>
      <c r="B8" s="6" t="s">
        <v>44</v>
      </c>
      <c r="C8" s="12" t="s">
        <v>45</v>
      </c>
      <c r="D8" s="9" t="str">
        <f>IFERROR(__xludf.DUMMYFUNCTION("GOOGLETRANSLATE(C8,""en"",""vi"")"),"Hàng lỗi")</f>
        <v>Hàng lỗi</v>
      </c>
      <c r="E8" s="9" t="str">
        <f>IFERROR(__xludf.DUMMYFUNCTION("GOOGLETRANSLATE(C8,""en"",""ar"")"),"البضائع المعيبة")</f>
        <v>البضائع المعيبة</v>
      </c>
      <c r="F8" s="9" t="str">
        <f>IFERROR(__xludf.DUMMYFUNCTION("GOOGLETRANSLATE(C8,""en"",""cs"")"),"Vadné zboží")</f>
        <v>Vadné zboží</v>
      </c>
      <c r="G8" s="9" t="str">
        <f>IFERROR(__xludf.DUMMYFUNCTION("GOOGLETRANSLATE(C8,""en"",""de"")"),"Defekte Ware")</f>
        <v>Defekte Ware</v>
      </c>
      <c r="H8" s="9" t="str">
        <f>IFERROR(__xludf.DUMMYFUNCTION("GOOGLETRANSLATE(C8,""en"",""el"")"),"Ελαττωματικά εμπορεύματα")</f>
        <v>Ελαττωματικά εμπορεύματα</v>
      </c>
      <c r="I8" s="9" t="str">
        <f>IFERROR(__xludf.DUMMYFUNCTION("GOOGLETRANSLATE(C8,""en"",""es"")"),"Mercancías defectuosas")</f>
        <v>Mercancías defectuosas</v>
      </c>
      <c r="J8" s="9" t="str">
        <f>IFERROR(__xludf.DUMMYFUNCTION("GOOGLETRANSLATE(C8,""en"",""et"")"),"Defektiga kaup")</f>
        <v>Defektiga kaup</v>
      </c>
      <c r="K8" s="9" t="str">
        <f>IFERROR(__xludf.DUMMYFUNCTION("GOOGLETRANSLATE(C8,""en"",""fi"")"),"Viallinen tavara")</f>
        <v>Viallinen tavara</v>
      </c>
      <c r="L8" s="9" t="str">
        <f>IFERROR(__xludf.DUMMYFUNCTION("GOOGLETRANSLATE(C8,""en"",""fr"")"),"Marchandises défectueuses")</f>
        <v>Marchandises défectueuses</v>
      </c>
      <c r="M8" s="9" t="str">
        <f>IFERROR(__xludf.DUMMYFUNCTION("GOOGLETRANSLATE(C8,""en"",""hi"")"),"दोषपूर्ण माल")</f>
        <v>दोषपूर्ण माल</v>
      </c>
      <c r="N8" s="9" t="str">
        <f>IFERROR(__xludf.DUMMYFUNCTION("GOOGLETRANSLATE(C8,""en"",""id"")"),"Barang cacat")</f>
        <v>Barang cacat</v>
      </c>
      <c r="O8" s="9" t="str">
        <f>IFERROR(__xludf.DUMMYFUNCTION("GOOGLETRANSLATE(C8,""en"",""it"")"),"Merce difettosa")</f>
        <v>Merce difettosa</v>
      </c>
      <c r="P8" s="9" t="str">
        <f>IFERROR(__xludf.DUMMYFUNCTION("GOOGLETRANSLATE(C8,""en"",""ja"")"),"不良品")</f>
        <v>不良品</v>
      </c>
      <c r="Q8" s="9" t="str">
        <f>IFERROR(__xludf.DUMMYFUNCTION("GOOGLETRANSLATE(C8,""en"",""km"")"),"ទំនិញខូច")</f>
        <v>ទំនិញខូច</v>
      </c>
      <c r="R8" s="9" t="str">
        <f>IFERROR(__xludf.DUMMYFUNCTION("GOOGLETRANSLATE(C8,""en"",""kn"")"),"ದೋಷಯುಕ್ತ ಸರಕುಗಳು")</f>
        <v>ದೋಷಯುಕ್ತ ಸರಕುಗಳು</v>
      </c>
      <c r="S8" s="9" t="str">
        <f>IFERROR(__xludf.DUMMYFUNCTION("GOOGLETRANSLATE(C8,""en"",""ko"")"),"불량품")</f>
        <v>불량품</v>
      </c>
      <c r="T8" s="9" t="str">
        <f>IFERROR(__xludf.DUMMYFUNCTION("GOOGLETRANSLATE(C8,""en"",""lo"")"),"ສິນຄ້າຜິດປົກກະຕິ")</f>
        <v>ສິນຄ້າຜິດປົກກະຕິ</v>
      </c>
      <c r="U8" s="9" t="str">
        <f>IFERROR(__xludf.DUMMYFUNCTION("GOOGLETRANSLATE(C8,""en"",""lv"")"),"Bojātas preces")</f>
        <v>Bojātas preces</v>
      </c>
      <c r="V8" s="9" t="str">
        <f>IFERROR(__xludf.DUMMYFUNCTION("GOOGLETRANSLATE(C8,""en"",""ms"")"),"Barang rosak")</f>
        <v>Barang rosak</v>
      </c>
      <c r="W8" s="9" t="str">
        <f>IFERROR(__xludf.DUMMYFUNCTION("GOOGLETRANSLATE(C8,""en"",""nl"")"),"Defecte goederen")</f>
        <v>Defecte goederen</v>
      </c>
      <c r="X8" s="9" t="str">
        <f>IFERROR(__xludf.DUMMYFUNCTION("GOOGLETRANSLATE(C8,""en"",""pl"")"),"Towar wadliwy")</f>
        <v>Towar wadliwy</v>
      </c>
      <c r="Y8" s="9" t="str">
        <f>IFERROR(__xludf.DUMMYFUNCTION("GOOGLETRANSLATE(C8,""en"",""pt-PT"")"),"Mercadorias defeituosas")</f>
        <v>Mercadorias defeituosas</v>
      </c>
      <c r="Z8" s="9" t="str">
        <f>IFERROR(__xludf.DUMMYFUNCTION("GOOGLETRANSLATE(C8,""en"",""ru"")"),"Дефектный товар")</f>
        <v>Дефектный товар</v>
      </c>
      <c r="AA8" s="9" t="str">
        <f>IFERROR(__xludf.DUMMYFUNCTION("GOOGLETRANSLATE(C8,""en"",""th"")"),"สินค้ามีตำหนิ")</f>
        <v>สินค้ามีตำหนิ</v>
      </c>
      <c r="AB8" s="9" t="str">
        <f>IFERROR(__xludf.DUMMYFUNCTION("GOOGLETRANSLATE(C8,""en"",""tr"")"),"Arızalı mallar")</f>
        <v>Arızalı mallar</v>
      </c>
      <c r="AC8" s="9" t="str">
        <f>IFERROR(__xludf.DUMMYFUNCTION("GOOGLETRANSLATE(C8,""en"",""uk"")"),"Бракований товар")</f>
        <v>Бракований товар</v>
      </c>
      <c r="AD8" s="9" t="str">
        <f>IFERROR(__xludf.DUMMYFUNCTION("GOOGLETRANSLATE(C8,""en"",""zh-CN"")"),"不良品")</f>
        <v>不良品</v>
      </c>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row>
    <row r="9">
      <c r="A9" s="6" t="s">
        <v>37</v>
      </c>
      <c r="B9" s="6" t="s">
        <v>46</v>
      </c>
      <c r="C9" s="12" t="s">
        <v>47</v>
      </c>
      <c r="D9" s="9" t="str">
        <f>IFERROR(__xludf.DUMMYFUNCTION("GOOGLETRANSLATE(C9,""en"",""vi"")"),"Hàng rời")</f>
        <v>Hàng rời</v>
      </c>
      <c r="E9" s="9" t="str">
        <f>IFERROR(__xludf.DUMMYFUNCTION("GOOGLETRANSLATE(C9,""en"",""ar"")"),"البضائع السائبة")</f>
        <v>البضائع السائبة</v>
      </c>
      <c r="F9" s="9" t="str">
        <f>IFERROR(__xludf.DUMMYFUNCTION("GOOGLETRANSLATE(C9,""en"",""cs"")"),"Hromadné zboží")</f>
        <v>Hromadné zboží</v>
      </c>
      <c r="G9" s="9" t="str">
        <f>IFERROR(__xludf.DUMMYFUNCTION("GOOGLETRANSLATE(C9,""en"",""de"")"),"Massenware")</f>
        <v>Massenware</v>
      </c>
      <c r="H9" s="9" t="str">
        <f>IFERROR(__xludf.DUMMYFUNCTION("GOOGLETRANSLATE(C9,""en"",""el"")"),"Εμπορεύματα χύμα")</f>
        <v>Εμπορεύματα χύμα</v>
      </c>
      <c r="I9" s="9" t="str">
        <f>IFERROR(__xludf.DUMMYFUNCTION("GOOGLETRANSLATE(C9,""en"",""es"")"),"Productos a granel")</f>
        <v>Productos a granel</v>
      </c>
      <c r="J9" s="9" t="str">
        <f>IFERROR(__xludf.DUMMYFUNCTION("GOOGLETRANSLATE(C9,""en"",""et"")"),"Puistekaubad")</f>
        <v>Puistekaubad</v>
      </c>
      <c r="K9" s="9" t="str">
        <f>IFERROR(__xludf.DUMMYFUNCTION("GOOGLETRANSLATE(C9,""en"",""fi"")"),"Irtotavarat")</f>
        <v>Irtotavarat</v>
      </c>
      <c r="L9" s="9" t="str">
        <f>IFERROR(__xludf.DUMMYFUNCTION("GOOGLETRANSLATE(C9,""en"",""fr"")"),"Marchandises en vrac")</f>
        <v>Marchandises en vrac</v>
      </c>
      <c r="M9" s="9" t="str">
        <f>IFERROR(__xludf.DUMMYFUNCTION("GOOGLETRANSLATE(C9,""en"",""hi"")"),"थोक माल")</f>
        <v>थोक माल</v>
      </c>
      <c r="N9" s="9" t="str">
        <f>IFERROR(__xludf.DUMMYFUNCTION("GOOGLETRANSLATE(C9,""en"",""id"")"),"Barang massal")</f>
        <v>Barang massal</v>
      </c>
      <c r="O9" s="9" t="str">
        <f>IFERROR(__xludf.DUMMYFUNCTION("GOOGLETRANSLATE(C9,""en"",""it"")"),"Merci sfuse")</f>
        <v>Merci sfuse</v>
      </c>
      <c r="P9" s="9" t="str">
        <f>IFERROR(__xludf.DUMMYFUNCTION("GOOGLETRANSLATE(C9,""en"",""ja"")"),"バルク品")</f>
        <v>バルク品</v>
      </c>
      <c r="Q9" s="9" t="str">
        <f>IFERROR(__xludf.DUMMYFUNCTION("GOOGLETRANSLATE(C9,""en"",""km"")"),"ទំនិញច្រើន។")</f>
        <v>ទំនិញច្រើន។</v>
      </c>
      <c r="R9" s="9" t="str">
        <f>IFERROR(__xludf.DUMMYFUNCTION("GOOGLETRANSLATE(C9,""en"",""kn"")"),"ಬೃಹತ್ ಸರಕುಗಳು")</f>
        <v>ಬೃಹತ್ ಸರಕುಗಳು</v>
      </c>
      <c r="S9" s="9" t="str">
        <f>IFERROR(__xludf.DUMMYFUNCTION("GOOGLETRANSLATE(C9,""en"",""ko"")"),"벌크상품")</f>
        <v>벌크상품</v>
      </c>
      <c r="T9" s="9" t="str">
        <f>IFERROR(__xludf.DUMMYFUNCTION("GOOGLETRANSLATE(C9,""en"",""lo"")"),"ສິນຄ້າຫຼາຍ")</f>
        <v>ສິນຄ້າຫຼາຍ</v>
      </c>
      <c r="U9" s="9" t="str">
        <f>IFERROR(__xludf.DUMMYFUNCTION("GOOGLETRANSLATE(C9,""en"",""lv"")"),"Lielapjoma preces")</f>
        <v>Lielapjoma preces</v>
      </c>
      <c r="V9" s="9" t="str">
        <f>IFERROR(__xludf.DUMMYFUNCTION("GOOGLETRANSLATE(C9,""en"",""ms"")"),"Barang pukal")</f>
        <v>Barang pukal</v>
      </c>
      <c r="W9" s="9" t="str">
        <f>IFERROR(__xludf.DUMMYFUNCTION("GOOGLETRANSLATE(C9,""en"",""nl"")"),"Bulkgoederen")</f>
        <v>Bulkgoederen</v>
      </c>
      <c r="X9" s="9" t="str">
        <f>IFERROR(__xludf.DUMMYFUNCTION("GOOGLETRANSLATE(C9,""en"",""pl"")"),"Towary masowe")</f>
        <v>Towary masowe</v>
      </c>
      <c r="Y9" s="9" t="str">
        <f>IFERROR(__xludf.DUMMYFUNCTION("GOOGLETRANSLATE(C9,""en"",""pt-PT"")"),"Mercadorias a granel")</f>
        <v>Mercadorias a granel</v>
      </c>
      <c r="Z9" s="9" t="str">
        <f>IFERROR(__xludf.DUMMYFUNCTION("GOOGLETRANSLATE(C9,""en"",""ru"")"),"Массовые товары")</f>
        <v>Массовые товары</v>
      </c>
      <c r="AA9" s="9" t="str">
        <f>IFERROR(__xludf.DUMMYFUNCTION("GOOGLETRANSLATE(C9,""en"",""th"")"),"สินค้าเทกอง")</f>
        <v>สินค้าเทกอง</v>
      </c>
      <c r="AB9" s="9" t="str">
        <f>IFERROR(__xludf.DUMMYFUNCTION("GOOGLETRANSLATE(C9,""en"",""tr"")"),"Toplu mallar")</f>
        <v>Toplu mallar</v>
      </c>
      <c r="AC9" s="9" t="str">
        <f>IFERROR(__xludf.DUMMYFUNCTION("GOOGLETRANSLATE(C9,""en"",""uk"")"),"Масові товари")</f>
        <v>Масові товари</v>
      </c>
      <c r="AD9" s="9" t="str">
        <f>IFERROR(__xludf.DUMMYFUNCTION("GOOGLETRANSLATE(C9,""en"",""zh-CN"")"),"大宗货物")</f>
        <v>大宗货物</v>
      </c>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row>
    <row r="10">
      <c r="A10" s="6"/>
      <c r="B10" s="6"/>
      <c r="C10" s="6"/>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row>
    <row r="11">
      <c r="A11" s="6"/>
      <c r="B11" s="6"/>
      <c r="C11" s="6"/>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row>
    <row r="12">
      <c r="A12" s="6"/>
      <c r="B12" s="6"/>
      <c r="C12" s="6"/>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row>
    <row r="13">
      <c r="A13" s="6"/>
      <c r="B13" s="6"/>
      <c r="C13" s="6"/>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row>
    <row r="14">
      <c r="A14" s="6"/>
      <c r="B14" s="6"/>
      <c r="C14" s="6"/>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row>
    <row r="15">
      <c r="A15" s="6"/>
      <c r="B15" s="6"/>
      <c r="C15" s="6"/>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row>
    <row r="16">
      <c r="A16" s="6"/>
      <c r="B16" s="6"/>
      <c r="C16" s="6"/>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row>
    <row r="17">
      <c r="A17" s="6"/>
      <c r="B17" s="6"/>
      <c r="C17" s="6"/>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row>
    <row r="18">
      <c r="A18" s="6"/>
      <c r="B18" s="6"/>
      <c r="C18" s="6"/>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row>
    <row r="19">
      <c r="A19" s="6"/>
      <c r="B19" s="6"/>
      <c r="C19" s="6"/>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row>
    <row r="20">
      <c r="A20" s="6"/>
      <c r="B20" s="6"/>
      <c r="C20" s="6"/>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row>
    <row r="21">
      <c r="A21" s="6"/>
      <c r="B21" s="6"/>
      <c r="C21" s="6"/>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row>
    <row r="22">
      <c r="A22" s="6"/>
      <c r="B22" s="6"/>
      <c r="C22" s="6"/>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row>
    <row r="23">
      <c r="A23" s="6"/>
      <c r="B23" s="6"/>
      <c r="C23" s="6"/>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row>
    <row r="24">
      <c r="A24" s="6"/>
      <c r="B24" s="6"/>
      <c r="C24" s="6"/>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row>
    <row r="25">
      <c r="A25" s="6"/>
      <c r="B25" s="6"/>
      <c r="C25" s="6"/>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row>
    <row r="26">
      <c r="A26" s="6"/>
      <c r="B26" s="6"/>
      <c r="C26" s="6"/>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row>
    <row r="27">
      <c r="A27" s="6"/>
      <c r="B27" s="6"/>
      <c r="C27" s="6"/>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row>
    <row r="28">
      <c r="A28" s="6"/>
      <c r="B28" s="6"/>
      <c r="C28" s="6"/>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row>
    <row r="29">
      <c r="A29" s="6"/>
      <c r="B29" s="6"/>
      <c r="C29" s="6"/>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row>
    <row r="30">
      <c r="A30" s="6"/>
      <c r="B30" s="6"/>
      <c r="C30" s="6"/>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row>
    <row r="31">
      <c r="A31" s="6"/>
      <c r="B31" s="6"/>
      <c r="C31" s="6"/>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row>
    <row r="32">
      <c r="A32" s="6"/>
      <c r="B32" s="6"/>
      <c r="C32" s="6"/>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row>
    <row r="33">
      <c r="A33" s="6"/>
      <c r="B33" s="6"/>
      <c r="C33" s="6"/>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row>
    <row r="34">
      <c r="A34" s="6"/>
      <c r="B34" s="6"/>
      <c r="C34" s="6"/>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row>
    <row r="35">
      <c r="A35" s="6"/>
      <c r="B35" s="6"/>
      <c r="C35" s="6"/>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row>
    <row r="36">
      <c r="A36" s="6"/>
      <c r="B36" s="6"/>
      <c r="C36" s="6"/>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row>
    <row r="37">
      <c r="A37" s="6"/>
      <c r="B37" s="6"/>
      <c r="C37" s="6"/>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row>
    <row r="38">
      <c r="A38" s="6"/>
      <c r="B38" s="6"/>
      <c r="C38" s="6"/>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row>
    <row r="39">
      <c r="A39" s="6"/>
      <c r="B39" s="6"/>
      <c r="C39" s="6"/>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row>
    <row r="40">
      <c r="A40" s="6"/>
      <c r="B40" s="6"/>
      <c r="C40" s="6"/>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row>
    <row r="41">
      <c r="A41" s="6"/>
      <c r="B41" s="6"/>
      <c r="C41" s="6"/>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row>
    <row r="42">
      <c r="A42" s="6"/>
      <c r="B42" s="6"/>
      <c r="C42" s="6"/>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row>
    <row r="43">
      <c r="A43" s="6"/>
      <c r="B43" s="6"/>
      <c r="C43" s="6"/>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row>
    <row r="44">
      <c r="A44" s="6"/>
      <c r="B44" s="6"/>
      <c r="C44" s="6"/>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row>
    <row r="45">
      <c r="A45" s="6"/>
      <c r="B45" s="6"/>
      <c r="C45" s="6"/>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row>
    <row r="46">
      <c r="A46" s="6"/>
      <c r="B46" s="6"/>
      <c r="C46" s="6"/>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row>
    <row r="47">
      <c r="A47" s="6"/>
      <c r="B47" s="6"/>
      <c r="C47" s="6"/>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row>
    <row r="48">
      <c r="A48" s="6"/>
      <c r="B48" s="6"/>
      <c r="C48" s="6"/>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row>
    <row r="49">
      <c r="A49" s="6"/>
      <c r="B49" s="6"/>
      <c r="C49" s="6"/>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row>
    <row r="50">
      <c r="A50" s="6"/>
      <c r="B50" s="6"/>
      <c r="C50" s="6"/>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row>
    <row r="51">
      <c r="A51" s="6"/>
      <c r="B51" s="6"/>
      <c r="C51" s="6"/>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row>
    <row r="52">
      <c r="A52" s="6"/>
      <c r="B52" s="6"/>
      <c r="C52" s="6"/>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row>
    <row r="53">
      <c r="A53" s="6"/>
      <c r="B53" s="6"/>
      <c r="C53" s="6"/>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row>
    <row r="54">
      <c r="A54" s="6"/>
      <c r="B54" s="6"/>
      <c r="C54" s="6"/>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row>
    <row r="55">
      <c r="A55" s="6"/>
      <c r="B55" s="6"/>
      <c r="C55" s="6"/>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row>
    <row r="56">
      <c r="A56" s="6"/>
      <c r="B56" s="6"/>
      <c r="C56" s="6"/>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row>
    <row r="57">
      <c r="A57" s="6"/>
      <c r="B57" s="6"/>
      <c r="C57" s="6"/>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row>
    <row r="58">
      <c r="A58" s="6"/>
      <c r="B58" s="6"/>
      <c r="C58" s="6"/>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row>
    <row r="59">
      <c r="A59" s="6"/>
      <c r="B59" s="6"/>
      <c r="C59" s="6"/>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row>
    <row r="60">
      <c r="A60" s="6"/>
      <c r="B60" s="6"/>
      <c r="C60" s="6"/>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row>
    <row r="61">
      <c r="A61" s="6"/>
      <c r="B61" s="6"/>
      <c r="C61" s="6"/>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row>
    <row r="62">
      <c r="A62" s="6"/>
      <c r="B62" s="6"/>
      <c r="C62" s="6"/>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row>
    <row r="63">
      <c r="A63" s="6"/>
      <c r="B63" s="6"/>
      <c r="C63" s="6"/>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row>
    <row r="64">
      <c r="A64" s="6"/>
      <c r="B64" s="6"/>
      <c r="C64" s="6"/>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row>
    <row r="65">
      <c r="A65" s="6"/>
      <c r="B65" s="6"/>
      <c r="C65" s="6"/>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row>
    <row r="66">
      <c r="A66" s="6"/>
      <c r="B66" s="6"/>
      <c r="C66" s="6"/>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row>
    <row r="67">
      <c r="A67" s="6"/>
      <c r="B67" s="6"/>
      <c r="C67" s="6"/>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row>
    <row r="68">
      <c r="A68" s="6"/>
      <c r="B68" s="6"/>
      <c r="C68" s="6"/>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row>
    <row r="69">
      <c r="A69" s="6"/>
      <c r="B69" s="6"/>
      <c r="C69" s="6"/>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row>
    <row r="70">
      <c r="A70" s="6"/>
      <c r="B70" s="6"/>
      <c r="C70" s="6"/>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row>
    <row r="71">
      <c r="A71" s="6"/>
      <c r="B71" s="6"/>
      <c r="C71" s="6"/>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row>
    <row r="72">
      <c r="A72" s="6"/>
      <c r="B72" s="6"/>
      <c r="C72" s="6"/>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row>
    <row r="73">
      <c r="A73" s="13"/>
      <c r="B73" s="14"/>
      <c r="C73" s="14"/>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row>
    <row r="74">
      <c r="A74" s="13"/>
      <c r="B74" s="14"/>
      <c r="C74" s="14"/>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row>
    <row r="75">
      <c r="A75" s="13"/>
      <c r="B75" s="14"/>
      <c r="C75" s="14"/>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row>
    <row r="76">
      <c r="A76" s="13"/>
      <c r="B76" s="14"/>
      <c r="C76" s="14"/>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row>
    <row r="77">
      <c r="A77" s="13"/>
      <c r="B77" s="14"/>
      <c r="C77" s="14"/>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row>
    <row r="78">
      <c r="A78" s="13"/>
      <c r="B78" s="14"/>
      <c r="C78" s="14"/>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row>
    <row r="79">
      <c r="A79" s="13"/>
      <c r="B79" s="14"/>
      <c r="C79" s="14"/>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row>
    <row r="80">
      <c r="A80" s="13"/>
      <c r="B80" s="14"/>
      <c r="C80" s="14"/>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row>
    <row r="81">
      <c r="A81" s="13"/>
      <c r="B81" s="14"/>
      <c r="C81" s="14"/>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row>
    <row r="82">
      <c r="A82" s="13"/>
      <c r="B82" s="14"/>
      <c r="C82" s="14"/>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row>
    <row r="83">
      <c r="A83" s="13"/>
      <c r="B83" s="14"/>
      <c r="C83" s="14"/>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row>
    <row r="84">
      <c r="A84" s="13"/>
      <c r="B84" s="14"/>
      <c r="C84" s="14"/>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row>
    <row r="85">
      <c r="A85" s="13"/>
      <c r="B85" s="14"/>
      <c r="C85" s="14"/>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row>
    <row r="86">
      <c r="A86" s="13"/>
      <c r="B86" s="14"/>
      <c r="C86" s="14"/>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row>
    <row r="87">
      <c r="A87" s="13"/>
      <c r="B87" s="14"/>
      <c r="C87" s="14"/>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row>
    <row r="88">
      <c r="A88" s="13"/>
      <c r="B88" s="14"/>
      <c r="C88" s="14"/>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row>
    <row r="89">
      <c r="A89" s="13"/>
      <c r="B89" s="14"/>
      <c r="C89" s="14"/>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row>
    <row r="90">
      <c r="A90" s="13"/>
      <c r="B90" s="14"/>
      <c r="C90" s="14"/>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row>
    <row r="91">
      <c r="A91" s="13"/>
      <c r="B91" s="14"/>
      <c r="C91" s="14"/>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row>
    <row r="92">
      <c r="A92" s="13"/>
      <c r="B92" s="14"/>
      <c r="C92" s="14"/>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row>
    <row r="93">
      <c r="A93" s="13"/>
      <c r="B93" s="14"/>
      <c r="C93" s="14"/>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row>
    <row r="94">
      <c r="A94" s="13"/>
      <c r="B94" s="14"/>
      <c r="C94" s="14"/>
      <c r="D94" s="9"/>
      <c r="E94" s="9"/>
      <c r="F94" s="9"/>
      <c r="G94" s="9"/>
      <c r="H94" s="9"/>
      <c r="I94" s="9"/>
      <c r="J94" s="9"/>
      <c r="K94" s="9"/>
      <c r="L94" s="9"/>
      <c r="M94" s="9"/>
      <c r="N94" s="9"/>
      <c r="O94" s="9"/>
      <c r="P94" s="9"/>
      <c r="Q94" s="9"/>
      <c r="R94" s="9"/>
      <c r="S94" s="9"/>
      <c r="T94" s="9"/>
      <c r="U94" s="9"/>
      <c r="V94" s="9"/>
      <c r="W94" s="9"/>
      <c r="X94" s="9"/>
      <c r="Y94" s="9"/>
      <c r="Z94" s="9"/>
      <c r="AA94" s="9"/>
      <c r="AB94" s="9"/>
      <c r="AC94" s="9"/>
      <c r="AD94" s="1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row>
    <row r="95">
      <c r="A95" s="13"/>
      <c r="B95" s="14"/>
      <c r="C95" s="14"/>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row>
    <row r="96">
      <c r="A96" s="13"/>
      <c r="B96" s="14"/>
      <c r="C96" s="14"/>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row>
    <row r="97">
      <c r="A97" s="13"/>
      <c r="B97" s="14"/>
      <c r="C97" s="14"/>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row>
    <row r="98">
      <c r="A98" s="13"/>
      <c r="B98" s="14"/>
      <c r="C98" s="14"/>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row>
    <row r="99">
      <c r="A99" s="13"/>
      <c r="B99" s="14"/>
      <c r="C99" s="14"/>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row>
    <row r="100">
      <c r="A100" s="13"/>
      <c r="B100" s="14"/>
      <c r="C100" s="14"/>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row>
    <row r="101">
      <c r="A101" s="13"/>
      <c r="B101" s="14"/>
      <c r="C101" s="14"/>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row>
    <row r="102">
      <c r="A102" s="13"/>
      <c r="B102" s="14"/>
      <c r="C102" s="14"/>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row>
    <row r="103">
      <c r="A103" s="13"/>
      <c r="B103" s="14"/>
      <c r="C103" s="14"/>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row>
    <row r="104">
      <c r="A104" s="13"/>
      <c r="B104" s="14"/>
      <c r="C104" s="14"/>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row>
    <row r="105">
      <c r="A105" s="13"/>
      <c r="B105" s="14"/>
      <c r="C105" s="14"/>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row>
    <row r="106">
      <c r="A106" s="13"/>
      <c r="B106" s="14"/>
      <c r="C106" s="14"/>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row>
    <row r="107">
      <c r="A107" s="13"/>
      <c r="B107" s="14"/>
      <c r="C107" s="14"/>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row>
    <row r="108">
      <c r="A108" s="16"/>
      <c r="B108" s="17"/>
      <c r="C108" s="17"/>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row>
    <row r="109">
      <c r="A109" s="16"/>
      <c r="B109" s="17"/>
      <c r="C109" s="17"/>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row>
    <row r="110">
      <c r="A110" s="16"/>
      <c r="B110" s="17"/>
      <c r="C110" s="17"/>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row>
    <row r="111">
      <c r="A111" s="16"/>
      <c r="B111" s="17"/>
      <c r="C111" s="17"/>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row>
    <row r="112">
      <c r="A112" s="16"/>
      <c r="B112" s="17"/>
      <c r="C112" s="17"/>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row>
    <row r="113">
      <c r="A113" s="16"/>
      <c r="B113" s="17"/>
      <c r="C113" s="1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row>
    <row r="114">
      <c r="A114" s="16"/>
      <c r="B114" s="17"/>
      <c r="C114" s="1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row>
    <row r="115">
      <c r="A115" s="16"/>
      <c r="B115" s="17"/>
      <c r="C115" s="17"/>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row>
    <row r="116">
      <c r="A116" s="16"/>
      <c r="B116" s="17"/>
      <c r="C116" s="17"/>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row>
    <row r="117">
      <c r="A117" s="16"/>
      <c r="B117" s="17"/>
      <c r="C117" s="17"/>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row>
    <row r="118">
      <c r="A118" s="16"/>
      <c r="B118" s="17"/>
      <c r="C118" s="17"/>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row>
    <row r="119">
      <c r="A119" s="16"/>
      <c r="B119" s="17"/>
      <c r="C119" s="17"/>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row>
    <row r="120">
      <c r="A120" s="16"/>
      <c r="B120" s="17"/>
      <c r="C120" s="17"/>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row>
    <row r="121">
      <c r="A121" s="16"/>
      <c r="B121" s="17"/>
      <c r="C121" s="17"/>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row>
    <row r="122">
      <c r="A122" s="16"/>
      <c r="B122" s="17"/>
      <c r="C122" s="17"/>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row>
    <row r="123">
      <c r="A123" s="16"/>
      <c r="B123" s="17"/>
      <c r="C123" s="17"/>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row>
    <row r="124">
      <c r="A124" s="16"/>
      <c r="B124" s="17"/>
      <c r="C124" s="17"/>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row>
    <row r="125">
      <c r="A125" s="16"/>
      <c r="B125" s="17"/>
      <c r="C125" s="17"/>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row>
    <row r="126">
      <c r="A126" s="16"/>
      <c r="B126" s="17"/>
      <c r="C126" s="17"/>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row>
    <row r="127">
      <c r="A127" s="16"/>
      <c r="B127" s="17"/>
      <c r="C127" s="17"/>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row>
    <row r="128">
      <c r="A128" s="16"/>
      <c r="B128" s="17"/>
      <c r="C128" s="17"/>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row>
    <row r="129">
      <c r="A129" s="16"/>
      <c r="B129" s="17"/>
      <c r="C129" s="17"/>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row>
    <row r="130">
      <c r="A130" s="16"/>
      <c r="B130" s="17"/>
      <c r="C130" s="17"/>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row>
    <row r="131">
      <c r="A131" s="16"/>
      <c r="B131" s="17"/>
      <c r="C131" s="17"/>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row>
    <row r="132">
      <c r="A132" s="16"/>
      <c r="B132" s="17"/>
      <c r="C132" s="17"/>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row>
    <row r="133">
      <c r="A133" s="16"/>
      <c r="B133" s="17"/>
      <c r="C133" s="17"/>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row>
    <row r="134">
      <c r="A134" s="16"/>
      <c r="B134" s="17"/>
      <c r="C134" s="17"/>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row>
    <row r="135">
      <c r="A135" s="16"/>
      <c r="B135" s="17"/>
      <c r="C135" s="17"/>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row>
    <row r="136">
      <c r="A136" s="16"/>
      <c r="B136" s="17"/>
      <c r="C136" s="17"/>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row>
    <row r="137">
      <c r="A137" s="16"/>
      <c r="B137" s="17"/>
      <c r="C137" s="17"/>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row>
    <row r="138">
      <c r="A138" s="16"/>
      <c r="B138" s="17"/>
      <c r="C138" s="17"/>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row>
    <row r="139">
      <c r="A139" s="16"/>
      <c r="B139" s="17"/>
      <c r="C139" s="17"/>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row>
    <row r="140">
      <c r="A140" s="16"/>
      <c r="B140" s="17"/>
      <c r="C140" s="17"/>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row>
    <row r="141">
      <c r="A141" s="16"/>
      <c r="B141" s="17"/>
      <c r="C141" s="1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row>
    <row r="142">
      <c r="A142" s="16"/>
      <c r="B142" s="17"/>
      <c r="C142" s="17"/>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4" width="27.75"/>
  </cols>
  <sheetData>
    <row r="1">
      <c r="A1" s="18" t="s">
        <v>48</v>
      </c>
      <c r="B1" s="18" t="s">
        <v>2</v>
      </c>
      <c r="C1" s="18" t="s">
        <v>4</v>
      </c>
      <c r="D1" s="18" t="s">
        <v>5</v>
      </c>
      <c r="E1" s="18" t="s">
        <v>6</v>
      </c>
      <c r="F1" s="18" t="s">
        <v>7</v>
      </c>
      <c r="G1" s="18" t="s">
        <v>8</v>
      </c>
      <c r="H1" s="18" t="s">
        <v>9</v>
      </c>
      <c r="I1" s="18" t="s">
        <v>10</v>
      </c>
      <c r="J1" s="18" t="s">
        <v>11</v>
      </c>
      <c r="K1" s="18" t="s">
        <v>12</v>
      </c>
      <c r="L1" s="18" t="s">
        <v>13</v>
      </c>
      <c r="M1" s="18" t="s">
        <v>49</v>
      </c>
      <c r="N1" s="18" t="s">
        <v>15</v>
      </c>
      <c r="O1" s="18" t="s">
        <v>16</v>
      </c>
      <c r="P1" s="18" t="s">
        <v>17</v>
      </c>
      <c r="Q1" s="18" t="s">
        <v>18</v>
      </c>
      <c r="R1" s="18" t="s">
        <v>19</v>
      </c>
      <c r="S1" s="18" t="s">
        <v>20</v>
      </c>
      <c r="T1" s="18" t="s">
        <v>21</v>
      </c>
      <c r="U1" s="18" t="s">
        <v>22</v>
      </c>
      <c r="V1" s="18" t="s">
        <v>23</v>
      </c>
      <c r="W1" s="18" t="s">
        <v>24</v>
      </c>
      <c r="X1" s="18" t="s">
        <v>25</v>
      </c>
      <c r="Y1" s="18" t="s">
        <v>26</v>
      </c>
      <c r="Z1" s="18" t="s">
        <v>27</v>
      </c>
      <c r="AA1" s="18" t="s">
        <v>28</v>
      </c>
      <c r="AB1" s="18" t="s">
        <v>29</v>
      </c>
      <c r="AC1" s="18" t="s">
        <v>3</v>
      </c>
      <c r="AD1" s="19"/>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1"/>
      <c r="BK1" s="21"/>
      <c r="BL1" s="21"/>
    </row>
    <row r="2">
      <c r="A2" s="22" t="s">
        <v>50</v>
      </c>
      <c r="B2" s="23" t="s">
        <v>51</v>
      </c>
      <c r="C2" s="24" t="s">
        <v>52</v>
      </c>
      <c r="D2" s="23" t="s">
        <v>53</v>
      </c>
      <c r="E2" s="23" t="s">
        <v>54</v>
      </c>
      <c r="F2" s="23" t="s">
        <v>55</v>
      </c>
      <c r="G2" s="23" t="s">
        <v>56</v>
      </c>
      <c r="H2" s="23" t="s">
        <v>57</v>
      </c>
      <c r="I2" s="23" t="s">
        <v>58</v>
      </c>
      <c r="J2" s="23" t="s">
        <v>59</v>
      </c>
      <c r="K2" s="25" t="s">
        <v>60</v>
      </c>
      <c r="L2" s="23" t="s">
        <v>61</v>
      </c>
      <c r="M2" s="23" t="s">
        <v>62</v>
      </c>
      <c r="N2" s="26" t="s">
        <v>63</v>
      </c>
      <c r="O2" s="27" t="s">
        <v>64</v>
      </c>
      <c r="P2" s="28" t="s">
        <v>65</v>
      </c>
      <c r="Q2" s="29" t="s">
        <v>66</v>
      </c>
      <c r="R2" s="30" t="s">
        <v>67</v>
      </c>
      <c r="S2" s="23" t="s">
        <v>68</v>
      </c>
      <c r="T2" s="23" t="s">
        <v>69</v>
      </c>
      <c r="U2" s="23" t="s">
        <v>70</v>
      </c>
      <c r="V2" s="23" t="s">
        <v>71</v>
      </c>
      <c r="W2" s="23" t="s">
        <v>72</v>
      </c>
      <c r="X2" s="23" t="s">
        <v>73</v>
      </c>
      <c r="Y2" s="31" t="s">
        <v>74</v>
      </c>
      <c r="Z2" s="23" t="s">
        <v>75</v>
      </c>
      <c r="AA2" s="23" t="s">
        <v>76</v>
      </c>
      <c r="AB2" s="26" t="s">
        <v>77</v>
      </c>
      <c r="AC2" s="23" t="s">
        <v>78</v>
      </c>
      <c r="AD2" s="19"/>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1"/>
      <c r="BK2" s="21"/>
      <c r="BL2" s="21"/>
    </row>
    <row r="3">
      <c r="A3" s="22" t="s">
        <v>79</v>
      </c>
      <c r="B3" s="23" t="s">
        <v>80</v>
      </c>
      <c r="C3" s="24" t="s">
        <v>81</v>
      </c>
      <c r="D3" s="23" t="s">
        <v>82</v>
      </c>
      <c r="E3" s="23" t="s">
        <v>83</v>
      </c>
      <c r="F3" s="23" t="s">
        <v>84</v>
      </c>
      <c r="G3" s="23" t="s">
        <v>85</v>
      </c>
      <c r="H3" s="23" t="s">
        <v>86</v>
      </c>
      <c r="I3" s="23" t="s">
        <v>87</v>
      </c>
      <c r="J3" s="23" t="s">
        <v>88</v>
      </c>
      <c r="K3" s="25" t="s">
        <v>89</v>
      </c>
      <c r="L3" s="23" t="s">
        <v>90</v>
      </c>
      <c r="M3" s="23" t="s">
        <v>91</v>
      </c>
      <c r="N3" s="26" t="s">
        <v>92</v>
      </c>
      <c r="O3" s="27" t="s">
        <v>93</v>
      </c>
      <c r="P3" s="28" t="s">
        <v>94</v>
      </c>
      <c r="Q3" s="29" t="s">
        <v>95</v>
      </c>
      <c r="R3" s="30" t="s">
        <v>96</v>
      </c>
      <c r="S3" s="23" t="s">
        <v>97</v>
      </c>
      <c r="T3" s="23" t="s">
        <v>98</v>
      </c>
      <c r="U3" s="23" t="s">
        <v>99</v>
      </c>
      <c r="V3" s="23" t="s">
        <v>100</v>
      </c>
      <c r="W3" s="23" t="s">
        <v>101</v>
      </c>
      <c r="X3" s="23" t="s">
        <v>102</v>
      </c>
      <c r="Y3" s="31" t="s">
        <v>103</v>
      </c>
      <c r="Z3" s="23" t="s">
        <v>104</v>
      </c>
      <c r="AA3" s="23" t="s">
        <v>105</v>
      </c>
      <c r="AB3" s="26" t="s">
        <v>106</v>
      </c>
      <c r="AC3" s="23" t="s">
        <v>107</v>
      </c>
      <c r="AD3" s="19"/>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1"/>
      <c r="BK3" s="21"/>
      <c r="BL3" s="21"/>
    </row>
    <row r="4">
      <c r="A4" s="22" t="s">
        <v>108</v>
      </c>
      <c r="B4" s="23" t="s">
        <v>109</v>
      </c>
      <c r="C4" s="24" t="s">
        <v>110</v>
      </c>
      <c r="D4" s="23" t="s">
        <v>111</v>
      </c>
      <c r="E4" s="23" t="s">
        <v>112</v>
      </c>
      <c r="F4" s="23" t="s">
        <v>113</v>
      </c>
      <c r="G4" s="23" t="s">
        <v>114</v>
      </c>
      <c r="H4" s="23" t="s">
        <v>115</v>
      </c>
      <c r="I4" s="23" t="s">
        <v>116</v>
      </c>
      <c r="J4" s="23" t="s">
        <v>117</v>
      </c>
      <c r="K4" s="25" t="s">
        <v>118</v>
      </c>
      <c r="L4" s="23" t="s">
        <v>119</v>
      </c>
      <c r="M4" s="23" t="s">
        <v>120</v>
      </c>
      <c r="N4" s="26" t="s">
        <v>121</v>
      </c>
      <c r="O4" s="27" t="s">
        <v>122</v>
      </c>
      <c r="P4" s="28" t="s">
        <v>123</v>
      </c>
      <c r="Q4" s="29" t="s">
        <v>124</v>
      </c>
      <c r="R4" s="30" t="s">
        <v>125</v>
      </c>
      <c r="S4" s="23" t="s">
        <v>126</v>
      </c>
      <c r="T4" s="23" t="s">
        <v>127</v>
      </c>
      <c r="U4" s="23" t="s">
        <v>128</v>
      </c>
      <c r="V4" s="23" t="s">
        <v>129</v>
      </c>
      <c r="W4" s="23" t="s">
        <v>114</v>
      </c>
      <c r="X4" s="23" t="s">
        <v>130</v>
      </c>
      <c r="Y4" s="31" t="s">
        <v>131</v>
      </c>
      <c r="Z4" s="23" t="s">
        <v>132</v>
      </c>
      <c r="AA4" s="23" t="s">
        <v>133</v>
      </c>
      <c r="AB4" s="26" t="s">
        <v>134</v>
      </c>
      <c r="AC4" s="23" t="s">
        <v>135</v>
      </c>
      <c r="AD4" s="19"/>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1"/>
      <c r="BK4" s="21"/>
      <c r="BL4" s="21"/>
    </row>
    <row r="5">
      <c r="A5" s="22" t="s">
        <v>136</v>
      </c>
      <c r="B5" s="23" t="s">
        <v>137</v>
      </c>
      <c r="C5" s="24" t="s">
        <v>138</v>
      </c>
      <c r="D5" s="23" t="s">
        <v>139</v>
      </c>
      <c r="E5" s="23" t="s">
        <v>140</v>
      </c>
      <c r="F5" s="23" t="s">
        <v>141</v>
      </c>
      <c r="G5" s="23" t="s">
        <v>142</v>
      </c>
      <c r="H5" s="23" t="s">
        <v>143</v>
      </c>
      <c r="I5" s="23" t="s">
        <v>144</v>
      </c>
      <c r="J5" s="23" t="s">
        <v>145</v>
      </c>
      <c r="K5" s="25" t="s">
        <v>146</v>
      </c>
      <c r="L5" s="23" t="s">
        <v>147</v>
      </c>
      <c r="M5" s="23" t="s">
        <v>148</v>
      </c>
      <c r="N5" s="26" t="s">
        <v>149</v>
      </c>
      <c r="O5" s="27" t="s">
        <v>150</v>
      </c>
      <c r="P5" s="28" t="s">
        <v>151</v>
      </c>
      <c r="Q5" s="29" t="s">
        <v>152</v>
      </c>
      <c r="R5" s="30" t="s">
        <v>153</v>
      </c>
      <c r="S5" s="23" t="s">
        <v>154</v>
      </c>
      <c r="T5" s="23" t="s">
        <v>147</v>
      </c>
      <c r="U5" s="23" t="s">
        <v>155</v>
      </c>
      <c r="V5" s="23" t="s">
        <v>156</v>
      </c>
      <c r="W5" s="23" t="s">
        <v>157</v>
      </c>
      <c r="X5" s="23" t="s">
        <v>158</v>
      </c>
      <c r="Y5" s="31" t="s">
        <v>159</v>
      </c>
      <c r="Z5" s="23" t="s">
        <v>160</v>
      </c>
      <c r="AA5" s="23" t="s">
        <v>161</v>
      </c>
      <c r="AB5" s="26" t="s">
        <v>162</v>
      </c>
      <c r="AC5" s="23" t="s">
        <v>163</v>
      </c>
      <c r="AD5" s="19"/>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1"/>
      <c r="BK5" s="21"/>
      <c r="BL5" s="21"/>
    </row>
    <row r="6">
      <c r="A6" s="22" t="s">
        <v>164</v>
      </c>
      <c r="B6" s="23" t="s">
        <v>165</v>
      </c>
      <c r="C6" s="24" t="s">
        <v>166</v>
      </c>
      <c r="D6" s="23" t="s">
        <v>167</v>
      </c>
      <c r="E6" s="23" t="s">
        <v>168</v>
      </c>
      <c r="F6" s="23" t="s">
        <v>169</v>
      </c>
      <c r="G6" s="23" t="s">
        <v>170</v>
      </c>
      <c r="H6" s="23" t="s">
        <v>171</v>
      </c>
      <c r="I6" s="23" t="s">
        <v>172</v>
      </c>
      <c r="J6" s="23" t="s">
        <v>173</v>
      </c>
      <c r="K6" s="25" t="s">
        <v>174</v>
      </c>
      <c r="L6" s="23" t="s">
        <v>175</v>
      </c>
      <c r="M6" s="23" t="s">
        <v>176</v>
      </c>
      <c r="N6" s="26" t="s">
        <v>177</v>
      </c>
      <c r="O6" s="27" t="s">
        <v>178</v>
      </c>
      <c r="P6" s="28" t="s">
        <v>179</v>
      </c>
      <c r="Q6" s="29" t="s">
        <v>180</v>
      </c>
      <c r="R6" s="30" t="s">
        <v>181</v>
      </c>
      <c r="S6" s="23" t="s">
        <v>182</v>
      </c>
      <c r="T6" s="23" t="s">
        <v>183</v>
      </c>
      <c r="U6" s="23" t="s">
        <v>184</v>
      </c>
      <c r="V6" s="23" t="s">
        <v>185</v>
      </c>
      <c r="W6" s="23" t="s">
        <v>170</v>
      </c>
      <c r="X6" s="23" t="s">
        <v>186</v>
      </c>
      <c r="Y6" s="31" t="s">
        <v>187</v>
      </c>
      <c r="Z6" s="23" t="s">
        <v>188</v>
      </c>
      <c r="AA6" s="23" t="s">
        <v>189</v>
      </c>
      <c r="AB6" s="26" t="s">
        <v>190</v>
      </c>
      <c r="AC6" s="23" t="s">
        <v>191</v>
      </c>
      <c r="AD6" s="19"/>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1"/>
      <c r="BK6" s="21"/>
      <c r="BL6" s="21"/>
    </row>
    <row r="7">
      <c r="A7" s="22" t="s">
        <v>192</v>
      </c>
      <c r="B7" s="23" t="s">
        <v>193</v>
      </c>
      <c r="C7" s="24" t="s">
        <v>194</v>
      </c>
      <c r="D7" s="23" t="s">
        <v>193</v>
      </c>
      <c r="E7" s="23" t="s">
        <v>193</v>
      </c>
      <c r="F7" s="23" t="s">
        <v>195</v>
      </c>
      <c r="G7" s="23" t="s">
        <v>196</v>
      </c>
      <c r="H7" s="23" t="s">
        <v>197</v>
      </c>
      <c r="I7" s="23" t="s">
        <v>198</v>
      </c>
      <c r="J7" s="23" t="s">
        <v>199</v>
      </c>
      <c r="K7" s="25" t="s">
        <v>200</v>
      </c>
      <c r="L7" s="23" t="s">
        <v>201</v>
      </c>
      <c r="M7" s="23" t="s">
        <v>193</v>
      </c>
      <c r="N7" s="26" t="s">
        <v>202</v>
      </c>
      <c r="O7" s="27" t="s">
        <v>203</v>
      </c>
      <c r="P7" s="28" t="s">
        <v>204</v>
      </c>
      <c r="Q7" s="29" t="s">
        <v>205</v>
      </c>
      <c r="R7" s="30" t="s">
        <v>206</v>
      </c>
      <c r="S7" s="23" t="s">
        <v>207</v>
      </c>
      <c r="T7" s="23" t="s">
        <v>208</v>
      </c>
      <c r="U7" s="23" t="s">
        <v>193</v>
      </c>
      <c r="V7" s="23" t="s">
        <v>193</v>
      </c>
      <c r="W7" s="23" t="s">
        <v>193</v>
      </c>
      <c r="X7" s="23" t="s">
        <v>209</v>
      </c>
      <c r="Y7" s="31" t="s">
        <v>210</v>
      </c>
      <c r="Z7" s="23" t="s">
        <v>211</v>
      </c>
      <c r="AA7" s="23" t="s">
        <v>212</v>
      </c>
      <c r="AB7" s="26" t="s">
        <v>213</v>
      </c>
      <c r="AC7" s="23" t="s">
        <v>214</v>
      </c>
      <c r="AD7" s="19"/>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1"/>
      <c r="BK7" s="21"/>
      <c r="BL7" s="21"/>
    </row>
    <row r="8">
      <c r="A8" s="22" t="s">
        <v>215</v>
      </c>
      <c r="B8" s="23" t="s">
        <v>216</v>
      </c>
      <c r="C8" s="24" t="s">
        <v>217</v>
      </c>
      <c r="D8" s="23" t="s">
        <v>218</v>
      </c>
      <c r="E8" s="23" t="s">
        <v>219</v>
      </c>
      <c r="F8" s="23" t="s">
        <v>220</v>
      </c>
      <c r="G8" s="23" t="s">
        <v>221</v>
      </c>
      <c r="H8" s="23" t="s">
        <v>222</v>
      </c>
      <c r="I8" s="23" t="s">
        <v>223</v>
      </c>
      <c r="J8" s="23" t="s">
        <v>224</v>
      </c>
      <c r="K8" s="25" t="s">
        <v>225</v>
      </c>
      <c r="L8" s="23" t="s">
        <v>216</v>
      </c>
      <c r="M8" s="23" t="s">
        <v>226</v>
      </c>
      <c r="N8" s="26" t="s">
        <v>227</v>
      </c>
      <c r="O8" s="27" t="s">
        <v>228</v>
      </c>
      <c r="P8" s="28" t="s">
        <v>229</v>
      </c>
      <c r="Q8" s="29" t="s">
        <v>230</v>
      </c>
      <c r="R8" s="30" t="s">
        <v>231</v>
      </c>
      <c r="S8" s="23" t="s">
        <v>232</v>
      </c>
      <c r="T8" s="23" t="s">
        <v>216</v>
      </c>
      <c r="U8" s="23" t="s">
        <v>233</v>
      </c>
      <c r="V8" s="23" t="s">
        <v>234</v>
      </c>
      <c r="W8" s="23" t="s">
        <v>221</v>
      </c>
      <c r="X8" s="23" t="s">
        <v>235</v>
      </c>
      <c r="Y8" s="31" t="s">
        <v>236</v>
      </c>
      <c r="Z8" s="23" t="s">
        <v>237</v>
      </c>
      <c r="AA8" s="23" t="s">
        <v>238</v>
      </c>
      <c r="AB8" s="26" t="s">
        <v>239</v>
      </c>
      <c r="AC8" s="23" t="s">
        <v>240</v>
      </c>
      <c r="AD8" s="19"/>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1"/>
      <c r="BK8" s="21"/>
      <c r="BL8" s="21"/>
    </row>
    <row r="9">
      <c r="A9" s="22" t="s">
        <v>241</v>
      </c>
      <c r="B9" s="23" t="s">
        <v>242</v>
      </c>
      <c r="C9" s="24" t="s">
        <v>243</v>
      </c>
      <c r="D9" s="23" t="s">
        <v>244</v>
      </c>
      <c r="E9" s="23" t="s">
        <v>245</v>
      </c>
      <c r="F9" s="23" t="s">
        <v>246</v>
      </c>
      <c r="G9" s="23" t="s">
        <v>247</v>
      </c>
      <c r="H9" s="23" t="s">
        <v>248</v>
      </c>
      <c r="I9" s="23" t="s">
        <v>249</v>
      </c>
      <c r="J9" s="23" t="s">
        <v>250</v>
      </c>
      <c r="K9" s="25" t="s">
        <v>251</v>
      </c>
      <c r="L9" s="23" t="s">
        <v>252</v>
      </c>
      <c r="M9" s="23" t="s">
        <v>253</v>
      </c>
      <c r="N9" s="26" t="s">
        <v>254</v>
      </c>
      <c r="O9" s="27" t="s">
        <v>255</v>
      </c>
      <c r="P9" s="28" t="s">
        <v>256</v>
      </c>
      <c r="Q9" s="29" t="s">
        <v>257</v>
      </c>
      <c r="R9" s="30" t="s">
        <v>258</v>
      </c>
      <c r="S9" s="23" t="s">
        <v>259</v>
      </c>
      <c r="T9" s="23" t="s">
        <v>252</v>
      </c>
      <c r="U9" s="23" t="s">
        <v>260</v>
      </c>
      <c r="V9" s="23" t="s">
        <v>261</v>
      </c>
      <c r="W9" s="23" t="s">
        <v>262</v>
      </c>
      <c r="X9" s="23" t="s">
        <v>263</v>
      </c>
      <c r="Y9" s="31" t="s">
        <v>264</v>
      </c>
      <c r="Z9" s="23" t="s">
        <v>265</v>
      </c>
      <c r="AA9" s="23" t="s">
        <v>266</v>
      </c>
      <c r="AB9" s="26" t="s">
        <v>267</v>
      </c>
      <c r="AC9" s="23" t="s">
        <v>268</v>
      </c>
      <c r="AD9" s="19"/>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1"/>
      <c r="BK9" s="21"/>
      <c r="BL9" s="21"/>
    </row>
    <row r="10">
      <c r="A10" s="22" t="s">
        <v>269</v>
      </c>
      <c r="B10" s="23" t="s">
        <v>270</v>
      </c>
      <c r="C10" s="24" t="s">
        <v>271</v>
      </c>
      <c r="D10" s="23" t="s">
        <v>272</v>
      </c>
      <c r="E10" s="23" t="s">
        <v>273</v>
      </c>
      <c r="F10" s="23" t="s">
        <v>274</v>
      </c>
      <c r="G10" s="23" t="s">
        <v>275</v>
      </c>
      <c r="H10" s="23" t="s">
        <v>276</v>
      </c>
      <c r="I10" s="23" t="s">
        <v>277</v>
      </c>
      <c r="J10" s="23" t="s">
        <v>278</v>
      </c>
      <c r="K10" s="25" t="s">
        <v>279</v>
      </c>
      <c r="L10" s="23" t="s">
        <v>280</v>
      </c>
      <c r="M10" s="23" t="s">
        <v>281</v>
      </c>
      <c r="N10" s="26" t="s">
        <v>282</v>
      </c>
      <c r="O10" s="27" t="s">
        <v>283</v>
      </c>
      <c r="P10" s="28" t="s">
        <v>284</v>
      </c>
      <c r="Q10" s="29" t="s">
        <v>285</v>
      </c>
      <c r="R10" s="30" t="s">
        <v>286</v>
      </c>
      <c r="S10" s="23" t="s">
        <v>287</v>
      </c>
      <c r="T10" s="23" t="s">
        <v>288</v>
      </c>
      <c r="U10" s="23" t="s">
        <v>289</v>
      </c>
      <c r="V10" s="23" t="s">
        <v>290</v>
      </c>
      <c r="W10" s="23" t="s">
        <v>291</v>
      </c>
      <c r="X10" s="23" t="s">
        <v>292</v>
      </c>
      <c r="Y10" s="31" t="s">
        <v>293</v>
      </c>
      <c r="Z10" s="23" t="s">
        <v>294</v>
      </c>
      <c r="AA10" s="23" t="s">
        <v>266</v>
      </c>
      <c r="AB10" s="26" t="s">
        <v>295</v>
      </c>
      <c r="AC10" s="23" t="s">
        <v>296</v>
      </c>
      <c r="AD10" s="19"/>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1"/>
      <c r="BK10" s="21"/>
      <c r="BL10" s="21"/>
    </row>
    <row r="11">
      <c r="A11" s="22" t="s">
        <v>297</v>
      </c>
      <c r="B11" s="23" t="s">
        <v>298</v>
      </c>
      <c r="C11" s="24" t="s">
        <v>299</v>
      </c>
      <c r="D11" s="23" t="s">
        <v>300</v>
      </c>
      <c r="E11" s="23" t="s">
        <v>301</v>
      </c>
      <c r="F11" s="23" t="s">
        <v>302</v>
      </c>
      <c r="G11" s="23" t="s">
        <v>303</v>
      </c>
      <c r="H11" s="23" t="s">
        <v>304</v>
      </c>
      <c r="I11" s="23" t="s">
        <v>305</v>
      </c>
      <c r="J11" s="23" t="s">
        <v>306</v>
      </c>
      <c r="K11" s="25" t="s">
        <v>307</v>
      </c>
      <c r="L11" s="23" t="s">
        <v>308</v>
      </c>
      <c r="M11" s="23" t="s">
        <v>309</v>
      </c>
      <c r="N11" s="26" t="s">
        <v>310</v>
      </c>
      <c r="O11" s="27" t="s">
        <v>311</v>
      </c>
      <c r="P11" s="28" t="s">
        <v>312</v>
      </c>
      <c r="Q11" s="29" t="s">
        <v>313</v>
      </c>
      <c r="R11" s="30" t="s">
        <v>314</v>
      </c>
      <c r="S11" s="23" t="s">
        <v>315</v>
      </c>
      <c r="T11" s="23" t="s">
        <v>316</v>
      </c>
      <c r="U11" s="23" t="s">
        <v>317</v>
      </c>
      <c r="V11" s="23" t="s">
        <v>318</v>
      </c>
      <c r="W11" s="23" t="s">
        <v>319</v>
      </c>
      <c r="X11" s="23" t="s">
        <v>320</v>
      </c>
      <c r="Y11" s="31" t="s">
        <v>321</v>
      </c>
      <c r="Z11" s="23" t="s">
        <v>322</v>
      </c>
      <c r="AA11" s="23" t="s">
        <v>323</v>
      </c>
      <c r="AB11" s="26" t="s">
        <v>324</v>
      </c>
      <c r="AC11" s="23" t="s">
        <v>325</v>
      </c>
      <c r="AD11" s="19"/>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1"/>
      <c r="BK11" s="21"/>
      <c r="BL11" s="21"/>
    </row>
    <row r="12">
      <c r="A12" s="22" t="s">
        <v>326</v>
      </c>
      <c r="B12" s="23" t="s">
        <v>327</v>
      </c>
      <c r="C12" s="24" t="s">
        <v>328</v>
      </c>
      <c r="D12" s="23" t="s">
        <v>329</v>
      </c>
      <c r="E12" s="23" t="s">
        <v>330</v>
      </c>
      <c r="F12" s="23" t="s">
        <v>331</v>
      </c>
      <c r="G12" s="23" t="s">
        <v>332</v>
      </c>
      <c r="H12" s="23" t="s">
        <v>333</v>
      </c>
      <c r="I12" s="23" t="s">
        <v>334</v>
      </c>
      <c r="J12" s="23" t="s">
        <v>335</v>
      </c>
      <c r="K12" s="25" t="s">
        <v>336</v>
      </c>
      <c r="L12" s="23" t="s">
        <v>337</v>
      </c>
      <c r="M12" s="23" t="s">
        <v>338</v>
      </c>
      <c r="N12" s="26" t="s">
        <v>339</v>
      </c>
      <c r="O12" s="27" t="s">
        <v>340</v>
      </c>
      <c r="P12" s="28" t="s">
        <v>341</v>
      </c>
      <c r="Q12" s="29" t="s">
        <v>342</v>
      </c>
      <c r="R12" s="30" t="s">
        <v>343</v>
      </c>
      <c r="S12" s="23" t="s">
        <v>344</v>
      </c>
      <c r="T12" s="23" t="s">
        <v>345</v>
      </c>
      <c r="U12" s="23" t="s">
        <v>346</v>
      </c>
      <c r="V12" s="23" t="s">
        <v>347</v>
      </c>
      <c r="W12" s="23" t="s">
        <v>348</v>
      </c>
      <c r="X12" s="23" t="s">
        <v>349</v>
      </c>
      <c r="Y12" s="31" t="s">
        <v>350</v>
      </c>
      <c r="Z12" s="23" t="s">
        <v>351</v>
      </c>
      <c r="AA12" s="23" t="s">
        <v>352</v>
      </c>
      <c r="AB12" s="26" t="s">
        <v>353</v>
      </c>
      <c r="AC12" s="23" t="s">
        <v>354</v>
      </c>
      <c r="AD12" s="19"/>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1"/>
      <c r="BK12" s="21"/>
      <c r="BL12" s="21"/>
    </row>
    <row r="13">
      <c r="A13" s="22" t="s">
        <v>355</v>
      </c>
      <c r="B13" s="23" t="s">
        <v>356</v>
      </c>
      <c r="C13" s="24" t="s">
        <v>357</v>
      </c>
      <c r="D13" s="23" t="s">
        <v>358</v>
      </c>
      <c r="E13" s="23" t="s">
        <v>359</v>
      </c>
      <c r="F13" s="23" t="s">
        <v>360</v>
      </c>
      <c r="G13" s="23" t="s">
        <v>361</v>
      </c>
      <c r="H13" s="23" t="s">
        <v>362</v>
      </c>
      <c r="I13" s="23" t="s">
        <v>362</v>
      </c>
      <c r="J13" s="23" t="s">
        <v>363</v>
      </c>
      <c r="K13" s="25" t="s">
        <v>364</v>
      </c>
      <c r="L13" s="23" t="s">
        <v>365</v>
      </c>
      <c r="M13" s="23" t="s">
        <v>366</v>
      </c>
      <c r="N13" s="26" t="s">
        <v>367</v>
      </c>
      <c r="O13" s="27" t="s">
        <v>368</v>
      </c>
      <c r="P13" s="28" t="s">
        <v>369</v>
      </c>
      <c r="Q13" s="29" t="s">
        <v>370</v>
      </c>
      <c r="R13" s="30" t="s">
        <v>371</v>
      </c>
      <c r="S13" s="23" t="s">
        <v>372</v>
      </c>
      <c r="T13" s="23" t="s">
        <v>373</v>
      </c>
      <c r="U13" s="23" t="s">
        <v>374</v>
      </c>
      <c r="V13" s="23" t="s">
        <v>375</v>
      </c>
      <c r="W13" s="23" t="s">
        <v>376</v>
      </c>
      <c r="X13" s="23" t="s">
        <v>377</v>
      </c>
      <c r="Y13" s="31" t="s">
        <v>378</v>
      </c>
      <c r="Z13" s="23" t="s">
        <v>379</v>
      </c>
      <c r="AA13" s="23" t="s">
        <v>380</v>
      </c>
      <c r="AB13" s="26" t="s">
        <v>381</v>
      </c>
      <c r="AC13" s="23" t="s">
        <v>382</v>
      </c>
      <c r="AD13" s="19"/>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1"/>
      <c r="BK13" s="21"/>
      <c r="BL13" s="21"/>
    </row>
    <row r="14">
      <c r="A14" s="22" t="s">
        <v>383</v>
      </c>
      <c r="B14" s="23" t="s">
        <v>384</v>
      </c>
      <c r="C14" s="24" t="s">
        <v>385</v>
      </c>
      <c r="D14" s="23" t="s">
        <v>386</v>
      </c>
      <c r="E14" s="23" t="s">
        <v>387</v>
      </c>
      <c r="F14" s="23" t="s">
        <v>388</v>
      </c>
      <c r="G14" s="23" t="s">
        <v>389</v>
      </c>
      <c r="H14" s="23" t="s">
        <v>390</v>
      </c>
      <c r="I14" s="23" t="s">
        <v>391</v>
      </c>
      <c r="J14" s="23" t="s">
        <v>392</v>
      </c>
      <c r="K14" s="25" t="s">
        <v>393</v>
      </c>
      <c r="L14" s="23" t="s">
        <v>394</v>
      </c>
      <c r="M14" s="23" t="s">
        <v>395</v>
      </c>
      <c r="N14" s="26" t="s">
        <v>396</v>
      </c>
      <c r="O14" s="27" t="s">
        <v>397</v>
      </c>
      <c r="P14" s="28" t="s">
        <v>398</v>
      </c>
      <c r="Q14" s="29" t="s">
        <v>399</v>
      </c>
      <c r="R14" s="30" t="s">
        <v>400</v>
      </c>
      <c r="S14" s="23" t="s">
        <v>401</v>
      </c>
      <c r="T14" s="23" t="s">
        <v>402</v>
      </c>
      <c r="U14" s="23" t="s">
        <v>403</v>
      </c>
      <c r="V14" s="23" t="s">
        <v>404</v>
      </c>
      <c r="W14" s="23" t="s">
        <v>405</v>
      </c>
      <c r="X14" s="23" t="s">
        <v>406</v>
      </c>
      <c r="Y14" s="31" t="s">
        <v>407</v>
      </c>
      <c r="Z14" s="23" t="s">
        <v>408</v>
      </c>
      <c r="AA14" s="23" t="s">
        <v>409</v>
      </c>
      <c r="AB14" s="26" t="s">
        <v>410</v>
      </c>
      <c r="AC14" s="23" t="s">
        <v>411</v>
      </c>
      <c r="AD14" s="19"/>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1"/>
      <c r="BK14" s="21"/>
      <c r="BL14" s="21"/>
    </row>
    <row r="15">
      <c r="A15" s="22" t="s">
        <v>412</v>
      </c>
      <c r="B15" s="23" t="s">
        <v>413</v>
      </c>
      <c r="C15" s="24" t="s">
        <v>414</v>
      </c>
      <c r="D15" s="23" t="s">
        <v>415</v>
      </c>
      <c r="E15" s="23" t="s">
        <v>416</v>
      </c>
      <c r="F15" s="23" t="s">
        <v>417</v>
      </c>
      <c r="G15" s="23" t="s">
        <v>418</v>
      </c>
      <c r="H15" s="23" t="s">
        <v>419</v>
      </c>
      <c r="I15" s="23" t="s">
        <v>420</v>
      </c>
      <c r="J15" s="23" t="s">
        <v>421</v>
      </c>
      <c r="K15" s="25" t="s">
        <v>422</v>
      </c>
      <c r="L15" s="23" t="s">
        <v>423</v>
      </c>
      <c r="M15" s="23" t="s">
        <v>424</v>
      </c>
      <c r="N15" s="26" t="s">
        <v>425</v>
      </c>
      <c r="O15" s="27" t="s">
        <v>426</v>
      </c>
      <c r="P15" s="28" t="s">
        <v>427</v>
      </c>
      <c r="Q15" s="29" t="s">
        <v>428</v>
      </c>
      <c r="R15" s="30" t="s">
        <v>429</v>
      </c>
      <c r="S15" s="23" t="s">
        <v>430</v>
      </c>
      <c r="T15" s="23" t="s">
        <v>431</v>
      </c>
      <c r="U15" s="23" t="s">
        <v>432</v>
      </c>
      <c r="V15" s="23" t="s">
        <v>433</v>
      </c>
      <c r="W15" s="23" t="s">
        <v>434</v>
      </c>
      <c r="X15" s="23" t="s">
        <v>435</v>
      </c>
      <c r="Y15" s="31" t="s">
        <v>436</v>
      </c>
      <c r="Z15" s="23" t="s">
        <v>437</v>
      </c>
      <c r="AA15" s="23" t="s">
        <v>438</v>
      </c>
      <c r="AB15" s="26" t="s">
        <v>439</v>
      </c>
      <c r="AC15" s="23" t="s">
        <v>440</v>
      </c>
      <c r="AD15" s="19"/>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1"/>
      <c r="BK15" s="21"/>
      <c r="BL15" s="21"/>
    </row>
    <row r="16">
      <c r="A16" s="22" t="s">
        <v>441</v>
      </c>
      <c r="B16" s="23" t="s">
        <v>442</v>
      </c>
      <c r="C16" s="24" t="s">
        <v>443</v>
      </c>
      <c r="D16" s="23" t="s">
        <v>444</v>
      </c>
      <c r="E16" s="23" t="s">
        <v>445</v>
      </c>
      <c r="F16" s="23" t="s">
        <v>446</v>
      </c>
      <c r="G16" s="23" t="s">
        <v>447</v>
      </c>
      <c r="H16" s="23" t="s">
        <v>448</v>
      </c>
      <c r="I16" s="23" t="s">
        <v>449</v>
      </c>
      <c r="J16" s="23" t="s">
        <v>450</v>
      </c>
      <c r="K16" s="25" t="s">
        <v>451</v>
      </c>
      <c r="L16" s="23" t="s">
        <v>445</v>
      </c>
      <c r="M16" s="23" t="s">
        <v>452</v>
      </c>
      <c r="N16" s="26" t="s">
        <v>453</v>
      </c>
      <c r="O16" s="27" t="s">
        <v>454</v>
      </c>
      <c r="P16" s="28" t="s">
        <v>455</v>
      </c>
      <c r="Q16" s="29" t="s">
        <v>456</v>
      </c>
      <c r="R16" s="30" t="s">
        <v>457</v>
      </c>
      <c r="S16" s="23" t="s">
        <v>458</v>
      </c>
      <c r="T16" s="23" t="s">
        <v>459</v>
      </c>
      <c r="U16" s="23" t="s">
        <v>460</v>
      </c>
      <c r="V16" s="23" t="s">
        <v>461</v>
      </c>
      <c r="W16" s="23" t="s">
        <v>447</v>
      </c>
      <c r="X16" s="23" t="s">
        <v>462</v>
      </c>
      <c r="Y16" s="31" t="s">
        <v>463</v>
      </c>
      <c r="Z16" s="23" t="s">
        <v>464</v>
      </c>
      <c r="AA16" s="23" t="s">
        <v>465</v>
      </c>
      <c r="AB16" s="26" t="s">
        <v>466</v>
      </c>
      <c r="AC16" s="23" t="s">
        <v>467</v>
      </c>
      <c r="AD16" s="19"/>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1"/>
      <c r="BK16" s="21"/>
      <c r="BL16" s="21"/>
    </row>
    <row r="17">
      <c r="A17" s="22" t="s">
        <v>468</v>
      </c>
      <c r="B17" s="23" t="s">
        <v>469</v>
      </c>
      <c r="C17" s="32" t="s">
        <v>470</v>
      </c>
      <c r="D17" s="23" t="s">
        <v>471</v>
      </c>
      <c r="E17" s="23" t="s">
        <v>472</v>
      </c>
      <c r="F17" s="23" t="s">
        <v>473</v>
      </c>
      <c r="G17" s="23" t="s">
        <v>474</v>
      </c>
      <c r="H17" s="23" t="s">
        <v>475</v>
      </c>
      <c r="I17" s="23" t="s">
        <v>476</v>
      </c>
      <c r="J17" s="23" t="s">
        <v>477</v>
      </c>
      <c r="K17" s="25" t="s">
        <v>478</v>
      </c>
      <c r="L17" s="23" t="s">
        <v>479</v>
      </c>
      <c r="M17" s="23" t="s">
        <v>480</v>
      </c>
      <c r="N17" s="26" t="s">
        <v>481</v>
      </c>
      <c r="O17" s="27" t="s">
        <v>482</v>
      </c>
      <c r="P17" s="28" t="s">
        <v>483</v>
      </c>
      <c r="Q17" s="29" t="s">
        <v>484</v>
      </c>
      <c r="R17" s="30" t="s">
        <v>485</v>
      </c>
      <c r="S17" s="23" t="s">
        <v>486</v>
      </c>
      <c r="T17" s="23" t="s">
        <v>479</v>
      </c>
      <c r="U17" s="23" t="s">
        <v>487</v>
      </c>
      <c r="V17" s="23" t="s">
        <v>488</v>
      </c>
      <c r="W17" s="23" t="s">
        <v>489</v>
      </c>
      <c r="X17" s="23" t="s">
        <v>490</v>
      </c>
      <c r="Y17" s="31" t="s">
        <v>491</v>
      </c>
      <c r="Z17" s="23" t="s">
        <v>492</v>
      </c>
      <c r="AA17" s="23" t="s">
        <v>493</v>
      </c>
      <c r="AB17" s="26" t="s">
        <v>494</v>
      </c>
      <c r="AC17" s="23" t="s">
        <v>495</v>
      </c>
      <c r="AD17" s="19"/>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1"/>
      <c r="BK17" s="21"/>
      <c r="BL17" s="21"/>
    </row>
    <row r="18">
      <c r="A18" s="22" t="s">
        <v>496</v>
      </c>
      <c r="B18" s="23" t="s">
        <v>497</v>
      </c>
      <c r="C18" s="24" t="s">
        <v>498</v>
      </c>
      <c r="D18" s="23" t="s">
        <v>499</v>
      </c>
      <c r="E18" s="23" t="s">
        <v>500</v>
      </c>
      <c r="F18" s="23" t="s">
        <v>501</v>
      </c>
      <c r="G18" s="23" t="s">
        <v>502</v>
      </c>
      <c r="H18" s="23" t="s">
        <v>503</v>
      </c>
      <c r="I18" s="23" t="s">
        <v>504</v>
      </c>
      <c r="J18" s="23" t="s">
        <v>505</v>
      </c>
      <c r="K18" s="25" t="s">
        <v>506</v>
      </c>
      <c r="L18" s="23" t="s">
        <v>507</v>
      </c>
      <c r="M18" s="23" t="s">
        <v>507</v>
      </c>
      <c r="N18" s="26" t="s">
        <v>508</v>
      </c>
      <c r="O18" s="27" t="s">
        <v>509</v>
      </c>
      <c r="P18" s="28" t="s">
        <v>510</v>
      </c>
      <c r="Q18" s="29" t="s">
        <v>511</v>
      </c>
      <c r="R18" s="30" t="s">
        <v>512</v>
      </c>
      <c r="S18" s="23" t="s">
        <v>513</v>
      </c>
      <c r="T18" s="23" t="s">
        <v>514</v>
      </c>
      <c r="U18" s="23" t="s">
        <v>515</v>
      </c>
      <c r="V18" s="23" t="s">
        <v>516</v>
      </c>
      <c r="W18" s="23" t="s">
        <v>517</v>
      </c>
      <c r="X18" s="23" t="s">
        <v>518</v>
      </c>
      <c r="Y18" s="31" t="s">
        <v>519</v>
      </c>
      <c r="Z18" s="23" t="s">
        <v>520</v>
      </c>
      <c r="AA18" s="23" t="s">
        <v>521</v>
      </c>
      <c r="AB18" s="26" t="s">
        <v>522</v>
      </c>
      <c r="AC18" s="23" t="s">
        <v>523</v>
      </c>
      <c r="AD18" s="19"/>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1"/>
      <c r="BK18" s="21"/>
      <c r="BL18" s="21"/>
    </row>
    <row r="19">
      <c r="A19" s="22" t="s">
        <v>524</v>
      </c>
      <c r="B19" s="23" t="s">
        <v>525</v>
      </c>
      <c r="C19" s="24" t="s">
        <v>526</v>
      </c>
      <c r="D19" s="23" t="s">
        <v>527</v>
      </c>
      <c r="E19" s="23" t="s">
        <v>528</v>
      </c>
      <c r="F19" s="23" t="s">
        <v>529</v>
      </c>
      <c r="G19" s="23" t="s">
        <v>530</v>
      </c>
      <c r="H19" s="23" t="s">
        <v>531</v>
      </c>
      <c r="I19" s="23" t="s">
        <v>532</v>
      </c>
      <c r="J19" s="23" t="s">
        <v>533</v>
      </c>
      <c r="K19" s="25" t="s">
        <v>534</v>
      </c>
      <c r="L19" s="23" t="s">
        <v>535</v>
      </c>
      <c r="M19" s="23" t="s">
        <v>536</v>
      </c>
      <c r="N19" s="26" t="s">
        <v>537</v>
      </c>
      <c r="O19" s="27" t="s">
        <v>538</v>
      </c>
      <c r="P19" s="28" t="s">
        <v>539</v>
      </c>
      <c r="Q19" s="29" t="s">
        <v>540</v>
      </c>
      <c r="R19" s="30" t="s">
        <v>541</v>
      </c>
      <c r="S19" s="23" t="s">
        <v>542</v>
      </c>
      <c r="T19" s="23" t="s">
        <v>543</v>
      </c>
      <c r="U19" s="23" t="s">
        <v>544</v>
      </c>
      <c r="V19" s="23" t="s">
        <v>545</v>
      </c>
      <c r="W19" s="23" t="s">
        <v>530</v>
      </c>
      <c r="X19" s="23" t="s">
        <v>546</v>
      </c>
      <c r="Y19" s="31" t="s">
        <v>547</v>
      </c>
      <c r="Z19" s="23" t="s">
        <v>548</v>
      </c>
      <c r="AA19" s="23" t="s">
        <v>549</v>
      </c>
      <c r="AB19" s="26" t="s">
        <v>550</v>
      </c>
      <c r="AC19" s="23" t="s">
        <v>551</v>
      </c>
      <c r="AD19" s="19"/>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1"/>
      <c r="BK19" s="21"/>
      <c r="BL19" s="21"/>
    </row>
    <row r="20">
      <c r="A20" s="22" t="s">
        <v>552</v>
      </c>
      <c r="B20" s="23" t="s">
        <v>553</v>
      </c>
      <c r="C20" s="24" t="s">
        <v>554</v>
      </c>
      <c r="D20" s="23" t="s">
        <v>555</v>
      </c>
      <c r="E20" s="23" t="s">
        <v>556</v>
      </c>
      <c r="F20" s="23" t="s">
        <v>557</v>
      </c>
      <c r="G20" s="23" t="s">
        <v>558</v>
      </c>
      <c r="H20" s="23" t="s">
        <v>559</v>
      </c>
      <c r="I20" s="23" t="s">
        <v>560</v>
      </c>
      <c r="J20" s="23" t="s">
        <v>553</v>
      </c>
      <c r="K20" s="25" t="s">
        <v>561</v>
      </c>
      <c r="L20" s="23" t="s">
        <v>562</v>
      </c>
      <c r="M20" s="23" t="s">
        <v>562</v>
      </c>
      <c r="N20" s="26" t="s">
        <v>563</v>
      </c>
      <c r="O20" s="27" t="s">
        <v>564</v>
      </c>
      <c r="P20" s="28" t="s">
        <v>565</v>
      </c>
      <c r="Q20" s="29" t="s">
        <v>566</v>
      </c>
      <c r="R20" s="30" t="s">
        <v>567</v>
      </c>
      <c r="S20" s="23" t="s">
        <v>568</v>
      </c>
      <c r="T20" s="23" t="s">
        <v>562</v>
      </c>
      <c r="U20" s="23" t="s">
        <v>553</v>
      </c>
      <c r="V20" s="23" t="s">
        <v>569</v>
      </c>
      <c r="W20" s="23" t="s">
        <v>570</v>
      </c>
      <c r="X20" s="23" t="s">
        <v>571</v>
      </c>
      <c r="Y20" s="31" t="s">
        <v>572</v>
      </c>
      <c r="Z20" s="23" t="s">
        <v>573</v>
      </c>
      <c r="AA20" s="23" t="s">
        <v>574</v>
      </c>
      <c r="AB20" s="26" t="s">
        <v>575</v>
      </c>
      <c r="AC20" s="23" t="s">
        <v>495</v>
      </c>
      <c r="AD20" s="19"/>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1"/>
      <c r="BK20" s="21"/>
      <c r="BL20" s="21"/>
    </row>
    <row r="21">
      <c r="A21" s="22" t="s">
        <v>576</v>
      </c>
      <c r="B21" s="23" t="s">
        <v>562</v>
      </c>
      <c r="C21" s="24" t="s">
        <v>577</v>
      </c>
      <c r="D21" s="23" t="s">
        <v>562</v>
      </c>
      <c r="E21" s="23" t="s">
        <v>562</v>
      </c>
      <c r="F21" s="23" t="s">
        <v>578</v>
      </c>
      <c r="G21" s="23" t="s">
        <v>579</v>
      </c>
      <c r="H21" s="23" t="s">
        <v>562</v>
      </c>
      <c r="I21" s="23" t="s">
        <v>568</v>
      </c>
      <c r="J21" s="23" t="s">
        <v>562</v>
      </c>
      <c r="K21" s="25" t="s">
        <v>580</v>
      </c>
      <c r="L21" s="23" t="s">
        <v>562</v>
      </c>
      <c r="M21" s="23" t="s">
        <v>562</v>
      </c>
      <c r="N21" s="26" t="s">
        <v>563</v>
      </c>
      <c r="O21" s="27" t="s">
        <v>581</v>
      </c>
      <c r="P21" s="28" t="s">
        <v>565</v>
      </c>
      <c r="Q21" s="29" t="s">
        <v>566</v>
      </c>
      <c r="R21" s="30" t="s">
        <v>582</v>
      </c>
      <c r="S21" s="23" t="s">
        <v>553</v>
      </c>
      <c r="T21" s="23" t="s">
        <v>562</v>
      </c>
      <c r="U21" s="23" t="s">
        <v>562</v>
      </c>
      <c r="V21" s="23" t="s">
        <v>562</v>
      </c>
      <c r="W21" s="23" t="s">
        <v>579</v>
      </c>
      <c r="X21" s="23" t="s">
        <v>583</v>
      </c>
      <c r="Y21" s="31" t="s">
        <v>572</v>
      </c>
      <c r="Z21" s="23" t="s">
        <v>584</v>
      </c>
      <c r="AA21" s="23" t="s">
        <v>583</v>
      </c>
      <c r="AB21" s="26" t="s">
        <v>575</v>
      </c>
      <c r="AC21" s="23" t="s">
        <v>495</v>
      </c>
      <c r="AD21" s="19"/>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1"/>
      <c r="BK21" s="21"/>
      <c r="BL21" s="21"/>
    </row>
    <row r="22">
      <c r="A22" s="22" t="s">
        <v>585</v>
      </c>
      <c r="B22" s="23" t="s">
        <v>586</v>
      </c>
      <c r="C22" s="24" t="s">
        <v>587</v>
      </c>
      <c r="D22" s="23" t="s">
        <v>588</v>
      </c>
      <c r="E22" s="23" t="s">
        <v>589</v>
      </c>
      <c r="F22" s="23" t="s">
        <v>590</v>
      </c>
      <c r="G22" s="23" t="s">
        <v>591</v>
      </c>
      <c r="H22" s="23" t="s">
        <v>592</v>
      </c>
      <c r="I22" s="23" t="s">
        <v>593</v>
      </c>
      <c r="J22" s="23" t="s">
        <v>586</v>
      </c>
      <c r="K22" s="25" t="s">
        <v>594</v>
      </c>
      <c r="L22" s="23" t="s">
        <v>595</v>
      </c>
      <c r="M22" s="23" t="s">
        <v>596</v>
      </c>
      <c r="N22" s="26" t="s">
        <v>597</v>
      </c>
      <c r="O22" s="27" t="s">
        <v>598</v>
      </c>
      <c r="P22" s="28" t="s">
        <v>599</v>
      </c>
      <c r="Q22" s="29" t="s">
        <v>600</v>
      </c>
      <c r="R22" s="30" t="s">
        <v>601</v>
      </c>
      <c r="S22" s="23" t="s">
        <v>602</v>
      </c>
      <c r="T22" s="23" t="s">
        <v>595</v>
      </c>
      <c r="U22" s="23" t="s">
        <v>603</v>
      </c>
      <c r="V22" s="23" t="s">
        <v>604</v>
      </c>
      <c r="W22" s="23" t="s">
        <v>605</v>
      </c>
      <c r="X22" s="23" t="s">
        <v>606</v>
      </c>
      <c r="Y22" s="31" t="s">
        <v>607</v>
      </c>
      <c r="Z22" s="23" t="s">
        <v>608</v>
      </c>
      <c r="AA22" s="23" t="s">
        <v>609</v>
      </c>
      <c r="AB22" s="26" t="s">
        <v>610</v>
      </c>
      <c r="AC22" s="23" t="s">
        <v>611</v>
      </c>
      <c r="AD22" s="19"/>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1"/>
      <c r="BK22" s="21"/>
      <c r="BL22" s="21"/>
    </row>
    <row r="23">
      <c r="A23" s="22" t="s">
        <v>612</v>
      </c>
      <c r="B23" s="23" t="s">
        <v>613</v>
      </c>
      <c r="C23" s="24" t="s">
        <v>614</v>
      </c>
      <c r="D23" s="23" t="s">
        <v>615</v>
      </c>
      <c r="E23" s="23" t="s">
        <v>616</v>
      </c>
      <c r="F23" s="23" t="s">
        <v>617</v>
      </c>
      <c r="G23" s="23" t="s">
        <v>618</v>
      </c>
      <c r="H23" s="23" t="s">
        <v>619</v>
      </c>
      <c r="I23" s="23" t="s">
        <v>620</v>
      </c>
      <c r="J23" s="23" t="s">
        <v>613</v>
      </c>
      <c r="K23" s="25" t="s">
        <v>621</v>
      </c>
      <c r="L23" s="23" t="s">
        <v>622</v>
      </c>
      <c r="M23" s="23" t="s">
        <v>623</v>
      </c>
      <c r="N23" s="26" t="s">
        <v>624</v>
      </c>
      <c r="O23" s="27" t="s">
        <v>625</v>
      </c>
      <c r="P23" s="28" t="s">
        <v>626</v>
      </c>
      <c r="Q23" s="29" t="s">
        <v>627</v>
      </c>
      <c r="R23" s="30" t="s">
        <v>628</v>
      </c>
      <c r="S23" s="23" t="s">
        <v>629</v>
      </c>
      <c r="T23" s="23" t="s">
        <v>630</v>
      </c>
      <c r="U23" s="23" t="s">
        <v>631</v>
      </c>
      <c r="V23" s="23" t="s">
        <v>632</v>
      </c>
      <c r="W23" s="23" t="s">
        <v>633</v>
      </c>
      <c r="X23" s="23" t="s">
        <v>634</v>
      </c>
      <c r="Y23" s="31" t="s">
        <v>635</v>
      </c>
      <c r="Z23" s="23" t="s">
        <v>636</v>
      </c>
      <c r="AA23" s="23" t="s">
        <v>637</v>
      </c>
      <c r="AB23" s="26" t="s">
        <v>638</v>
      </c>
      <c r="AC23" s="23" t="s">
        <v>639</v>
      </c>
      <c r="AD23" s="19"/>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1"/>
      <c r="BK23" s="21"/>
      <c r="BL23" s="21"/>
    </row>
    <row r="24">
      <c r="A24" s="22" t="s">
        <v>640</v>
      </c>
      <c r="B24" s="23" t="s">
        <v>641</v>
      </c>
      <c r="C24" s="24" t="s">
        <v>642</v>
      </c>
      <c r="D24" s="23" t="s">
        <v>643</v>
      </c>
      <c r="E24" s="23" t="s">
        <v>644</v>
      </c>
      <c r="F24" s="23" t="s">
        <v>645</v>
      </c>
      <c r="G24" s="23" t="s">
        <v>646</v>
      </c>
      <c r="H24" s="23" t="s">
        <v>647</v>
      </c>
      <c r="I24" s="23" t="s">
        <v>648</v>
      </c>
      <c r="J24" s="23" t="s">
        <v>649</v>
      </c>
      <c r="K24" s="25" t="s">
        <v>650</v>
      </c>
      <c r="L24" s="23" t="s">
        <v>651</v>
      </c>
      <c r="M24" s="23" t="s">
        <v>652</v>
      </c>
      <c r="N24" s="26" t="s">
        <v>653</v>
      </c>
      <c r="O24" s="27" t="s">
        <v>654</v>
      </c>
      <c r="P24" s="28" t="s">
        <v>655</v>
      </c>
      <c r="Q24" s="29" t="s">
        <v>656</v>
      </c>
      <c r="R24" s="30" t="s">
        <v>657</v>
      </c>
      <c r="S24" s="23" t="s">
        <v>658</v>
      </c>
      <c r="T24" s="23" t="s">
        <v>659</v>
      </c>
      <c r="U24" s="23" t="s">
        <v>660</v>
      </c>
      <c r="V24" s="23" t="s">
        <v>661</v>
      </c>
      <c r="W24" s="23" t="s">
        <v>662</v>
      </c>
      <c r="X24" s="23" t="s">
        <v>663</v>
      </c>
      <c r="Y24" s="31" t="s">
        <v>664</v>
      </c>
      <c r="Z24" s="23" t="s">
        <v>665</v>
      </c>
      <c r="AA24" s="23" t="s">
        <v>666</v>
      </c>
      <c r="AB24" s="26" t="s">
        <v>667</v>
      </c>
      <c r="AC24" s="23" t="s">
        <v>668</v>
      </c>
      <c r="AD24" s="19"/>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1"/>
      <c r="BK24" s="21"/>
      <c r="BL24" s="21"/>
    </row>
    <row r="25">
      <c r="A25" s="22" t="s">
        <v>669</v>
      </c>
      <c r="B25" s="23" t="s">
        <v>670</v>
      </c>
      <c r="C25" s="24" t="s">
        <v>671</v>
      </c>
      <c r="D25" s="23" t="s">
        <v>672</v>
      </c>
      <c r="E25" s="23" t="s">
        <v>670</v>
      </c>
      <c r="F25" s="23" t="s">
        <v>673</v>
      </c>
      <c r="G25" s="23" t="s">
        <v>674</v>
      </c>
      <c r="H25" s="23" t="s">
        <v>675</v>
      </c>
      <c r="I25" s="23" t="s">
        <v>676</v>
      </c>
      <c r="J25" s="23" t="s">
        <v>677</v>
      </c>
      <c r="K25" s="25" t="s">
        <v>678</v>
      </c>
      <c r="L25" s="23" t="s">
        <v>670</v>
      </c>
      <c r="M25" s="23" t="s">
        <v>670</v>
      </c>
      <c r="N25" s="26" t="s">
        <v>679</v>
      </c>
      <c r="O25" s="27" t="s">
        <v>680</v>
      </c>
      <c r="P25" s="28" t="s">
        <v>681</v>
      </c>
      <c r="Q25" s="29" t="s">
        <v>682</v>
      </c>
      <c r="R25" s="30" t="s">
        <v>683</v>
      </c>
      <c r="S25" s="23" t="s">
        <v>684</v>
      </c>
      <c r="T25" s="23" t="s">
        <v>685</v>
      </c>
      <c r="U25" s="23" t="s">
        <v>670</v>
      </c>
      <c r="V25" s="23" t="s">
        <v>686</v>
      </c>
      <c r="W25" s="23" t="s">
        <v>674</v>
      </c>
      <c r="X25" s="23" t="s">
        <v>687</v>
      </c>
      <c r="Y25" s="31" t="s">
        <v>688</v>
      </c>
      <c r="Z25" s="23" t="s">
        <v>689</v>
      </c>
      <c r="AA25" s="23" t="s">
        <v>687</v>
      </c>
      <c r="AB25" s="26" t="s">
        <v>690</v>
      </c>
      <c r="AC25" s="23" t="s">
        <v>691</v>
      </c>
      <c r="AD25" s="19"/>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1"/>
      <c r="BK25" s="21"/>
      <c r="BL25" s="21"/>
    </row>
    <row r="26">
      <c r="A26" s="22" t="s">
        <v>35</v>
      </c>
      <c r="B26" s="23" t="s">
        <v>36</v>
      </c>
      <c r="C26" s="24" t="s">
        <v>692</v>
      </c>
      <c r="D26" s="23" t="s">
        <v>693</v>
      </c>
      <c r="E26" s="23" t="s">
        <v>694</v>
      </c>
      <c r="F26" s="23" t="s">
        <v>695</v>
      </c>
      <c r="G26" s="23" t="s">
        <v>696</v>
      </c>
      <c r="H26" s="23" t="s">
        <v>697</v>
      </c>
      <c r="I26" s="23" t="s">
        <v>698</v>
      </c>
      <c r="J26" s="23" t="s">
        <v>699</v>
      </c>
      <c r="K26" s="25" t="s">
        <v>700</v>
      </c>
      <c r="L26" s="23" t="s">
        <v>701</v>
      </c>
      <c r="M26" s="23" t="s">
        <v>702</v>
      </c>
      <c r="N26" s="26" t="s">
        <v>703</v>
      </c>
      <c r="O26" s="27" t="s">
        <v>704</v>
      </c>
      <c r="P26" s="28" t="s">
        <v>705</v>
      </c>
      <c r="Q26" s="29" t="s">
        <v>706</v>
      </c>
      <c r="R26" s="30" t="s">
        <v>707</v>
      </c>
      <c r="S26" s="23" t="s">
        <v>708</v>
      </c>
      <c r="T26" s="23" t="s">
        <v>709</v>
      </c>
      <c r="U26" s="23" t="s">
        <v>710</v>
      </c>
      <c r="V26" s="23" t="s">
        <v>711</v>
      </c>
      <c r="W26" s="23" t="s">
        <v>712</v>
      </c>
      <c r="X26" s="23" t="s">
        <v>713</v>
      </c>
      <c r="Y26" s="31" t="s">
        <v>714</v>
      </c>
      <c r="Z26" s="23" t="s">
        <v>715</v>
      </c>
      <c r="AA26" s="23" t="s">
        <v>716</v>
      </c>
      <c r="AB26" s="26" t="s">
        <v>717</v>
      </c>
      <c r="AC26" s="23" t="s">
        <v>718</v>
      </c>
      <c r="AD26" s="19"/>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1"/>
      <c r="BK26" s="21"/>
      <c r="BL26" s="21"/>
    </row>
    <row r="27">
      <c r="A27" s="22" t="s">
        <v>719</v>
      </c>
      <c r="B27" s="23" t="s">
        <v>720</v>
      </c>
      <c r="C27" s="24" t="s">
        <v>721</v>
      </c>
      <c r="D27" s="23" t="s">
        <v>722</v>
      </c>
      <c r="E27" s="23" t="s">
        <v>723</v>
      </c>
      <c r="F27" s="23" t="s">
        <v>724</v>
      </c>
      <c r="G27" s="23" t="s">
        <v>725</v>
      </c>
      <c r="H27" s="23" t="s">
        <v>726</v>
      </c>
      <c r="I27" s="23" t="s">
        <v>727</v>
      </c>
      <c r="J27" s="23" t="s">
        <v>720</v>
      </c>
      <c r="K27" s="25" t="s">
        <v>728</v>
      </c>
      <c r="L27" s="23" t="s">
        <v>729</v>
      </c>
      <c r="M27" s="23" t="s">
        <v>730</v>
      </c>
      <c r="N27" s="26" t="s">
        <v>731</v>
      </c>
      <c r="O27" s="27" t="s">
        <v>732</v>
      </c>
      <c r="P27" s="28" t="s">
        <v>733</v>
      </c>
      <c r="Q27" s="29" t="s">
        <v>734</v>
      </c>
      <c r="R27" s="30" t="s">
        <v>735</v>
      </c>
      <c r="S27" s="23" t="s">
        <v>736</v>
      </c>
      <c r="T27" s="23" t="s">
        <v>737</v>
      </c>
      <c r="U27" s="23" t="s">
        <v>738</v>
      </c>
      <c r="V27" s="23" t="s">
        <v>739</v>
      </c>
      <c r="W27" s="23" t="s">
        <v>740</v>
      </c>
      <c r="X27" s="23" t="s">
        <v>741</v>
      </c>
      <c r="Y27" s="31" t="s">
        <v>742</v>
      </c>
      <c r="Z27" s="23" t="s">
        <v>743</v>
      </c>
      <c r="AA27" s="23" t="s">
        <v>744</v>
      </c>
      <c r="AB27" s="26" t="s">
        <v>745</v>
      </c>
      <c r="AC27" s="23" t="s">
        <v>746</v>
      </c>
      <c r="AD27" s="19"/>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1"/>
      <c r="BK27" s="21"/>
      <c r="BL27" s="21"/>
    </row>
    <row r="28">
      <c r="A28" s="22" t="s">
        <v>747</v>
      </c>
      <c r="B28" s="23" t="s">
        <v>748</v>
      </c>
      <c r="C28" s="24" t="s">
        <v>749</v>
      </c>
      <c r="D28" s="23" t="s">
        <v>750</v>
      </c>
      <c r="E28" s="23" t="s">
        <v>751</v>
      </c>
      <c r="F28" s="23" t="s">
        <v>752</v>
      </c>
      <c r="G28" s="23" t="s">
        <v>753</v>
      </c>
      <c r="H28" s="23" t="s">
        <v>754</v>
      </c>
      <c r="I28" s="23" t="s">
        <v>755</v>
      </c>
      <c r="J28" s="23" t="s">
        <v>756</v>
      </c>
      <c r="K28" s="25" t="s">
        <v>757</v>
      </c>
      <c r="L28" s="23" t="s">
        <v>758</v>
      </c>
      <c r="M28" s="23" t="s">
        <v>759</v>
      </c>
      <c r="N28" s="26" t="s">
        <v>760</v>
      </c>
      <c r="O28" s="27" t="s">
        <v>761</v>
      </c>
      <c r="P28" s="28" t="s">
        <v>762</v>
      </c>
      <c r="Q28" s="29" t="s">
        <v>763</v>
      </c>
      <c r="R28" s="30" t="s">
        <v>764</v>
      </c>
      <c r="S28" s="23" t="s">
        <v>765</v>
      </c>
      <c r="T28" s="23" t="s">
        <v>766</v>
      </c>
      <c r="U28" s="23" t="s">
        <v>767</v>
      </c>
      <c r="V28" s="23" t="s">
        <v>768</v>
      </c>
      <c r="W28" s="23" t="s">
        <v>769</v>
      </c>
      <c r="X28" s="23" t="s">
        <v>770</v>
      </c>
      <c r="Y28" s="31" t="s">
        <v>771</v>
      </c>
      <c r="Z28" s="23" t="s">
        <v>772</v>
      </c>
      <c r="AA28" s="23" t="s">
        <v>773</v>
      </c>
      <c r="AB28" s="26" t="s">
        <v>774</v>
      </c>
      <c r="AC28" s="23" t="s">
        <v>775</v>
      </c>
      <c r="AD28" s="19"/>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1"/>
      <c r="BK28" s="21"/>
      <c r="BL28" s="21"/>
    </row>
    <row r="29">
      <c r="A29" s="22" t="s">
        <v>776</v>
      </c>
      <c r="B29" s="23" t="s">
        <v>479</v>
      </c>
      <c r="C29" s="24" t="s">
        <v>777</v>
      </c>
      <c r="D29" s="23" t="s">
        <v>778</v>
      </c>
      <c r="E29" s="23" t="s">
        <v>472</v>
      </c>
      <c r="F29" s="23" t="s">
        <v>779</v>
      </c>
      <c r="G29" s="23" t="s">
        <v>780</v>
      </c>
      <c r="H29" s="23" t="s">
        <v>781</v>
      </c>
      <c r="I29" s="23" t="s">
        <v>782</v>
      </c>
      <c r="J29" s="23" t="s">
        <v>783</v>
      </c>
      <c r="K29" s="25" t="s">
        <v>478</v>
      </c>
      <c r="L29" s="23" t="s">
        <v>784</v>
      </c>
      <c r="M29" s="23" t="s">
        <v>785</v>
      </c>
      <c r="N29" s="26" t="s">
        <v>786</v>
      </c>
      <c r="O29" s="27" t="s">
        <v>787</v>
      </c>
      <c r="P29" s="28" t="s">
        <v>788</v>
      </c>
      <c r="Q29" s="29" t="s">
        <v>484</v>
      </c>
      <c r="R29" s="30" t="s">
        <v>789</v>
      </c>
      <c r="S29" s="23" t="s">
        <v>790</v>
      </c>
      <c r="T29" s="23" t="s">
        <v>479</v>
      </c>
      <c r="U29" s="23" t="s">
        <v>784</v>
      </c>
      <c r="V29" s="23" t="s">
        <v>791</v>
      </c>
      <c r="W29" s="23" t="s">
        <v>792</v>
      </c>
      <c r="X29" s="23" t="s">
        <v>793</v>
      </c>
      <c r="Y29" s="31" t="s">
        <v>491</v>
      </c>
      <c r="Z29" s="23" t="s">
        <v>794</v>
      </c>
      <c r="AA29" s="23" t="s">
        <v>793</v>
      </c>
      <c r="AB29" s="26" t="s">
        <v>494</v>
      </c>
      <c r="AC29" s="23" t="s">
        <v>495</v>
      </c>
      <c r="AD29" s="19"/>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1"/>
      <c r="BK29" s="21"/>
      <c r="BL29" s="21"/>
    </row>
    <row r="30">
      <c r="A30" s="22" t="s">
        <v>795</v>
      </c>
      <c r="B30" s="23" t="s">
        <v>507</v>
      </c>
      <c r="C30" s="24" t="s">
        <v>796</v>
      </c>
      <c r="D30" s="23" t="s">
        <v>797</v>
      </c>
      <c r="E30" s="23" t="s">
        <v>798</v>
      </c>
      <c r="F30" s="23" t="s">
        <v>799</v>
      </c>
      <c r="G30" s="23" t="s">
        <v>800</v>
      </c>
      <c r="H30" s="23" t="s">
        <v>801</v>
      </c>
      <c r="I30" s="23" t="s">
        <v>802</v>
      </c>
      <c r="J30" s="23" t="s">
        <v>803</v>
      </c>
      <c r="K30" s="25" t="s">
        <v>804</v>
      </c>
      <c r="L30" s="23" t="s">
        <v>805</v>
      </c>
      <c r="M30" s="23" t="s">
        <v>507</v>
      </c>
      <c r="N30" s="26" t="s">
        <v>508</v>
      </c>
      <c r="O30" s="27" t="s">
        <v>806</v>
      </c>
      <c r="P30" s="28" t="s">
        <v>807</v>
      </c>
      <c r="Q30" s="29" t="s">
        <v>511</v>
      </c>
      <c r="R30" s="30" t="s">
        <v>485</v>
      </c>
      <c r="S30" s="23" t="s">
        <v>808</v>
      </c>
      <c r="T30" s="23" t="s">
        <v>514</v>
      </c>
      <c r="U30" s="23" t="s">
        <v>809</v>
      </c>
      <c r="V30" s="23" t="s">
        <v>810</v>
      </c>
      <c r="W30" s="23" t="s">
        <v>811</v>
      </c>
      <c r="X30" s="23" t="s">
        <v>812</v>
      </c>
      <c r="Y30" s="31" t="s">
        <v>519</v>
      </c>
      <c r="Z30" s="23" t="s">
        <v>794</v>
      </c>
      <c r="AA30" s="23" t="s">
        <v>812</v>
      </c>
      <c r="AB30" s="26" t="s">
        <v>522</v>
      </c>
      <c r="AC30" s="23" t="s">
        <v>813</v>
      </c>
      <c r="AD30" s="19"/>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1"/>
      <c r="BK30" s="21"/>
      <c r="BL30" s="21"/>
    </row>
    <row r="31">
      <c r="A31" s="22" t="s">
        <v>814</v>
      </c>
      <c r="B31" s="23" t="s">
        <v>815</v>
      </c>
      <c r="C31" s="24" t="s">
        <v>816</v>
      </c>
      <c r="D31" s="23" t="s">
        <v>588</v>
      </c>
      <c r="E31" s="23" t="s">
        <v>815</v>
      </c>
      <c r="F31" s="23" t="s">
        <v>817</v>
      </c>
      <c r="G31" s="23" t="s">
        <v>818</v>
      </c>
      <c r="H31" s="23" t="s">
        <v>819</v>
      </c>
      <c r="I31" s="23" t="s">
        <v>820</v>
      </c>
      <c r="J31" s="23" t="s">
        <v>821</v>
      </c>
      <c r="K31" s="25" t="s">
        <v>594</v>
      </c>
      <c r="L31" s="23" t="s">
        <v>595</v>
      </c>
      <c r="M31" s="23" t="s">
        <v>815</v>
      </c>
      <c r="N31" s="26" t="s">
        <v>822</v>
      </c>
      <c r="O31" s="27" t="s">
        <v>823</v>
      </c>
      <c r="P31" s="28" t="s">
        <v>824</v>
      </c>
      <c r="Q31" s="29" t="s">
        <v>825</v>
      </c>
      <c r="R31" s="30" t="s">
        <v>826</v>
      </c>
      <c r="S31" s="23" t="s">
        <v>827</v>
      </c>
      <c r="T31" s="23" t="s">
        <v>595</v>
      </c>
      <c r="U31" s="23" t="s">
        <v>815</v>
      </c>
      <c r="V31" s="23" t="s">
        <v>815</v>
      </c>
      <c r="W31" s="23" t="s">
        <v>828</v>
      </c>
      <c r="X31" s="23" t="s">
        <v>829</v>
      </c>
      <c r="Y31" s="31" t="s">
        <v>830</v>
      </c>
      <c r="Z31" s="23" t="s">
        <v>831</v>
      </c>
      <c r="AA31" s="23" t="s">
        <v>832</v>
      </c>
      <c r="AB31" s="26" t="s">
        <v>833</v>
      </c>
      <c r="AC31" s="23" t="s">
        <v>611</v>
      </c>
      <c r="AD31" s="19"/>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1"/>
      <c r="BK31" s="21"/>
      <c r="BL31" s="21"/>
    </row>
    <row r="32">
      <c r="A32" s="22" t="s">
        <v>834</v>
      </c>
      <c r="B32" s="23" t="s">
        <v>835</v>
      </c>
      <c r="C32" s="24" t="s">
        <v>836</v>
      </c>
      <c r="D32" s="23" t="s">
        <v>837</v>
      </c>
      <c r="E32" s="23" t="s">
        <v>838</v>
      </c>
      <c r="F32" s="23" t="s">
        <v>839</v>
      </c>
      <c r="G32" s="23" t="s">
        <v>840</v>
      </c>
      <c r="H32" s="23" t="s">
        <v>841</v>
      </c>
      <c r="I32" s="23" t="s">
        <v>842</v>
      </c>
      <c r="J32" s="23" t="s">
        <v>843</v>
      </c>
      <c r="K32" s="25" t="s">
        <v>844</v>
      </c>
      <c r="L32" s="23" t="s">
        <v>651</v>
      </c>
      <c r="M32" s="23" t="s">
        <v>845</v>
      </c>
      <c r="N32" s="26" t="s">
        <v>653</v>
      </c>
      <c r="O32" s="27" t="s">
        <v>846</v>
      </c>
      <c r="P32" s="28" t="s">
        <v>847</v>
      </c>
      <c r="Q32" s="29" t="s">
        <v>656</v>
      </c>
      <c r="R32" s="30" t="s">
        <v>657</v>
      </c>
      <c r="S32" s="23" t="s">
        <v>848</v>
      </c>
      <c r="T32" s="23" t="s">
        <v>659</v>
      </c>
      <c r="U32" s="23" t="s">
        <v>849</v>
      </c>
      <c r="V32" s="23" t="s">
        <v>850</v>
      </c>
      <c r="W32" s="23" t="s">
        <v>851</v>
      </c>
      <c r="X32" s="23" t="s">
        <v>852</v>
      </c>
      <c r="Y32" s="31" t="s">
        <v>664</v>
      </c>
      <c r="Z32" s="23" t="s">
        <v>853</v>
      </c>
      <c r="AA32" s="23" t="s">
        <v>852</v>
      </c>
      <c r="AB32" s="26" t="s">
        <v>667</v>
      </c>
      <c r="AC32" s="23" t="s">
        <v>668</v>
      </c>
      <c r="AD32" s="19"/>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1"/>
      <c r="BK32" s="21"/>
      <c r="BL32" s="21"/>
    </row>
    <row r="33">
      <c r="A33" s="22" t="s">
        <v>854</v>
      </c>
      <c r="B33" s="23" t="s">
        <v>855</v>
      </c>
      <c r="C33" s="24" t="s">
        <v>856</v>
      </c>
      <c r="D33" s="23" t="s">
        <v>693</v>
      </c>
      <c r="E33" s="23" t="s">
        <v>857</v>
      </c>
      <c r="F33" s="23" t="s">
        <v>858</v>
      </c>
      <c r="G33" s="23" t="s">
        <v>859</v>
      </c>
      <c r="H33" s="23" t="s">
        <v>860</v>
      </c>
      <c r="I33" s="23" t="s">
        <v>861</v>
      </c>
      <c r="J33" s="23" t="s">
        <v>862</v>
      </c>
      <c r="K33" s="25" t="s">
        <v>863</v>
      </c>
      <c r="L33" s="23" t="s">
        <v>701</v>
      </c>
      <c r="M33" s="23" t="s">
        <v>864</v>
      </c>
      <c r="N33" s="26" t="s">
        <v>703</v>
      </c>
      <c r="O33" s="27" t="s">
        <v>704</v>
      </c>
      <c r="P33" s="28" t="s">
        <v>865</v>
      </c>
      <c r="Q33" s="29" t="s">
        <v>866</v>
      </c>
      <c r="R33" s="30" t="s">
        <v>867</v>
      </c>
      <c r="S33" s="23" t="s">
        <v>868</v>
      </c>
      <c r="T33" s="23" t="s">
        <v>869</v>
      </c>
      <c r="U33" s="23" t="s">
        <v>870</v>
      </c>
      <c r="V33" s="23" t="s">
        <v>871</v>
      </c>
      <c r="W33" s="23" t="s">
        <v>872</v>
      </c>
      <c r="X33" s="23" t="s">
        <v>873</v>
      </c>
      <c r="Y33" s="31" t="s">
        <v>714</v>
      </c>
      <c r="Z33" s="23" t="s">
        <v>874</v>
      </c>
      <c r="AA33" s="23" t="s">
        <v>875</v>
      </c>
      <c r="AB33" s="26" t="s">
        <v>876</v>
      </c>
      <c r="AC33" s="23" t="s">
        <v>718</v>
      </c>
      <c r="AD33" s="19"/>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1"/>
      <c r="BK33" s="21"/>
      <c r="BL33" s="21"/>
    </row>
    <row r="34">
      <c r="A34" s="22" t="s">
        <v>877</v>
      </c>
      <c r="B34" s="23" t="s">
        <v>878</v>
      </c>
      <c r="C34" s="24" t="s">
        <v>879</v>
      </c>
      <c r="D34" s="23" t="s">
        <v>880</v>
      </c>
      <c r="E34" s="23" t="s">
        <v>880</v>
      </c>
      <c r="F34" s="23" t="s">
        <v>881</v>
      </c>
      <c r="G34" s="23" t="s">
        <v>882</v>
      </c>
      <c r="H34" s="23" t="s">
        <v>880</v>
      </c>
      <c r="I34" s="23" t="s">
        <v>883</v>
      </c>
      <c r="J34" s="23" t="s">
        <v>878</v>
      </c>
      <c r="K34" s="25" t="s">
        <v>621</v>
      </c>
      <c r="L34" s="23" t="s">
        <v>622</v>
      </c>
      <c r="M34" s="23" t="s">
        <v>884</v>
      </c>
      <c r="N34" s="26" t="s">
        <v>885</v>
      </c>
      <c r="O34" s="27" t="s">
        <v>886</v>
      </c>
      <c r="P34" s="28" t="s">
        <v>887</v>
      </c>
      <c r="Q34" s="29" t="s">
        <v>888</v>
      </c>
      <c r="R34" s="30" t="s">
        <v>889</v>
      </c>
      <c r="S34" s="23" t="s">
        <v>890</v>
      </c>
      <c r="T34" s="23" t="s">
        <v>891</v>
      </c>
      <c r="U34" s="23" t="s">
        <v>878</v>
      </c>
      <c r="V34" s="23" t="s">
        <v>880</v>
      </c>
      <c r="W34" s="23" t="s">
        <v>892</v>
      </c>
      <c r="X34" s="23" t="s">
        <v>893</v>
      </c>
      <c r="Y34" s="31" t="s">
        <v>894</v>
      </c>
      <c r="Z34" s="23" t="s">
        <v>895</v>
      </c>
      <c r="AA34" s="23" t="s">
        <v>893</v>
      </c>
      <c r="AB34" s="26" t="s">
        <v>885</v>
      </c>
      <c r="AC34" s="23" t="s">
        <v>896</v>
      </c>
      <c r="AD34" s="19"/>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1"/>
      <c r="BK34" s="21"/>
      <c r="BL34" s="21"/>
    </row>
    <row r="35">
      <c r="A35" s="22" t="s">
        <v>897</v>
      </c>
      <c r="B35" s="23" t="s">
        <v>898</v>
      </c>
      <c r="C35" s="24" t="s">
        <v>899</v>
      </c>
      <c r="D35" s="23" t="s">
        <v>900</v>
      </c>
      <c r="E35" s="23" t="s">
        <v>901</v>
      </c>
      <c r="F35" s="23" t="s">
        <v>902</v>
      </c>
      <c r="G35" s="23" t="s">
        <v>903</v>
      </c>
      <c r="H35" s="23" t="s">
        <v>904</v>
      </c>
      <c r="I35" s="23" t="s">
        <v>905</v>
      </c>
      <c r="J35" s="23" t="s">
        <v>906</v>
      </c>
      <c r="K35" s="25" t="s">
        <v>907</v>
      </c>
      <c r="L35" s="23" t="s">
        <v>908</v>
      </c>
      <c r="M35" s="23" t="s">
        <v>909</v>
      </c>
      <c r="N35" s="26" t="s">
        <v>910</v>
      </c>
      <c r="O35" s="27" t="s">
        <v>911</v>
      </c>
      <c r="P35" s="28" t="s">
        <v>912</v>
      </c>
      <c r="Q35" s="29" t="s">
        <v>913</v>
      </c>
      <c r="R35" s="30" t="s">
        <v>914</v>
      </c>
      <c r="S35" s="23" t="s">
        <v>915</v>
      </c>
      <c r="T35" s="23" t="s">
        <v>916</v>
      </c>
      <c r="U35" s="23" t="s">
        <v>917</v>
      </c>
      <c r="V35" s="23" t="s">
        <v>918</v>
      </c>
      <c r="W35" s="23" t="s">
        <v>919</v>
      </c>
      <c r="X35" s="23" t="s">
        <v>920</v>
      </c>
      <c r="Y35" s="31" t="s">
        <v>921</v>
      </c>
      <c r="Z35" s="23" t="s">
        <v>922</v>
      </c>
      <c r="AA35" s="23" t="s">
        <v>923</v>
      </c>
      <c r="AB35" s="26" t="s">
        <v>924</v>
      </c>
      <c r="AC35" s="23" t="s">
        <v>925</v>
      </c>
      <c r="AD35" s="19"/>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1"/>
      <c r="BK35" s="21"/>
      <c r="BL35" s="21"/>
    </row>
    <row r="36">
      <c r="A36" s="22" t="s">
        <v>926</v>
      </c>
      <c r="B36" s="23" t="s">
        <v>927</v>
      </c>
      <c r="C36" s="24" t="s">
        <v>928</v>
      </c>
      <c r="D36" s="23" t="s">
        <v>929</v>
      </c>
      <c r="E36" s="23" t="s">
        <v>930</v>
      </c>
      <c r="F36" s="23" t="s">
        <v>931</v>
      </c>
      <c r="G36" s="23" t="s">
        <v>932</v>
      </c>
      <c r="H36" s="23" t="s">
        <v>933</v>
      </c>
      <c r="I36" s="23" t="s">
        <v>934</v>
      </c>
      <c r="J36" s="23" t="s">
        <v>935</v>
      </c>
      <c r="K36" s="25" t="s">
        <v>936</v>
      </c>
      <c r="L36" s="23" t="s">
        <v>937</v>
      </c>
      <c r="M36" s="23" t="s">
        <v>938</v>
      </c>
      <c r="N36" s="26" t="s">
        <v>939</v>
      </c>
      <c r="O36" s="27" t="s">
        <v>940</v>
      </c>
      <c r="P36" s="28" t="s">
        <v>941</v>
      </c>
      <c r="Q36" s="29" t="s">
        <v>942</v>
      </c>
      <c r="R36" s="30" t="s">
        <v>943</v>
      </c>
      <c r="S36" s="23" t="s">
        <v>944</v>
      </c>
      <c r="T36" s="23" t="s">
        <v>945</v>
      </c>
      <c r="U36" s="23" t="s">
        <v>946</v>
      </c>
      <c r="V36" s="23" t="s">
        <v>947</v>
      </c>
      <c r="W36" s="23" t="s">
        <v>948</v>
      </c>
      <c r="X36" s="23" t="s">
        <v>949</v>
      </c>
      <c r="Y36" s="31" t="s">
        <v>950</v>
      </c>
      <c r="Z36" s="23" t="s">
        <v>951</v>
      </c>
      <c r="AA36" s="23" t="s">
        <v>952</v>
      </c>
      <c r="AB36" s="26" t="s">
        <v>953</v>
      </c>
      <c r="AC36" s="23" t="s">
        <v>954</v>
      </c>
      <c r="AD36" s="19"/>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1"/>
      <c r="BK36" s="21"/>
      <c r="BL36" s="21"/>
    </row>
    <row r="37">
      <c r="A37" s="22" t="s">
        <v>955</v>
      </c>
      <c r="B37" s="23" t="s">
        <v>956</v>
      </c>
      <c r="C37" s="24" t="s">
        <v>957</v>
      </c>
      <c r="D37" s="23" t="s">
        <v>958</v>
      </c>
      <c r="E37" s="23" t="s">
        <v>959</v>
      </c>
      <c r="F37" s="23" t="s">
        <v>960</v>
      </c>
      <c r="G37" s="23" t="s">
        <v>961</v>
      </c>
      <c r="H37" s="23" t="s">
        <v>962</v>
      </c>
      <c r="I37" s="23" t="s">
        <v>963</v>
      </c>
      <c r="J37" s="23" t="s">
        <v>964</v>
      </c>
      <c r="K37" s="25" t="s">
        <v>965</v>
      </c>
      <c r="L37" s="23" t="s">
        <v>966</v>
      </c>
      <c r="M37" s="23" t="s">
        <v>967</v>
      </c>
      <c r="N37" s="26" t="s">
        <v>968</v>
      </c>
      <c r="O37" s="27" t="s">
        <v>969</v>
      </c>
      <c r="P37" s="28" t="s">
        <v>970</v>
      </c>
      <c r="Q37" s="29" t="s">
        <v>971</v>
      </c>
      <c r="R37" s="30" t="s">
        <v>972</v>
      </c>
      <c r="S37" s="23" t="s">
        <v>973</v>
      </c>
      <c r="T37" s="23" t="s">
        <v>974</v>
      </c>
      <c r="U37" s="23" t="s">
        <v>975</v>
      </c>
      <c r="V37" s="23" t="s">
        <v>976</v>
      </c>
      <c r="W37" s="23" t="s">
        <v>977</v>
      </c>
      <c r="X37" s="23" t="s">
        <v>978</v>
      </c>
      <c r="Y37" s="31" t="s">
        <v>979</v>
      </c>
      <c r="Z37" s="23" t="s">
        <v>980</v>
      </c>
      <c r="AA37" s="23" t="s">
        <v>981</v>
      </c>
      <c r="AB37" s="26" t="s">
        <v>982</v>
      </c>
      <c r="AC37" s="23" t="s">
        <v>983</v>
      </c>
      <c r="AD37" s="19"/>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1"/>
      <c r="BK37" s="21"/>
      <c r="BL37" s="21"/>
    </row>
    <row r="38">
      <c r="A38" s="22" t="s">
        <v>984</v>
      </c>
      <c r="B38" s="23" t="s">
        <v>985</v>
      </c>
      <c r="C38" s="24" t="s">
        <v>986</v>
      </c>
      <c r="D38" s="23" t="s">
        <v>987</v>
      </c>
      <c r="E38" s="23" t="s">
        <v>988</v>
      </c>
      <c r="F38" s="23" t="s">
        <v>989</v>
      </c>
      <c r="G38" s="23" t="s">
        <v>990</v>
      </c>
      <c r="H38" s="23" t="s">
        <v>991</v>
      </c>
      <c r="I38" s="23" t="s">
        <v>992</v>
      </c>
      <c r="J38" s="23" t="s">
        <v>993</v>
      </c>
      <c r="K38" s="25" t="s">
        <v>994</v>
      </c>
      <c r="L38" s="23" t="s">
        <v>995</v>
      </c>
      <c r="M38" s="23" t="s">
        <v>996</v>
      </c>
      <c r="N38" s="26" t="s">
        <v>997</v>
      </c>
      <c r="O38" s="27" t="s">
        <v>998</v>
      </c>
      <c r="P38" s="28" t="s">
        <v>999</v>
      </c>
      <c r="Q38" s="29" t="s">
        <v>1000</v>
      </c>
      <c r="R38" s="30" t="s">
        <v>1001</v>
      </c>
      <c r="S38" s="23" t="s">
        <v>1002</v>
      </c>
      <c r="T38" s="23" t="s">
        <v>1003</v>
      </c>
      <c r="U38" s="23" t="s">
        <v>1004</v>
      </c>
      <c r="V38" s="23" t="s">
        <v>1005</v>
      </c>
      <c r="W38" s="23" t="s">
        <v>1006</v>
      </c>
      <c r="X38" s="23" t="s">
        <v>1007</v>
      </c>
      <c r="Y38" s="31" t="s">
        <v>1008</v>
      </c>
      <c r="Z38" s="23" t="s">
        <v>1009</v>
      </c>
      <c r="AA38" s="23" t="s">
        <v>1010</v>
      </c>
      <c r="AB38" s="26" t="s">
        <v>1011</v>
      </c>
      <c r="AC38" s="23" t="s">
        <v>1012</v>
      </c>
      <c r="AD38" s="19"/>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1"/>
      <c r="BK38" s="21"/>
      <c r="BL38" s="21"/>
    </row>
    <row r="39">
      <c r="A39" s="22" t="s">
        <v>1013</v>
      </c>
      <c r="B39" s="23" t="s">
        <v>1014</v>
      </c>
      <c r="C39" s="24" t="s">
        <v>1015</v>
      </c>
      <c r="D39" s="23" t="s">
        <v>1016</v>
      </c>
      <c r="E39" s="23" t="s">
        <v>1017</v>
      </c>
      <c r="F39" s="23" t="s">
        <v>1018</v>
      </c>
      <c r="G39" s="23" t="s">
        <v>1019</v>
      </c>
      <c r="H39" s="23" t="s">
        <v>1020</v>
      </c>
      <c r="I39" s="23" t="s">
        <v>1021</v>
      </c>
      <c r="J39" s="23" t="s">
        <v>1022</v>
      </c>
      <c r="K39" s="25" t="s">
        <v>1023</v>
      </c>
      <c r="L39" s="23" t="s">
        <v>1024</v>
      </c>
      <c r="M39" s="23" t="s">
        <v>1025</v>
      </c>
      <c r="N39" s="23" t="s">
        <v>1026</v>
      </c>
      <c r="O39" s="27" t="s">
        <v>1027</v>
      </c>
      <c r="P39" s="28" t="s">
        <v>1028</v>
      </c>
      <c r="Q39" s="29" t="s">
        <v>1029</v>
      </c>
      <c r="R39" s="30" t="s">
        <v>1030</v>
      </c>
      <c r="S39" s="23" t="s">
        <v>1031</v>
      </c>
      <c r="T39" s="23" t="s">
        <v>1032</v>
      </c>
      <c r="U39" s="23" t="s">
        <v>1033</v>
      </c>
      <c r="V39" s="23" t="s">
        <v>1034</v>
      </c>
      <c r="W39" s="23" t="s">
        <v>1035</v>
      </c>
      <c r="X39" s="23" t="s">
        <v>1036</v>
      </c>
      <c r="Y39" s="31" t="s">
        <v>1037</v>
      </c>
      <c r="Z39" s="23" t="s">
        <v>1038</v>
      </c>
      <c r="AA39" s="23" t="s">
        <v>1039</v>
      </c>
      <c r="AB39" s="26" t="s">
        <v>1040</v>
      </c>
      <c r="AC39" s="23" t="s">
        <v>1041</v>
      </c>
      <c r="AD39" s="19"/>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1"/>
      <c r="BK39" s="21"/>
      <c r="BL39" s="21"/>
    </row>
    <row r="40">
      <c r="A40" s="22" t="s">
        <v>1042</v>
      </c>
      <c r="B40" s="23" t="s">
        <v>1043</v>
      </c>
      <c r="C40" s="24" t="s">
        <v>1044</v>
      </c>
      <c r="D40" s="23" t="s">
        <v>1045</v>
      </c>
      <c r="E40" s="23" t="s">
        <v>1046</v>
      </c>
      <c r="F40" s="23" t="s">
        <v>1047</v>
      </c>
      <c r="G40" s="23" t="s">
        <v>1048</v>
      </c>
      <c r="H40" s="23" t="s">
        <v>1049</v>
      </c>
      <c r="I40" s="23" t="s">
        <v>1050</v>
      </c>
      <c r="J40" s="23" t="s">
        <v>1051</v>
      </c>
      <c r="K40" s="25" t="s">
        <v>1052</v>
      </c>
      <c r="L40" s="23" t="s">
        <v>1053</v>
      </c>
      <c r="M40" s="23" t="s">
        <v>1054</v>
      </c>
      <c r="N40" s="26" t="s">
        <v>1055</v>
      </c>
      <c r="O40" s="27" t="s">
        <v>1056</v>
      </c>
      <c r="P40" s="28" t="s">
        <v>1057</v>
      </c>
      <c r="Q40" s="29" t="s">
        <v>1058</v>
      </c>
      <c r="R40" s="30" t="s">
        <v>1059</v>
      </c>
      <c r="S40" s="23" t="s">
        <v>1060</v>
      </c>
      <c r="T40" s="23" t="s">
        <v>1061</v>
      </c>
      <c r="U40" s="23" t="s">
        <v>1062</v>
      </c>
      <c r="V40" s="23" t="s">
        <v>1063</v>
      </c>
      <c r="W40" s="23" t="s">
        <v>1064</v>
      </c>
      <c r="X40" s="23" t="s">
        <v>1065</v>
      </c>
      <c r="Y40" s="31" t="s">
        <v>1066</v>
      </c>
      <c r="Z40" s="23" t="s">
        <v>1067</v>
      </c>
      <c r="AA40" s="23" t="s">
        <v>1068</v>
      </c>
      <c r="AB40" s="26" t="s">
        <v>1069</v>
      </c>
      <c r="AC40" s="23" t="s">
        <v>1070</v>
      </c>
      <c r="AD40" s="19"/>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1"/>
      <c r="BK40" s="21"/>
      <c r="BL40" s="21"/>
    </row>
    <row r="41">
      <c r="A41" s="22" t="s">
        <v>1071</v>
      </c>
      <c r="B41" s="23" t="s">
        <v>1072</v>
      </c>
      <c r="C41" s="24" t="s">
        <v>1073</v>
      </c>
      <c r="D41" s="23" t="s">
        <v>1074</v>
      </c>
      <c r="E41" s="23" t="s">
        <v>1075</v>
      </c>
      <c r="F41" s="23" t="s">
        <v>1076</v>
      </c>
      <c r="G41" s="23" t="s">
        <v>1077</v>
      </c>
      <c r="H41" s="23" t="s">
        <v>1078</v>
      </c>
      <c r="I41" s="23" t="s">
        <v>1079</v>
      </c>
      <c r="J41" s="23" t="s">
        <v>1080</v>
      </c>
      <c r="K41" s="25" t="s">
        <v>1081</v>
      </c>
      <c r="L41" s="23" t="s">
        <v>1082</v>
      </c>
      <c r="M41" s="23" t="s">
        <v>1083</v>
      </c>
      <c r="N41" s="26" t="s">
        <v>1084</v>
      </c>
      <c r="O41" s="27" t="s">
        <v>1085</v>
      </c>
      <c r="P41" s="28" t="s">
        <v>1086</v>
      </c>
      <c r="Q41" s="29" t="s">
        <v>1087</v>
      </c>
      <c r="R41" s="30" t="s">
        <v>1088</v>
      </c>
      <c r="S41" s="23" t="s">
        <v>1089</v>
      </c>
      <c r="T41" s="23" t="s">
        <v>1090</v>
      </c>
      <c r="U41" s="23" t="s">
        <v>1091</v>
      </c>
      <c r="V41" s="23" t="s">
        <v>1092</v>
      </c>
      <c r="W41" s="23" t="s">
        <v>1093</v>
      </c>
      <c r="X41" s="23" t="s">
        <v>1094</v>
      </c>
      <c r="Y41" s="31" t="s">
        <v>1095</v>
      </c>
      <c r="Z41" s="23" t="s">
        <v>1096</v>
      </c>
      <c r="AA41" s="23" t="s">
        <v>1097</v>
      </c>
      <c r="AB41" s="26" t="s">
        <v>1098</v>
      </c>
      <c r="AC41" s="23" t="s">
        <v>1099</v>
      </c>
      <c r="AD41" s="19"/>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1"/>
      <c r="BK41" s="21"/>
      <c r="BL41" s="21"/>
    </row>
    <row r="42">
      <c r="A42" s="22" t="s">
        <v>1100</v>
      </c>
      <c r="B42" s="23" t="s">
        <v>1101</v>
      </c>
      <c r="C42" s="24" t="s">
        <v>1102</v>
      </c>
      <c r="D42" s="23" t="s">
        <v>1103</v>
      </c>
      <c r="E42" s="23" t="s">
        <v>1104</v>
      </c>
      <c r="F42" s="23" t="s">
        <v>1105</v>
      </c>
      <c r="G42" s="23" t="s">
        <v>1106</v>
      </c>
      <c r="H42" s="23" t="s">
        <v>1107</v>
      </c>
      <c r="I42" s="23" t="s">
        <v>1108</v>
      </c>
      <c r="J42" s="23" t="s">
        <v>1109</v>
      </c>
      <c r="K42" s="25" t="s">
        <v>1110</v>
      </c>
      <c r="L42" s="23" t="s">
        <v>1111</v>
      </c>
      <c r="M42" s="23" t="s">
        <v>1112</v>
      </c>
      <c r="N42" s="26" t="s">
        <v>1113</v>
      </c>
      <c r="O42" s="27" t="s">
        <v>1114</v>
      </c>
      <c r="P42" s="28" t="s">
        <v>1115</v>
      </c>
      <c r="Q42" s="29" t="s">
        <v>1116</v>
      </c>
      <c r="R42" s="30" t="s">
        <v>1117</v>
      </c>
      <c r="S42" s="23" t="s">
        <v>1118</v>
      </c>
      <c r="T42" s="23" t="s">
        <v>1111</v>
      </c>
      <c r="U42" s="23" t="s">
        <v>1119</v>
      </c>
      <c r="V42" s="23" t="s">
        <v>1120</v>
      </c>
      <c r="W42" s="23" t="s">
        <v>1121</v>
      </c>
      <c r="X42" s="23" t="s">
        <v>1122</v>
      </c>
      <c r="Y42" s="31" t="s">
        <v>1123</v>
      </c>
      <c r="Z42" s="23" t="s">
        <v>1124</v>
      </c>
      <c r="AA42" s="23" t="s">
        <v>1125</v>
      </c>
      <c r="AB42" s="26" t="s">
        <v>1126</v>
      </c>
      <c r="AC42" s="23" t="s">
        <v>1127</v>
      </c>
      <c r="AD42" s="19"/>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1"/>
      <c r="BK42" s="21"/>
      <c r="BL42" s="21"/>
    </row>
    <row r="43">
      <c r="A43" s="22" t="s">
        <v>1128</v>
      </c>
      <c r="B43" s="23" t="s">
        <v>1129</v>
      </c>
      <c r="C43" s="24" t="s">
        <v>1130</v>
      </c>
      <c r="D43" s="23" t="s">
        <v>1131</v>
      </c>
      <c r="E43" s="23" t="s">
        <v>1132</v>
      </c>
      <c r="F43" s="23" t="s">
        <v>1133</v>
      </c>
      <c r="G43" s="23" t="s">
        <v>1134</v>
      </c>
      <c r="H43" s="23" t="s">
        <v>1135</v>
      </c>
      <c r="I43" s="23" t="s">
        <v>1136</v>
      </c>
      <c r="J43" s="23" t="s">
        <v>1129</v>
      </c>
      <c r="K43" s="25" t="s">
        <v>1137</v>
      </c>
      <c r="L43" s="23" t="s">
        <v>1138</v>
      </c>
      <c r="M43" s="23" t="s">
        <v>1139</v>
      </c>
      <c r="N43" s="26" t="s">
        <v>1140</v>
      </c>
      <c r="O43" s="27" t="s">
        <v>1141</v>
      </c>
      <c r="P43" s="28" t="s">
        <v>1142</v>
      </c>
      <c r="Q43" s="29" t="s">
        <v>1143</v>
      </c>
      <c r="R43" s="30" t="s">
        <v>1144</v>
      </c>
      <c r="S43" s="23" t="s">
        <v>1145</v>
      </c>
      <c r="T43" s="23" t="s">
        <v>1146</v>
      </c>
      <c r="U43" s="23" t="s">
        <v>1147</v>
      </c>
      <c r="V43" s="23" t="s">
        <v>1148</v>
      </c>
      <c r="W43" s="23" t="s">
        <v>1149</v>
      </c>
      <c r="X43" s="23" t="s">
        <v>1150</v>
      </c>
      <c r="Y43" s="31" t="s">
        <v>1151</v>
      </c>
      <c r="Z43" s="23" t="s">
        <v>1152</v>
      </c>
      <c r="AA43" s="23" t="s">
        <v>1153</v>
      </c>
      <c r="AB43" s="26" t="s">
        <v>1154</v>
      </c>
      <c r="AC43" s="23" t="s">
        <v>1155</v>
      </c>
      <c r="AD43" s="19"/>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1"/>
      <c r="BK43" s="21"/>
      <c r="BL43" s="21"/>
    </row>
    <row r="44">
      <c r="A44" s="22" t="s">
        <v>1156</v>
      </c>
      <c r="B44" s="23" t="s">
        <v>1157</v>
      </c>
      <c r="C44" s="24" t="s">
        <v>1158</v>
      </c>
      <c r="D44" s="23" t="s">
        <v>1159</v>
      </c>
      <c r="E44" s="23" t="s">
        <v>1160</v>
      </c>
      <c r="F44" s="23" t="s">
        <v>1161</v>
      </c>
      <c r="G44" s="23" t="s">
        <v>1162</v>
      </c>
      <c r="H44" s="23" t="s">
        <v>1163</v>
      </c>
      <c r="I44" s="23" t="s">
        <v>1164</v>
      </c>
      <c r="J44" s="23" t="s">
        <v>1165</v>
      </c>
      <c r="K44" s="25" t="s">
        <v>1166</v>
      </c>
      <c r="L44" s="23" t="s">
        <v>1167</v>
      </c>
      <c r="M44" s="23" t="s">
        <v>1168</v>
      </c>
      <c r="N44" s="26" t="s">
        <v>1169</v>
      </c>
      <c r="O44" s="27" t="s">
        <v>1170</v>
      </c>
      <c r="P44" s="28" t="s">
        <v>1171</v>
      </c>
      <c r="Q44" s="29" t="s">
        <v>1172</v>
      </c>
      <c r="R44" s="30" t="s">
        <v>1173</v>
      </c>
      <c r="S44" s="23" t="s">
        <v>1174</v>
      </c>
      <c r="T44" s="23" t="s">
        <v>1175</v>
      </c>
      <c r="U44" s="23" t="s">
        <v>1176</v>
      </c>
      <c r="V44" s="23" t="s">
        <v>1177</v>
      </c>
      <c r="W44" s="23" t="s">
        <v>1178</v>
      </c>
      <c r="X44" s="23" t="s">
        <v>1179</v>
      </c>
      <c r="Y44" s="31" t="s">
        <v>1180</v>
      </c>
      <c r="Z44" s="23" t="s">
        <v>1181</v>
      </c>
      <c r="AA44" s="23" t="s">
        <v>1182</v>
      </c>
      <c r="AB44" s="26" t="s">
        <v>1183</v>
      </c>
      <c r="AC44" s="23" t="s">
        <v>1184</v>
      </c>
      <c r="AD44" s="19"/>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1"/>
      <c r="BK44" s="21"/>
      <c r="BL44" s="21"/>
    </row>
    <row r="45">
      <c r="A45" s="22" t="s">
        <v>1185</v>
      </c>
      <c r="B45" s="23" t="s">
        <v>1186</v>
      </c>
      <c r="C45" s="24" t="s">
        <v>1187</v>
      </c>
      <c r="D45" s="23" t="s">
        <v>1188</v>
      </c>
      <c r="E45" s="23" t="s">
        <v>1189</v>
      </c>
      <c r="F45" s="23" t="s">
        <v>1190</v>
      </c>
      <c r="G45" s="23" t="s">
        <v>1191</v>
      </c>
      <c r="H45" s="23" t="s">
        <v>1192</v>
      </c>
      <c r="I45" s="23" t="s">
        <v>1193</v>
      </c>
      <c r="J45" s="23" t="s">
        <v>1194</v>
      </c>
      <c r="K45" s="25" t="s">
        <v>1195</v>
      </c>
      <c r="L45" s="23" t="s">
        <v>1196</v>
      </c>
      <c r="M45" s="23" t="s">
        <v>1197</v>
      </c>
      <c r="N45" s="26" t="s">
        <v>1198</v>
      </c>
      <c r="O45" s="27" t="s">
        <v>1199</v>
      </c>
      <c r="P45" s="28" t="s">
        <v>1200</v>
      </c>
      <c r="Q45" s="23" t="s">
        <v>1201</v>
      </c>
      <c r="R45" s="30" t="s">
        <v>1202</v>
      </c>
      <c r="S45" s="23" t="s">
        <v>1203</v>
      </c>
      <c r="T45" s="23" t="s">
        <v>1196</v>
      </c>
      <c r="U45" s="23" t="s">
        <v>1204</v>
      </c>
      <c r="V45" s="23" t="s">
        <v>1205</v>
      </c>
      <c r="W45" s="23" t="s">
        <v>1191</v>
      </c>
      <c r="X45" s="23" t="s">
        <v>1206</v>
      </c>
      <c r="Y45" s="31" t="s">
        <v>1207</v>
      </c>
      <c r="Z45" s="23" t="s">
        <v>1208</v>
      </c>
      <c r="AA45" s="23" t="s">
        <v>1206</v>
      </c>
      <c r="AB45" s="26" t="s">
        <v>1209</v>
      </c>
      <c r="AC45" s="23" t="s">
        <v>1210</v>
      </c>
      <c r="AD45" s="19"/>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1"/>
      <c r="BK45" s="21"/>
      <c r="BL45" s="21"/>
    </row>
    <row r="46">
      <c r="A46" s="22" t="s">
        <v>1211</v>
      </c>
      <c r="B46" s="23" t="s">
        <v>1212</v>
      </c>
      <c r="C46" s="24" t="s">
        <v>1213</v>
      </c>
      <c r="D46" s="23" t="s">
        <v>1214</v>
      </c>
      <c r="E46" s="23" t="s">
        <v>1215</v>
      </c>
      <c r="F46" s="23" t="s">
        <v>1216</v>
      </c>
      <c r="G46" s="23" t="s">
        <v>1217</v>
      </c>
      <c r="H46" s="23" t="s">
        <v>1218</v>
      </c>
      <c r="I46" s="23" t="s">
        <v>1219</v>
      </c>
      <c r="J46" s="23" t="s">
        <v>1220</v>
      </c>
      <c r="K46" s="25" t="s">
        <v>1221</v>
      </c>
      <c r="L46" s="23" t="s">
        <v>1222</v>
      </c>
      <c r="M46" s="23" t="s">
        <v>1223</v>
      </c>
      <c r="N46" s="26" t="s">
        <v>1224</v>
      </c>
      <c r="O46" s="27" t="s">
        <v>1225</v>
      </c>
      <c r="P46" s="28" t="s">
        <v>1226</v>
      </c>
      <c r="Q46" s="29" t="s">
        <v>1227</v>
      </c>
      <c r="R46" s="30" t="s">
        <v>1228</v>
      </c>
      <c r="S46" s="23" t="s">
        <v>1229</v>
      </c>
      <c r="T46" s="23" t="s">
        <v>1230</v>
      </c>
      <c r="U46" s="23" t="s">
        <v>1231</v>
      </c>
      <c r="V46" s="23" t="s">
        <v>1232</v>
      </c>
      <c r="W46" s="23" t="s">
        <v>1233</v>
      </c>
      <c r="X46" s="23" t="s">
        <v>1234</v>
      </c>
      <c r="Y46" s="31" t="s">
        <v>1235</v>
      </c>
      <c r="Z46" s="23" t="s">
        <v>1236</v>
      </c>
      <c r="AA46" s="23" t="s">
        <v>1237</v>
      </c>
      <c r="AB46" s="26" t="s">
        <v>1238</v>
      </c>
      <c r="AC46" s="23" t="s">
        <v>1239</v>
      </c>
      <c r="AD46" s="19"/>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1"/>
      <c r="BK46" s="21"/>
      <c r="BL46" s="21"/>
    </row>
    <row r="47">
      <c r="A47" s="22" t="s">
        <v>1240</v>
      </c>
      <c r="B47" s="23" t="s">
        <v>1241</v>
      </c>
      <c r="C47" s="24" t="s">
        <v>1242</v>
      </c>
      <c r="D47" s="23" t="s">
        <v>1243</v>
      </c>
      <c r="E47" s="23" t="s">
        <v>1244</v>
      </c>
      <c r="F47" s="23" t="s">
        <v>1245</v>
      </c>
      <c r="G47" s="23" t="s">
        <v>1246</v>
      </c>
      <c r="H47" s="23" t="s">
        <v>1247</v>
      </c>
      <c r="I47" s="23" t="s">
        <v>1248</v>
      </c>
      <c r="J47" s="23" t="s">
        <v>1249</v>
      </c>
      <c r="K47" s="25" t="s">
        <v>1250</v>
      </c>
      <c r="L47" s="23" t="s">
        <v>1251</v>
      </c>
      <c r="M47" s="23" t="s">
        <v>1252</v>
      </c>
      <c r="N47" s="26" t="s">
        <v>1253</v>
      </c>
      <c r="O47" s="27" t="s">
        <v>1254</v>
      </c>
      <c r="P47" s="28" t="s">
        <v>1255</v>
      </c>
      <c r="Q47" s="29" t="s">
        <v>1256</v>
      </c>
      <c r="R47" s="30" t="s">
        <v>1257</v>
      </c>
      <c r="S47" s="23" t="s">
        <v>1258</v>
      </c>
      <c r="T47" s="23" t="s">
        <v>1259</v>
      </c>
      <c r="U47" s="23" t="s">
        <v>1260</v>
      </c>
      <c r="V47" s="23" t="s">
        <v>1261</v>
      </c>
      <c r="W47" s="23" t="s">
        <v>1262</v>
      </c>
      <c r="X47" s="23" t="s">
        <v>1263</v>
      </c>
      <c r="Y47" s="31" t="s">
        <v>1264</v>
      </c>
      <c r="Z47" s="23" t="s">
        <v>1265</v>
      </c>
      <c r="AA47" s="23" t="s">
        <v>1266</v>
      </c>
      <c r="AB47" s="26" t="s">
        <v>1267</v>
      </c>
      <c r="AC47" s="23" t="s">
        <v>1268</v>
      </c>
      <c r="AD47" s="19"/>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1"/>
      <c r="BK47" s="21"/>
      <c r="BL47" s="21"/>
    </row>
    <row r="48">
      <c r="A48" s="22" t="s">
        <v>1269</v>
      </c>
      <c r="B48" s="23" t="s">
        <v>1270</v>
      </c>
      <c r="C48" s="24" t="s">
        <v>1271</v>
      </c>
      <c r="D48" s="23" t="s">
        <v>1272</v>
      </c>
      <c r="E48" s="23" t="s">
        <v>1273</v>
      </c>
      <c r="F48" s="23" t="s">
        <v>1274</v>
      </c>
      <c r="G48" s="23" t="s">
        <v>1275</v>
      </c>
      <c r="H48" s="23" t="s">
        <v>1276</v>
      </c>
      <c r="I48" s="23" t="s">
        <v>1277</v>
      </c>
      <c r="J48" s="23" t="s">
        <v>1278</v>
      </c>
      <c r="K48" s="25" t="s">
        <v>1279</v>
      </c>
      <c r="L48" s="23" t="s">
        <v>1280</v>
      </c>
      <c r="M48" s="23" t="s">
        <v>1281</v>
      </c>
      <c r="N48" s="26" t="s">
        <v>1282</v>
      </c>
      <c r="O48" s="27" t="s">
        <v>1283</v>
      </c>
      <c r="P48" s="28" t="s">
        <v>1284</v>
      </c>
      <c r="Q48" s="29" t="s">
        <v>1285</v>
      </c>
      <c r="R48" s="30" t="s">
        <v>1286</v>
      </c>
      <c r="S48" s="23" t="s">
        <v>1287</v>
      </c>
      <c r="T48" s="23" t="s">
        <v>1288</v>
      </c>
      <c r="U48" s="23" t="s">
        <v>1289</v>
      </c>
      <c r="V48" s="23" t="s">
        <v>1290</v>
      </c>
      <c r="W48" s="23" t="s">
        <v>1291</v>
      </c>
      <c r="X48" s="23" t="s">
        <v>1292</v>
      </c>
      <c r="Y48" s="31" t="s">
        <v>1293</v>
      </c>
      <c r="Z48" s="23" t="s">
        <v>1294</v>
      </c>
      <c r="AA48" s="23" t="s">
        <v>1295</v>
      </c>
      <c r="AB48" s="26" t="s">
        <v>1296</v>
      </c>
      <c r="AC48" s="23" t="s">
        <v>1297</v>
      </c>
      <c r="AD48" s="19"/>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1"/>
      <c r="BK48" s="21"/>
      <c r="BL48" s="21"/>
    </row>
    <row r="49">
      <c r="A49" s="22" t="s">
        <v>1298</v>
      </c>
      <c r="B49" s="23" t="s">
        <v>1299</v>
      </c>
      <c r="C49" s="24" t="s">
        <v>1300</v>
      </c>
      <c r="D49" s="23" t="s">
        <v>1301</v>
      </c>
      <c r="E49" s="23" t="s">
        <v>1301</v>
      </c>
      <c r="F49" s="23" t="s">
        <v>1302</v>
      </c>
      <c r="G49" s="23" t="s">
        <v>1303</v>
      </c>
      <c r="H49" s="23" t="s">
        <v>1301</v>
      </c>
      <c r="I49" s="23" t="s">
        <v>1304</v>
      </c>
      <c r="J49" s="23" t="s">
        <v>1305</v>
      </c>
      <c r="K49" s="25" t="s">
        <v>1306</v>
      </c>
      <c r="L49" s="23" t="s">
        <v>1307</v>
      </c>
      <c r="M49" s="23" t="s">
        <v>1308</v>
      </c>
      <c r="N49" s="26" t="s">
        <v>1113</v>
      </c>
      <c r="O49" s="27" t="s">
        <v>1309</v>
      </c>
      <c r="P49" s="28" t="s">
        <v>1310</v>
      </c>
      <c r="Q49" s="29" t="s">
        <v>1311</v>
      </c>
      <c r="R49" s="30" t="s">
        <v>1312</v>
      </c>
      <c r="S49" s="23" t="s">
        <v>1313</v>
      </c>
      <c r="T49" s="23" t="s">
        <v>1301</v>
      </c>
      <c r="U49" s="23" t="s">
        <v>1314</v>
      </c>
      <c r="V49" s="23" t="s">
        <v>1301</v>
      </c>
      <c r="W49" s="23" t="s">
        <v>1315</v>
      </c>
      <c r="X49" s="23" t="s">
        <v>1316</v>
      </c>
      <c r="Y49" s="31" t="s">
        <v>1317</v>
      </c>
      <c r="Z49" s="23" t="s">
        <v>1301</v>
      </c>
      <c r="AA49" s="23" t="s">
        <v>1316</v>
      </c>
      <c r="AB49" s="26" t="s">
        <v>1318</v>
      </c>
      <c r="AC49" s="23" t="s">
        <v>1319</v>
      </c>
      <c r="AD49" s="19"/>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1"/>
      <c r="BK49" s="21"/>
      <c r="BL49" s="21"/>
    </row>
    <row r="50">
      <c r="A50" s="22" t="s">
        <v>1320</v>
      </c>
      <c r="B50" s="23" t="s">
        <v>1321</v>
      </c>
      <c r="C50" s="24" t="s">
        <v>1322</v>
      </c>
      <c r="D50" s="23" t="s">
        <v>1323</v>
      </c>
      <c r="E50" s="23" t="s">
        <v>1324</v>
      </c>
      <c r="F50" s="23" t="s">
        <v>1325</v>
      </c>
      <c r="G50" s="23" t="s">
        <v>1326</v>
      </c>
      <c r="H50" s="23" t="s">
        <v>1327</v>
      </c>
      <c r="I50" s="23" t="s">
        <v>1328</v>
      </c>
      <c r="J50" s="23" t="s">
        <v>1329</v>
      </c>
      <c r="K50" s="25" t="s">
        <v>1330</v>
      </c>
      <c r="L50" s="23" t="s">
        <v>1331</v>
      </c>
      <c r="M50" s="23" t="s">
        <v>1332</v>
      </c>
      <c r="N50" s="26" t="s">
        <v>1333</v>
      </c>
      <c r="O50" s="27" t="s">
        <v>1334</v>
      </c>
      <c r="P50" s="28" t="s">
        <v>1335</v>
      </c>
      <c r="Q50" s="29" t="s">
        <v>1336</v>
      </c>
      <c r="R50" s="30" t="s">
        <v>1337</v>
      </c>
      <c r="S50" s="23" t="s">
        <v>1338</v>
      </c>
      <c r="T50" s="23" t="s">
        <v>1339</v>
      </c>
      <c r="U50" s="23" t="s">
        <v>1340</v>
      </c>
      <c r="V50" s="23" t="s">
        <v>1341</v>
      </c>
      <c r="W50" s="23" t="s">
        <v>1342</v>
      </c>
      <c r="X50" s="23" t="s">
        <v>1343</v>
      </c>
      <c r="Y50" s="31" t="s">
        <v>1344</v>
      </c>
      <c r="Z50" s="23" t="s">
        <v>1345</v>
      </c>
      <c r="AA50" s="23" t="s">
        <v>1346</v>
      </c>
      <c r="AB50" s="26" t="s">
        <v>1347</v>
      </c>
      <c r="AC50" s="23" t="s">
        <v>1348</v>
      </c>
      <c r="AD50" s="19"/>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1"/>
      <c r="BK50" s="21"/>
      <c r="BL50" s="21"/>
    </row>
    <row r="51">
      <c r="A51" s="22" t="s">
        <v>1349</v>
      </c>
      <c r="B51" s="23" t="s">
        <v>1350</v>
      </c>
      <c r="C51" s="24" t="s">
        <v>1351</v>
      </c>
      <c r="D51" s="23" t="s">
        <v>1352</v>
      </c>
      <c r="E51" s="23" t="s">
        <v>1353</v>
      </c>
      <c r="F51" s="23" t="s">
        <v>1354</v>
      </c>
      <c r="G51" s="23" t="s">
        <v>1355</v>
      </c>
      <c r="H51" s="23" t="s">
        <v>1356</v>
      </c>
      <c r="I51" s="23" t="s">
        <v>1357</v>
      </c>
      <c r="J51" s="23" t="s">
        <v>1358</v>
      </c>
      <c r="K51" s="25" t="s">
        <v>1359</v>
      </c>
      <c r="L51" s="23" t="s">
        <v>1360</v>
      </c>
      <c r="M51" s="23" t="s">
        <v>1361</v>
      </c>
      <c r="N51" s="26" t="s">
        <v>1362</v>
      </c>
      <c r="O51" s="27" t="s">
        <v>1363</v>
      </c>
      <c r="P51" s="28" t="s">
        <v>1364</v>
      </c>
      <c r="Q51" s="29" t="s">
        <v>1365</v>
      </c>
      <c r="R51" s="30" t="s">
        <v>1366</v>
      </c>
      <c r="S51" s="23" t="s">
        <v>1367</v>
      </c>
      <c r="T51" s="23" t="s">
        <v>1368</v>
      </c>
      <c r="U51" s="23" t="s">
        <v>1369</v>
      </c>
      <c r="V51" s="23" t="s">
        <v>1370</v>
      </c>
      <c r="W51" s="23" t="s">
        <v>1371</v>
      </c>
      <c r="X51" s="23" t="s">
        <v>1372</v>
      </c>
      <c r="Y51" s="31" t="s">
        <v>1373</v>
      </c>
      <c r="Z51" s="23" t="s">
        <v>1374</v>
      </c>
      <c r="AA51" s="23" t="s">
        <v>1375</v>
      </c>
      <c r="AB51" s="26" t="s">
        <v>1376</v>
      </c>
      <c r="AC51" s="23" t="s">
        <v>1377</v>
      </c>
      <c r="AD51" s="19"/>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1"/>
      <c r="BK51" s="21"/>
      <c r="BL51" s="21"/>
    </row>
    <row r="52">
      <c r="A52" s="22" t="s">
        <v>1378</v>
      </c>
      <c r="B52" s="23" t="s">
        <v>1379</v>
      </c>
      <c r="C52" s="24" t="s">
        <v>1380</v>
      </c>
      <c r="D52" s="23" t="s">
        <v>1381</v>
      </c>
      <c r="E52" s="23" t="s">
        <v>1382</v>
      </c>
      <c r="F52" s="23" t="s">
        <v>1383</v>
      </c>
      <c r="G52" s="23" t="s">
        <v>1384</v>
      </c>
      <c r="H52" s="23" t="s">
        <v>1385</v>
      </c>
      <c r="I52" s="23" t="s">
        <v>1386</v>
      </c>
      <c r="J52" s="23" t="s">
        <v>1387</v>
      </c>
      <c r="K52" s="25" t="s">
        <v>1388</v>
      </c>
      <c r="L52" s="23" t="s">
        <v>1389</v>
      </c>
      <c r="M52" s="23" t="s">
        <v>1390</v>
      </c>
      <c r="N52" s="26" t="s">
        <v>1391</v>
      </c>
      <c r="O52" s="27" t="s">
        <v>1392</v>
      </c>
      <c r="P52" s="28" t="s">
        <v>1393</v>
      </c>
      <c r="Q52" s="29" t="s">
        <v>1394</v>
      </c>
      <c r="R52" s="30" t="s">
        <v>1395</v>
      </c>
      <c r="S52" s="23" t="s">
        <v>1396</v>
      </c>
      <c r="T52" s="23" t="s">
        <v>1397</v>
      </c>
      <c r="U52" s="23" t="s">
        <v>1398</v>
      </c>
      <c r="V52" s="23" t="s">
        <v>1399</v>
      </c>
      <c r="W52" s="23" t="s">
        <v>1400</v>
      </c>
      <c r="X52" s="23" t="s">
        <v>1401</v>
      </c>
      <c r="Y52" s="31" t="s">
        <v>1402</v>
      </c>
      <c r="Z52" s="23" t="s">
        <v>1403</v>
      </c>
      <c r="AA52" s="23" t="s">
        <v>1404</v>
      </c>
      <c r="AB52" s="26" t="s">
        <v>1405</v>
      </c>
      <c r="AC52" s="23" t="s">
        <v>1406</v>
      </c>
      <c r="AD52" s="19"/>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1"/>
      <c r="BK52" s="21"/>
      <c r="BL52" s="21"/>
    </row>
    <row r="53">
      <c r="A53" s="22" t="s">
        <v>1407</v>
      </c>
      <c r="B53" s="23" t="s">
        <v>1408</v>
      </c>
      <c r="C53" s="24" t="s">
        <v>1409</v>
      </c>
      <c r="D53" s="23" t="s">
        <v>1410</v>
      </c>
      <c r="E53" s="23" t="s">
        <v>1411</v>
      </c>
      <c r="F53" s="23" t="s">
        <v>1412</v>
      </c>
      <c r="G53" s="23" t="s">
        <v>1413</v>
      </c>
      <c r="H53" s="23" t="s">
        <v>1414</v>
      </c>
      <c r="I53" s="23" t="s">
        <v>1415</v>
      </c>
      <c r="J53" s="23" t="s">
        <v>1416</v>
      </c>
      <c r="K53" s="25" t="s">
        <v>1417</v>
      </c>
      <c r="L53" s="23" t="s">
        <v>1418</v>
      </c>
      <c r="M53" s="23" t="s">
        <v>1419</v>
      </c>
      <c r="N53" s="26" t="s">
        <v>1420</v>
      </c>
      <c r="O53" s="27" t="s">
        <v>1421</v>
      </c>
      <c r="P53" s="28" t="s">
        <v>1422</v>
      </c>
      <c r="Q53" s="29" t="s">
        <v>1423</v>
      </c>
      <c r="R53" s="30" t="s">
        <v>1424</v>
      </c>
      <c r="S53" s="23" t="s">
        <v>1425</v>
      </c>
      <c r="T53" s="23" t="s">
        <v>1426</v>
      </c>
      <c r="U53" s="23" t="s">
        <v>1427</v>
      </c>
      <c r="V53" s="23" t="s">
        <v>1428</v>
      </c>
      <c r="W53" s="23" t="s">
        <v>1429</v>
      </c>
      <c r="X53" s="23" t="s">
        <v>1430</v>
      </c>
      <c r="Y53" s="31" t="s">
        <v>1431</v>
      </c>
      <c r="Z53" s="23" t="s">
        <v>1432</v>
      </c>
      <c r="AA53" s="23" t="s">
        <v>1433</v>
      </c>
      <c r="AB53" s="26" t="s">
        <v>1434</v>
      </c>
      <c r="AC53" s="23" t="s">
        <v>1435</v>
      </c>
      <c r="AD53" s="19"/>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1"/>
      <c r="BK53" s="21"/>
      <c r="BL53" s="21"/>
    </row>
    <row r="54">
      <c r="A54" s="22" t="s">
        <v>1436</v>
      </c>
      <c r="B54" s="23" t="s">
        <v>1437</v>
      </c>
      <c r="C54" s="24" t="s">
        <v>1438</v>
      </c>
      <c r="D54" s="23" t="s">
        <v>1439</v>
      </c>
      <c r="E54" s="23" t="s">
        <v>1440</v>
      </c>
      <c r="F54" s="23" t="s">
        <v>1441</v>
      </c>
      <c r="G54" s="23" t="s">
        <v>1442</v>
      </c>
      <c r="H54" s="23" t="s">
        <v>1443</v>
      </c>
      <c r="I54" s="23" t="s">
        <v>1444</v>
      </c>
      <c r="J54" s="23" t="s">
        <v>1437</v>
      </c>
      <c r="K54" s="25" t="s">
        <v>1445</v>
      </c>
      <c r="L54" s="23" t="s">
        <v>1437</v>
      </c>
      <c r="M54" s="23" t="s">
        <v>1437</v>
      </c>
      <c r="N54" s="26" t="s">
        <v>1446</v>
      </c>
      <c r="O54" s="27" t="s">
        <v>1447</v>
      </c>
      <c r="P54" s="28" t="s">
        <v>1448</v>
      </c>
      <c r="Q54" s="29" t="s">
        <v>1449</v>
      </c>
      <c r="R54" s="30" t="s">
        <v>1450</v>
      </c>
      <c r="S54" s="23" t="s">
        <v>1451</v>
      </c>
      <c r="T54" s="23" t="s">
        <v>1452</v>
      </c>
      <c r="U54" s="23" t="s">
        <v>1453</v>
      </c>
      <c r="V54" s="23" t="s">
        <v>1454</v>
      </c>
      <c r="W54" s="23" t="s">
        <v>1455</v>
      </c>
      <c r="X54" s="23" t="s">
        <v>1456</v>
      </c>
      <c r="Y54" s="31" t="s">
        <v>1457</v>
      </c>
      <c r="Z54" s="23" t="s">
        <v>1458</v>
      </c>
      <c r="AA54" s="23" t="s">
        <v>1459</v>
      </c>
      <c r="AB54" s="26" t="s">
        <v>1460</v>
      </c>
      <c r="AC54" s="23" t="s">
        <v>1461</v>
      </c>
      <c r="AD54" s="19"/>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1"/>
      <c r="BK54" s="21"/>
      <c r="BL54" s="21"/>
    </row>
    <row r="55">
      <c r="A55" s="22" t="s">
        <v>1462</v>
      </c>
      <c r="B55" s="23" t="s">
        <v>1463</v>
      </c>
      <c r="C55" s="24" t="s">
        <v>1464</v>
      </c>
      <c r="D55" s="23" t="s">
        <v>1465</v>
      </c>
      <c r="E55" s="23" t="s">
        <v>1466</v>
      </c>
      <c r="F55" s="23" t="s">
        <v>1467</v>
      </c>
      <c r="G55" s="23" t="s">
        <v>1468</v>
      </c>
      <c r="H55" s="23" t="s">
        <v>1469</v>
      </c>
      <c r="I55" s="23" t="s">
        <v>1470</v>
      </c>
      <c r="J55" s="23" t="s">
        <v>1471</v>
      </c>
      <c r="K55" s="25" t="s">
        <v>1472</v>
      </c>
      <c r="L55" s="23" t="s">
        <v>1473</v>
      </c>
      <c r="M55" s="23" t="s">
        <v>1474</v>
      </c>
      <c r="N55" s="26" t="s">
        <v>1475</v>
      </c>
      <c r="O55" s="27" t="s">
        <v>1476</v>
      </c>
      <c r="P55" s="28" t="s">
        <v>1477</v>
      </c>
      <c r="Q55" s="29" t="s">
        <v>1478</v>
      </c>
      <c r="R55" s="30" t="s">
        <v>1479</v>
      </c>
      <c r="S55" s="23" t="s">
        <v>1480</v>
      </c>
      <c r="T55" s="23" t="s">
        <v>1473</v>
      </c>
      <c r="U55" s="23" t="s">
        <v>1481</v>
      </c>
      <c r="V55" s="23" t="s">
        <v>1482</v>
      </c>
      <c r="W55" s="23" t="s">
        <v>1483</v>
      </c>
      <c r="X55" s="23" t="s">
        <v>1484</v>
      </c>
      <c r="Y55" s="31" t="s">
        <v>1485</v>
      </c>
      <c r="Z55" s="23" t="s">
        <v>1486</v>
      </c>
      <c r="AA55" s="23" t="s">
        <v>1487</v>
      </c>
      <c r="AB55" s="26" t="s">
        <v>1475</v>
      </c>
      <c r="AC55" s="23" t="s">
        <v>1488</v>
      </c>
      <c r="AD55" s="19"/>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1"/>
      <c r="BK55" s="21"/>
      <c r="BL55" s="21"/>
    </row>
    <row r="56">
      <c r="A56" s="22" t="s">
        <v>1489</v>
      </c>
      <c r="B56" s="23" t="s">
        <v>1490</v>
      </c>
      <c r="C56" s="24" t="s">
        <v>1491</v>
      </c>
      <c r="D56" s="23" t="s">
        <v>1492</v>
      </c>
      <c r="E56" s="23" t="s">
        <v>1493</v>
      </c>
      <c r="F56" s="23" t="s">
        <v>1494</v>
      </c>
      <c r="G56" s="23" t="s">
        <v>1495</v>
      </c>
      <c r="H56" s="23" t="s">
        <v>1496</v>
      </c>
      <c r="I56" s="23" t="s">
        <v>1497</v>
      </c>
      <c r="J56" s="23" t="s">
        <v>1498</v>
      </c>
      <c r="K56" s="25" t="s">
        <v>1499</v>
      </c>
      <c r="L56" s="23" t="s">
        <v>1500</v>
      </c>
      <c r="M56" s="23" t="s">
        <v>1501</v>
      </c>
      <c r="N56" s="26" t="s">
        <v>1502</v>
      </c>
      <c r="O56" s="27" t="s">
        <v>1503</v>
      </c>
      <c r="P56" s="28" t="s">
        <v>1504</v>
      </c>
      <c r="Q56" s="29" t="s">
        <v>1505</v>
      </c>
      <c r="R56" s="30" t="s">
        <v>1506</v>
      </c>
      <c r="S56" s="23" t="s">
        <v>1507</v>
      </c>
      <c r="T56" s="23" t="s">
        <v>1500</v>
      </c>
      <c r="U56" s="23" t="s">
        <v>1508</v>
      </c>
      <c r="V56" s="23" t="s">
        <v>1509</v>
      </c>
      <c r="W56" s="23" t="s">
        <v>1510</v>
      </c>
      <c r="X56" s="23" t="s">
        <v>1511</v>
      </c>
      <c r="Y56" s="31" t="s">
        <v>1512</v>
      </c>
      <c r="Z56" s="23" t="s">
        <v>1513</v>
      </c>
      <c r="AA56" s="23" t="s">
        <v>1514</v>
      </c>
      <c r="AB56" s="26" t="s">
        <v>1515</v>
      </c>
      <c r="AC56" s="23" t="s">
        <v>1516</v>
      </c>
      <c r="AD56" s="19"/>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1"/>
      <c r="BK56" s="21"/>
      <c r="BL56" s="21"/>
    </row>
    <row r="57">
      <c r="A57" s="22" t="s">
        <v>1517</v>
      </c>
      <c r="B57" s="23" t="s">
        <v>1518</v>
      </c>
      <c r="C57" s="24" t="s">
        <v>1519</v>
      </c>
      <c r="D57" s="23" t="s">
        <v>1520</v>
      </c>
      <c r="E57" s="23" t="s">
        <v>1521</v>
      </c>
      <c r="F57" s="23" t="s">
        <v>1522</v>
      </c>
      <c r="G57" s="23" t="s">
        <v>543</v>
      </c>
      <c r="H57" s="23" t="s">
        <v>1523</v>
      </c>
      <c r="I57" s="23" t="s">
        <v>1524</v>
      </c>
      <c r="J57" s="23" t="s">
        <v>1518</v>
      </c>
      <c r="K57" s="25" t="s">
        <v>1525</v>
      </c>
      <c r="L57" s="23" t="s">
        <v>535</v>
      </c>
      <c r="M57" s="23" t="s">
        <v>543</v>
      </c>
      <c r="N57" s="26" t="s">
        <v>1526</v>
      </c>
      <c r="O57" s="27" t="s">
        <v>1527</v>
      </c>
      <c r="P57" s="28" t="s">
        <v>1528</v>
      </c>
      <c r="Q57" s="29" t="s">
        <v>1529</v>
      </c>
      <c r="R57" s="30" t="s">
        <v>1530</v>
      </c>
      <c r="S57" s="23" t="s">
        <v>1531</v>
      </c>
      <c r="T57" s="23" t="s">
        <v>535</v>
      </c>
      <c r="U57" s="23" t="s">
        <v>1532</v>
      </c>
      <c r="V57" s="23" t="s">
        <v>1533</v>
      </c>
      <c r="W57" s="23" t="s">
        <v>1534</v>
      </c>
      <c r="X57" s="23" t="s">
        <v>1535</v>
      </c>
      <c r="Y57" s="31" t="s">
        <v>1536</v>
      </c>
      <c r="Z57" s="23" t="s">
        <v>1537</v>
      </c>
      <c r="AA57" s="23" t="s">
        <v>1538</v>
      </c>
      <c r="AB57" s="26" t="s">
        <v>550</v>
      </c>
      <c r="AC57" s="23" t="s">
        <v>551</v>
      </c>
      <c r="AD57" s="19"/>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1"/>
      <c r="BK57" s="21"/>
      <c r="BL57" s="21"/>
    </row>
    <row r="58">
      <c r="A58" s="22" t="s">
        <v>1539</v>
      </c>
      <c r="B58" s="23" t="s">
        <v>1540</v>
      </c>
      <c r="C58" s="24" t="s">
        <v>1541</v>
      </c>
      <c r="D58" s="23" t="s">
        <v>1542</v>
      </c>
      <c r="E58" s="23" t="s">
        <v>1543</v>
      </c>
      <c r="F58" s="23" t="s">
        <v>1544</v>
      </c>
      <c r="G58" s="23" t="s">
        <v>1545</v>
      </c>
      <c r="H58" s="23" t="s">
        <v>1546</v>
      </c>
      <c r="I58" s="23" t="s">
        <v>1547</v>
      </c>
      <c r="J58" s="23" t="s">
        <v>1548</v>
      </c>
      <c r="K58" s="25" t="s">
        <v>1549</v>
      </c>
      <c r="L58" s="23" t="s">
        <v>1550</v>
      </c>
      <c r="M58" s="23" t="s">
        <v>1551</v>
      </c>
      <c r="N58" s="26" t="s">
        <v>1552</v>
      </c>
      <c r="O58" s="27" t="s">
        <v>1553</v>
      </c>
      <c r="P58" s="28" t="s">
        <v>1554</v>
      </c>
      <c r="Q58" s="29" t="s">
        <v>1555</v>
      </c>
      <c r="R58" s="30" t="s">
        <v>1556</v>
      </c>
      <c r="S58" s="23" t="s">
        <v>1557</v>
      </c>
      <c r="T58" s="23" t="s">
        <v>1558</v>
      </c>
      <c r="U58" s="23" t="s">
        <v>1559</v>
      </c>
      <c r="V58" s="23" t="s">
        <v>1560</v>
      </c>
      <c r="W58" s="23" t="s">
        <v>1561</v>
      </c>
      <c r="X58" s="23" t="s">
        <v>1562</v>
      </c>
      <c r="Y58" s="31" t="s">
        <v>1563</v>
      </c>
      <c r="Z58" s="23" t="s">
        <v>1564</v>
      </c>
      <c r="AA58" s="23" t="s">
        <v>1565</v>
      </c>
      <c r="AB58" s="26" t="s">
        <v>1566</v>
      </c>
      <c r="AC58" s="23" t="s">
        <v>1567</v>
      </c>
      <c r="AD58" s="19"/>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1"/>
      <c r="BK58" s="21"/>
      <c r="BL58" s="21"/>
    </row>
    <row r="59">
      <c r="A59" s="22" t="s">
        <v>1568</v>
      </c>
      <c r="B59" s="23" t="s">
        <v>1569</v>
      </c>
      <c r="C59" s="24" t="s">
        <v>1570</v>
      </c>
      <c r="D59" s="23" t="s">
        <v>1571</v>
      </c>
      <c r="E59" s="23" t="s">
        <v>1572</v>
      </c>
      <c r="F59" s="23" t="s">
        <v>1573</v>
      </c>
      <c r="G59" s="23" t="s">
        <v>1574</v>
      </c>
      <c r="H59" s="23" t="s">
        <v>1575</v>
      </c>
      <c r="I59" s="23" t="s">
        <v>1576</v>
      </c>
      <c r="J59" s="23" t="s">
        <v>1577</v>
      </c>
      <c r="K59" s="25" t="s">
        <v>1578</v>
      </c>
      <c r="L59" s="23" t="s">
        <v>1579</v>
      </c>
      <c r="M59" s="23" t="s">
        <v>1580</v>
      </c>
      <c r="N59" s="26" t="s">
        <v>1581</v>
      </c>
      <c r="O59" s="27" t="s">
        <v>1582</v>
      </c>
      <c r="P59" s="28" t="s">
        <v>1583</v>
      </c>
      <c r="Q59" s="29" t="s">
        <v>1584</v>
      </c>
      <c r="R59" s="30" t="s">
        <v>1585</v>
      </c>
      <c r="S59" s="23" t="s">
        <v>1586</v>
      </c>
      <c r="T59" s="23" t="s">
        <v>1587</v>
      </c>
      <c r="U59" s="23" t="s">
        <v>1588</v>
      </c>
      <c r="V59" s="23" t="s">
        <v>1589</v>
      </c>
      <c r="W59" s="23" t="s">
        <v>1590</v>
      </c>
      <c r="X59" s="23" t="s">
        <v>1591</v>
      </c>
      <c r="Y59" s="31" t="s">
        <v>1592</v>
      </c>
      <c r="Z59" s="23" t="s">
        <v>1593</v>
      </c>
      <c r="AA59" s="23" t="s">
        <v>1594</v>
      </c>
      <c r="AB59" s="26" t="s">
        <v>1595</v>
      </c>
      <c r="AC59" s="23" t="s">
        <v>1596</v>
      </c>
      <c r="AD59" s="19"/>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1"/>
      <c r="BK59" s="21"/>
      <c r="BL59" s="21"/>
    </row>
    <row r="60">
      <c r="A60" s="22" t="s">
        <v>1597</v>
      </c>
      <c r="B60" s="23" t="s">
        <v>1598</v>
      </c>
      <c r="C60" s="24" t="s">
        <v>1599</v>
      </c>
      <c r="D60" s="23" t="s">
        <v>1600</v>
      </c>
      <c r="E60" s="23" t="s">
        <v>1601</v>
      </c>
      <c r="F60" s="23" t="s">
        <v>1602</v>
      </c>
      <c r="G60" s="23" t="s">
        <v>1603</v>
      </c>
      <c r="H60" s="23" t="s">
        <v>1604</v>
      </c>
      <c r="I60" s="23" t="s">
        <v>1605</v>
      </c>
      <c r="J60" s="23" t="s">
        <v>1606</v>
      </c>
      <c r="K60" s="25" t="s">
        <v>1607</v>
      </c>
      <c r="L60" s="23" t="s">
        <v>1608</v>
      </c>
      <c r="M60" s="23" t="s">
        <v>1609</v>
      </c>
      <c r="N60" s="26" t="s">
        <v>1610</v>
      </c>
      <c r="O60" s="27" t="s">
        <v>1611</v>
      </c>
      <c r="P60" s="28" t="s">
        <v>1612</v>
      </c>
      <c r="Q60" s="29" t="s">
        <v>1613</v>
      </c>
      <c r="R60" s="30" t="s">
        <v>1614</v>
      </c>
      <c r="S60" s="23" t="s">
        <v>1615</v>
      </c>
      <c r="T60" s="23" t="s">
        <v>1616</v>
      </c>
      <c r="U60" s="23" t="s">
        <v>1617</v>
      </c>
      <c r="V60" s="23" t="s">
        <v>1618</v>
      </c>
      <c r="W60" s="23" t="s">
        <v>1619</v>
      </c>
      <c r="X60" s="23" t="s">
        <v>1620</v>
      </c>
      <c r="Y60" s="31" t="s">
        <v>1621</v>
      </c>
      <c r="Z60" s="23" t="s">
        <v>1622</v>
      </c>
      <c r="AA60" s="23" t="s">
        <v>1623</v>
      </c>
      <c r="AB60" s="26" t="s">
        <v>1624</v>
      </c>
      <c r="AC60" s="23" t="s">
        <v>1625</v>
      </c>
      <c r="AD60" s="19"/>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1"/>
      <c r="BK60" s="21"/>
      <c r="BL60" s="21"/>
    </row>
    <row r="61">
      <c r="A61" s="22" t="s">
        <v>1626</v>
      </c>
      <c r="B61" s="23" t="s">
        <v>1627</v>
      </c>
      <c r="C61" s="24" t="s">
        <v>1628</v>
      </c>
      <c r="D61" s="23" t="s">
        <v>1629</v>
      </c>
      <c r="E61" s="23" t="s">
        <v>1630</v>
      </c>
      <c r="F61" s="23" t="s">
        <v>1631</v>
      </c>
      <c r="G61" s="23" t="s">
        <v>1632</v>
      </c>
      <c r="H61" s="23" t="s">
        <v>1633</v>
      </c>
      <c r="I61" s="23" t="s">
        <v>1634</v>
      </c>
      <c r="J61" s="23" t="s">
        <v>1635</v>
      </c>
      <c r="K61" s="25" t="s">
        <v>1636</v>
      </c>
      <c r="L61" s="23" t="s">
        <v>1637</v>
      </c>
      <c r="M61" s="23" t="s">
        <v>1638</v>
      </c>
      <c r="N61" s="23" t="s">
        <v>1639</v>
      </c>
      <c r="O61" s="27" t="s">
        <v>1640</v>
      </c>
      <c r="P61" s="28" t="s">
        <v>1641</v>
      </c>
      <c r="Q61" s="29" t="s">
        <v>1642</v>
      </c>
      <c r="R61" s="30" t="s">
        <v>1643</v>
      </c>
      <c r="S61" s="23" t="s">
        <v>1644</v>
      </c>
      <c r="T61" s="23" t="s">
        <v>1645</v>
      </c>
      <c r="U61" s="23" t="s">
        <v>1646</v>
      </c>
      <c r="V61" s="23" t="s">
        <v>1647</v>
      </c>
      <c r="W61" s="23" t="s">
        <v>1648</v>
      </c>
      <c r="X61" s="23" t="s">
        <v>1649</v>
      </c>
      <c r="Y61" s="31" t="s">
        <v>1650</v>
      </c>
      <c r="Z61" s="23" t="s">
        <v>1651</v>
      </c>
      <c r="AA61" s="23" t="s">
        <v>1652</v>
      </c>
      <c r="AB61" s="26" t="s">
        <v>1653</v>
      </c>
      <c r="AC61" s="23" t="s">
        <v>1654</v>
      </c>
      <c r="AD61" s="19"/>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1"/>
      <c r="BK61" s="21"/>
      <c r="BL61" s="21"/>
    </row>
    <row r="62">
      <c r="A62" s="22" t="s">
        <v>1655</v>
      </c>
      <c r="B62" s="23" t="s">
        <v>1656</v>
      </c>
      <c r="C62" s="24" t="s">
        <v>1657</v>
      </c>
      <c r="D62" s="23" t="s">
        <v>1658</v>
      </c>
      <c r="E62" s="23" t="s">
        <v>1659</v>
      </c>
      <c r="F62" s="23" t="s">
        <v>1660</v>
      </c>
      <c r="G62" s="23" t="s">
        <v>1661</v>
      </c>
      <c r="H62" s="23" t="s">
        <v>1662</v>
      </c>
      <c r="I62" s="23" t="s">
        <v>1663</v>
      </c>
      <c r="J62" s="23" t="s">
        <v>1664</v>
      </c>
      <c r="K62" s="25" t="s">
        <v>1665</v>
      </c>
      <c r="L62" s="23" t="s">
        <v>1666</v>
      </c>
      <c r="M62" s="23" t="s">
        <v>1667</v>
      </c>
      <c r="N62" s="26" t="s">
        <v>1668</v>
      </c>
      <c r="O62" s="27" t="s">
        <v>1669</v>
      </c>
      <c r="P62" s="28" t="s">
        <v>1670</v>
      </c>
      <c r="Q62" s="29" t="s">
        <v>1671</v>
      </c>
      <c r="R62" s="30" t="s">
        <v>1672</v>
      </c>
      <c r="S62" s="23" t="s">
        <v>1673</v>
      </c>
      <c r="T62" s="23" t="s">
        <v>1666</v>
      </c>
      <c r="U62" s="23" t="s">
        <v>1674</v>
      </c>
      <c r="V62" s="23" t="s">
        <v>1675</v>
      </c>
      <c r="W62" s="23" t="s">
        <v>1676</v>
      </c>
      <c r="X62" s="23" t="s">
        <v>1677</v>
      </c>
      <c r="Y62" s="31" t="s">
        <v>1678</v>
      </c>
      <c r="Z62" s="23" t="s">
        <v>1679</v>
      </c>
      <c r="AA62" s="23" t="s">
        <v>1680</v>
      </c>
      <c r="AB62" s="26" t="s">
        <v>1681</v>
      </c>
      <c r="AC62" s="23" t="s">
        <v>1682</v>
      </c>
      <c r="AD62" s="19"/>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1"/>
      <c r="BK62" s="21"/>
      <c r="BL62" s="21"/>
    </row>
    <row r="63">
      <c r="A63" s="22" t="s">
        <v>1683</v>
      </c>
      <c r="B63" s="23" t="s">
        <v>1684</v>
      </c>
      <c r="C63" s="24" t="s">
        <v>1685</v>
      </c>
      <c r="D63" s="23" t="s">
        <v>1686</v>
      </c>
      <c r="E63" s="23" t="s">
        <v>1687</v>
      </c>
      <c r="F63" s="23" t="s">
        <v>1688</v>
      </c>
      <c r="G63" s="23" t="s">
        <v>1689</v>
      </c>
      <c r="H63" s="23" t="s">
        <v>1690</v>
      </c>
      <c r="I63" s="23" t="s">
        <v>1691</v>
      </c>
      <c r="J63" s="23" t="s">
        <v>1692</v>
      </c>
      <c r="K63" s="25" t="s">
        <v>1693</v>
      </c>
      <c r="L63" s="23" t="s">
        <v>1694</v>
      </c>
      <c r="M63" s="23" t="s">
        <v>1695</v>
      </c>
      <c r="N63" s="26" t="s">
        <v>1696</v>
      </c>
      <c r="O63" s="27" t="s">
        <v>1697</v>
      </c>
      <c r="P63" s="28" t="s">
        <v>1698</v>
      </c>
      <c r="Q63" s="29" t="s">
        <v>1699</v>
      </c>
      <c r="R63" s="30" t="s">
        <v>1700</v>
      </c>
      <c r="S63" s="23" t="s">
        <v>1701</v>
      </c>
      <c r="T63" s="23" t="s">
        <v>1702</v>
      </c>
      <c r="U63" s="23" t="s">
        <v>1703</v>
      </c>
      <c r="V63" s="23" t="s">
        <v>1704</v>
      </c>
      <c r="W63" s="23" t="s">
        <v>1705</v>
      </c>
      <c r="X63" s="23" t="s">
        <v>1706</v>
      </c>
      <c r="Y63" s="31" t="s">
        <v>1707</v>
      </c>
      <c r="Z63" s="23" t="s">
        <v>1708</v>
      </c>
      <c r="AA63" s="23" t="s">
        <v>1709</v>
      </c>
      <c r="AB63" s="26" t="s">
        <v>1710</v>
      </c>
      <c r="AC63" s="23" t="s">
        <v>1711</v>
      </c>
      <c r="AD63" s="19"/>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1"/>
      <c r="BK63" s="21"/>
      <c r="BL63" s="21"/>
    </row>
    <row r="64">
      <c r="A64" s="22" t="s">
        <v>1712</v>
      </c>
      <c r="B64" s="23" t="s">
        <v>1713</v>
      </c>
      <c r="C64" s="24" t="s">
        <v>1714</v>
      </c>
      <c r="D64" s="23" t="s">
        <v>1715</v>
      </c>
      <c r="E64" s="23" t="s">
        <v>1716</v>
      </c>
      <c r="F64" s="23" t="s">
        <v>1717</v>
      </c>
      <c r="G64" s="23" t="s">
        <v>1718</v>
      </c>
      <c r="H64" s="23" t="s">
        <v>1719</v>
      </c>
      <c r="I64" s="23" t="s">
        <v>1720</v>
      </c>
      <c r="J64" s="23" t="s">
        <v>1721</v>
      </c>
      <c r="K64" s="25" t="s">
        <v>1722</v>
      </c>
      <c r="L64" s="23" t="s">
        <v>1723</v>
      </c>
      <c r="M64" s="23" t="s">
        <v>1724</v>
      </c>
      <c r="N64" s="23" t="s">
        <v>1725</v>
      </c>
      <c r="O64" s="27" t="s">
        <v>1726</v>
      </c>
      <c r="P64" s="23" t="s">
        <v>1727</v>
      </c>
      <c r="Q64" s="23" t="s">
        <v>1728</v>
      </c>
      <c r="R64" s="30" t="s">
        <v>1729</v>
      </c>
      <c r="S64" s="23" t="s">
        <v>1730</v>
      </c>
      <c r="T64" s="23" t="s">
        <v>1723</v>
      </c>
      <c r="U64" s="23" t="s">
        <v>1731</v>
      </c>
      <c r="V64" s="23" t="s">
        <v>1732</v>
      </c>
      <c r="W64" s="23" t="s">
        <v>1718</v>
      </c>
      <c r="X64" s="23" t="s">
        <v>1733</v>
      </c>
      <c r="Y64" s="31" t="s">
        <v>1734</v>
      </c>
      <c r="Z64" s="23" t="s">
        <v>1735</v>
      </c>
      <c r="AA64" s="23" t="s">
        <v>1736</v>
      </c>
      <c r="AB64" s="26" t="s">
        <v>1737</v>
      </c>
      <c r="AC64" s="23" t="s">
        <v>1738</v>
      </c>
      <c r="AD64" s="19"/>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1"/>
      <c r="BK64" s="21"/>
      <c r="BL64" s="21"/>
    </row>
    <row r="65">
      <c r="A65" s="22" t="s">
        <v>1739</v>
      </c>
      <c r="B65" s="23" t="s">
        <v>1740</v>
      </c>
      <c r="C65" s="24" t="s">
        <v>1741</v>
      </c>
      <c r="D65" s="23" t="s">
        <v>1742</v>
      </c>
      <c r="E65" s="23" t="s">
        <v>1740</v>
      </c>
      <c r="F65" s="23" t="s">
        <v>1354</v>
      </c>
      <c r="G65" s="23" t="s">
        <v>1743</v>
      </c>
      <c r="H65" s="23" t="s">
        <v>1744</v>
      </c>
      <c r="I65" s="23" t="s">
        <v>1745</v>
      </c>
      <c r="J65" s="23" t="s">
        <v>1746</v>
      </c>
      <c r="K65" s="25" t="s">
        <v>1747</v>
      </c>
      <c r="L65" s="23" t="s">
        <v>1748</v>
      </c>
      <c r="M65" s="23" t="s">
        <v>1749</v>
      </c>
      <c r="N65" s="26" t="s">
        <v>1750</v>
      </c>
      <c r="O65" s="27" t="s">
        <v>1751</v>
      </c>
      <c r="P65" s="28" t="s">
        <v>1752</v>
      </c>
      <c r="Q65" s="29" t="s">
        <v>1365</v>
      </c>
      <c r="R65" s="30" t="s">
        <v>1753</v>
      </c>
      <c r="S65" s="23" t="s">
        <v>1754</v>
      </c>
      <c r="T65" s="23" t="s">
        <v>1748</v>
      </c>
      <c r="U65" s="23" t="s">
        <v>1755</v>
      </c>
      <c r="V65" s="23" t="s">
        <v>1756</v>
      </c>
      <c r="W65" s="23" t="s">
        <v>1749</v>
      </c>
      <c r="X65" s="23" t="s">
        <v>1372</v>
      </c>
      <c r="Y65" s="31" t="s">
        <v>1757</v>
      </c>
      <c r="Z65" s="23" t="s">
        <v>1758</v>
      </c>
      <c r="AA65" s="23" t="s">
        <v>1759</v>
      </c>
      <c r="AB65" s="26" t="s">
        <v>1760</v>
      </c>
      <c r="AC65" s="23" t="s">
        <v>1377</v>
      </c>
      <c r="AD65" s="19"/>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1"/>
      <c r="BK65" s="21"/>
      <c r="BL65" s="21"/>
    </row>
    <row r="66">
      <c r="A66" s="22" t="s">
        <v>1761</v>
      </c>
      <c r="B66" s="23" t="s">
        <v>1762</v>
      </c>
      <c r="C66" s="24" t="s">
        <v>1763</v>
      </c>
      <c r="D66" s="23" t="s">
        <v>1764</v>
      </c>
      <c r="E66" s="23" t="s">
        <v>1765</v>
      </c>
      <c r="F66" s="23" t="s">
        <v>1766</v>
      </c>
      <c r="G66" s="23" t="s">
        <v>1767</v>
      </c>
      <c r="H66" s="23" t="s">
        <v>1768</v>
      </c>
      <c r="I66" s="23" t="s">
        <v>1769</v>
      </c>
      <c r="J66" s="23" t="s">
        <v>1770</v>
      </c>
      <c r="K66" s="25" t="s">
        <v>1771</v>
      </c>
      <c r="L66" s="23" t="s">
        <v>1772</v>
      </c>
      <c r="M66" s="23" t="s">
        <v>1773</v>
      </c>
      <c r="N66" s="26" t="s">
        <v>1774</v>
      </c>
      <c r="O66" s="27" t="s">
        <v>1775</v>
      </c>
      <c r="P66" s="28" t="s">
        <v>1776</v>
      </c>
      <c r="Q66" s="29" t="s">
        <v>1777</v>
      </c>
      <c r="R66" s="30" t="s">
        <v>1778</v>
      </c>
      <c r="S66" s="23" t="s">
        <v>1779</v>
      </c>
      <c r="T66" s="23" t="s">
        <v>1780</v>
      </c>
      <c r="U66" s="23" t="s">
        <v>1781</v>
      </c>
      <c r="V66" s="23" t="s">
        <v>1782</v>
      </c>
      <c r="W66" s="23" t="s">
        <v>1783</v>
      </c>
      <c r="X66" s="23" t="s">
        <v>1784</v>
      </c>
      <c r="Y66" s="31" t="s">
        <v>1785</v>
      </c>
      <c r="Z66" s="23" t="s">
        <v>1786</v>
      </c>
      <c r="AA66" s="23" t="s">
        <v>1787</v>
      </c>
      <c r="AB66" s="26" t="s">
        <v>1788</v>
      </c>
      <c r="AC66" s="23" t="s">
        <v>1789</v>
      </c>
      <c r="AD66" s="19"/>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1"/>
      <c r="BK66" s="21"/>
      <c r="BL66" s="21"/>
    </row>
    <row r="67">
      <c r="A67" s="22" t="s">
        <v>1790</v>
      </c>
      <c r="B67" s="23" t="s">
        <v>1791</v>
      </c>
      <c r="C67" s="24" t="s">
        <v>1792</v>
      </c>
      <c r="D67" s="23" t="s">
        <v>1793</v>
      </c>
      <c r="E67" s="23" t="s">
        <v>1794</v>
      </c>
      <c r="F67" s="23" t="s">
        <v>1795</v>
      </c>
      <c r="G67" s="23" t="s">
        <v>1796</v>
      </c>
      <c r="H67" s="23" t="s">
        <v>1797</v>
      </c>
      <c r="I67" s="23" t="s">
        <v>1798</v>
      </c>
      <c r="J67" s="23" t="s">
        <v>1799</v>
      </c>
      <c r="K67" s="25" t="s">
        <v>1800</v>
      </c>
      <c r="L67" s="23" t="s">
        <v>1801</v>
      </c>
      <c r="M67" s="23" t="s">
        <v>1802</v>
      </c>
      <c r="N67" s="26" t="s">
        <v>1803</v>
      </c>
      <c r="O67" s="27" t="s">
        <v>1804</v>
      </c>
      <c r="P67" s="28" t="s">
        <v>1805</v>
      </c>
      <c r="Q67" s="29" t="s">
        <v>1806</v>
      </c>
      <c r="R67" s="30" t="s">
        <v>1807</v>
      </c>
      <c r="S67" s="23" t="s">
        <v>1808</v>
      </c>
      <c r="T67" s="23" t="s">
        <v>1809</v>
      </c>
      <c r="U67" s="23" t="s">
        <v>1810</v>
      </c>
      <c r="V67" s="23" t="s">
        <v>1811</v>
      </c>
      <c r="W67" s="23" t="s">
        <v>1812</v>
      </c>
      <c r="X67" s="23" t="s">
        <v>1813</v>
      </c>
      <c r="Y67" s="31" t="s">
        <v>1814</v>
      </c>
      <c r="Z67" s="23" t="s">
        <v>1815</v>
      </c>
      <c r="AA67" s="23" t="s">
        <v>1816</v>
      </c>
      <c r="AB67" s="26" t="s">
        <v>1817</v>
      </c>
      <c r="AC67" s="23" t="s">
        <v>1818</v>
      </c>
      <c r="AD67" s="19"/>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1"/>
      <c r="BK67" s="21"/>
      <c r="BL67" s="21"/>
    </row>
    <row r="68">
      <c r="A68" s="22" t="s">
        <v>1819</v>
      </c>
      <c r="B68" s="23" t="s">
        <v>1820</v>
      </c>
      <c r="C68" s="24" t="s">
        <v>1821</v>
      </c>
      <c r="D68" s="23" t="s">
        <v>1822</v>
      </c>
      <c r="E68" s="23" t="s">
        <v>1823</v>
      </c>
      <c r="F68" s="23" t="s">
        <v>1824</v>
      </c>
      <c r="G68" s="23" t="s">
        <v>1825</v>
      </c>
      <c r="H68" s="23" t="s">
        <v>1826</v>
      </c>
      <c r="I68" s="23" t="s">
        <v>1827</v>
      </c>
      <c r="J68" s="23" t="s">
        <v>1828</v>
      </c>
      <c r="K68" s="25" t="s">
        <v>1829</v>
      </c>
      <c r="L68" s="23" t="s">
        <v>1830</v>
      </c>
      <c r="M68" s="23" t="s">
        <v>1831</v>
      </c>
      <c r="N68" s="26" t="s">
        <v>1832</v>
      </c>
      <c r="O68" s="27" t="s">
        <v>1833</v>
      </c>
      <c r="P68" s="28" t="s">
        <v>1834</v>
      </c>
      <c r="Q68" s="29" t="s">
        <v>1835</v>
      </c>
      <c r="R68" s="30" t="s">
        <v>1836</v>
      </c>
      <c r="S68" s="23" t="s">
        <v>1837</v>
      </c>
      <c r="T68" s="23" t="s">
        <v>1838</v>
      </c>
      <c r="U68" s="23" t="s">
        <v>1839</v>
      </c>
      <c r="V68" s="23" t="s">
        <v>1840</v>
      </c>
      <c r="W68" s="23" t="s">
        <v>1841</v>
      </c>
      <c r="X68" s="23" t="s">
        <v>1842</v>
      </c>
      <c r="Y68" s="31" t="s">
        <v>1843</v>
      </c>
      <c r="Z68" s="23" t="s">
        <v>1844</v>
      </c>
      <c r="AA68" s="23" t="s">
        <v>1845</v>
      </c>
      <c r="AB68" s="26" t="s">
        <v>1846</v>
      </c>
      <c r="AC68" s="23" t="s">
        <v>1847</v>
      </c>
      <c r="AD68" s="19"/>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1"/>
      <c r="BK68" s="21"/>
      <c r="BL68" s="21"/>
    </row>
    <row r="69">
      <c r="A69" s="22" t="s">
        <v>1848</v>
      </c>
      <c r="B69" s="23" t="s">
        <v>1849</v>
      </c>
      <c r="C69" s="24" t="s">
        <v>1850</v>
      </c>
      <c r="D69" s="23" t="s">
        <v>1851</v>
      </c>
      <c r="E69" s="23" t="s">
        <v>1852</v>
      </c>
      <c r="F69" s="23" t="s">
        <v>1853</v>
      </c>
      <c r="G69" s="23" t="s">
        <v>1854</v>
      </c>
      <c r="H69" s="23" t="s">
        <v>1855</v>
      </c>
      <c r="I69" s="23" t="s">
        <v>1856</v>
      </c>
      <c r="J69" s="23" t="s">
        <v>1857</v>
      </c>
      <c r="K69" s="25" t="s">
        <v>1858</v>
      </c>
      <c r="L69" s="23" t="s">
        <v>1859</v>
      </c>
      <c r="M69" s="23" t="s">
        <v>1860</v>
      </c>
      <c r="N69" s="26" t="s">
        <v>1861</v>
      </c>
      <c r="O69" s="27" t="s">
        <v>1862</v>
      </c>
      <c r="P69" s="28" t="s">
        <v>1863</v>
      </c>
      <c r="Q69" s="29" t="s">
        <v>1864</v>
      </c>
      <c r="R69" s="30" t="s">
        <v>1865</v>
      </c>
      <c r="S69" s="23" t="s">
        <v>1866</v>
      </c>
      <c r="T69" s="23" t="s">
        <v>1867</v>
      </c>
      <c r="U69" s="23" t="s">
        <v>1868</v>
      </c>
      <c r="V69" s="23" t="s">
        <v>1869</v>
      </c>
      <c r="W69" s="23" t="s">
        <v>1870</v>
      </c>
      <c r="X69" s="23" t="s">
        <v>1871</v>
      </c>
      <c r="Y69" s="31" t="s">
        <v>1872</v>
      </c>
      <c r="Z69" s="23" t="s">
        <v>1873</v>
      </c>
      <c r="AA69" s="23" t="s">
        <v>1874</v>
      </c>
      <c r="AB69" s="26" t="s">
        <v>1875</v>
      </c>
      <c r="AC69" s="23" t="s">
        <v>1876</v>
      </c>
      <c r="AD69" s="19"/>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1"/>
      <c r="BK69" s="21"/>
      <c r="BL69" s="21"/>
    </row>
    <row r="70">
      <c r="A70" s="22" t="s">
        <v>1877</v>
      </c>
      <c r="B70" s="23" t="s">
        <v>1878</v>
      </c>
      <c r="C70" s="24" t="s">
        <v>1879</v>
      </c>
      <c r="D70" s="23" t="s">
        <v>1880</v>
      </c>
      <c r="E70" s="23" t="s">
        <v>1881</v>
      </c>
      <c r="F70" s="23" t="s">
        <v>1882</v>
      </c>
      <c r="G70" s="23" t="s">
        <v>1883</v>
      </c>
      <c r="H70" s="23" t="s">
        <v>1884</v>
      </c>
      <c r="I70" s="23" t="s">
        <v>1885</v>
      </c>
      <c r="J70" s="23" t="s">
        <v>1886</v>
      </c>
      <c r="K70" s="25" t="s">
        <v>1887</v>
      </c>
      <c r="L70" s="23" t="s">
        <v>1888</v>
      </c>
      <c r="M70" s="23" t="s">
        <v>1889</v>
      </c>
      <c r="N70" s="23" t="s">
        <v>1890</v>
      </c>
      <c r="O70" s="27" t="s">
        <v>1891</v>
      </c>
      <c r="P70" s="28" t="s">
        <v>1892</v>
      </c>
      <c r="Q70" s="29" t="s">
        <v>1893</v>
      </c>
      <c r="R70" s="30" t="s">
        <v>1894</v>
      </c>
      <c r="S70" s="23" t="s">
        <v>1895</v>
      </c>
      <c r="T70" s="23" t="s">
        <v>1896</v>
      </c>
      <c r="U70" s="23" t="s">
        <v>1897</v>
      </c>
      <c r="V70" s="23" t="s">
        <v>1898</v>
      </c>
      <c r="W70" s="23" t="s">
        <v>1899</v>
      </c>
      <c r="X70" s="23" t="s">
        <v>1900</v>
      </c>
      <c r="Y70" s="31" t="s">
        <v>1901</v>
      </c>
      <c r="Z70" s="23" t="s">
        <v>1902</v>
      </c>
      <c r="AA70" s="23" t="s">
        <v>1903</v>
      </c>
      <c r="AB70" s="26" t="s">
        <v>1904</v>
      </c>
      <c r="AC70" s="23" t="s">
        <v>1905</v>
      </c>
      <c r="AD70" s="19"/>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1"/>
      <c r="BK70" s="21"/>
      <c r="BL70" s="21"/>
    </row>
    <row r="71">
      <c r="A71" s="22" t="s">
        <v>1906</v>
      </c>
      <c r="B71" s="23" t="s">
        <v>1907</v>
      </c>
      <c r="C71" s="24" t="s">
        <v>1908</v>
      </c>
      <c r="D71" s="23" t="s">
        <v>1909</v>
      </c>
      <c r="E71" s="23" t="s">
        <v>1910</v>
      </c>
      <c r="F71" s="23" t="s">
        <v>1911</v>
      </c>
      <c r="G71" s="23" t="s">
        <v>1912</v>
      </c>
      <c r="H71" s="23" t="s">
        <v>1913</v>
      </c>
      <c r="I71" s="23" t="s">
        <v>1914</v>
      </c>
      <c r="J71" s="23" t="s">
        <v>1915</v>
      </c>
      <c r="K71" s="25" t="s">
        <v>1916</v>
      </c>
      <c r="L71" s="23" t="s">
        <v>1917</v>
      </c>
      <c r="M71" s="23" t="s">
        <v>1918</v>
      </c>
      <c r="N71" s="26" t="s">
        <v>1919</v>
      </c>
      <c r="O71" s="27" t="s">
        <v>1920</v>
      </c>
      <c r="P71" s="28" t="s">
        <v>1921</v>
      </c>
      <c r="Q71" s="29" t="s">
        <v>1922</v>
      </c>
      <c r="R71" s="30" t="s">
        <v>1923</v>
      </c>
      <c r="S71" s="23" t="s">
        <v>1924</v>
      </c>
      <c r="T71" s="23" t="s">
        <v>1925</v>
      </c>
      <c r="U71" s="23" t="s">
        <v>1926</v>
      </c>
      <c r="V71" s="23" t="s">
        <v>1927</v>
      </c>
      <c r="W71" s="23" t="s">
        <v>1928</v>
      </c>
      <c r="X71" s="23" t="s">
        <v>1929</v>
      </c>
      <c r="Y71" s="31" t="s">
        <v>1930</v>
      </c>
      <c r="Z71" s="23" t="s">
        <v>1931</v>
      </c>
      <c r="AA71" s="23" t="s">
        <v>1932</v>
      </c>
      <c r="AB71" s="26" t="s">
        <v>1933</v>
      </c>
      <c r="AC71" s="23" t="s">
        <v>1934</v>
      </c>
      <c r="AD71" s="19"/>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1"/>
      <c r="BK71" s="21"/>
      <c r="BL71" s="21"/>
    </row>
    <row r="72">
      <c r="A72" s="22" t="s">
        <v>1935</v>
      </c>
      <c r="B72" s="23" t="s">
        <v>1072</v>
      </c>
      <c r="C72" s="24" t="s">
        <v>1073</v>
      </c>
      <c r="D72" s="23" t="s">
        <v>1074</v>
      </c>
      <c r="E72" s="23" t="s">
        <v>1075</v>
      </c>
      <c r="F72" s="23" t="s">
        <v>1076</v>
      </c>
      <c r="G72" s="23" t="s">
        <v>1077</v>
      </c>
      <c r="H72" s="23" t="s">
        <v>1078</v>
      </c>
      <c r="I72" s="23" t="s">
        <v>1079</v>
      </c>
      <c r="J72" s="23" t="s">
        <v>1080</v>
      </c>
      <c r="K72" s="25" t="s">
        <v>1081</v>
      </c>
      <c r="L72" s="23" t="s">
        <v>1082</v>
      </c>
      <c r="M72" s="23" t="s">
        <v>1083</v>
      </c>
      <c r="N72" s="26" t="s">
        <v>1084</v>
      </c>
      <c r="O72" s="27" t="s">
        <v>1085</v>
      </c>
      <c r="P72" s="28" t="s">
        <v>1086</v>
      </c>
      <c r="Q72" s="29" t="s">
        <v>1087</v>
      </c>
      <c r="R72" s="30" t="s">
        <v>1088</v>
      </c>
      <c r="S72" s="23" t="s">
        <v>1089</v>
      </c>
      <c r="T72" s="23" t="s">
        <v>1090</v>
      </c>
      <c r="U72" s="23" t="s">
        <v>1091</v>
      </c>
      <c r="V72" s="23" t="s">
        <v>1092</v>
      </c>
      <c r="W72" s="23" t="s">
        <v>1093</v>
      </c>
      <c r="X72" s="23" t="s">
        <v>1094</v>
      </c>
      <c r="Y72" s="31" t="s">
        <v>1095</v>
      </c>
      <c r="Z72" s="23" t="s">
        <v>1096</v>
      </c>
      <c r="AA72" s="23" t="s">
        <v>1097</v>
      </c>
      <c r="AB72" s="26" t="s">
        <v>1098</v>
      </c>
      <c r="AC72" s="23" t="s">
        <v>1099</v>
      </c>
      <c r="AD72" s="19"/>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1"/>
      <c r="BK72" s="21"/>
      <c r="BL72" s="21"/>
    </row>
    <row r="73">
      <c r="A73" s="22" t="s">
        <v>1936</v>
      </c>
      <c r="B73" s="23" t="s">
        <v>1937</v>
      </c>
      <c r="C73" s="24" t="s">
        <v>1938</v>
      </c>
      <c r="D73" s="23" t="s">
        <v>1939</v>
      </c>
      <c r="E73" s="23" t="s">
        <v>1940</v>
      </c>
      <c r="F73" s="23" t="s">
        <v>1941</v>
      </c>
      <c r="G73" s="23" t="s">
        <v>1942</v>
      </c>
      <c r="H73" s="23" t="s">
        <v>1943</v>
      </c>
      <c r="I73" s="23" t="s">
        <v>1944</v>
      </c>
      <c r="J73" s="23" t="s">
        <v>1945</v>
      </c>
      <c r="K73" s="25" t="s">
        <v>1946</v>
      </c>
      <c r="L73" s="23" t="s">
        <v>1947</v>
      </c>
      <c r="M73" s="23" t="s">
        <v>1948</v>
      </c>
      <c r="N73" s="26" t="s">
        <v>1949</v>
      </c>
      <c r="O73" s="27" t="s">
        <v>1950</v>
      </c>
      <c r="P73" s="28" t="s">
        <v>1951</v>
      </c>
      <c r="Q73" s="29" t="s">
        <v>1952</v>
      </c>
      <c r="R73" s="30" t="s">
        <v>1953</v>
      </c>
      <c r="S73" s="23" t="s">
        <v>1954</v>
      </c>
      <c r="T73" s="23" t="s">
        <v>1955</v>
      </c>
      <c r="U73" s="23" t="s">
        <v>1956</v>
      </c>
      <c r="V73" s="23" t="s">
        <v>1957</v>
      </c>
      <c r="W73" s="23" t="s">
        <v>1958</v>
      </c>
      <c r="X73" s="23" t="s">
        <v>1959</v>
      </c>
      <c r="Y73" s="31" t="s">
        <v>1960</v>
      </c>
      <c r="Z73" s="23" t="s">
        <v>1961</v>
      </c>
      <c r="AA73" s="23" t="s">
        <v>1962</v>
      </c>
      <c r="AB73" s="26" t="s">
        <v>1963</v>
      </c>
      <c r="AC73" s="23" t="s">
        <v>1964</v>
      </c>
      <c r="AD73" s="19"/>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1"/>
      <c r="BK73" s="21"/>
      <c r="BL73" s="21"/>
    </row>
    <row r="74">
      <c r="A74" s="22" t="s">
        <v>1965</v>
      </c>
      <c r="B74" s="23" t="s">
        <v>1966</v>
      </c>
      <c r="C74" s="24" t="s">
        <v>1967</v>
      </c>
      <c r="D74" s="23" t="s">
        <v>1968</v>
      </c>
      <c r="E74" s="23" t="s">
        <v>1969</v>
      </c>
      <c r="F74" s="23" t="s">
        <v>1970</v>
      </c>
      <c r="G74" s="23" t="s">
        <v>1971</v>
      </c>
      <c r="H74" s="23" t="s">
        <v>1972</v>
      </c>
      <c r="I74" s="23" t="s">
        <v>1973</v>
      </c>
      <c r="J74" s="23" t="s">
        <v>1974</v>
      </c>
      <c r="K74" s="25" t="s">
        <v>1975</v>
      </c>
      <c r="L74" s="23" t="s">
        <v>1976</v>
      </c>
      <c r="M74" s="23" t="s">
        <v>1977</v>
      </c>
      <c r="N74" s="26" t="s">
        <v>1978</v>
      </c>
      <c r="O74" s="27" t="s">
        <v>1979</v>
      </c>
      <c r="P74" s="28" t="s">
        <v>1980</v>
      </c>
      <c r="Q74" s="29" t="s">
        <v>1981</v>
      </c>
      <c r="R74" s="30" t="s">
        <v>1982</v>
      </c>
      <c r="S74" s="23" t="s">
        <v>1983</v>
      </c>
      <c r="T74" s="23" t="s">
        <v>1984</v>
      </c>
      <c r="U74" s="23" t="s">
        <v>1985</v>
      </c>
      <c r="V74" s="23" t="s">
        <v>1986</v>
      </c>
      <c r="W74" s="23" t="s">
        <v>1987</v>
      </c>
      <c r="X74" s="23" t="s">
        <v>1988</v>
      </c>
      <c r="Y74" s="31" t="s">
        <v>1989</v>
      </c>
      <c r="Z74" s="23" t="s">
        <v>1990</v>
      </c>
      <c r="AA74" s="23" t="s">
        <v>1991</v>
      </c>
      <c r="AB74" s="26" t="s">
        <v>1992</v>
      </c>
      <c r="AC74" s="23" t="s">
        <v>1993</v>
      </c>
      <c r="AD74" s="19"/>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1"/>
      <c r="BK74" s="21"/>
      <c r="BL74" s="21"/>
    </row>
    <row r="75">
      <c r="A75" s="22" t="s">
        <v>1994</v>
      </c>
      <c r="B75" s="23" t="s">
        <v>1995</v>
      </c>
      <c r="C75" s="24" t="s">
        <v>1996</v>
      </c>
      <c r="D75" s="23" t="s">
        <v>1997</v>
      </c>
      <c r="E75" s="23" t="s">
        <v>1998</v>
      </c>
      <c r="F75" s="23" t="s">
        <v>1999</v>
      </c>
      <c r="G75" s="23" t="s">
        <v>2000</v>
      </c>
      <c r="H75" s="23" t="s">
        <v>2001</v>
      </c>
      <c r="I75" s="23" t="s">
        <v>2002</v>
      </c>
      <c r="J75" s="23" t="s">
        <v>2003</v>
      </c>
      <c r="K75" s="25" t="s">
        <v>2004</v>
      </c>
      <c r="L75" s="23" t="s">
        <v>2005</v>
      </c>
      <c r="M75" s="23" t="s">
        <v>2006</v>
      </c>
      <c r="N75" s="26" t="s">
        <v>2007</v>
      </c>
      <c r="O75" s="27" t="s">
        <v>2008</v>
      </c>
      <c r="P75" s="28" t="s">
        <v>2009</v>
      </c>
      <c r="Q75" s="29" t="s">
        <v>2010</v>
      </c>
      <c r="R75" s="30" t="s">
        <v>2011</v>
      </c>
      <c r="S75" s="23" t="s">
        <v>2012</v>
      </c>
      <c r="T75" s="23" t="s">
        <v>2005</v>
      </c>
      <c r="U75" s="23" t="s">
        <v>2013</v>
      </c>
      <c r="V75" s="23" t="s">
        <v>2014</v>
      </c>
      <c r="W75" s="23" t="s">
        <v>2015</v>
      </c>
      <c r="X75" s="23" t="s">
        <v>2016</v>
      </c>
      <c r="Y75" s="31" t="s">
        <v>2017</v>
      </c>
      <c r="Z75" s="23" t="s">
        <v>2018</v>
      </c>
      <c r="AA75" s="23" t="s">
        <v>2019</v>
      </c>
      <c r="AB75" s="26" t="s">
        <v>2020</v>
      </c>
      <c r="AC75" s="23" t="s">
        <v>2021</v>
      </c>
      <c r="AD75" s="19"/>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1"/>
      <c r="BK75" s="21"/>
      <c r="BL75" s="21"/>
    </row>
    <row r="76">
      <c r="A76" s="22" t="s">
        <v>2022</v>
      </c>
      <c r="B76" s="23" t="s">
        <v>2023</v>
      </c>
      <c r="C76" s="24" t="s">
        <v>2024</v>
      </c>
      <c r="D76" s="23" t="s">
        <v>2025</v>
      </c>
      <c r="E76" s="23" t="s">
        <v>2026</v>
      </c>
      <c r="F76" s="23" t="s">
        <v>2027</v>
      </c>
      <c r="G76" s="23" t="s">
        <v>2028</v>
      </c>
      <c r="H76" s="23" t="s">
        <v>2029</v>
      </c>
      <c r="I76" s="23" t="s">
        <v>2030</v>
      </c>
      <c r="J76" s="23" t="s">
        <v>2031</v>
      </c>
      <c r="K76" s="25" t="s">
        <v>2032</v>
      </c>
      <c r="L76" s="23" t="s">
        <v>2033</v>
      </c>
      <c r="M76" s="23" t="s">
        <v>2034</v>
      </c>
      <c r="N76" s="26" t="s">
        <v>2035</v>
      </c>
      <c r="O76" s="27" t="s">
        <v>2036</v>
      </c>
      <c r="P76" s="28" t="s">
        <v>2037</v>
      </c>
      <c r="Q76" s="29" t="s">
        <v>2038</v>
      </c>
      <c r="R76" s="30" t="s">
        <v>2039</v>
      </c>
      <c r="S76" s="23" t="s">
        <v>2040</v>
      </c>
      <c r="T76" s="23" t="s">
        <v>2041</v>
      </c>
      <c r="U76" s="23" t="s">
        <v>2042</v>
      </c>
      <c r="V76" s="23" t="s">
        <v>2043</v>
      </c>
      <c r="W76" s="23" t="s">
        <v>2044</v>
      </c>
      <c r="X76" s="23" t="s">
        <v>2045</v>
      </c>
      <c r="Y76" s="31" t="s">
        <v>2046</v>
      </c>
      <c r="Z76" s="23" t="s">
        <v>2047</v>
      </c>
      <c r="AA76" s="23" t="s">
        <v>2048</v>
      </c>
      <c r="AB76" s="26" t="s">
        <v>2049</v>
      </c>
      <c r="AC76" s="23" t="s">
        <v>2050</v>
      </c>
      <c r="AD76" s="19"/>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1"/>
      <c r="BK76" s="21"/>
      <c r="BL76" s="21"/>
    </row>
    <row r="77">
      <c r="A77" s="22" t="s">
        <v>2051</v>
      </c>
      <c r="B77" s="23" t="s">
        <v>2052</v>
      </c>
      <c r="C77" s="33" t="s">
        <v>2053</v>
      </c>
      <c r="D77" s="23" t="s">
        <v>2054</v>
      </c>
      <c r="E77" s="23" t="s">
        <v>2055</v>
      </c>
      <c r="F77" s="23" t="s">
        <v>2056</v>
      </c>
      <c r="G77" s="23" t="s">
        <v>2057</v>
      </c>
      <c r="H77" s="23" t="s">
        <v>2058</v>
      </c>
      <c r="I77" s="23" t="s">
        <v>2059</v>
      </c>
      <c r="J77" s="23" t="s">
        <v>2060</v>
      </c>
      <c r="K77" s="25" t="s">
        <v>2061</v>
      </c>
      <c r="L77" s="23" t="s">
        <v>2062</v>
      </c>
      <c r="M77" s="23" t="s">
        <v>2063</v>
      </c>
      <c r="N77" s="26" t="s">
        <v>2064</v>
      </c>
      <c r="O77" s="23" t="s">
        <v>2065</v>
      </c>
      <c r="P77" s="28" t="s">
        <v>2066</v>
      </c>
      <c r="Q77" s="29" t="s">
        <v>2067</v>
      </c>
      <c r="R77" s="23" t="s">
        <v>2068</v>
      </c>
      <c r="S77" s="23" t="s">
        <v>2069</v>
      </c>
      <c r="T77" s="23" t="s">
        <v>2062</v>
      </c>
      <c r="U77" s="23" t="s">
        <v>2070</v>
      </c>
      <c r="V77" s="23" t="s">
        <v>2071</v>
      </c>
      <c r="W77" s="23" t="s">
        <v>2072</v>
      </c>
      <c r="X77" s="23" t="s">
        <v>2073</v>
      </c>
      <c r="Y77" s="23" t="s">
        <v>2074</v>
      </c>
      <c r="Z77" s="23" t="s">
        <v>2075</v>
      </c>
      <c r="AA77" s="23" t="s">
        <v>2076</v>
      </c>
      <c r="AB77" s="26" t="s">
        <v>2077</v>
      </c>
      <c r="AC77" s="23" t="s">
        <v>2078</v>
      </c>
      <c r="AD77" s="19"/>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1"/>
      <c r="BK77" s="21"/>
      <c r="BL77" s="21"/>
    </row>
    <row r="78">
      <c r="A78" s="22" t="s">
        <v>2079</v>
      </c>
      <c r="B78" s="23" t="s">
        <v>2080</v>
      </c>
      <c r="C78" s="33" t="s">
        <v>2081</v>
      </c>
      <c r="D78" s="23" t="s">
        <v>2082</v>
      </c>
      <c r="E78" s="23" t="s">
        <v>2083</v>
      </c>
      <c r="F78" s="23" t="s">
        <v>2084</v>
      </c>
      <c r="G78" s="23" t="s">
        <v>2085</v>
      </c>
      <c r="H78" s="23" t="s">
        <v>2086</v>
      </c>
      <c r="I78" s="23" t="s">
        <v>2087</v>
      </c>
      <c r="J78" s="23" t="s">
        <v>2088</v>
      </c>
      <c r="K78" s="25" t="s">
        <v>2089</v>
      </c>
      <c r="L78" s="23" t="s">
        <v>2090</v>
      </c>
      <c r="M78" s="23" t="s">
        <v>2091</v>
      </c>
      <c r="N78" s="26" t="s">
        <v>2092</v>
      </c>
      <c r="O78" s="27" t="s">
        <v>2093</v>
      </c>
      <c r="P78" s="28" t="s">
        <v>2094</v>
      </c>
      <c r="Q78" s="29" t="s">
        <v>2095</v>
      </c>
      <c r="R78" s="23" t="s">
        <v>2096</v>
      </c>
      <c r="S78" s="23" t="s">
        <v>2097</v>
      </c>
      <c r="T78" s="23" t="s">
        <v>2090</v>
      </c>
      <c r="U78" s="23" t="s">
        <v>2098</v>
      </c>
      <c r="V78" s="23" t="s">
        <v>2099</v>
      </c>
      <c r="W78" s="23" t="s">
        <v>2100</v>
      </c>
      <c r="X78" s="23" t="s">
        <v>2101</v>
      </c>
      <c r="Y78" s="23" t="s">
        <v>2102</v>
      </c>
      <c r="Z78" s="23" t="s">
        <v>2103</v>
      </c>
      <c r="AA78" s="23" t="s">
        <v>2104</v>
      </c>
      <c r="AB78" s="26" t="s">
        <v>2105</v>
      </c>
      <c r="AC78" s="23" t="s">
        <v>2106</v>
      </c>
      <c r="AD78" s="19"/>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1"/>
      <c r="BK78" s="21"/>
      <c r="BL78" s="21"/>
    </row>
    <row r="79">
      <c r="A79" s="22" t="s">
        <v>2107</v>
      </c>
      <c r="B79" s="23" t="s">
        <v>2108</v>
      </c>
      <c r="C79" s="24" t="s">
        <v>2109</v>
      </c>
      <c r="D79" s="23" t="s">
        <v>2110</v>
      </c>
      <c r="E79" s="23" t="s">
        <v>2111</v>
      </c>
      <c r="F79" s="23" t="s">
        <v>2112</v>
      </c>
      <c r="G79" s="23" t="s">
        <v>2113</v>
      </c>
      <c r="H79" s="23" t="s">
        <v>2114</v>
      </c>
      <c r="I79" s="23" t="s">
        <v>2115</v>
      </c>
      <c r="J79" s="23" t="s">
        <v>2116</v>
      </c>
      <c r="K79" s="25" t="s">
        <v>2117</v>
      </c>
      <c r="L79" s="23" t="s">
        <v>2118</v>
      </c>
      <c r="M79" s="23" t="s">
        <v>2119</v>
      </c>
      <c r="N79" s="26" t="s">
        <v>2120</v>
      </c>
      <c r="O79" s="27" t="s">
        <v>2121</v>
      </c>
      <c r="P79" s="28" t="s">
        <v>2122</v>
      </c>
      <c r="Q79" s="29" t="s">
        <v>2123</v>
      </c>
      <c r="R79" s="30" t="s">
        <v>2124</v>
      </c>
      <c r="S79" s="23" t="s">
        <v>2125</v>
      </c>
      <c r="T79" s="23" t="s">
        <v>2118</v>
      </c>
      <c r="U79" s="23" t="s">
        <v>2126</v>
      </c>
      <c r="V79" s="23" t="s">
        <v>2127</v>
      </c>
      <c r="W79" s="23" t="s">
        <v>2128</v>
      </c>
      <c r="X79" s="23" t="s">
        <v>2129</v>
      </c>
      <c r="Y79" s="31" t="s">
        <v>2130</v>
      </c>
      <c r="Z79" s="23" t="s">
        <v>2131</v>
      </c>
      <c r="AA79" s="23" t="s">
        <v>2132</v>
      </c>
      <c r="AB79" s="26" t="s">
        <v>2133</v>
      </c>
      <c r="AC79" s="23" t="s">
        <v>2134</v>
      </c>
      <c r="AD79" s="19"/>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1"/>
      <c r="BK79" s="21"/>
      <c r="BL79" s="21"/>
    </row>
    <row r="80">
      <c r="A80" s="22" t="s">
        <v>2135</v>
      </c>
      <c r="B80" s="23" t="s">
        <v>2136</v>
      </c>
      <c r="C80" s="24" t="s">
        <v>2137</v>
      </c>
      <c r="D80" s="23" t="s">
        <v>2138</v>
      </c>
      <c r="E80" s="23" t="s">
        <v>2139</v>
      </c>
      <c r="F80" s="23" t="s">
        <v>2140</v>
      </c>
      <c r="G80" s="23" t="s">
        <v>2141</v>
      </c>
      <c r="H80" s="23" t="s">
        <v>2142</v>
      </c>
      <c r="I80" s="23" t="s">
        <v>2143</v>
      </c>
      <c r="J80" s="23" t="s">
        <v>2144</v>
      </c>
      <c r="K80" s="23" t="s">
        <v>2145</v>
      </c>
      <c r="L80" s="23" t="s">
        <v>2146</v>
      </c>
      <c r="M80" s="23" t="s">
        <v>2147</v>
      </c>
      <c r="N80" s="23" t="s">
        <v>2148</v>
      </c>
      <c r="O80" s="27" t="s">
        <v>2149</v>
      </c>
      <c r="P80" s="23" t="s">
        <v>2150</v>
      </c>
      <c r="Q80" s="23" t="s">
        <v>2151</v>
      </c>
      <c r="R80" s="30" t="s">
        <v>2152</v>
      </c>
      <c r="S80" s="23" t="s">
        <v>2153</v>
      </c>
      <c r="T80" s="23" t="s">
        <v>2154</v>
      </c>
      <c r="U80" s="23" t="s">
        <v>2155</v>
      </c>
      <c r="V80" s="23" t="s">
        <v>2156</v>
      </c>
      <c r="W80" s="23" t="s">
        <v>2157</v>
      </c>
      <c r="X80" s="23" t="s">
        <v>2158</v>
      </c>
      <c r="Y80" s="31" t="s">
        <v>2159</v>
      </c>
      <c r="Z80" s="23" t="s">
        <v>2160</v>
      </c>
      <c r="AA80" s="23" t="s">
        <v>2161</v>
      </c>
      <c r="AB80" s="26" t="s">
        <v>2162</v>
      </c>
      <c r="AC80" s="23" t="s">
        <v>2163</v>
      </c>
      <c r="AD80" s="19"/>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1"/>
      <c r="BK80" s="21"/>
      <c r="BL80" s="21"/>
    </row>
    <row r="81">
      <c r="A81" s="22" t="s">
        <v>2164</v>
      </c>
      <c r="B81" s="23" t="s">
        <v>2165</v>
      </c>
      <c r="C81" s="24" t="s">
        <v>2166</v>
      </c>
      <c r="D81" s="23" t="s">
        <v>2167</v>
      </c>
      <c r="E81" s="23" t="s">
        <v>2168</v>
      </c>
      <c r="F81" s="23" t="s">
        <v>2169</v>
      </c>
      <c r="G81" s="23" t="s">
        <v>2170</v>
      </c>
      <c r="H81" s="23" t="s">
        <v>2171</v>
      </c>
      <c r="I81" s="23" t="s">
        <v>2172</v>
      </c>
      <c r="J81" s="23" t="s">
        <v>2173</v>
      </c>
      <c r="K81" s="25" t="s">
        <v>2174</v>
      </c>
      <c r="L81" s="23" t="s">
        <v>2175</v>
      </c>
      <c r="M81" s="23" t="s">
        <v>2176</v>
      </c>
      <c r="N81" s="26" t="s">
        <v>2177</v>
      </c>
      <c r="O81" s="27" t="s">
        <v>2178</v>
      </c>
      <c r="P81" s="28" t="s">
        <v>2179</v>
      </c>
      <c r="Q81" s="29" t="s">
        <v>2180</v>
      </c>
      <c r="R81" s="30" t="s">
        <v>2181</v>
      </c>
      <c r="S81" s="23" t="s">
        <v>2182</v>
      </c>
      <c r="T81" s="23" t="s">
        <v>2183</v>
      </c>
      <c r="U81" s="23" t="s">
        <v>2184</v>
      </c>
      <c r="V81" s="23" t="s">
        <v>2185</v>
      </c>
      <c r="W81" s="23" t="s">
        <v>2186</v>
      </c>
      <c r="X81" s="23" t="s">
        <v>2187</v>
      </c>
      <c r="Y81" s="31" t="s">
        <v>2188</v>
      </c>
      <c r="Z81" s="23" t="s">
        <v>2189</v>
      </c>
      <c r="AA81" s="23" t="s">
        <v>2190</v>
      </c>
      <c r="AB81" s="26" t="s">
        <v>2191</v>
      </c>
      <c r="AC81" s="23" t="s">
        <v>2192</v>
      </c>
      <c r="AD81" s="19"/>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1"/>
      <c r="BK81" s="21"/>
      <c r="BL81" s="21"/>
    </row>
    <row r="82">
      <c r="A82" s="22" t="s">
        <v>2193</v>
      </c>
      <c r="B82" s="23" t="s">
        <v>2194</v>
      </c>
      <c r="C82" s="24" t="s">
        <v>2195</v>
      </c>
      <c r="D82" s="23" t="s">
        <v>2196</v>
      </c>
      <c r="E82" s="23" t="s">
        <v>2197</v>
      </c>
      <c r="F82" s="23" t="s">
        <v>2198</v>
      </c>
      <c r="G82" s="23" t="s">
        <v>2199</v>
      </c>
      <c r="H82" s="23" t="s">
        <v>2200</v>
      </c>
      <c r="I82" s="23" t="s">
        <v>2201</v>
      </c>
      <c r="J82" s="23" t="s">
        <v>2202</v>
      </c>
      <c r="K82" s="25" t="s">
        <v>2203</v>
      </c>
      <c r="L82" s="23" t="s">
        <v>2204</v>
      </c>
      <c r="M82" s="23" t="s">
        <v>2205</v>
      </c>
      <c r="N82" s="26" t="s">
        <v>2206</v>
      </c>
      <c r="O82" s="27" t="s">
        <v>2207</v>
      </c>
      <c r="P82" s="28" t="s">
        <v>2208</v>
      </c>
      <c r="Q82" s="29" t="s">
        <v>2209</v>
      </c>
      <c r="R82" s="30" t="s">
        <v>2210</v>
      </c>
      <c r="S82" s="23" t="s">
        <v>2211</v>
      </c>
      <c r="T82" s="23" t="s">
        <v>2212</v>
      </c>
      <c r="U82" s="23" t="s">
        <v>2213</v>
      </c>
      <c r="V82" s="23" t="s">
        <v>2214</v>
      </c>
      <c r="W82" s="23" t="s">
        <v>2215</v>
      </c>
      <c r="X82" s="23" t="s">
        <v>2216</v>
      </c>
      <c r="Y82" s="31" t="s">
        <v>2217</v>
      </c>
      <c r="Z82" s="23" t="s">
        <v>2218</v>
      </c>
      <c r="AA82" s="23" t="s">
        <v>2219</v>
      </c>
      <c r="AB82" s="26" t="s">
        <v>2220</v>
      </c>
      <c r="AC82" s="23" t="s">
        <v>2221</v>
      </c>
      <c r="AD82" s="19"/>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1"/>
      <c r="BK82" s="21"/>
      <c r="BL82" s="21"/>
    </row>
    <row r="83">
      <c r="A83" s="22" t="s">
        <v>2222</v>
      </c>
      <c r="B83" s="23" t="s">
        <v>2223</v>
      </c>
      <c r="C83" s="24" t="s">
        <v>2224</v>
      </c>
      <c r="D83" s="23" t="s">
        <v>2225</v>
      </c>
      <c r="E83" s="23" t="s">
        <v>2226</v>
      </c>
      <c r="F83" s="23" t="s">
        <v>2227</v>
      </c>
      <c r="G83" s="23" t="s">
        <v>2228</v>
      </c>
      <c r="H83" s="23" t="s">
        <v>2229</v>
      </c>
      <c r="I83" s="23" t="s">
        <v>2230</v>
      </c>
      <c r="J83" s="23" t="s">
        <v>2231</v>
      </c>
      <c r="K83" s="25" t="s">
        <v>2232</v>
      </c>
      <c r="L83" s="23" t="s">
        <v>2233</v>
      </c>
      <c r="M83" s="23" t="s">
        <v>2234</v>
      </c>
      <c r="N83" s="26" t="s">
        <v>2235</v>
      </c>
      <c r="O83" s="27" t="s">
        <v>2236</v>
      </c>
      <c r="P83" s="28" t="s">
        <v>2237</v>
      </c>
      <c r="Q83" s="29" t="s">
        <v>2238</v>
      </c>
      <c r="R83" s="30" t="s">
        <v>2239</v>
      </c>
      <c r="S83" s="23" t="s">
        <v>2240</v>
      </c>
      <c r="T83" s="23" t="s">
        <v>2241</v>
      </c>
      <c r="U83" s="23" t="s">
        <v>2242</v>
      </c>
      <c r="V83" s="23" t="s">
        <v>2243</v>
      </c>
      <c r="W83" s="23" t="s">
        <v>2244</v>
      </c>
      <c r="X83" s="23" t="s">
        <v>2245</v>
      </c>
      <c r="Y83" s="31" t="s">
        <v>2246</v>
      </c>
      <c r="Z83" s="23" t="s">
        <v>2247</v>
      </c>
      <c r="AA83" s="23" t="s">
        <v>2248</v>
      </c>
      <c r="AB83" s="26" t="s">
        <v>2249</v>
      </c>
      <c r="AC83" s="23" t="s">
        <v>2250</v>
      </c>
      <c r="AD83" s="19"/>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1"/>
      <c r="BK83" s="21"/>
      <c r="BL83" s="21"/>
    </row>
    <row r="84">
      <c r="A84" s="22" t="s">
        <v>2251</v>
      </c>
      <c r="B84" s="23" t="s">
        <v>2252</v>
      </c>
      <c r="C84" s="24" t="s">
        <v>2253</v>
      </c>
      <c r="D84" s="23" t="s">
        <v>2254</v>
      </c>
      <c r="E84" s="23" t="s">
        <v>2255</v>
      </c>
      <c r="F84" s="23" t="s">
        <v>2256</v>
      </c>
      <c r="G84" s="23" t="s">
        <v>2257</v>
      </c>
      <c r="H84" s="23" t="s">
        <v>2258</v>
      </c>
      <c r="I84" s="23" t="s">
        <v>2259</v>
      </c>
      <c r="J84" s="23" t="s">
        <v>2260</v>
      </c>
      <c r="K84" s="25" t="s">
        <v>2261</v>
      </c>
      <c r="L84" s="23" t="s">
        <v>2262</v>
      </c>
      <c r="M84" s="23" t="s">
        <v>2263</v>
      </c>
      <c r="N84" s="26" t="s">
        <v>2264</v>
      </c>
      <c r="O84" s="27" t="s">
        <v>2265</v>
      </c>
      <c r="P84" s="28" t="s">
        <v>2266</v>
      </c>
      <c r="Q84" s="29" t="s">
        <v>2267</v>
      </c>
      <c r="R84" s="23" t="s">
        <v>2268</v>
      </c>
      <c r="S84" s="23" t="s">
        <v>2269</v>
      </c>
      <c r="T84" s="23" t="s">
        <v>2270</v>
      </c>
      <c r="U84" s="23" t="s">
        <v>2271</v>
      </c>
      <c r="V84" s="23" t="s">
        <v>2272</v>
      </c>
      <c r="W84" s="23" t="s">
        <v>2273</v>
      </c>
      <c r="X84" s="23" t="s">
        <v>2274</v>
      </c>
      <c r="Y84" s="31" t="s">
        <v>2275</v>
      </c>
      <c r="Z84" s="23" t="s">
        <v>2276</v>
      </c>
      <c r="AA84" s="23" t="s">
        <v>2277</v>
      </c>
      <c r="AB84" s="26" t="s">
        <v>2278</v>
      </c>
      <c r="AC84" s="23" t="s">
        <v>2279</v>
      </c>
      <c r="AD84" s="19"/>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1"/>
      <c r="BK84" s="21"/>
      <c r="BL84" s="21"/>
    </row>
    <row r="85">
      <c r="A85" s="22" t="s">
        <v>2280</v>
      </c>
      <c r="B85" s="23" t="s">
        <v>2281</v>
      </c>
      <c r="C85" s="24" t="s">
        <v>2282</v>
      </c>
      <c r="D85" s="23" t="s">
        <v>2283</v>
      </c>
      <c r="E85" s="23" t="s">
        <v>2284</v>
      </c>
      <c r="F85" s="23" t="s">
        <v>2285</v>
      </c>
      <c r="G85" s="23" t="s">
        <v>2286</v>
      </c>
      <c r="H85" s="23" t="s">
        <v>2287</v>
      </c>
      <c r="I85" s="23" t="s">
        <v>2288</v>
      </c>
      <c r="J85" s="23" t="s">
        <v>2289</v>
      </c>
      <c r="K85" s="25" t="s">
        <v>2290</v>
      </c>
      <c r="L85" s="23" t="s">
        <v>2291</v>
      </c>
      <c r="M85" s="23" t="s">
        <v>2292</v>
      </c>
      <c r="N85" s="26" t="s">
        <v>2293</v>
      </c>
      <c r="O85" s="27" t="s">
        <v>2294</v>
      </c>
      <c r="P85" s="28" t="s">
        <v>2295</v>
      </c>
      <c r="Q85" s="29" t="s">
        <v>2296</v>
      </c>
      <c r="R85" s="30" t="s">
        <v>2297</v>
      </c>
      <c r="S85" s="23" t="s">
        <v>2298</v>
      </c>
      <c r="T85" s="23" t="s">
        <v>2291</v>
      </c>
      <c r="U85" s="23" t="s">
        <v>2299</v>
      </c>
      <c r="V85" s="23" t="s">
        <v>2300</v>
      </c>
      <c r="W85" s="23" t="s">
        <v>2301</v>
      </c>
      <c r="X85" s="23" t="s">
        <v>2302</v>
      </c>
      <c r="Y85" s="31" t="s">
        <v>2303</v>
      </c>
      <c r="Z85" s="23" t="s">
        <v>2304</v>
      </c>
      <c r="AA85" s="23" t="s">
        <v>2305</v>
      </c>
      <c r="AB85" s="26" t="s">
        <v>2306</v>
      </c>
      <c r="AC85" s="23" t="s">
        <v>2307</v>
      </c>
      <c r="AD85" s="19"/>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1"/>
      <c r="BK85" s="21"/>
      <c r="BL85" s="21"/>
    </row>
    <row r="86">
      <c r="A86" s="22" t="s">
        <v>2308</v>
      </c>
      <c r="B86" s="23" t="s">
        <v>2309</v>
      </c>
      <c r="C86" s="24" t="s">
        <v>2310</v>
      </c>
      <c r="D86" s="23" t="s">
        <v>2311</v>
      </c>
      <c r="E86" s="23" t="s">
        <v>2312</v>
      </c>
      <c r="F86" s="23" t="s">
        <v>2313</v>
      </c>
      <c r="G86" s="23" t="s">
        <v>2314</v>
      </c>
      <c r="H86" s="23" t="s">
        <v>2315</v>
      </c>
      <c r="I86" s="23" t="s">
        <v>2316</v>
      </c>
      <c r="J86" s="23" t="s">
        <v>2317</v>
      </c>
      <c r="K86" s="25" t="s">
        <v>2318</v>
      </c>
      <c r="L86" s="23" t="s">
        <v>2319</v>
      </c>
      <c r="M86" s="23" t="s">
        <v>2320</v>
      </c>
      <c r="N86" s="26" t="s">
        <v>2321</v>
      </c>
      <c r="O86" s="27" t="s">
        <v>2322</v>
      </c>
      <c r="P86" s="28" t="s">
        <v>2323</v>
      </c>
      <c r="Q86" s="29" t="s">
        <v>2324</v>
      </c>
      <c r="R86" s="30" t="s">
        <v>2325</v>
      </c>
      <c r="S86" s="23" t="s">
        <v>2326</v>
      </c>
      <c r="T86" s="23" t="s">
        <v>2327</v>
      </c>
      <c r="U86" s="23" t="s">
        <v>2328</v>
      </c>
      <c r="V86" s="23" t="s">
        <v>2329</v>
      </c>
      <c r="W86" s="23" t="s">
        <v>2330</v>
      </c>
      <c r="X86" s="23" t="s">
        <v>2331</v>
      </c>
      <c r="Y86" s="31" t="s">
        <v>2332</v>
      </c>
      <c r="Z86" s="23" t="s">
        <v>2333</v>
      </c>
      <c r="AA86" s="23" t="s">
        <v>2334</v>
      </c>
      <c r="AB86" s="26" t="s">
        <v>2335</v>
      </c>
      <c r="AC86" s="23" t="s">
        <v>2336</v>
      </c>
      <c r="AD86" s="19"/>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1"/>
      <c r="BK86" s="21"/>
      <c r="BL86" s="21"/>
    </row>
    <row r="87">
      <c r="A87" s="22" t="s">
        <v>2337</v>
      </c>
      <c r="B87" s="23" t="s">
        <v>2338</v>
      </c>
      <c r="C87" s="24" t="s">
        <v>2339</v>
      </c>
      <c r="D87" s="23" t="s">
        <v>2340</v>
      </c>
      <c r="E87" s="23" t="s">
        <v>2341</v>
      </c>
      <c r="F87" s="23" t="s">
        <v>2342</v>
      </c>
      <c r="G87" s="23" t="s">
        <v>2338</v>
      </c>
      <c r="H87" s="23" t="s">
        <v>2343</v>
      </c>
      <c r="I87" s="23" t="s">
        <v>2344</v>
      </c>
      <c r="J87" s="23" t="s">
        <v>2345</v>
      </c>
      <c r="K87" s="25" t="s">
        <v>2346</v>
      </c>
      <c r="L87" s="23" t="s">
        <v>2347</v>
      </c>
      <c r="M87" s="23" t="s">
        <v>2348</v>
      </c>
      <c r="N87" s="26" t="s">
        <v>2349</v>
      </c>
      <c r="O87" s="27" t="s">
        <v>2350</v>
      </c>
      <c r="P87" s="28" t="s">
        <v>2351</v>
      </c>
      <c r="Q87" s="29" t="s">
        <v>2352</v>
      </c>
      <c r="R87" s="30" t="s">
        <v>2353</v>
      </c>
      <c r="S87" s="23" t="s">
        <v>2338</v>
      </c>
      <c r="T87" s="23" t="s">
        <v>2338</v>
      </c>
      <c r="U87" s="23" t="s">
        <v>2354</v>
      </c>
      <c r="V87" s="23" t="s">
        <v>2355</v>
      </c>
      <c r="W87" s="23" t="s">
        <v>2338</v>
      </c>
      <c r="X87" s="23" t="s">
        <v>2338</v>
      </c>
      <c r="Y87" s="23" t="s">
        <v>2338</v>
      </c>
      <c r="Z87" s="23" t="s">
        <v>2356</v>
      </c>
      <c r="AA87" s="23" t="s">
        <v>2357</v>
      </c>
      <c r="AB87" s="26" t="s">
        <v>2358</v>
      </c>
      <c r="AC87" s="23" t="s">
        <v>2338</v>
      </c>
      <c r="AD87" s="19"/>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1"/>
      <c r="BK87" s="21"/>
      <c r="BL87" s="21"/>
    </row>
    <row r="88">
      <c r="A88" s="22" t="s">
        <v>2359</v>
      </c>
      <c r="B88" s="23" t="s">
        <v>2360</v>
      </c>
      <c r="C88" s="24" t="s">
        <v>2361</v>
      </c>
      <c r="D88" s="23" t="s">
        <v>2362</v>
      </c>
      <c r="E88" s="23" t="s">
        <v>2363</v>
      </c>
      <c r="F88" s="23" t="s">
        <v>2364</v>
      </c>
      <c r="G88" s="23" t="s">
        <v>2365</v>
      </c>
      <c r="H88" s="23" t="s">
        <v>2366</v>
      </c>
      <c r="I88" s="23" t="s">
        <v>2367</v>
      </c>
      <c r="J88" s="23" t="s">
        <v>2368</v>
      </c>
      <c r="K88" s="25" t="s">
        <v>2369</v>
      </c>
      <c r="L88" s="23" t="s">
        <v>2370</v>
      </c>
      <c r="M88" s="23" t="s">
        <v>2371</v>
      </c>
      <c r="N88" s="26" t="s">
        <v>2372</v>
      </c>
      <c r="O88" s="27" t="s">
        <v>2373</v>
      </c>
      <c r="P88" s="28" t="s">
        <v>2374</v>
      </c>
      <c r="Q88" s="29" t="s">
        <v>2375</v>
      </c>
      <c r="R88" s="30" t="s">
        <v>2376</v>
      </c>
      <c r="S88" s="23" t="s">
        <v>2377</v>
      </c>
      <c r="T88" s="23" t="s">
        <v>2370</v>
      </c>
      <c r="U88" s="23" t="s">
        <v>2378</v>
      </c>
      <c r="V88" s="23" t="s">
        <v>2379</v>
      </c>
      <c r="W88" s="23" t="s">
        <v>2380</v>
      </c>
      <c r="X88" s="23" t="s">
        <v>2381</v>
      </c>
      <c r="Y88" s="31" t="s">
        <v>2382</v>
      </c>
      <c r="Z88" s="23" t="s">
        <v>2383</v>
      </c>
      <c r="AA88" s="23" t="s">
        <v>2384</v>
      </c>
      <c r="AB88" s="26" t="s">
        <v>2385</v>
      </c>
      <c r="AC88" s="23" t="s">
        <v>2386</v>
      </c>
      <c r="AD88" s="19"/>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1"/>
      <c r="BK88" s="21"/>
      <c r="BL88" s="21"/>
    </row>
    <row r="89">
      <c r="A89" s="22" t="s">
        <v>2387</v>
      </c>
      <c r="B89" s="23" t="s">
        <v>2388</v>
      </c>
      <c r="C89" s="24" t="s">
        <v>2389</v>
      </c>
      <c r="D89" s="23" t="s">
        <v>2390</v>
      </c>
      <c r="E89" s="23" t="s">
        <v>2391</v>
      </c>
      <c r="F89" s="23" t="s">
        <v>2392</v>
      </c>
      <c r="G89" s="23" t="s">
        <v>2393</v>
      </c>
      <c r="H89" s="23" t="s">
        <v>2394</v>
      </c>
      <c r="I89" s="23" t="s">
        <v>2395</v>
      </c>
      <c r="J89" s="23" t="s">
        <v>2396</v>
      </c>
      <c r="K89" s="25" t="s">
        <v>2397</v>
      </c>
      <c r="L89" s="23" t="s">
        <v>2398</v>
      </c>
      <c r="M89" s="23" t="s">
        <v>2399</v>
      </c>
      <c r="N89" s="26" t="s">
        <v>2400</v>
      </c>
      <c r="O89" s="27" t="s">
        <v>2401</v>
      </c>
      <c r="P89" s="28" t="s">
        <v>2402</v>
      </c>
      <c r="Q89" s="29" t="s">
        <v>2403</v>
      </c>
      <c r="R89" s="30" t="s">
        <v>2404</v>
      </c>
      <c r="S89" s="23" t="s">
        <v>2405</v>
      </c>
      <c r="T89" s="23" t="s">
        <v>2406</v>
      </c>
      <c r="U89" s="23" t="s">
        <v>2407</v>
      </c>
      <c r="V89" s="23" t="s">
        <v>2408</v>
      </c>
      <c r="W89" s="23" t="s">
        <v>2409</v>
      </c>
      <c r="X89" s="23" t="s">
        <v>2410</v>
      </c>
      <c r="Y89" s="31" t="s">
        <v>2411</v>
      </c>
      <c r="Z89" s="23" t="s">
        <v>2412</v>
      </c>
      <c r="AA89" s="23" t="s">
        <v>2413</v>
      </c>
      <c r="AB89" s="26" t="s">
        <v>2414</v>
      </c>
      <c r="AC89" s="23" t="s">
        <v>2415</v>
      </c>
      <c r="AD89" s="19"/>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1"/>
      <c r="BK89" s="21"/>
      <c r="BL89" s="21"/>
    </row>
    <row r="90">
      <c r="A90" s="22" t="s">
        <v>2416</v>
      </c>
      <c r="B90" s="23" t="s">
        <v>2417</v>
      </c>
      <c r="C90" s="24" t="s">
        <v>2418</v>
      </c>
      <c r="D90" s="23" t="s">
        <v>2419</v>
      </c>
      <c r="E90" s="23" t="s">
        <v>2420</v>
      </c>
      <c r="F90" s="23" t="s">
        <v>2421</v>
      </c>
      <c r="G90" s="23" t="s">
        <v>2422</v>
      </c>
      <c r="H90" s="23" t="s">
        <v>2423</v>
      </c>
      <c r="I90" s="23" t="s">
        <v>2424</v>
      </c>
      <c r="J90" s="23" t="s">
        <v>2425</v>
      </c>
      <c r="K90" s="25" t="s">
        <v>2426</v>
      </c>
      <c r="L90" s="23" t="s">
        <v>2427</v>
      </c>
      <c r="M90" s="23" t="s">
        <v>2428</v>
      </c>
      <c r="N90" s="26" t="s">
        <v>2429</v>
      </c>
      <c r="O90" s="27" t="s">
        <v>2430</v>
      </c>
      <c r="P90" s="28" t="s">
        <v>2431</v>
      </c>
      <c r="Q90" s="29" t="s">
        <v>2432</v>
      </c>
      <c r="R90" s="30" t="s">
        <v>2433</v>
      </c>
      <c r="S90" s="23" t="s">
        <v>2434</v>
      </c>
      <c r="T90" s="23" t="s">
        <v>2435</v>
      </c>
      <c r="U90" s="23" t="s">
        <v>2436</v>
      </c>
      <c r="V90" s="23" t="s">
        <v>2437</v>
      </c>
      <c r="W90" s="23" t="s">
        <v>2438</v>
      </c>
      <c r="X90" s="23" t="s">
        <v>2439</v>
      </c>
      <c r="Y90" s="31" t="s">
        <v>2440</v>
      </c>
      <c r="Z90" s="23" t="s">
        <v>2441</v>
      </c>
      <c r="AA90" s="23" t="s">
        <v>2442</v>
      </c>
      <c r="AB90" s="26" t="s">
        <v>2443</v>
      </c>
      <c r="AC90" s="23" t="s">
        <v>2444</v>
      </c>
      <c r="AD90" s="19"/>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1"/>
      <c r="BK90" s="21"/>
      <c r="BL90" s="21"/>
    </row>
    <row r="91">
      <c r="A91" s="22" t="s">
        <v>2445</v>
      </c>
      <c r="B91" s="23" t="s">
        <v>2446</v>
      </c>
      <c r="C91" s="24" t="s">
        <v>2447</v>
      </c>
      <c r="D91" s="23" t="s">
        <v>2448</v>
      </c>
      <c r="E91" s="23" t="s">
        <v>2449</v>
      </c>
      <c r="F91" s="23" t="s">
        <v>2450</v>
      </c>
      <c r="G91" s="23" t="s">
        <v>2451</v>
      </c>
      <c r="H91" s="23" t="s">
        <v>2452</v>
      </c>
      <c r="I91" s="23" t="s">
        <v>2453</v>
      </c>
      <c r="J91" s="23" t="s">
        <v>2454</v>
      </c>
      <c r="K91" s="25" t="s">
        <v>2455</v>
      </c>
      <c r="L91" s="23" t="s">
        <v>2456</v>
      </c>
      <c r="M91" s="23" t="s">
        <v>2457</v>
      </c>
      <c r="N91" s="26" t="s">
        <v>2458</v>
      </c>
      <c r="O91" s="27" t="s">
        <v>2459</v>
      </c>
      <c r="P91" s="28" t="s">
        <v>2460</v>
      </c>
      <c r="Q91" s="29" t="s">
        <v>2461</v>
      </c>
      <c r="R91" s="30" t="s">
        <v>2462</v>
      </c>
      <c r="S91" s="23" t="s">
        <v>2463</v>
      </c>
      <c r="T91" s="23" t="s">
        <v>2456</v>
      </c>
      <c r="U91" s="23" t="s">
        <v>2464</v>
      </c>
      <c r="V91" s="23" t="s">
        <v>2465</v>
      </c>
      <c r="W91" s="23" t="s">
        <v>2466</v>
      </c>
      <c r="X91" s="23" t="s">
        <v>2467</v>
      </c>
      <c r="Y91" s="31" t="s">
        <v>2468</v>
      </c>
      <c r="Z91" s="23" t="s">
        <v>2469</v>
      </c>
      <c r="AA91" s="23" t="s">
        <v>2470</v>
      </c>
      <c r="AB91" s="26" t="s">
        <v>2471</v>
      </c>
      <c r="AC91" s="23" t="s">
        <v>2472</v>
      </c>
      <c r="AD91" s="19"/>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1"/>
      <c r="BK91" s="21"/>
      <c r="BL91" s="21"/>
    </row>
    <row r="92">
      <c r="A92" s="22" t="s">
        <v>2473</v>
      </c>
      <c r="B92" s="23" t="s">
        <v>2474</v>
      </c>
      <c r="C92" s="24" t="s">
        <v>2475</v>
      </c>
      <c r="D92" s="23" t="s">
        <v>2476</v>
      </c>
      <c r="E92" s="23" t="s">
        <v>2477</v>
      </c>
      <c r="F92" s="23" t="s">
        <v>2478</v>
      </c>
      <c r="G92" s="23" t="s">
        <v>2479</v>
      </c>
      <c r="H92" s="23" t="s">
        <v>2480</v>
      </c>
      <c r="I92" s="23" t="s">
        <v>2481</v>
      </c>
      <c r="J92" s="23" t="s">
        <v>2482</v>
      </c>
      <c r="K92" s="25" t="s">
        <v>2483</v>
      </c>
      <c r="L92" s="23" t="s">
        <v>2484</v>
      </c>
      <c r="M92" s="23" t="s">
        <v>2485</v>
      </c>
      <c r="N92" s="26" t="s">
        <v>2486</v>
      </c>
      <c r="O92" s="27" t="s">
        <v>2487</v>
      </c>
      <c r="P92" s="28" t="s">
        <v>2488</v>
      </c>
      <c r="Q92" s="29" t="s">
        <v>2489</v>
      </c>
      <c r="R92" s="30" t="s">
        <v>2490</v>
      </c>
      <c r="S92" s="23" t="s">
        <v>2491</v>
      </c>
      <c r="T92" s="23" t="s">
        <v>2492</v>
      </c>
      <c r="U92" s="23" t="s">
        <v>2493</v>
      </c>
      <c r="V92" s="23" t="s">
        <v>2494</v>
      </c>
      <c r="W92" s="23" t="s">
        <v>2495</v>
      </c>
      <c r="X92" s="23" t="s">
        <v>2496</v>
      </c>
      <c r="Y92" s="31" t="s">
        <v>2497</v>
      </c>
      <c r="Z92" s="23" t="s">
        <v>2498</v>
      </c>
      <c r="AA92" s="23" t="s">
        <v>2499</v>
      </c>
      <c r="AB92" s="26" t="s">
        <v>2500</v>
      </c>
      <c r="AC92" s="23" t="s">
        <v>2501</v>
      </c>
      <c r="AD92" s="34"/>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row>
    <row r="93">
      <c r="A93" s="22" t="s">
        <v>2502</v>
      </c>
      <c r="B93" s="23" t="s">
        <v>2503</v>
      </c>
      <c r="C93" s="24" t="s">
        <v>2504</v>
      </c>
      <c r="D93" s="23" t="s">
        <v>2505</v>
      </c>
      <c r="E93" s="23" t="s">
        <v>2506</v>
      </c>
      <c r="F93" s="23" t="s">
        <v>2507</v>
      </c>
      <c r="G93" s="23" t="s">
        <v>2508</v>
      </c>
      <c r="H93" s="23" t="s">
        <v>2509</v>
      </c>
      <c r="I93" s="23" t="s">
        <v>2510</v>
      </c>
      <c r="J93" s="23" t="s">
        <v>2511</v>
      </c>
      <c r="K93" s="25" t="s">
        <v>2512</v>
      </c>
      <c r="L93" s="23" t="s">
        <v>2513</v>
      </c>
      <c r="M93" s="23" t="s">
        <v>2514</v>
      </c>
      <c r="N93" s="26" t="s">
        <v>2515</v>
      </c>
      <c r="O93" s="27" t="s">
        <v>2516</v>
      </c>
      <c r="P93" s="28" t="s">
        <v>2517</v>
      </c>
      <c r="Q93" s="29" t="s">
        <v>2518</v>
      </c>
      <c r="R93" s="30" t="s">
        <v>2519</v>
      </c>
      <c r="S93" s="23" t="s">
        <v>2520</v>
      </c>
      <c r="T93" s="23" t="s">
        <v>2521</v>
      </c>
      <c r="U93" s="23" t="s">
        <v>2522</v>
      </c>
      <c r="V93" s="23" t="s">
        <v>2523</v>
      </c>
      <c r="W93" s="23" t="s">
        <v>2524</v>
      </c>
      <c r="X93" s="23" t="s">
        <v>2525</v>
      </c>
      <c r="Y93" s="31" t="s">
        <v>2526</v>
      </c>
      <c r="Z93" s="23" t="s">
        <v>2527</v>
      </c>
      <c r="AA93" s="23" t="s">
        <v>2528</v>
      </c>
      <c r="AB93" s="26" t="s">
        <v>2529</v>
      </c>
      <c r="AC93" s="23" t="s">
        <v>2530</v>
      </c>
      <c r="AD93" s="19"/>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1"/>
      <c r="BK93" s="21"/>
      <c r="BL93" s="21"/>
    </row>
    <row r="94">
      <c r="A94" s="22" t="s">
        <v>2531</v>
      </c>
      <c r="B94" s="23" t="s">
        <v>2532</v>
      </c>
      <c r="C94" s="24" t="s">
        <v>2533</v>
      </c>
      <c r="D94" s="23" t="s">
        <v>2534</v>
      </c>
      <c r="E94" s="23" t="s">
        <v>2535</v>
      </c>
      <c r="F94" s="23" t="s">
        <v>2536</v>
      </c>
      <c r="G94" s="23" t="s">
        <v>2537</v>
      </c>
      <c r="H94" s="23" t="s">
        <v>2538</v>
      </c>
      <c r="I94" s="23" t="s">
        <v>2539</v>
      </c>
      <c r="J94" s="23" t="s">
        <v>2540</v>
      </c>
      <c r="K94" s="25" t="s">
        <v>2541</v>
      </c>
      <c r="L94" s="23" t="s">
        <v>2542</v>
      </c>
      <c r="M94" s="23" t="s">
        <v>2543</v>
      </c>
      <c r="N94" s="26" t="s">
        <v>2544</v>
      </c>
      <c r="O94" s="27" t="s">
        <v>2545</v>
      </c>
      <c r="P94" s="28" t="s">
        <v>2546</v>
      </c>
      <c r="Q94" s="29" t="s">
        <v>2547</v>
      </c>
      <c r="R94" s="30" t="s">
        <v>2548</v>
      </c>
      <c r="S94" s="23" t="s">
        <v>2549</v>
      </c>
      <c r="T94" s="23" t="s">
        <v>2550</v>
      </c>
      <c r="U94" s="23" t="s">
        <v>2551</v>
      </c>
      <c r="V94" s="23" t="s">
        <v>2552</v>
      </c>
      <c r="W94" s="23" t="s">
        <v>2553</v>
      </c>
      <c r="X94" s="23" t="s">
        <v>2554</v>
      </c>
      <c r="Y94" s="31" t="s">
        <v>2555</v>
      </c>
      <c r="Z94" s="23" t="s">
        <v>2556</v>
      </c>
      <c r="AA94" s="23" t="s">
        <v>2557</v>
      </c>
      <c r="AB94" s="26" t="s">
        <v>2558</v>
      </c>
      <c r="AC94" s="23" t="s">
        <v>2559</v>
      </c>
      <c r="AD94" s="19"/>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1"/>
      <c r="BK94" s="21"/>
      <c r="BL94" s="21"/>
    </row>
    <row r="95">
      <c r="A95" s="22" t="s">
        <v>2560</v>
      </c>
      <c r="B95" s="23" t="s">
        <v>2561</v>
      </c>
      <c r="C95" s="24" t="s">
        <v>2562</v>
      </c>
      <c r="D95" s="23" t="s">
        <v>2563</v>
      </c>
      <c r="E95" s="23" t="s">
        <v>2564</v>
      </c>
      <c r="F95" s="23" t="s">
        <v>2565</v>
      </c>
      <c r="G95" s="23" t="s">
        <v>2566</v>
      </c>
      <c r="H95" s="23" t="s">
        <v>2567</v>
      </c>
      <c r="I95" s="23" t="s">
        <v>2568</v>
      </c>
      <c r="J95" s="23" t="s">
        <v>2569</v>
      </c>
      <c r="K95" s="25" t="s">
        <v>2570</v>
      </c>
      <c r="L95" s="23" t="s">
        <v>2571</v>
      </c>
      <c r="M95" s="23" t="s">
        <v>2572</v>
      </c>
      <c r="N95" s="26" t="s">
        <v>2573</v>
      </c>
      <c r="O95" s="27" t="s">
        <v>2574</v>
      </c>
      <c r="P95" s="28" t="s">
        <v>2575</v>
      </c>
      <c r="Q95" s="29" t="s">
        <v>2576</v>
      </c>
      <c r="R95" s="30" t="s">
        <v>2577</v>
      </c>
      <c r="S95" s="23" t="s">
        <v>2578</v>
      </c>
      <c r="T95" s="23" t="s">
        <v>2579</v>
      </c>
      <c r="U95" s="23" t="s">
        <v>2580</v>
      </c>
      <c r="V95" s="23" t="s">
        <v>2581</v>
      </c>
      <c r="W95" s="23" t="s">
        <v>2582</v>
      </c>
      <c r="X95" s="23" t="s">
        <v>2583</v>
      </c>
      <c r="Y95" s="31" t="s">
        <v>2584</v>
      </c>
      <c r="Z95" s="23" t="s">
        <v>2585</v>
      </c>
      <c r="AA95" s="23" t="s">
        <v>2586</v>
      </c>
      <c r="AB95" s="26" t="s">
        <v>2587</v>
      </c>
      <c r="AC95" s="23" t="s">
        <v>2588</v>
      </c>
      <c r="AD95" s="19"/>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1"/>
      <c r="BK95" s="21"/>
      <c r="BL95" s="21"/>
    </row>
    <row r="96">
      <c r="A96" s="22" t="s">
        <v>2589</v>
      </c>
      <c r="B96" s="23" t="s">
        <v>2590</v>
      </c>
      <c r="C96" s="24" t="s">
        <v>2591</v>
      </c>
      <c r="D96" s="23" t="s">
        <v>2592</v>
      </c>
      <c r="E96" s="23" t="s">
        <v>2593</v>
      </c>
      <c r="F96" s="23" t="s">
        <v>2594</v>
      </c>
      <c r="G96" s="23" t="s">
        <v>2595</v>
      </c>
      <c r="H96" s="23" t="s">
        <v>2596</v>
      </c>
      <c r="I96" s="23" t="s">
        <v>2597</v>
      </c>
      <c r="J96" s="23" t="s">
        <v>2598</v>
      </c>
      <c r="K96" s="25" t="s">
        <v>2599</v>
      </c>
      <c r="L96" s="23" t="s">
        <v>2600</v>
      </c>
      <c r="M96" s="23" t="s">
        <v>2601</v>
      </c>
      <c r="N96" s="26" t="s">
        <v>2602</v>
      </c>
      <c r="O96" s="27" t="s">
        <v>2603</v>
      </c>
      <c r="P96" s="28" t="s">
        <v>2604</v>
      </c>
      <c r="Q96" s="29" t="s">
        <v>2605</v>
      </c>
      <c r="R96" s="30" t="s">
        <v>2606</v>
      </c>
      <c r="S96" s="23" t="s">
        <v>2607</v>
      </c>
      <c r="T96" s="23" t="s">
        <v>2608</v>
      </c>
      <c r="U96" s="23" t="s">
        <v>2609</v>
      </c>
      <c r="V96" s="23" t="s">
        <v>2610</v>
      </c>
      <c r="W96" s="23" t="s">
        <v>2611</v>
      </c>
      <c r="X96" s="23" t="s">
        <v>2612</v>
      </c>
      <c r="Y96" s="31" t="s">
        <v>2613</v>
      </c>
      <c r="Z96" s="23" t="s">
        <v>2614</v>
      </c>
      <c r="AA96" s="23" t="s">
        <v>2615</v>
      </c>
      <c r="AB96" s="26" t="s">
        <v>2616</v>
      </c>
      <c r="AC96" s="23" t="s">
        <v>2617</v>
      </c>
      <c r="AD96" s="19"/>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1"/>
      <c r="BK96" s="21"/>
      <c r="BL96" s="21"/>
    </row>
    <row r="97">
      <c r="A97" s="22" t="s">
        <v>2618</v>
      </c>
      <c r="B97" s="23" t="s">
        <v>2619</v>
      </c>
      <c r="C97" s="24" t="s">
        <v>2620</v>
      </c>
      <c r="D97" s="23" t="s">
        <v>2621</v>
      </c>
      <c r="E97" s="23" t="s">
        <v>2622</v>
      </c>
      <c r="F97" s="23" t="s">
        <v>2623</v>
      </c>
      <c r="G97" s="23" t="s">
        <v>2624</v>
      </c>
      <c r="H97" s="23" t="s">
        <v>2625</v>
      </c>
      <c r="I97" s="23" t="s">
        <v>2626</v>
      </c>
      <c r="J97" s="23" t="s">
        <v>2627</v>
      </c>
      <c r="K97" s="25" t="s">
        <v>2628</v>
      </c>
      <c r="L97" s="23" t="s">
        <v>2629</v>
      </c>
      <c r="M97" s="23" t="s">
        <v>2630</v>
      </c>
      <c r="N97" s="26" t="s">
        <v>2631</v>
      </c>
      <c r="O97" s="27" t="s">
        <v>2632</v>
      </c>
      <c r="P97" s="28" t="s">
        <v>2633</v>
      </c>
      <c r="Q97" s="29" t="s">
        <v>2634</v>
      </c>
      <c r="R97" s="30" t="s">
        <v>2635</v>
      </c>
      <c r="S97" s="23" t="s">
        <v>2636</v>
      </c>
      <c r="T97" s="23" t="s">
        <v>2637</v>
      </c>
      <c r="U97" s="23" t="s">
        <v>2638</v>
      </c>
      <c r="V97" s="23" t="s">
        <v>2639</v>
      </c>
      <c r="W97" s="23" t="s">
        <v>2640</v>
      </c>
      <c r="X97" s="23" t="s">
        <v>2641</v>
      </c>
      <c r="Y97" s="31" t="s">
        <v>2642</v>
      </c>
      <c r="Z97" s="23" t="s">
        <v>2643</v>
      </c>
      <c r="AA97" s="23" t="s">
        <v>2644</v>
      </c>
      <c r="AB97" s="26" t="s">
        <v>2645</v>
      </c>
      <c r="AC97" s="23" t="s">
        <v>2646</v>
      </c>
      <c r="AD97" s="19"/>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1"/>
      <c r="BK97" s="21"/>
      <c r="BL97" s="21"/>
    </row>
    <row r="98">
      <c r="A98" s="22" t="s">
        <v>2647</v>
      </c>
      <c r="B98" s="23" t="s">
        <v>2648</v>
      </c>
      <c r="C98" s="24" t="s">
        <v>2649</v>
      </c>
      <c r="D98" s="23" t="s">
        <v>2650</v>
      </c>
      <c r="E98" s="23" t="s">
        <v>2651</v>
      </c>
      <c r="F98" s="23" t="s">
        <v>2652</v>
      </c>
      <c r="G98" s="23" t="s">
        <v>2653</v>
      </c>
      <c r="H98" s="23" t="s">
        <v>2654</v>
      </c>
      <c r="I98" s="23" t="s">
        <v>2655</v>
      </c>
      <c r="J98" s="23" t="s">
        <v>2656</v>
      </c>
      <c r="K98" s="25" t="s">
        <v>2657</v>
      </c>
      <c r="L98" s="23" t="s">
        <v>2658</v>
      </c>
      <c r="M98" s="23" t="s">
        <v>2648</v>
      </c>
      <c r="N98" s="26" t="s">
        <v>2659</v>
      </c>
      <c r="O98" s="27" t="s">
        <v>2660</v>
      </c>
      <c r="P98" s="28" t="s">
        <v>2661</v>
      </c>
      <c r="Q98" s="29" t="s">
        <v>2662</v>
      </c>
      <c r="R98" s="30" t="s">
        <v>2663</v>
      </c>
      <c r="S98" s="23" t="s">
        <v>2664</v>
      </c>
      <c r="T98" s="23" t="s">
        <v>2665</v>
      </c>
      <c r="U98" s="23" t="s">
        <v>2648</v>
      </c>
      <c r="V98" s="23" t="s">
        <v>2666</v>
      </c>
      <c r="W98" s="23" t="s">
        <v>2667</v>
      </c>
      <c r="X98" s="23" t="s">
        <v>2668</v>
      </c>
      <c r="Y98" s="31" t="s">
        <v>2669</v>
      </c>
      <c r="Z98" s="23" t="s">
        <v>2670</v>
      </c>
      <c r="AA98" s="23" t="s">
        <v>2671</v>
      </c>
      <c r="AB98" s="26" t="s">
        <v>2672</v>
      </c>
      <c r="AC98" s="23" t="s">
        <v>2673</v>
      </c>
      <c r="AD98" s="19"/>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1"/>
      <c r="BK98" s="21"/>
      <c r="BL98" s="21"/>
    </row>
    <row r="99">
      <c r="A99" s="22" t="s">
        <v>2674</v>
      </c>
      <c r="B99" s="23" t="s">
        <v>327</v>
      </c>
      <c r="C99" s="24" t="s">
        <v>328</v>
      </c>
      <c r="D99" s="23" t="s">
        <v>329</v>
      </c>
      <c r="E99" s="23" t="s">
        <v>330</v>
      </c>
      <c r="F99" s="23" t="s">
        <v>331</v>
      </c>
      <c r="G99" s="23" t="s">
        <v>332</v>
      </c>
      <c r="H99" s="23" t="s">
        <v>333</v>
      </c>
      <c r="I99" s="23" t="s">
        <v>334</v>
      </c>
      <c r="J99" s="23" t="s">
        <v>335</v>
      </c>
      <c r="K99" s="25" t="s">
        <v>336</v>
      </c>
      <c r="L99" s="23" t="s">
        <v>337</v>
      </c>
      <c r="M99" s="23" t="s">
        <v>338</v>
      </c>
      <c r="N99" s="26" t="s">
        <v>339</v>
      </c>
      <c r="O99" s="27" t="s">
        <v>340</v>
      </c>
      <c r="P99" s="28" t="s">
        <v>341</v>
      </c>
      <c r="Q99" s="29" t="s">
        <v>342</v>
      </c>
      <c r="R99" s="30" t="s">
        <v>343</v>
      </c>
      <c r="S99" s="23" t="s">
        <v>344</v>
      </c>
      <c r="T99" s="23" t="s">
        <v>345</v>
      </c>
      <c r="U99" s="23" t="s">
        <v>346</v>
      </c>
      <c r="V99" s="23" t="s">
        <v>347</v>
      </c>
      <c r="W99" s="23" t="s">
        <v>348</v>
      </c>
      <c r="X99" s="23" t="s">
        <v>349</v>
      </c>
      <c r="Y99" s="31" t="s">
        <v>350</v>
      </c>
      <c r="Z99" s="23" t="s">
        <v>351</v>
      </c>
      <c r="AA99" s="23" t="s">
        <v>352</v>
      </c>
      <c r="AB99" s="26" t="s">
        <v>353</v>
      </c>
      <c r="AC99" s="23" t="s">
        <v>354</v>
      </c>
      <c r="AD99" s="19"/>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1"/>
      <c r="BK99" s="21"/>
      <c r="BL99" s="21"/>
    </row>
    <row r="100">
      <c r="A100" s="22" t="s">
        <v>2675</v>
      </c>
      <c r="B100" s="23" t="s">
        <v>2676</v>
      </c>
      <c r="C100" s="24" t="s">
        <v>2677</v>
      </c>
      <c r="D100" s="23" t="s">
        <v>2678</v>
      </c>
      <c r="E100" s="23" t="s">
        <v>2676</v>
      </c>
      <c r="F100" s="23" t="s">
        <v>2679</v>
      </c>
      <c r="G100" s="23" t="s">
        <v>2680</v>
      </c>
      <c r="H100" s="23" t="s">
        <v>2681</v>
      </c>
      <c r="I100" s="23" t="s">
        <v>2682</v>
      </c>
      <c r="J100" s="23" t="s">
        <v>2683</v>
      </c>
      <c r="K100" s="25" t="s">
        <v>2684</v>
      </c>
      <c r="L100" s="23" t="s">
        <v>2685</v>
      </c>
      <c r="M100" s="23" t="s">
        <v>2686</v>
      </c>
      <c r="N100" s="26" t="s">
        <v>2687</v>
      </c>
      <c r="O100" s="27" t="s">
        <v>2688</v>
      </c>
      <c r="P100" s="28" t="s">
        <v>2689</v>
      </c>
      <c r="Q100" s="29" t="s">
        <v>2690</v>
      </c>
      <c r="R100" s="30" t="s">
        <v>2691</v>
      </c>
      <c r="S100" s="23" t="s">
        <v>2692</v>
      </c>
      <c r="T100" s="23" t="s">
        <v>2693</v>
      </c>
      <c r="U100" s="23" t="s">
        <v>2694</v>
      </c>
      <c r="V100" s="23" t="s">
        <v>2695</v>
      </c>
      <c r="W100" s="23" t="s">
        <v>2696</v>
      </c>
      <c r="X100" s="23" t="s">
        <v>2697</v>
      </c>
      <c r="Y100" s="31" t="s">
        <v>2698</v>
      </c>
      <c r="Z100" s="23" t="s">
        <v>2699</v>
      </c>
      <c r="AA100" s="23" t="s">
        <v>2700</v>
      </c>
      <c r="AB100" s="26" t="s">
        <v>2701</v>
      </c>
      <c r="AC100" s="23" t="s">
        <v>2702</v>
      </c>
      <c r="AD100" s="19"/>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1"/>
      <c r="BK100" s="21"/>
      <c r="BL100" s="21"/>
    </row>
    <row r="101">
      <c r="A101" s="22" t="s">
        <v>2703</v>
      </c>
      <c r="B101" s="23" t="s">
        <v>2704</v>
      </c>
      <c r="C101" s="24" t="s">
        <v>2705</v>
      </c>
      <c r="D101" s="23" t="s">
        <v>2706</v>
      </c>
      <c r="E101" s="23" t="s">
        <v>2707</v>
      </c>
      <c r="F101" s="23" t="s">
        <v>2708</v>
      </c>
      <c r="G101" s="23" t="s">
        <v>2709</v>
      </c>
      <c r="H101" s="23" t="s">
        <v>2710</v>
      </c>
      <c r="I101" s="23" t="s">
        <v>2711</v>
      </c>
      <c r="J101" s="23" t="s">
        <v>2712</v>
      </c>
      <c r="K101" s="25" t="s">
        <v>2713</v>
      </c>
      <c r="L101" s="23" t="s">
        <v>2714</v>
      </c>
      <c r="M101" s="23" t="s">
        <v>2715</v>
      </c>
      <c r="N101" s="26" t="s">
        <v>2716</v>
      </c>
      <c r="O101" s="27" t="s">
        <v>2717</v>
      </c>
      <c r="P101" s="28" t="s">
        <v>2718</v>
      </c>
      <c r="Q101" s="29" t="s">
        <v>2719</v>
      </c>
      <c r="R101" s="30" t="s">
        <v>2720</v>
      </c>
      <c r="S101" s="23" t="s">
        <v>2721</v>
      </c>
      <c r="T101" s="23" t="s">
        <v>2722</v>
      </c>
      <c r="U101" s="23" t="s">
        <v>2723</v>
      </c>
      <c r="V101" s="23" t="s">
        <v>2724</v>
      </c>
      <c r="W101" s="23" t="s">
        <v>2725</v>
      </c>
      <c r="X101" s="23" t="s">
        <v>2726</v>
      </c>
      <c r="Y101" s="31" t="s">
        <v>2727</v>
      </c>
      <c r="Z101" s="23" t="s">
        <v>2728</v>
      </c>
      <c r="AA101" s="23" t="s">
        <v>2729</v>
      </c>
      <c r="AB101" s="26" t="s">
        <v>2730</v>
      </c>
      <c r="AC101" s="23" t="s">
        <v>2731</v>
      </c>
      <c r="AD101" s="19"/>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1"/>
      <c r="BK101" s="21"/>
      <c r="BL101" s="21"/>
    </row>
    <row r="102">
      <c r="A102" s="22" t="s">
        <v>2732</v>
      </c>
      <c r="B102" s="23" t="s">
        <v>2733</v>
      </c>
      <c r="C102" s="24" t="s">
        <v>2734</v>
      </c>
      <c r="D102" s="23" t="s">
        <v>2735</v>
      </c>
      <c r="E102" s="23" t="s">
        <v>2736</v>
      </c>
      <c r="F102" s="23" t="s">
        <v>2737</v>
      </c>
      <c r="G102" s="23" t="s">
        <v>2738</v>
      </c>
      <c r="H102" s="23" t="s">
        <v>2739</v>
      </c>
      <c r="I102" s="23" t="s">
        <v>2740</v>
      </c>
      <c r="J102" s="23" t="s">
        <v>2741</v>
      </c>
      <c r="K102" s="25" t="s">
        <v>2742</v>
      </c>
      <c r="L102" s="23" t="s">
        <v>2743</v>
      </c>
      <c r="M102" s="23" t="s">
        <v>2744</v>
      </c>
      <c r="N102" s="26" t="s">
        <v>2745</v>
      </c>
      <c r="O102" s="27" t="s">
        <v>2746</v>
      </c>
      <c r="P102" s="28" t="s">
        <v>2747</v>
      </c>
      <c r="Q102" s="29" t="s">
        <v>2748</v>
      </c>
      <c r="R102" s="30" t="s">
        <v>2749</v>
      </c>
      <c r="S102" s="23" t="s">
        <v>2750</v>
      </c>
      <c r="T102" s="23" t="s">
        <v>2751</v>
      </c>
      <c r="U102" s="23" t="s">
        <v>2752</v>
      </c>
      <c r="V102" s="23" t="s">
        <v>2753</v>
      </c>
      <c r="W102" s="23" t="s">
        <v>2754</v>
      </c>
      <c r="X102" s="23" t="s">
        <v>2755</v>
      </c>
      <c r="Y102" s="31" t="s">
        <v>2756</v>
      </c>
      <c r="Z102" s="23" t="s">
        <v>2757</v>
      </c>
      <c r="AA102" s="23" t="s">
        <v>2758</v>
      </c>
      <c r="AB102" s="26" t="s">
        <v>2759</v>
      </c>
      <c r="AC102" s="23" t="s">
        <v>2760</v>
      </c>
      <c r="AD102" s="19"/>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1"/>
      <c r="BK102" s="21"/>
      <c r="BL102" s="21"/>
    </row>
    <row r="103">
      <c r="A103" s="22" t="s">
        <v>2761</v>
      </c>
      <c r="B103" s="23" t="s">
        <v>2762</v>
      </c>
      <c r="C103" s="24" t="s">
        <v>2763</v>
      </c>
      <c r="D103" s="23" t="s">
        <v>2764</v>
      </c>
      <c r="E103" s="23" t="s">
        <v>2765</v>
      </c>
      <c r="F103" s="23" t="s">
        <v>2766</v>
      </c>
      <c r="G103" s="23" t="s">
        <v>2767</v>
      </c>
      <c r="H103" s="23" t="s">
        <v>2768</v>
      </c>
      <c r="I103" s="23" t="s">
        <v>2769</v>
      </c>
      <c r="J103" s="23" t="s">
        <v>2770</v>
      </c>
      <c r="K103" s="25" t="s">
        <v>2771</v>
      </c>
      <c r="L103" s="23" t="s">
        <v>2772</v>
      </c>
      <c r="M103" s="23" t="s">
        <v>2773</v>
      </c>
      <c r="N103" s="26" t="s">
        <v>2774</v>
      </c>
      <c r="O103" s="27" t="s">
        <v>2775</v>
      </c>
      <c r="P103" s="28" t="s">
        <v>2776</v>
      </c>
      <c r="Q103" s="29" t="s">
        <v>2777</v>
      </c>
      <c r="R103" s="30" t="s">
        <v>2778</v>
      </c>
      <c r="S103" s="23" t="s">
        <v>2779</v>
      </c>
      <c r="T103" s="23" t="s">
        <v>2780</v>
      </c>
      <c r="U103" s="23" t="s">
        <v>2781</v>
      </c>
      <c r="V103" s="23" t="s">
        <v>2782</v>
      </c>
      <c r="W103" s="23" t="s">
        <v>2783</v>
      </c>
      <c r="X103" s="23" t="s">
        <v>2784</v>
      </c>
      <c r="Y103" s="31" t="s">
        <v>2785</v>
      </c>
      <c r="Z103" s="23" t="s">
        <v>2786</v>
      </c>
      <c r="AA103" s="23" t="s">
        <v>2787</v>
      </c>
      <c r="AB103" s="26" t="s">
        <v>2788</v>
      </c>
      <c r="AC103" s="23" t="s">
        <v>2789</v>
      </c>
      <c r="AD103" s="19"/>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1"/>
      <c r="BK103" s="21"/>
      <c r="BL103" s="21"/>
    </row>
    <row r="104">
      <c r="A104" s="22" t="s">
        <v>2790</v>
      </c>
      <c r="B104" s="23" t="s">
        <v>2791</v>
      </c>
      <c r="C104" s="24" t="s">
        <v>2792</v>
      </c>
      <c r="D104" s="23" t="s">
        <v>2793</v>
      </c>
      <c r="E104" s="23" t="s">
        <v>2794</v>
      </c>
      <c r="F104" s="23" t="s">
        <v>2795</v>
      </c>
      <c r="G104" s="23" t="s">
        <v>2796</v>
      </c>
      <c r="H104" s="23" t="s">
        <v>2797</v>
      </c>
      <c r="I104" s="23" t="s">
        <v>2798</v>
      </c>
      <c r="J104" s="23" t="s">
        <v>2799</v>
      </c>
      <c r="K104" s="25" t="s">
        <v>2800</v>
      </c>
      <c r="L104" s="23" t="s">
        <v>2801</v>
      </c>
      <c r="M104" s="23" t="s">
        <v>2802</v>
      </c>
      <c r="N104" s="26" t="s">
        <v>2803</v>
      </c>
      <c r="O104" s="27" t="s">
        <v>2804</v>
      </c>
      <c r="P104" s="28" t="s">
        <v>2805</v>
      </c>
      <c r="Q104" s="29" t="s">
        <v>2806</v>
      </c>
      <c r="R104" s="30" t="s">
        <v>2807</v>
      </c>
      <c r="S104" s="23" t="s">
        <v>2808</v>
      </c>
      <c r="T104" s="23" t="s">
        <v>2809</v>
      </c>
      <c r="U104" s="23" t="s">
        <v>2810</v>
      </c>
      <c r="V104" s="23" t="s">
        <v>2811</v>
      </c>
      <c r="W104" s="23" t="s">
        <v>2812</v>
      </c>
      <c r="X104" s="23" t="s">
        <v>2813</v>
      </c>
      <c r="Y104" s="31" t="s">
        <v>2814</v>
      </c>
      <c r="Z104" s="23" t="s">
        <v>2815</v>
      </c>
      <c r="AA104" s="23" t="s">
        <v>2816</v>
      </c>
      <c r="AB104" s="26" t="s">
        <v>2817</v>
      </c>
      <c r="AC104" s="23" t="s">
        <v>2818</v>
      </c>
      <c r="AD104" s="19"/>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1"/>
      <c r="BK104" s="21"/>
      <c r="BL104" s="21"/>
    </row>
    <row r="105">
      <c r="A105" s="22" t="s">
        <v>2819</v>
      </c>
      <c r="B105" s="23" t="s">
        <v>2820</v>
      </c>
      <c r="C105" s="24" t="s">
        <v>2821</v>
      </c>
      <c r="D105" s="23" t="s">
        <v>2822</v>
      </c>
      <c r="E105" s="23" t="s">
        <v>2823</v>
      </c>
      <c r="F105" s="23" t="s">
        <v>2824</v>
      </c>
      <c r="G105" s="23" t="s">
        <v>2825</v>
      </c>
      <c r="H105" s="23" t="s">
        <v>2826</v>
      </c>
      <c r="I105" s="23" t="s">
        <v>2827</v>
      </c>
      <c r="J105" s="23" t="s">
        <v>2828</v>
      </c>
      <c r="K105" s="25" t="s">
        <v>2829</v>
      </c>
      <c r="L105" s="23" t="s">
        <v>2830</v>
      </c>
      <c r="M105" s="23" t="s">
        <v>2831</v>
      </c>
      <c r="N105" s="26" t="s">
        <v>2832</v>
      </c>
      <c r="O105" s="27" t="s">
        <v>2833</v>
      </c>
      <c r="P105" s="28" t="s">
        <v>2834</v>
      </c>
      <c r="Q105" s="29" t="s">
        <v>2835</v>
      </c>
      <c r="R105" s="30" t="s">
        <v>2836</v>
      </c>
      <c r="S105" s="23" t="s">
        <v>2837</v>
      </c>
      <c r="T105" s="23" t="s">
        <v>2838</v>
      </c>
      <c r="U105" s="23" t="s">
        <v>2839</v>
      </c>
      <c r="V105" s="23" t="s">
        <v>2840</v>
      </c>
      <c r="W105" s="23" t="s">
        <v>2841</v>
      </c>
      <c r="X105" s="23" t="s">
        <v>2842</v>
      </c>
      <c r="Y105" s="31" t="s">
        <v>2843</v>
      </c>
      <c r="Z105" s="23" t="s">
        <v>2844</v>
      </c>
      <c r="AA105" s="23" t="s">
        <v>2845</v>
      </c>
      <c r="AB105" s="26" t="s">
        <v>2846</v>
      </c>
      <c r="AC105" s="23" t="s">
        <v>2847</v>
      </c>
      <c r="AD105" s="19"/>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1"/>
      <c r="BK105" s="21"/>
      <c r="BL105" s="21"/>
    </row>
    <row r="106">
      <c r="A106" s="22" t="s">
        <v>2848</v>
      </c>
      <c r="B106" s="23" t="s">
        <v>2849</v>
      </c>
      <c r="C106" s="24" t="s">
        <v>2850</v>
      </c>
      <c r="D106" s="23" t="s">
        <v>2851</v>
      </c>
      <c r="E106" s="23" t="s">
        <v>2852</v>
      </c>
      <c r="F106" s="23" t="s">
        <v>2853</v>
      </c>
      <c r="G106" s="23" t="s">
        <v>2854</v>
      </c>
      <c r="H106" s="23" t="s">
        <v>2855</v>
      </c>
      <c r="I106" s="23" t="s">
        <v>2856</v>
      </c>
      <c r="J106" s="23" t="s">
        <v>2857</v>
      </c>
      <c r="K106" s="25" t="s">
        <v>2858</v>
      </c>
      <c r="L106" s="23" t="s">
        <v>2859</v>
      </c>
      <c r="M106" s="23" t="s">
        <v>2860</v>
      </c>
      <c r="N106" s="26" t="s">
        <v>2861</v>
      </c>
      <c r="O106" s="27" t="s">
        <v>2862</v>
      </c>
      <c r="P106" s="28" t="s">
        <v>2863</v>
      </c>
      <c r="Q106" s="29" t="s">
        <v>2864</v>
      </c>
      <c r="R106" s="30" t="s">
        <v>2865</v>
      </c>
      <c r="S106" s="23" t="s">
        <v>2866</v>
      </c>
      <c r="T106" s="23" t="s">
        <v>2867</v>
      </c>
      <c r="U106" s="23" t="s">
        <v>2868</v>
      </c>
      <c r="V106" s="23" t="s">
        <v>2869</v>
      </c>
      <c r="W106" s="23" t="s">
        <v>2870</v>
      </c>
      <c r="X106" s="23" t="s">
        <v>2871</v>
      </c>
      <c r="Y106" s="31" t="s">
        <v>2872</v>
      </c>
      <c r="Z106" s="23" t="s">
        <v>2873</v>
      </c>
      <c r="AA106" s="23" t="s">
        <v>2874</v>
      </c>
      <c r="AB106" s="26" t="s">
        <v>2875</v>
      </c>
      <c r="AC106" s="23" t="s">
        <v>2876</v>
      </c>
      <c r="AD106" s="19"/>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1"/>
      <c r="BK106" s="21"/>
      <c r="BL106" s="21"/>
    </row>
    <row r="107">
      <c r="A107" s="22" t="s">
        <v>2877</v>
      </c>
      <c r="B107" s="23" t="s">
        <v>2878</v>
      </c>
      <c r="C107" s="24" t="s">
        <v>2879</v>
      </c>
      <c r="D107" s="23" t="s">
        <v>2880</v>
      </c>
      <c r="E107" s="23" t="s">
        <v>2881</v>
      </c>
      <c r="F107" s="23" t="s">
        <v>2882</v>
      </c>
      <c r="G107" s="23" t="s">
        <v>2883</v>
      </c>
      <c r="H107" s="23" t="s">
        <v>2884</v>
      </c>
      <c r="I107" s="23" t="s">
        <v>2885</v>
      </c>
      <c r="J107" s="23" t="s">
        <v>2886</v>
      </c>
      <c r="K107" s="25" t="s">
        <v>2887</v>
      </c>
      <c r="L107" s="23" t="s">
        <v>2888</v>
      </c>
      <c r="M107" s="23" t="s">
        <v>2889</v>
      </c>
      <c r="N107" s="26" t="s">
        <v>2890</v>
      </c>
      <c r="O107" s="27" t="s">
        <v>2891</v>
      </c>
      <c r="P107" s="28" t="s">
        <v>2892</v>
      </c>
      <c r="Q107" s="29" t="s">
        <v>2893</v>
      </c>
      <c r="R107" s="30" t="s">
        <v>2894</v>
      </c>
      <c r="S107" s="23" t="s">
        <v>2895</v>
      </c>
      <c r="T107" s="23" t="s">
        <v>2888</v>
      </c>
      <c r="U107" s="23" t="s">
        <v>2896</v>
      </c>
      <c r="V107" s="23" t="s">
        <v>2897</v>
      </c>
      <c r="W107" s="23" t="s">
        <v>2898</v>
      </c>
      <c r="X107" s="23" t="s">
        <v>2899</v>
      </c>
      <c r="Y107" s="31" t="s">
        <v>2900</v>
      </c>
      <c r="Z107" s="23" t="s">
        <v>2901</v>
      </c>
      <c r="AA107" s="23" t="s">
        <v>2899</v>
      </c>
      <c r="AB107" s="26" t="s">
        <v>2902</v>
      </c>
      <c r="AC107" s="23" t="s">
        <v>2903</v>
      </c>
      <c r="AD107" s="19"/>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1"/>
      <c r="BK107" s="21"/>
      <c r="BL107" s="21"/>
    </row>
    <row r="108">
      <c r="A108" s="22" t="s">
        <v>2904</v>
      </c>
      <c r="B108" s="23" t="s">
        <v>2905</v>
      </c>
      <c r="C108" s="24" t="s">
        <v>2906</v>
      </c>
      <c r="D108" s="23" t="s">
        <v>2907</v>
      </c>
      <c r="E108" s="23" t="s">
        <v>2908</v>
      </c>
      <c r="F108" s="23" t="s">
        <v>2909</v>
      </c>
      <c r="G108" s="23" t="s">
        <v>2910</v>
      </c>
      <c r="H108" s="23" t="s">
        <v>2911</v>
      </c>
      <c r="I108" s="23" t="s">
        <v>2912</v>
      </c>
      <c r="J108" s="23" t="s">
        <v>2913</v>
      </c>
      <c r="K108" s="25" t="s">
        <v>2914</v>
      </c>
      <c r="L108" s="23" t="s">
        <v>2915</v>
      </c>
      <c r="M108" s="23" t="s">
        <v>2916</v>
      </c>
      <c r="N108" s="23" t="s">
        <v>2917</v>
      </c>
      <c r="O108" s="23" t="s">
        <v>2918</v>
      </c>
      <c r="P108" s="28" t="s">
        <v>2919</v>
      </c>
      <c r="Q108" s="23" t="s">
        <v>2920</v>
      </c>
      <c r="R108" s="23" t="s">
        <v>2921</v>
      </c>
      <c r="S108" s="23" t="s">
        <v>2922</v>
      </c>
      <c r="T108" s="23" t="s">
        <v>2923</v>
      </c>
      <c r="U108" s="23" t="s">
        <v>2924</v>
      </c>
      <c r="V108" s="23" t="s">
        <v>2925</v>
      </c>
      <c r="W108" s="23" t="s">
        <v>2926</v>
      </c>
      <c r="X108" s="23" t="s">
        <v>2927</v>
      </c>
      <c r="Y108" s="23" t="s">
        <v>2928</v>
      </c>
      <c r="Z108" s="23" t="s">
        <v>2929</v>
      </c>
      <c r="AA108" s="23" t="s">
        <v>2930</v>
      </c>
      <c r="AB108" s="23" t="s">
        <v>2931</v>
      </c>
      <c r="AC108" s="23" t="s">
        <v>2932</v>
      </c>
      <c r="AD108" s="19"/>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1"/>
      <c r="BK108" s="21"/>
      <c r="BL108" s="21"/>
    </row>
    <row r="109">
      <c r="A109" s="22" t="s">
        <v>2933</v>
      </c>
      <c r="B109" s="23" t="s">
        <v>2934</v>
      </c>
      <c r="C109" s="24" t="s">
        <v>2935</v>
      </c>
      <c r="D109" s="23" t="s">
        <v>2936</v>
      </c>
      <c r="E109" s="23" t="s">
        <v>2937</v>
      </c>
      <c r="F109" s="23" t="s">
        <v>2938</v>
      </c>
      <c r="G109" s="23" t="s">
        <v>2939</v>
      </c>
      <c r="H109" s="23" t="s">
        <v>2940</v>
      </c>
      <c r="I109" s="23" t="s">
        <v>2941</v>
      </c>
      <c r="J109" s="23" t="s">
        <v>2942</v>
      </c>
      <c r="K109" s="25" t="s">
        <v>2943</v>
      </c>
      <c r="L109" s="23" t="s">
        <v>2944</v>
      </c>
      <c r="M109" s="23" t="s">
        <v>2945</v>
      </c>
      <c r="N109" s="26" t="s">
        <v>2946</v>
      </c>
      <c r="O109" s="27" t="s">
        <v>2947</v>
      </c>
      <c r="P109" s="28" t="s">
        <v>2948</v>
      </c>
      <c r="Q109" s="29" t="s">
        <v>2949</v>
      </c>
      <c r="R109" s="30" t="s">
        <v>2950</v>
      </c>
      <c r="S109" s="23" t="s">
        <v>2951</v>
      </c>
      <c r="T109" s="23" t="s">
        <v>2952</v>
      </c>
      <c r="U109" s="23" t="s">
        <v>2953</v>
      </c>
      <c r="V109" s="23" t="s">
        <v>2954</v>
      </c>
      <c r="W109" s="23" t="s">
        <v>2955</v>
      </c>
      <c r="X109" s="23" t="s">
        <v>2956</v>
      </c>
      <c r="Y109" s="31" t="s">
        <v>2957</v>
      </c>
      <c r="Z109" s="23" t="s">
        <v>2958</v>
      </c>
      <c r="AA109" s="23" t="s">
        <v>2959</v>
      </c>
      <c r="AB109" s="26" t="s">
        <v>2946</v>
      </c>
      <c r="AC109" s="23" t="s">
        <v>2960</v>
      </c>
      <c r="AD109" s="19"/>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1"/>
      <c r="BK109" s="21"/>
      <c r="BL109" s="21"/>
    </row>
    <row r="110">
      <c r="A110" s="22" t="s">
        <v>2961</v>
      </c>
      <c r="B110" s="23" t="s">
        <v>2962</v>
      </c>
      <c r="C110" s="24" t="s">
        <v>2963</v>
      </c>
      <c r="D110" s="23" t="s">
        <v>2964</v>
      </c>
      <c r="E110" s="23" t="s">
        <v>2965</v>
      </c>
      <c r="F110" s="23" t="s">
        <v>2966</v>
      </c>
      <c r="G110" s="23" t="s">
        <v>2967</v>
      </c>
      <c r="H110" s="23" t="s">
        <v>2968</v>
      </c>
      <c r="I110" s="23" t="s">
        <v>2969</v>
      </c>
      <c r="J110" s="23" t="s">
        <v>2970</v>
      </c>
      <c r="K110" s="25" t="s">
        <v>2971</v>
      </c>
      <c r="L110" s="23" t="s">
        <v>2972</v>
      </c>
      <c r="M110" s="23" t="s">
        <v>2973</v>
      </c>
      <c r="N110" s="26" t="s">
        <v>2974</v>
      </c>
      <c r="O110" s="27" t="s">
        <v>2975</v>
      </c>
      <c r="P110" s="28" t="s">
        <v>2976</v>
      </c>
      <c r="Q110" s="23" t="s">
        <v>2977</v>
      </c>
      <c r="R110" s="30" t="s">
        <v>2978</v>
      </c>
      <c r="S110" s="23" t="s">
        <v>2979</v>
      </c>
      <c r="T110" s="23" t="s">
        <v>2980</v>
      </c>
      <c r="U110" s="23" t="s">
        <v>2981</v>
      </c>
      <c r="V110" s="23" t="s">
        <v>2982</v>
      </c>
      <c r="W110" s="23" t="s">
        <v>2983</v>
      </c>
      <c r="X110" s="23" t="s">
        <v>2984</v>
      </c>
      <c r="Y110" s="23" t="s">
        <v>2985</v>
      </c>
      <c r="Z110" s="23" t="s">
        <v>2986</v>
      </c>
      <c r="AA110" s="23" t="s">
        <v>2987</v>
      </c>
      <c r="AB110" s="26" t="s">
        <v>2988</v>
      </c>
      <c r="AC110" s="23" t="s">
        <v>2989</v>
      </c>
      <c r="AD110" s="19"/>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1"/>
      <c r="BK110" s="21"/>
      <c r="BL110" s="21"/>
    </row>
    <row r="111">
      <c r="A111" s="22" t="s">
        <v>2990</v>
      </c>
      <c r="B111" s="23" t="s">
        <v>2991</v>
      </c>
      <c r="C111" s="24" t="s">
        <v>2992</v>
      </c>
      <c r="D111" s="23" t="s">
        <v>2993</v>
      </c>
      <c r="E111" s="23" t="s">
        <v>2994</v>
      </c>
      <c r="F111" s="23" t="s">
        <v>2995</v>
      </c>
      <c r="G111" s="23" t="s">
        <v>2996</v>
      </c>
      <c r="H111" s="23" t="s">
        <v>2997</v>
      </c>
      <c r="I111" s="23" t="s">
        <v>2998</v>
      </c>
      <c r="J111" s="23" t="s">
        <v>2999</v>
      </c>
      <c r="K111" s="25" t="s">
        <v>3000</v>
      </c>
      <c r="L111" s="23" t="s">
        <v>3001</v>
      </c>
      <c r="M111" s="23" t="s">
        <v>3002</v>
      </c>
      <c r="N111" s="26" t="s">
        <v>3003</v>
      </c>
      <c r="O111" s="27" t="s">
        <v>3004</v>
      </c>
      <c r="P111" s="28" t="s">
        <v>3005</v>
      </c>
      <c r="Q111" s="29" t="s">
        <v>3006</v>
      </c>
      <c r="R111" s="30" t="s">
        <v>3007</v>
      </c>
      <c r="S111" s="23" t="s">
        <v>3008</v>
      </c>
      <c r="T111" s="23" t="s">
        <v>3009</v>
      </c>
      <c r="U111" s="23" t="s">
        <v>3010</v>
      </c>
      <c r="V111" s="23" t="s">
        <v>3011</v>
      </c>
      <c r="W111" s="23" t="s">
        <v>3012</v>
      </c>
      <c r="X111" s="23" t="s">
        <v>3013</v>
      </c>
      <c r="Y111" s="31" t="s">
        <v>3014</v>
      </c>
      <c r="Z111" s="23" t="s">
        <v>3015</v>
      </c>
      <c r="AA111" s="23" t="s">
        <v>3016</v>
      </c>
      <c r="AB111" s="26" t="s">
        <v>3017</v>
      </c>
      <c r="AC111" s="23" t="s">
        <v>3018</v>
      </c>
      <c r="AD111" s="19"/>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1"/>
      <c r="BK111" s="21"/>
      <c r="BL111" s="21"/>
    </row>
    <row r="112">
      <c r="A112" s="22" t="s">
        <v>3019</v>
      </c>
      <c r="B112" s="23" t="s">
        <v>3020</v>
      </c>
      <c r="C112" s="24" t="s">
        <v>3021</v>
      </c>
      <c r="D112" s="23" t="s">
        <v>3022</v>
      </c>
      <c r="E112" s="23" t="s">
        <v>3023</v>
      </c>
      <c r="F112" s="23" t="s">
        <v>3024</v>
      </c>
      <c r="G112" s="23" t="s">
        <v>3025</v>
      </c>
      <c r="H112" s="23" t="s">
        <v>3026</v>
      </c>
      <c r="I112" s="23" t="s">
        <v>3027</v>
      </c>
      <c r="J112" s="23" t="s">
        <v>3028</v>
      </c>
      <c r="K112" s="25" t="s">
        <v>3029</v>
      </c>
      <c r="L112" s="23" t="s">
        <v>3030</v>
      </c>
      <c r="M112" s="23" t="s">
        <v>3031</v>
      </c>
      <c r="N112" s="26" t="s">
        <v>3032</v>
      </c>
      <c r="O112" s="27" t="s">
        <v>3033</v>
      </c>
      <c r="P112" s="28" t="s">
        <v>3034</v>
      </c>
      <c r="Q112" s="29" t="s">
        <v>3035</v>
      </c>
      <c r="R112" s="30" t="s">
        <v>3036</v>
      </c>
      <c r="S112" s="23" t="s">
        <v>3037</v>
      </c>
      <c r="T112" s="23" t="s">
        <v>3038</v>
      </c>
      <c r="U112" s="23" t="s">
        <v>3039</v>
      </c>
      <c r="V112" s="23" t="s">
        <v>3040</v>
      </c>
      <c r="W112" s="23" t="s">
        <v>3041</v>
      </c>
      <c r="X112" s="23" t="s">
        <v>3042</v>
      </c>
      <c r="Y112" s="31" t="s">
        <v>3043</v>
      </c>
      <c r="Z112" s="23" t="s">
        <v>3044</v>
      </c>
      <c r="AA112" s="23" t="s">
        <v>3045</v>
      </c>
      <c r="AB112" s="26" t="s">
        <v>3046</v>
      </c>
      <c r="AC112" s="23" t="s">
        <v>3047</v>
      </c>
      <c r="AD112" s="19"/>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1"/>
      <c r="BK112" s="21"/>
      <c r="BL112" s="21"/>
    </row>
    <row r="113">
      <c r="A113" s="22" t="s">
        <v>3048</v>
      </c>
      <c r="B113" s="23" t="s">
        <v>3049</v>
      </c>
      <c r="C113" s="24" t="s">
        <v>3050</v>
      </c>
      <c r="D113" s="23" t="s">
        <v>3051</v>
      </c>
      <c r="E113" s="23" t="s">
        <v>3052</v>
      </c>
      <c r="F113" s="23" t="s">
        <v>3053</v>
      </c>
      <c r="G113" s="23" t="s">
        <v>3054</v>
      </c>
      <c r="H113" s="23" t="s">
        <v>3055</v>
      </c>
      <c r="I113" s="23" t="s">
        <v>3056</v>
      </c>
      <c r="J113" s="23" t="s">
        <v>3057</v>
      </c>
      <c r="K113" s="25" t="s">
        <v>3058</v>
      </c>
      <c r="L113" s="23" t="s">
        <v>3059</v>
      </c>
      <c r="M113" s="23" t="s">
        <v>3060</v>
      </c>
      <c r="N113" s="26" t="s">
        <v>3061</v>
      </c>
      <c r="O113" s="27" t="s">
        <v>3062</v>
      </c>
      <c r="P113" s="28" t="s">
        <v>3063</v>
      </c>
      <c r="Q113" s="29" t="s">
        <v>3064</v>
      </c>
      <c r="R113" s="30" t="s">
        <v>3065</v>
      </c>
      <c r="S113" s="23" t="s">
        <v>3066</v>
      </c>
      <c r="T113" s="23" t="s">
        <v>3067</v>
      </c>
      <c r="U113" s="23" t="s">
        <v>3068</v>
      </c>
      <c r="V113" s="23" t="s">
        <v>3069</v>
      </c>
      <c r="W113" s="23" t="s">
        <v>3070</v>
      </c>
      <c r="X113" s="23" t="s">
        <v>3071</v>
      </c>
      <c r="Y113" s="31" t="s">
        <v>3072</v>
      </c>
      <c r="Z113" s="23" t="s">
        <v>3073</v>
      </c>
      <c r="AA113" s="23" t="s">
        <v>3074</v>
      </c>
      <c r="AB113" s="26" t="s">
        <v>3075</v>
      </c>
      <c r="AC113" s="23" t="s">
        <v>3076</v>
      </c>
      <c r="AD113" s="19"/>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1"/>
      <c r="BK113" s="21"/>
      <c r="BL113" s="21"/>
    </row>
    <row r="114">
      <c r="A114" s="22" t="s">
        <v>3077</v>
      </c>
      <c r="B114" s="23" t="s">
        <v>3078</v>
      </c>
      <c r="C114" s="24" t="s">
        <v>3079</v>
      </c>
      <c r="D114" s="23" t="s">
        <v>3080</v>
      </c>
      <c r="E114" s="23" t="s">
        <v>3081</v>
      </c>
      <c r="F114" s="23" t="s">
        <v>3082</v>
      </c>
      <c r="G114" s="23" t="s">
        <v>3083</v>
      </c>
      <c r="H114" s="23" t="s">
        <v>3084</v>
      </c>
      <c r="I114" s="23" t="s">
        <v>3085</v>
      </c>
      <c r="J114" s="23" t="s">
        <v>3086</v>
      </c>
      <c r="K114" s="25" t="s">
        <v>3087</v>
      </c>
      <c r="L114" s="23" t="s">
        <v>3088</v>
      </c>
      <c r="M114" s="23" t="s">
        <v>3089</v>
      </c>
      <c r="N114" s="26" t="s">
        <v>3090</v>
      </c>
      <c r="O114" s="27" t="s">
        <v>3091</v>
      </c>
      <c r="P114" s="28" t="s">
        <v>3092</v>
      </c>
      <c r="Q114" s="29" t="s">
        <v>3093</v>
      </c>
      <c r="R114" s="30" t="s">
        <v>3094</v>
      </c>
      <c r="S114" s="23" t="s">
        <v>3095</v>
      </c>
      <c r="T114" s="23" t="s">
        <v>3096</v>
      </c>
      <c r="U114" s="23" t="s">
        <v>3097</v>
      </c>
      <c r="V114" s="23" t="s">
        <v>3098</v>
      </c>
      <c r="W114" s="23" t="s">
        <v>3099</v>
      </c>
      <c r="X114" s="23" t="s">
        <v>3100</v>
      </c>
      <c r="Y114" s="31" t="s">
        <v>3101</v>
      </c>
      <c r="Z114" s="23" t="s">
        <v>3102</v>
      </c>
      <c r="AA114" s="23" t="s">
        <v>3103</v>
      </c>
      <c r="AB114" s="26" t="s">
        <v>3104</v>
      </c>
      <c r="AC114" s="23" t="s">
        <v>3105</v>
      </c>
      <c r="AD114" s="19"/>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1"/>
      <c r="BK114" s="21"/>
      <c r="BL114" s="21"/>
    </row>
    <row r="115">
      <c r="A115" s="22" t="s">
        <v>3106</v>
      </c>
      <c r="B115" s="23" t="s">
        <v>3107</v>
      </c>
      <c r="C115" s="24" t="s">
        <v>3108</v>
      </c>
      <c r="D115" s="23" t="s">
        <v>3109</v>
      </c>
      <c r="E115" s="23" t="s">
        <v>3110</v>
      </c>
      <c r="F115" s="23" t="s">
        <v>3111</v>
      </c>
      <c r="G115" s="23" t="s">
        <v>3112</v>
      </c>
      <c r="H115" s="23" t="s">
        <v>3113</v>
      </c>
      <c r="I115" s="23" t="s">
        <v>3114</v>
      </c>
      <c r="J115" s="23" t="s">
        <v>3115</v>
      </c>
      <c r="K115" s="25" t="s">
        <v>3116</v>
      </c>
      <c r="L115" s="23" t="s">
        <v>3117</v>
      </c>
      <c r="M115" s="23" t="s">
        <v>3118</v>
      </c>
      <c r="N115" s="26" t="s">
        <v>3119</v>
      </c>
      <c r="O115" s="27" t="s">
        <v>3120</v>
      </c>
      <c r="P115" s="28" t="s">
        <v>3121</v>
      </c>
      <c r="Q115" s="29" t="s">
        <v>3122</v>
      </c>
      <c r="R115" s="30" t="s">
        <v>3123</v>
      </c>
      <c r="S115" s="23" t="s">
        <v>3124</v>
      </c>
      <c r="T115" s="23" t="s">
        <v>3117</v>
      </c>
      <c r="U115" s="23" t="s">
        <v>3125</v>
      </c>
      <c r="V115" s="23" t="s">
        <v>3126</v>
      </c>
      <c r="W115" s="23" t="s">
        <v>3127</v>
      </c>
      <c r="X115" s="23" t="s">
        <v>3128</v>
      </c>
      <c r="Y115" s="31" t="s">
        <v>3129</v>
      </c>
      <c r="Z115" s="23" t="s">
        <v>3130</v>
      </c>
      <c r="AA115" s="23" t="s">
        <v>3131</v>
      </c>
      <c r="AB115" s="26" t="s">
        <v>3132</v>
      </c>
      <c r="AC115" s="23" t="s">
        <v>3133</v>
      </c>
      <c r="AD115" s="19"/>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1"/>
      <c r="BK115" s="21"/>
      <c r="BL115" s="21"/>
    </row>
    <row r="116">
      <c r="A116" s="22" t="s">
        <v>3134</v>
      </c>
      <c r="B116" s="23" t="s">
        <v>3135</v>
      </c>
      <c r="C116" s="24" t="s">
        <v>3136</v>
      </c>
      <c r="D116" s="23" t="s">
        <v>3137</v>
      </c>
      <c r="E116" s="23" t="s">
        <v>3138</v>
      </c>
      <c r="F116" s="23" t="s">
        <v>3139</v>
      </c>
      <c r="G116" s="23" t="s">
        <v>3140</v>
      </c>
      <c r="H116" s="23" t="s">
        <v>3141</v>
      </c>
      <c r="I116" s="23" t="s">
        <v>3142</v>
      </c>
      <c r="J116" s="23" t="s">
        <v>3143</v>
      </c>
      <c r="K116" s="25" t="s">
        <v>3144</v>
      </c>
      <c r="L116" s="23" t="s">
        <v>3145</v>
      </c>
      <c r="M116" s="23" t="s">
        <v>3146</v>
      </c>
      <c r="N116" s="26" t="s">
        <v>3147</v>
      </c>
      <c r="O116" s="27" t="s">
        <v>3148</v>
      </c>
      <c r="P116" s="28" t="s">
        <v>3149</v>
      </c>
      <c r="Q116" s="29" t="s">
        <v>3150</v>
      </c>
      <c r="R116" s="30" t="s">
        <v>3151</v>
      </c>
      <c r="S116" s="23" t="s">
        <v>3152</v>
      </c>
      <c r="T116" s="23" t="s">
        <v>3145</v>
      </c>
      <c r="U116" s="23" t="s">
        <v>3153</v>
      </c>
      <c r="V116" s="23" t="s">
        <v>3154</v>
      </c>
      <c r="W116" s="23" t="s">
        <v>3155</v>
      </c>
      <c r="X116" s="23" t="s">
        <v>3156</v>
      </c>
      <c r="Y116" s="31" t="s">
        <v>3157</v>
      </c>
      <c r="Z116" s="23" t="s">
        <v>3158</v>
      </c>
      <c r="AA116" s="23" t="s">
        <v>3159</v>
      </c>
      <c r="AB116" s="26" t="s">
        <v>3160</v>
      </c>
      <c r="AC116" s="23" t="s">
        <v>3161</v>
      </c>
      <c r="AD116" s="19"/>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1"/>
      <c r="BK116" s="21"/>
      <c r="BL116" s="21"/>
    </row>
    <row r="117">
      <c r="A117" s="22" t="s">
        <v>3162</v>
      </c>
      <c r="B117" s="23" t="s">
        <v>3163</v>
      </c>
      <c r="C117" s="24" t="s">
        <v>3164</v>
      </c>
      <c r="D117" s="23" t="s">
        <v>3165</v>
      </c>
      <c r="E117" s="23" t="s">
        <v>3166</v>
      </c>
      <c r="F117" s="23" t="s">
        <v>3167</v>
      </c>
      <c r="G117" s="23" t="s">
        <v>3168</v>
      </c>
      <c r="H117" s="23" t="s">
        <v>3169</v>
      </c>
      <c r="I117" s="23" t="s">
        <v>3170</v>
      </c>
      <c r="J117" s="23" t="s">
        <v>3171</v>
      </c>
      <c r="K117" s="25" t="s">
        <v>3172</v>
      </c>
      <c r="L117" s="23" t="s">
        <v>3173</v>
      </c>
      <c r="M117" s="23" t="s">
        <v>3174</v>
      </c>
      <c r="N117" s="26" t="s">
        <v>3175</v>
      </c>
      <c r="O117" s="27" t="s">
        <v>3176</v>
      </c>
      <c r="P117" s="28" t="s">
        <v>3177</v>
      </c>
      <c r="Q117" s="29" t="s">
        <v>3178</v>
      </c>
      <c r="R117" s="30" t="s">
        <v>3179</v>
      </c>
      <c r="S117" s="23" t="s">
        <v>3180</v>
      </c>
      <c r="T117" s="23" t="s">
        <v>3173</v>
      </c>
      <c r="U117" s="23" t="s">
        <v>3181</v>
      </c>
      <c r="V117" s="23" t="s">
        <v>3182</v>
      </c>
      <c r="W117" s="23" t="s">
        <v>3183</v>
      </c>
      <c r="X117" s="23" t="s">
        <v>3184</v>
      </c>
      <c r="Y117" s="31" t="s">
        <v>3185</v>
      </c>
      <c r="Z117" s="23" t="s">
        <v>3186</v>
      </c>
      <c r="AA117" s="23" t="s">
        <v>3187</v>
      </c>
      <c r="AB117" s="26" t="s">
        <v>3188</v>
      </c>
      <c r="AC117" s="23" t="s">
        <v>3189</v>
      </c>
      <c r="AD117" s="19"/>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1"/>
      <c r="BK117" s="21"/>
      <c r="BL117" s="21"/>
    </row>
    <row r="118">
      <c r="A118" s="22" t="s">
        <v>3190</v>
      </c>
      <c r="B118" s="23" t="s">
        <v>3191</v>
      </c>
      <c r="C118" s="24" t="s">
        <v>3192</v>
      </c>
      <c r="D118" s="23" t="s">
        <v>3193</v>
      </c>
      <c r="E118" s="23" t="s">
        <v>3194</v>
      </c>
      <c r="F118" s="23" t="s">
        <v>3195</v>
      </c>
      <c r="G118" s="23" t="s">
        <v>3196</v>
      </c>
      <c r="H118" s="23" t="s">
        <v>3197</v>
      </c>
      <c r="I118" s="23" t="s">
        <v>3198</v>
      </c>
      <c r="J118" s="23" t="s">
        <v>3199</v>
      </c>
      <c r="K118" s="25" t="s">
        <v>3200</v>
      </c>
      <c r="L118" s="23" t="s">
        <v>3201</v>
      </c>
      <c r="M118" s="23" t="s">
        <v>3202</v>
      </c>
      <c r="N118" s="26" t="s">
        <v>3203</v>
      </c>
      <c r="O118" s="27" t="s">
        <v>3204</v>
      </c>
      <c r="P118" s="28" t="s">
        <v>3205</v>
      </c>
      <c r="Q118" s="29" t="s">
        <v>3206</v>
      </c>
      <c r="R118" s="30" t="s">
        <v>3207</v>
      </c>
      <c r="S118" s="23" t="s">
        <v>3208</v>
      </c>
      <c r="T118" s="23" t="s">
        <v>3209</v>
      </c>
      <c r="U118" s="23" t="s">
        <v>3210</v>
      </c>
      <c r="V118" s="23" t="s">
        <v>3211</v>
      </c>
      <c r="W118" s="23" t="s">
        <v>3212</v>
      </c>
      <c r="X118" s="23" t="s">
        <v>3213</v>
      </c>
      <c r="Y118" s="31" t="s">
        <v>3214</v>
      </c>
      <c r="Z118" s="23" t="s">
        <v>3215</v>
      </c>
      <c r="AA118" s="23" t="s">
        <v>3216</v>
      </c>
      <c r="AB118" s="26" t="s">
        <v>3217</v>
      </c>
      <c r="AC118" s="23" t="s">
        <v>3218</v>
      </c>
      <c r="AD118" s="19"/>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1"/>
      <c r="BK118" s="21"/>
      <c r="BL118" s="21"/>
    </row>
    <row r="119">
      <c r="A119" s="22" t="s">
        <v>3219</v>
      </c>
      <c r="B119" s="23" t="s">
        <v>3220</v>
      </c>
      <c r="C119" s="24" t="s">
        <v>3221</v>
      </c>
      <c r="D119" s="23" t="s">
        <v>3222</v>
      </c>
      <c r="E119" s="23" t="s">
        <v>3223</v>
      </c>
      <c r="F119" s="23" t="s">
        <v>3224</v>
      </c>
      <c r="G119" s="23" t="s">
        <v>3225</v>
      </c>
      <c r="H119" s="23" t="s">
        <v>3226</v>
      </c>
      <c r="I119" s="23" t="s">
        <v>3227</v>
      </c>
      <c r="J119" s="23" t="s">
        <v>3228</v>
      </c>
      <c r="K119" s="25" t="s">
        <v>3229</v>
      </c>
      <c r="L119" s="23" t="s">
        <v>3230</v>
      </c>
      <c r="M119" s="23" t="s">
        <v>3225</v>
      </c>
      <c r="N119" s="26" t="s">
        <v>3231</v>
      </c>
      <c r="O119" s="27" t="s">
        <v>3232</v>
      </c>
      <c r="P119" s="28" t="s">
        <v>3233</v>
      </c>
      <c r="Q119" s="29" t="s">
        <v>3234</v>
      </c>
      <c r="R119" s="30" t="s">
        <v>3235</v>
      </c>
      <c r="S119" s="23" t="s">
        <v>3236</v>
      </c>
      <c r="T119" s="23" t="s">
        <v>3237</v>
      </c>
      <c r="U119" s="23" t="s">
        <v>3238</v>
      </c>
      <c r="V119" s="23" t="s">
        <v>3239</v>
      </c>
      <c r="W119" s="23" t="s">
        <v>3225</v>
      </c>
      <c r="X119" s="23" t="s">
        <v>3240</v>
      </c>
      <c r="Y119" s="31" t="s">
        <v>3241</v>
      </c>
      <c r="Z119" s="23" t="s">
        <v>3237</v>
      </c>
      <c r="AA119" s="23" t="s">
        <v>3242</v>
      </c>
      <c r="AB119" s="26" t="s">
        <v>3243</v>
      </c>
      <c r="AC119" s="23" t="s">
        <v>3244</v>
      </c>
      <c r="AD119" s="19"/>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1"/>
      <c r="BK119" s="21"/>
      <c r="BL119" s="21"/>
    </row>
    <row r="120">
      <c r="A120" s="22" t="s">
        <v>3245</v>
      </c>
      <c r="B120" s="23" t="s">
        <v>3246</v>
      </c>
      <c r="C120" s="24" t="s">
        <v>3247</v>
      </c>
      <c r="D120" s="23" t="s">
        <v>3246</v>
      </c>
      <c r="E120" s="23" t="s">
        <v>3246</v>
      </c>
      <c r="F120" s="23" t="s">
        <v>839</v>
      </c>
      <c r="G120" s="23" t="s">
        <v>840</v>
      </c>
      <c r="H120" s="23" t="s">
        <v>3248</v>
      </c>
      <c r="I120" s="23" t="s">
        <v>3249</v>
      </c>
      <c r="J120" s="23" t="s">
        <v>843</v>
      </c>
      <c r="K120" s="25" t="s">
        <v>3250</v>
      </c>
      <c r="L120" s="23" t="s">
        <v>3251</v>
      </c>
      <c r="M120" s="23" t="s">
        <v>3252</v>
      </c>
      <c r="N120" s="26" t="s">
        <v>3253</v>
      </c>
      <c r="O120" s="27" t="s">
        <v>3254</v>
      </c>
      <c r="P120" s="28" t="s">
        <v>3255</v>
      </c>
      <c r="Q120" s="29" t="s">
        <v>3256</v>
      </c>
      <c r="R120" s="30" t="s">
        <v>657</v>
      </c>
      <c r="S120" s="23" t="s">
        <v>3257</v>
      </c>
      <c r="T120" s="23" t="s">
        <v>3258</v>
      </c>
      <c r="U120" s="23" t="s">
        <v>3259</v>
      </c>
      <c r="V120" s="23" t="s">
        <v>3260</v>
      </c>
      <c r="W120" s="23" t="s">
        <v>3261</v>
      </c>
      <c r="X120" s="23" t="s">
        <v>3262</v>
      </c>
      <c r="Y120" s="31" t="s">
        <v>664</v>
      </c>
      <c r="Z120" s="23" t="s">
        <v>3263</v>
      </c>
      <c r="AA120" s="23" t="s">
        <v>852</v>
      </c>
      <c r="AB120" s="26" t="s">
        <v>667</v>
      </c>
      <c r="AC120" s="23" t="s">
        <v>3264</v>
      </c>
      <c r="AD120" s="19"/>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1"/>
      <c r="BK120" s="21"/>
      <c r="BL120" s="21"/>
    </row>
    <row r="121">
      <c r="A121" s="22" t="s">
        <v>3265</v>
      </c>
      <c r="B121" s="23" t="s">
        <v>3266</v>
      </c>
      <c r="C121" s="24" t="s">
        <v>3267</v>
      </c>
      <c r="D121" s="23" t="s">
        <v>3268</v>
      </c>
      <c r="E121" s="23" t="s">
        <v>3269</v>
      </c>
      <c r="F121" s="23" t="s">
        <v>3270</v>
      </c>
      <c r="G121" s="23" t="s">
        <v>3271</v>
      </c>
      <c r="H121" s="23" t="s">
        <v>3272</v>
      </c>
      <c r="I121" s="23" t="s">
        <v>3273</v>
      </c>
      <c r="J121" s="23" t="s">
        <v>3274</v>
      </c>
      <c r="K121" s="25" t="s">
        <v>3275</v>
      </c>
      <c r="L121" s="23" t="s">
        <v>3276</v>
      </c>
      <c r="M121" s="23" t="s">
        <v>3277</v>
      </c>
      <c r="N121" s="26" t="s">
        <v>3278</v>
      </c>
      <c r="O121" s="27" t="s">
        <v>3279</v>
      </c>
      <c r="P121" s="28" t="s">
        <v>3280</v>
      </c>
      <c r="Q121" s="29" t="s">
        <v>3281</v>
      </c>
      <c r="R121" s="30" t="s">
        <v>3282</v>
      </c>
      <c r="S121" s="23" t="s">
        <v>3283</v>
      </c>
      <c r="T121" s="23" t="s">
        <v>3284</v>
      </c>
      <c r="U121" s="23" t="s">
        <v>3285</v>
      </c>
      <c r="V121" s="23" t="s">
        <v>3286</v>
      </c>
      <c r="W121" s="23" t="s">
        <v>3287</v>
      </c>
      <c r="X121" s="23" t="s">
        <v>3288</v>
      </c>
      <c r="Y121" s="31" t="s">
        <v>3289</v>
      </c>
      <c r="Z121" s="23" t="s">
        <v>3290</v>
      </c>
      <c r="AA121" s="23" t="s">
        <v>3291</v>
      </c>
      <c r="AB121" s="26" t="s">
        <v>3292</v>
      </c>
      <c r="AC121" s="23" t="s">
        <v>3293</v>
      </c>
      <c r="AD121" s="19"/>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1"/>
      <c r="BK121" s="21"/>
      <c r="BL121" s="21"/>
    </row>
    <row r="122">
      <c r="A122" s="22" t="s">
        <v>3294</v>
      </c>
      <c r="B122" s="23" t="s">
        <v>3295</v>
      </c>
      <c r="C122" s="24" t="s">
        <v>3296</v>
      </c>
      <c r="D122" s="23" t="s">
        <v>3297</v>
      </c>
      <c r="E122" s="23" t="s">
        <v>3298</v>
      </c>
      <c r="F122" s="23" t="s">
        <v>3299</v>
      </c>
      <c r="G122" s="23" t="s">
        <v>3300</v>
      </c>
      <c r="H122" s="23" t="s">
        <v>3301</v>
      </c>
      <c r="I122" s="23" t="s">
        <v>3302</v>
      </c>
      <c r="J122" s="23" t="s">
        <v>1577</v>
      </c>
      <c r="K122" s="25" t="s">
        <v>3303</v>
      </c>
      <c r="L122" s="23" t="s">
        <v>3304</v>
      </c>
      <c r="M122" s="23" t="s">
        <v>3305</v>
      </c>
      <c r="N122" s="26" t="s">
        <v>3306</v>
      </c>
      <c r="O122" s="27" t="s">
        <v>3307</v>
      </c>
      <c r="P122" s="28" t="s">
        <v>3308</v>
      </c>
      <c r="Q122" s="29" t="s">
        <v>3309</v>
      </c>
      <c r="R122" s="30" t="s">
        <v>3310</v>
      </c>
      <c r="S122" s="23" t="s">
        <v>3311</v>
      </c>
      <c r="T122" s="23" t="s">
        <v>3312</v>
      </c>
      <c r="U122" s="23" t="s">
        <v>3313</v>
      </c>
      <c r="V122" s="23" t="s">
        <v>3314</v>
      </c>
      <c r="W122" s="23" t="s">
        <v>3315</v>
      </c>
      <c r="X122" s="23" t="s">
        <v>3316</v>
      </c>
      <c r="Y122" s="31" t="s">
        <v>3317</v>
      </c>
      <c r="Z122" s="23" t="s">
        <v>3318</v>
      </c>
      <c r="AA122" s="23" t="s">
        <v>3319</v>
      </c>
      <c r="AB122" s="26" t="s">
        <v>3320</v>
      </c>
      <c r="AC122" s="23" t="s">
        <v>3321</v>
      </c>
      <c r="AD122" s="19"/>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1"/>
      <c r="BK122" s="21"/>
      <c r="BL122" s="21"/>
    </row>
    <row r="123">
      <c r="A123" s="22" t="s">
        <v>3322</v>
      </c>
      <c r="B123" s="23" t="s">
        <v>3323</v>
      </c>
      <c r="C123" s="24" t="s">
        <v>3324</v>
      </c>
      <c r="D123" s="23" t="s">
        <v>3325</v>
      </c>
      <c r="E123" s="23" t="s">
        <v>3326</v>
      </c>
      <c r="F123" s="23" t="s">
        <v>3327</v>
      </c>
      <c r="G123" s="23" t="s">
        <v>3328</v>
      </c>
      <c r="H123" s="23" t="s">
        <v>3329</v>
      </c>
      <c r="I123" s="23" t="s">
        <v>3330</v>
      </c>
      <c r="J123" s="23" t="s">
        <v>3331</v>
      </c>
      <c r="K123" s="25" t="s">
        <v>3332</v>
      </c>
      <c r="L123" s="23" t="s">
        <v>3333</v>
      </c>
      <c r="M123" s="23" t="s">
        <v>3334</v>
      </c>
      <c r="N123" s="26" t="s">
        <v>3335</v>
      </c>
      <c r="O123" s="27" t="s">
        <v>3336</v>
      </c>
      <c r="P123" s="28" t="s">
        <v>3337</v>
      </c>
      <c r="Q123" s="29" t="s">
        <v>3338</v>
      </c>
      <c r="R123" s="30" t="s">
        <v>3339</v>
      </c>
      <c r="S123" s="23" t="s">
        <v>3340</v>
      </c>
      <c r="T123" s="23" t="s">
        <v>3341</v>
      </c>
      <c r="U123" s="23" t="s">
        <v>3323</v>
      </c>
      <c r="V123" s="23" t="s">
        <v>3342</v>
      </c>
      <c r="W123" s="23" t="s">
        <v>3343</v>
      </c>
      <c r="X123" s="23" t="s">
        <v>3344</v>
      </c>
      <c r="Y123" s="31" t="s">
        <v>3345</v>
      </c>
      <c r="Z123" s="23" t="s">
        <v>3346</v>
      </c>
      <c r="AA123" s="23" t="s">
        <v>3347</v>
      </c>
      <c r="AB123" s="26" t="s">
        <v>3348</v>
      </c>
      <c r="AC123" s="23" t="s">
        <v>3323</v>
      </c>
      <c r="AD123" s="19"/>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1"/>
      <c r="BK123" s="21"/>
      <c r="BL123" s="21"/>
    </row>
    <row r="124">
      <c r="A124" s="22" t="s">
        <v>3349</v>
      </c>
      <c r="B124" s="23" t="s">
        <v>3350</v>
      </c>
      <c r="C124" s="24" t="s">
        <v>3351</v>
      </c>
      <c r="D124" s="23" t="s">
        <v>3352</v>
      </c>
      <c r="E124" s="23" t="s">
        <v>3353</v>
      </c>
      <c r="F124" s="23" t="s">
        <v>3354</v>
      </c>
      <c r="G124" s="23" t="s">
        <v>3355</v>
      </c>
      <c r="H124" s="23" t="s">
        <v>3356</v>
      </c>
      <c r="I124" s="23" t="s">
        <v>3357</v>
      </c>
      <c r="J124" s="23" t="s">
        <v>3358</v>
      </c>
      <c r="K124" s="25" t="s">
        <v>3359</v>
      </c>
      <c r="L124" s="23" t="s">
        <v>3360</v>
      </c>
      <c r="M124" s="23" t="s">
        <v>3360</v>
      </c>
      <c r="N124" s="23" t="s">
        <v>3361</v>
      </c>
      <c r="O124" s="27" t="s">
        <v>3362</v>
      </c>
      <c r="P124" s="28" t="s">
        <v>3363</v>
      </c>
      <c r="Q124" s="29" t="s">
        <v>3364</v>
      </c>
      <c r="R124" s="30" t="s">
        <v>3365</v>
      </c>
      <c r="S124" s="23" t="s">
        <v>3366</v>
      </c>
      <c r="T124" s="23" t="s">
        <v>3367</v>
      </c>
      <c r="U124" s="23" t="s">
        <v>3360</v>
      </c>
      <c r="V124" s="23" t="s">
        <v>3360</v>
      </c>
      <c r="W124" s="23" t="s">
        <v>3360</v>
      </c>
      <c r="X124" s="23" t="s">
        <v>3368</v>
      </c>
      <c r="Y124" s="31" t="s">
        <v>3369</v>
      </c>
      <c r="Z124" s="23" t="s">
        <v>3370</v>
      </c>
      <c r="AA124" s="23" t="s">
        <v>3371</v>
      </c>
      <c r="AB124" s="26" t="s">
        <v>3372</v>
      </c>
      <c r="AC124" s="23" t="s">
        <v>3350</v>
      </c>
      <c r="AD124" s="19"/>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1"/>
      <c r="BK124" s="21"/>
      <c r="BL124" s="21"/>
    </row>
    <row r="125">
      <c r="A125" s="22" t="s">
        <v>3373</v>
      </c>
      <c r="B125" s="23" t="s">
        <v>3374</v>
      </c>
      <c r="C125" s="24" t="s">
        <v>3375</v>
      </c>
      <c r="D125" s="23" t="s">
        <v>3376</v>
      </c>
      <c r="E125" s="23" t="s">
        <v>3377</v>
      </c>
      <c r="F125" s="23" t="s">
        <v>3378</v>
      </c>
      <c r="G125" s="23" t="s">
        <v>3379</v>
      </c>
      <c r="H125" s="23" t="s">
        <v>3380</v>
      </c>
      <c r="I125" s="23" t="s">
        <v>3381</v>
      </c>
      <c r="J125" s="23" t="s">
        <v>3382</v>
      </c>
      <c r="K125" s="25" t="s">
        <v>3383</v>
      </c>
      <c r="L125" s="23" t="s">
        <v>3384</v>
      </c>
      <c r="M125" s="23" t="s">
        <v>3385</v>
      </c>
      <c r="N125" s="26" t="s">
        <v>3386</v>
      </c>
      <c r="O125" s="27" t="s">
        <v>3387</v>
      </c>
      <c r="P125" s="28" t="s">
        <v>3388</v>
      </c>
      <c r="Q125" s="29" t="s">
        <v>3389</v>
      </c>
      <c r="R125" s="30" t="s">
        <v>3390</v>
      </c>
      <c r="S125" s="23" t="s">
        <v>3391</v>
      </c>
      <c r="T125" s="23" t="s">
        <v>3392</v>
      </c>
      <c r="U125" s="23" t="s">
        <v>3393</v>
      </c>
      <c r="V125" s="23" t="s">
        <v>3394</v>
      </c>
      <c r="W125" s="23" t="s">
        <v>3395</v>
      </c>
      <c r="X125" s="23" t="s">
        <v>3396</v>
      </c>
      <c r="Y125" s="31" t="s">
        <v>3397</v>
      </c>
      <c r="Z125" s="23" t="s">
        <v>3398</v>
      </c>
      <c r="AA125" s="23" t="s">
        <v>3399</v>
      </c>
      <c r="AB125" s="26" t="s">
        <v>3400</v>
      </c>
      <c r="AC125" s="23" t="s">
        <v>3401</v>
      </c>
      <c r="AD125" s="19"/>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1"/>
      <c r="BK125" s="21"/>
      <c r="BL125" s="21"/>
    </row>
    <row r="126">
      <c r="A126" s="22" t="s">
        <v>3402</v>
      </c>
      <c r="B126" s="23" t="s">
        <v>3403</v>
      </c>
      <c r="C126" s="24" t="s">
        <v>3404</v>
      </c>
      <c r="D126" s="23" t="s">
        <v>3405</v>
      </c>
      <c r="E126" s="23" t="s">
        <v>3406</v>
      </c>
      <c r="F126" s="23" t="s">
        <v>3407</v>
      </c>
      <c r="G126" s="23" t="s">
        <v>3408</v>
      </c>
      <c r="H126" s="23" t="s">
        <v>3409</v>
      </c>
      <c r="I126" s="23" t="s">
        <v>3410</v>
      </c>
      <c r="J126" s="23" t="s">
        <v>3411</v>
      </c>
      <c r="K126" s="25" t="s">
        <v>3412</v>
      </c>
      <c r="L126" s="23" t="s">
        <v>3413</v>
      </c>
      <c r="M126" s="23" t="s">
        <v>3414</v>
      </c>
      <c r="N126" s="26" t="s">
        <v>3415</v>
      </c>
      <c r="O126" s="27" t="s">
        <v>3416</v>
      </c>
      <c r="P126" s="28" t="s">
        <v>3417</v>
      </c>
      <c r="Q126" s="29" t="s">
        <v>3418</v>
      </c>
      <c r="R126" s="30" t="s">
        <v>3419</v>
      </c>
      <c r="S126" s="23" t="s">
        <v>3420</v>
      </c>
      <c r="T126" s="23" t="s">
        <v>3421</v>
      </c>
      <c r="U126" s="23" t="s">
        <v>3422</v>
      </c>
      <c r="V126" s="23" t="s">
        <v>3423</v>
      </c>
      <c r="W126" s="23" t="s">
        <v>3424</v>
      </c>
      <c r="X126" s="23" t="s">
        <v>3425</v>
      </c>
      <c r="Y126" s="31" t="s">
        <v>3426</v>
      </c>
      <c r="Z126" s="23" t="s">
        <v>3427</v>
      </c>
      <c r="AA126" s="23" t="s">
        <v>3428</v>
      </c>
      <c r="AB126" s="26" t="s">
        <v>3429</v>
      </c>
      <c r="AC126" s="23" t="s">
        <v>3430</v>
      </c>
      <c r="AD126" s="19"/>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1"/>
      <c r="BK126" s="21"/>
      <c r="BL126" s="21"/>
    </row>
    <row r="127">
      <c r="A127" s="22" t="s">
        <v>3431</v>
      </c>
      <c r="B127" s="23" t="s">
        <v>3432</v>
      </c>
      <c r="C127" s="24" t="s">
        <v>3433</v>
      </c>
      <c r="D127" s="23" t="s">
        <v>3434</v>
      </c>
      <c r="E127" s="23" t="s">
        <v>3435</v>
      </c>
      <c r="F127" s="23" t="s">
        <v>3436</v>
      </c>
      <c r="G127" s="23" t="s">
        <v>3437</v>
      </c>
      <c r="H127" s="23" t="s">
        <v>3438</v>
      </c>
      <c r="I127" s="23" t="s">
        <v>3439</v>
      </c>
      <c r="J127" s="23" t="s">
        <v>3440</v>
      </c>
      <c r="K127" s="25" t="s">
        <v>3441</v>
      </c>
      <c r="L127" s="23" t="s">
        <v>3442</v>
      </c>
      <c r="M127" s="23" t="s">
        <v>3443</v>
      </c>
      <c r="N127" s="26" t="s">
        <v>3444</v>
      </c>
      <c r="O127" s="27" t="s">
        <v>3445</v>
      </c>
      <c r="P127" s="28" t="s">
        <v>3446</v>
      </c>
      <c r="Q127" s="29" t="s">
        <v>3447</v>
      </c>
      <c r="R127" s="30" t="s">
        <v>3448</v>
      </c>
      <c r="S127" s="23" t="s">
        <v>3449</v>
      </c>
      <c r="T127" s="23" t="s">
        <v>3450</v>
      </c>
      <c r="U127" s="23" t="s">
        <v>3451</v>
      </c>
      <c r="V127" s="23" t="s">
        <v>3452</v>
      </c>
      <c r="W127" s="23" t="s">
        <v>3453</v>
      </c>
      <c r="X127" s="23" t="s">
        <v>3454</v>
      </c>
      <c r="Y127" s="31" t="s">
        <v>3455</v>
      </c>
      <c r="Z127" s="23" t="s">
        <v>3456</v>
      </c>
      <c r="AA127" s="23" t="s">
        <v>3457</v>
      </c>
      <c r="AB127" s="26" t="s">
        <v>3458</v>
      </c>
      <c r="AC127" s="23" t="s">
        <v>3459</v>
      </c>
      <c r="AD127" s="19"/>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1"/>
      <c r="BK127" s="21"/>
      <c r="BL127" s="21"/>
    </row>
    <row r="128">
      <c r="A128" s="22" t="s">
        <v>3460</v>
      </c>
      <c r="B128" s="23" t="s">
        <v>3461</v>
      </c>
      <c r="C128" s="24" t="s">
        <v>3462</v>
      </c>
      <c r="D128" s="23" t="s">
        <v>3463</v>
      </c>
      <c r="E128" s="23" t="s">
        <v>3464</v>
      </c>
      <c r="F128" s="23" t="s">
        <v>3465</v>
      </c>
      <c r="G128" s="23" t="s">
        <v>3466</v>
      </c>
      <c r="H128" s="23" t="s">
        <v>3438</v>
      </c>
      <c r="I128" s="23" t="s">
        <v>3467</v>
      </c>
      <c r="J128" s="23" t="s">
        <v>3468</v>
      </c>
      <c r="K128" s="25" t="s">
        <v>3469</v>
      </c>
      <c r="L128" s="23" t="s">
        <v>3470</v>
      </c>
      <c r="M128" s="23" t="s">
        <v>3471</v>
      </c>
      <c r="N128" s="26" t="s">
        <v>3472</v>
      </c>
      <c r="O128" s="27" t="s">
        <v>3473</v>
      </c>
      <c r="P128" s="28" t="s">
        <v>3474</v>
      </c>
      <c r="Q128" s="29" t="s">
        <v>3475</v>
      </c>
      <c r="R128" s="23" t="s">
        <v>3476</v>
      </c>
      <c r="S128" s="23" t="s">
        <v>3477</v>
      </c>
      <c r="T128" s="23" t="s">
        <v>3478</v>
      </c>
      <c r="U128" s="23" t="s">
        <v>3479</v>
      </c>
      <c r="V128" s="23" t="s">
        <v>3480</v>
      </c>
      <c r="W128" s="23" t="s">
        <v>3481</v>
      </c>
      <c r="X128" s="23" t="s">
        <v>3482</v>
      </c>
      <c r="Y128" s="31" t="s">
        <v>3483</v>
      </c>
      <c r="Z128" s="23" t="s">
        <v>3484</v>
      </c>
      <c r="AA128" s="23" t="s">
        <v>3485</v>
      </c>
      <c r="AB128" s="26" t="s">
        <v>3486</v>
      </c>
      <c r="AC128" s="23" t="s">
        <v>3487</v>
      </c>
      <c r="AD128" s="19"/>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1"/>
      <c r="BK128" s="21"/>
      <c r="BL128" s="21"/>
    </row>
    <row r="129">
      <c r="A129" s="22" t="s">
        <v>3488</v>
      </c>
      <c r="B129" s="23" t="s">
        <v>3489</v>
      </c>
      <c r="C129" s="24" t="s">
        <v>3490</v>
      </c>
      <c r="D129" s="23" t="s">
        <v>3491</v>
      </c>
      <c r="E129" s="23" t="s">
        <v>3492</v>
      </c>
      <c r="F129" s="23" t="s">
        <v>3493</v>
      </c>
      <c r="G129" s="23" t="s">
        <v>3494</v>
      </c>
      <c r="H129" s="23" t="s">
        <v>3495</v>
      </c>
      <c r="I129" s="23" t="s">
        <v>3496</v>
      </c>
      <c r="J129" s="23" t="s">
        <v>3497</v>
      </c>
      <c r="K129" s="25" t="s">
        <v>3498</v>
      </c>
      <c r="L129" s="23" t="s">
        <v>3499</v>
      </c>
      <c r="M129" s="23" t="s">
        <v>3500</v>
      </c>
      <c r="N129" s="26" t="s">
        <v>3501</v>
      </c>
      <c r="O129" s="27" t="s">
        <v>3502</v>
      </c>
      <c r="P129" s="28" t="s">
        <v>3503</v>
      </c>
      <c r="Q129" s="29" t="s">
        <v>3504</v>
      </c>
      <c r="R129" s="30" t="s">
        <v>3505</v>
      </c>
      <c r="S129" s="23" t="s">
        <v>3506</v>
      </c>
      <c r="T129" s="23" t="s">
        <v>3507</v>
      </c>
      <c r="U129" s="23" t="s">
        <v>3508</v>
      </c>
      <c r="V129" s="23" t="s">
        <v>3509</v>
      </c>
      <c r="W129" s="23" t="s">
        <v>3510</v>
      </c>
      <c r="X129" s="23" t="s">
        <v>3511</v>
      </c>
      <c r="Y129" s="31" t="s">
        <v>3512</v>
      </c>
      <c r="Z129" s="23" t="s">
        <v>3513</v>
      </c>
      <c r="AA129" s="23" t="s">
        <v>3514</v>
      </c>
      <c r="AB129" s="26" t="s">
        <v>3515</v>
      </c>
      <c r="AC129" s="23" t="s">
        <v>3516</v>
      </c>
      <c r="AD129" s="19"/>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1"/>
      <c r="BK129" s="21"/>
      <c r="BL129" s="21"/>
    </row>
    <row r="130">
      <c r="A130" s="22" t="s">
        <v>3517</v>
      </c>
      <c r="B130" s="23" t="s">
        <v>3518</v>
      </c>
      <c r="C130" s="24" t="s">
        <v>3519</v>
      </c>
      <c r="D130" s="23" t="s">
        <v>3520</v>
      </c>
      <c r="E130" s="23" t="s">
        <v>3521</v>
      </c>
      <c r="F130" s="23" t="s">
        <v>3522</v>
      </c>
      <c r="G130" s="23" t="s">
        <v>3523</v>
      </c>
      <c r="H130" s="23" t="s">
        <v>3524</v>
      </c>
      <c r="I130" s="23" t="s">
        <v>3525</v>
      </c>
      <c r="J130" s="23" t="s">
        <v>3526</v>
      </c>
      <c r="K130" s="25" t="s">
        <v>3527</v>
      </c>
      <c r="L130" s="23" t="s">
        <v>3528</v>
      </c>
      <c r="M130" s="23" t="s">
        <v>3529</v>
      </c>
      <c r="N130" s="26" t="s">
        <v>3530</v>
      </c>
      <c r="O130" s="27" t="s">
        <v>3531</v>
      </c>
      <c r="P130" s="28" t="s">
        <v>3532</v>
      </c>
      <c r="Q130" s="29" t="s">
        <v>3533</v>
      </c>
      <c r="R130" s="30" t="s">
        <v>3534</v>
      </c>
      <c r="S130" s="23" t="s">
        <v>3535</v>
      </c>
      <c r="T130" s="23" t="s">
        <v>3536</v>
      </c>
      <c r="U130" s="23" t="s">
        <v>3537</v>
      </c>
      <c r="V130" s="23" t="s">
        <v>3538</v>
      </c>
      <c r="W130" s="23" t="s">
        <v>3539</v>
      </c>
      <c r="X130" s="23" t="s">
        <v>3540</v>
      </c>
      <c r="Y130" s="31" t="s">
        <v>3541</v>
      </c>
      <c r="Z130" s="23" t="s">
        <v>3542</v>
      </c>
      <c r="AA130" s="23" t="s">
        <v>3543</v>
      </c>
      <c r="AB130" s="26" t="s">
        <v>3544</v>
      </c>
      <c r="AC130" s="23" t="s">
        <v>3545</v>
      </c>
      <c r="AD130" s="19"/>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1"/>
      <c r="BK130" s="21"/>
      <c r="BL130" s="21"/>
    </row>
    <row r="131">
      <c r="A131" s="22" t="s">
        <v>3546</v>
      </c>
      <c r="B131" s="23" t="s">
        <v>3547</v>
      </c>
      <c r="C131" s="24" t="s">
        <v>3548</v>
      </c>
      <c r="D131" s="23" t="s">
        <v>3549</v>
      </c>
      <c r="E131" s="23" t="s">
        <v>3550</v>
      </c>
      <c r="F131" s="23" t="s">
        <v>3551</v>
      </c>
      <c r="G131" s="23" t="s">
        <v>3552</v>
      </c>
      <c r="H131" s="23" t="s">
        <v>3553</v>
      </c>
      <c r="I131" s="23" t="s">
        <v>3554</v>
      </c>
      <c r="J131" s="23" t="s">
        <v>3555</v>
      </c>
      <c r="K131" s="25" t="s">
        <v>3556</v>
      </c>
      <c r="L131" s="23" t="s">
        <v>3557</v>
      </c>
      <c r="M131" s="23" t="s">
        <v>3558</v>
      </c>
      <c r="N131" s="26" t="s">
        <v>3559</v>
      </c>
      <c r="O131" s="27" t="s">
        <v>3560</v>
      </c>
      <c r="P131" s="28" t="s">
        <v>3561</v>
      </c>
      <c r="Q131" s="29" t="s">
        <v>3562</v>
      </c>
      <c r="R131" s="30" t="s">
        <v>3563</v>
      </c>
      <c r="S131" s="23" t="s">
        <v>3564</v>
      </c>
      <c r="T131" s="23" t="s">
        <v>3565</v>
      </c>
      <c r="U131" s="23" t="s">
        <v>3566</v>
      </c>
      <c r="V131" s="23" t="s">
        <v>3567</v>
      </c>
      <c r="W131" s="23" t="s">
        <v>3568</v>
      </c>
      <c r="X131" s="23" t="s">
        <v>3569</v>
      </c>
      <c r="Y131" s="31" t="s">
        <v>3570</v>
      </c>
      <c r="Z131" s="23" t="s">
        <v>3571</v>
      </c>
      <c r="AA131" s="23" t="s">
        <v>3319</v>
      </c>
      <c r="AB131" s="26" t="s">
        <v>3572</v>
      </c>
      <c r="AC131" s="23" t="s">
        <v>3573</v>
      </c>
      <c r="AD131" s="19"/>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1"/>
      <c r="BK131" s="21"/>
      <c r="BL131" s="21"/>
    </row>
    <row r="132">
      <c r="A132" s="22" t="s">
        <v>3574</v>
      </c>
      <c r="B132" s="23" t="s">
        <v>3575</v>
      </c>
      <c r="C132" s="24" t="s">
        <v>3576</v>
      </c>
      <c r="D132" s="23" t="s">
        <v>3577</v>
      </c>
      <c r="E132" s="23" t="s">
        <v>3578</v>
      </c>
      <c r="F132" s="23" t="s">
        <v>3579</v>
      </c>
      <c r="G132" s="23" t="s">
        <v>3580</v>
      </c>
      <c r="H132" s="23" t="s">
        <v>3581</v>
      </c>
      <c r="I132" s="23" t="s">
        <v>3582</v>
      </c>
      <c r="J132" s="23" t="s">
        <v>3583</v>
      </c>
      <c r="K132" s="25" t="s">
        <v>3584</v>
      </c>
      <c r="L132" s="23" t="s">
        <v>3585</v>
      </c>
      <c r="M132" s="23" t="s">
        <v>3586</v>
      </c>
      <c r="N132" s="26" t="s">
        <v>3587</v>
      </c>
      <c r="O132" s="27" t="s">
        <v>3588</v>
      </c>
      <c r="P132" s="28" t="s">
        <v>3589</v>
      </c>
      <c r="Q132" s="29" t="s">
        <v>3590</v>
      </c>
      <c r="R132" s="30" t="s">
        <v>3591</v>
      </c>
      <c r="S132" s="23" t="s">
        <v>3592</v>
      </c>
      <c r="T132" s="23" t="s">
        <v>3593</v>
      </c>
      <c r="U132" s="23" t="s">
        <v>3594</v>
      </c>
      <c r="V132" s="23" t="s">
        <v>3595</v>
      </c>
      <c r="W132" s="23" t="s">
        <v>3596</v>
      </c>
      <c r="X132" s="23" t="s">
        <v>3597</v>
      </c>
      <c r="Y132" s="31" t="s">
        <v>3598</v>
      </c>
      <c r="Z132" s="23" t="s">
        <v>3599</v>
      </c>
      <c r="AA132" s="23" t="s">
        <v>3600</v>
      </c>
      <c r="AB132" s="26" t="s">
        <v>3601</v>
      </c>
      <c r="AC132" s="23" t="s">
        <v>3602</v>
      </c>
      <c r="AD132" s="19"/>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1"/>
      <c r="BK132" s="21"/>
      <c r="BL132" s="21"/>
    </row>
    <row r="133">
      <c r="A133" s="22" t="s">
        <v>3603</v>
      </c>
      <c r="B133" s="23" t="s">
        <v>3604</v>
      </c>
      <c r="C133" s="24" t="s">
        <v>3605</v>
      </c>
      <c r="D133" s="23" t="s">
        <v>3606</v>
      </c>
      <c r="E133" s="23" t="s">
        <v>3607</v>
      </c>
      <c r="F133" s="23" t="s">
        <v>3608</v>
      </c>
      <c r="G133" s="23" t="s">
        <v>3609</v>
      </c>
      <c r="H133" s="23" t="s">
        <v>3610</v>
      </c>
      <c r="I133" s="23" t="s">
        <v>3611</v>
      </c>
      <c r="J133" s="23" t="s">
        <v>3612</v>
      </c>
      <c r="K133" s="25" t="s">
        <v>3613</v>
      </c>
      <c r="L133" s="23" t="s">
        <v>3614</v>
      </c>
      <c r="M133" s="23" t="s">
        <v>3615</v>
      </c>
      <c r="N133" s="26" t="s">
        <v>3616</v>
      </c>
      <c r="O133" s="27" t="s">
        <v>3617</v>
      </c>
      <c r="P133" s="28" t="s">
        <v>3618</v>
      </c>
      <c r="Q133" s="29" t="s">
        <v>3619</v>
      </c>
      <c r="R133" s="30" t="s">
        <v>3620</v>
      </c>
      <c r="S133" s="23" t="s">
        <v>3621</v>
      </c>
      <c r="T133" s="23" t="s">
        <v>3622</v>
      </c>
      <c r="U133" s="23" t="s">
        <v>3623</v>
      </c>
      <c r="V133" s="23" t="s">
        <v>3624</v>
      </c>
      <c r="W133" s="23" t="s">
        <v>3625</v>
      </c>
      <c r="X133" s="23" t="s">
        <v>3626</v>
      </c>
      <c r="Y133" s="31" t="s">
        <v>3627</v>
      </c>
      <c r="Z133" s="23" t="s">
        <v>3628</v>
      </c>
      <c r="AA133" s="23" t="s">
        <v>3629</v>
      </c>
      <c r="AB133" s="26" t="s">
        <v>3630</v>
      </c>
      <c r="AC133" s="23" t="s">
        <v>3631</v>
      </c>
      <c r="AD133" s="19"/>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1"/>
      <c r="BK133" s="21"/>
      <c r="BL133" s="21"/>
    </row>
    <row r="134">
      <c r="A134" s="22" t="s">
        <v>3632</v>
      </c>
      <c r="B134" s="23" t="s">
        <v>3633</v>
      </c>
      <c r="C134" s="24" t="s">
        <v>3634</v>
      </c>
      <c r="D134" s="23" t="s">
        <v>3635</v>
      </c>
      <c r="E134" s="23" t="s">
        <v>3636</v>
      </c>
      <c r="F134" s="23" t="s">
        <v>3637</v>
      </c>
      <c r="G134" s="23" t="s">
        <v>3638</v>
      </c>
      <c r="H134" s="23" t="s">
        <v>3639</v>
      </c>
      <c r="I134" s="23" t="s">
        <v>3640</v>
      </c>
      <c r="J134" s="23" t="s">
        <v>3641</v>
      </c>
      <c r="K134" s="25" t="s">
        <v>3642</v>
      </c>
      <c r="L134" s="23" t="s">
        <v>3643</v>
      </c>
      <c r="M134" s="23" t="s">
        <v>3644</v>
      </c>
      <c r="N134" s="26" t="s">
        <v>3645</v>
      </c>
      <c r="O134" s="27" t="s">
        <v>3646</v>
      </c>
      <c r="P134" s="28" t="s">
        <v>3647</v>
      </c>
      <c r="Q134" s="29" t="s">
        <v>3648</v>
      </c>
      <c r="R134" s="30" t="s">
        <v>3649</v>
      </c>
      <c r="S134" s="23" t="s">
        <v>3650</v>
      </c>
      <c r="T134" s="23" t="s">
        <v>3651</v>
      </c>
      <c r="U134" s="23" t="s">
        <v>3652</v>
      </c>
      <c r="V134" s="23" t="s">
        <v>3653</v>
      </c>
      <c r="W134" s="23" t="s">
        <v>3654</v>
      </c>
      <c r="X134" s="23" t="s">
        <v>3655</v>
      </c>
      <c r="Y134" s="31" t="s">
        <v>3656</v>
      </c>
      <c r="Z134" s="23" t="s">
        <v>3657</v>
      </c>
      <c r="AA134" s="23" t="s">
        <v>3658</v>
      </c>
      <c r="AB134" s="26" t="s">
        <v>3659</v>
      </c>
      <c r="AC134" s="23" t="s">
        <v>3660</v>
      </c>
      <c r="AD134" s="19"/>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1"/>
      <c r="BK134" s="21"/>
      <c r="BL134" s="21"/>
    </row>
    <row r="135">
      <c r="A135" s="22" t="s">
        <v>3661</v>
      </c>
      <c r="B135" s="23" t="s">
        <v>3662</v>
      </c>
      <c r="C135" s="24" t="s">
        <v>3663</v>
      </c>
      <c r="D135" s="23" t="s">
        <v>3664</v>
      </c>
      <c r="E135" s="23" t="s">
        <v>3665</v>
      </c>
      <c r="F135" s="23" t="s">
        <v>3666</v>
      </c>
      <c r="G135" s="23" t="s">
        <v>3667</v>
      </c>
      <c r="H135" s="23" t="s">
        <v>3668</v>
      </c>
      <c r="I135" s="23" t="s">
        <v>3669</v>
      </c>
      <c r="J135" s="23" t="s">
        <v>3670</v>
      </c>
      <c r="K135" s="25" t="s">
        <v>3671</v>
      </c>
      <c r="L135" s="23" t="s">
        <v>3672</v>
      </c>
      <c r="M135" s="23" t="s">
        <v>3673</v>
      </c>
      <c r="N135" s="26" t="s">
        <v>3674</v>
      </c>
      <c r="O135" s="27" t="s">
        <v>3675</v>
      </c>
      <c r="P135" s="28" t="s">
        <v>3676</v>
      </c>
      <c r="Q135" s="29" t="s">
        <v>3677</v>
      </c>
      <c r="R135" s="30" t="s">
        <v>3678</v>
      </c>
      <c r="S135" s="23" t="s">
        <v>3679</v>
      </c>
      <c r="T135" s="23" t="s">
        <v>3680</v>
      </c>
      <c r="U135" s="23" t="s">
        <v>3681</v>
      </c>
      <c r="V135" s="23" t="s">
        <v>3682</v>
      </c>
      <c r="W135" s="23" t="s">
        <v>3683</v>
      </c>
      <c r="X135" s="23" t="s">
        <v>3684</v>
      </c>
      <c r="Y135" s="31" t="s">
        <v>3685</v>
      </c>
      <c r="Z135" s="23" t="s">
        <v>3686</v>
      </c>
      <c r="AA135" s="23" t="s">
        <v>3687</v>
      </c>
      <c r="AB135" s="26" t="s">
        <v>3688</v>
      </c>
      <c r="AC135" s="23" t="s">
        <v>3689</v>
      </c>
      <c r="AD135" s="19"/>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1"/>
      <c r="BK135" s="21"/>
      <c r="BL135" s="21"/>
    </row>
    <row r="136">
      <c r="A136" s="22" t="s">
        <v>3690</v>
      </c>
      <c r="B136" s="23" t="s">
        <v>3691</v>
      </c>
      <c r="C136" s="24" t="s">
        <v>3692</v>
      </c>
      <c r="D136" s="23" t="s">
        <v>3693</v>
      </c>
      <c r="E136" s="23" t="s">
        <v>3694</v>
      </c>
      <c r="F136" s="23" t="s">
        <v>3695</v>
      </c>
      <c r="G136" s="23" t="s">
        <v>3696</v>
      </c>
      <c r="H136" s="23" t="s">
        <v>3697</v>
      </c>
      <c r="I136" s="23" t="s">
        <v>3698</v>
      </c>
      <c r="J136" s="23" t="s">
        <v>3699</v>
      </c>
      <c r="K136" s="25" t="s">
        <v>3700</v>
      </c>
      <c r="L136" s="23" t="s">
        <v>3701</v>
      </c>
      <c r="M136" s="23" t="s">
        <v>3702</v>
      </c>
      <c r="N136" s="26" t="s">
        <v>3703</v>
      </c>
      <c r="O136" s="27" t="s">
        <v>3704</v>
      </c>
      <c r="P136" s="28" t="s">
        <v>3705</v>
      </c>
      <c r="Q136" s="29" t="s">
        <v>3706</v>
      </c>
      <c r="R136" s="23" t="s">
        <v>3707</v>
      </c>
      <c r="S136" s="23" t="s">
        <v>3708</v>
      </c>
      <c r="T136" s="23" t="s">
        <v>3709</v>
      </c>
      <c r="U136" s="23" t="s">
        <v>3710</v>
      </c>
      <c r="V136" s="23" t="s">
        <v>3711</v>
      </c>
      <c r="W136" s="23" t="s">
        <v>3712</v>
      </c>
      <c r="X136" s="23" t="s">
        <v>3713</v>
      </c>
      <c r="Y136" s="31" t="s">
        <v>3714</v>
      </c>
      <c r="Z136" s="23" t="s">
        <v>3715</v>
      </c>
      <c r="AA136" s="23" t="s">
        <v>3716</v>
      </c>
      <c r="AB136" s="26" t="s">
        <v>3717</v>
      </c>
      <c r="AC136" s="23" t="s">
        <v>3718</v>
      </c>
      <c r="AD136" s="19"/>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1"/>
      <c r="BK136" s="21"/>
      <c r="BL136" s="21"/>
    </row>
    <row r="137">
      <c r="A137" s="22" t="s">
        <v>3719</v>
      </c>
      <c r="B137" s="23" t="s">
        <v>3720</v>
      </c>
      <c r="C137" s="24" t="s">
        <v>3721</v>
      </c>
      <c r="D137" s="23" t="s">
        <v>3722</v>
      </c>
      <c r="E137" s="23" t="s">
        <v>3723</v>
      </c>
      <c r="F137" s="23" t="s">
        <v>3724</v>
      </c>
      <c r="G137" s="23" t="s">
        <v>3725</v>
      </c>
      <c r="H137" s="23" t="s">
        <v>3726</v>
      </c>
      <c r="I137" s="23" t="s">
        <v>3727</v>
      </c>
      <c r="J137" s="23" t="s">
        <v>3728</v>
      </c>
      <c r="K137" s="25" t="s">
        <v>3729</v>
      </c>
      <c r="L137" s="23" t="s">
        <v>3730</v>
      </c>
      <c r="M137" s="23" t="s">
        <v>3731</v>
      </c>
      <c r="N137" s="26" t="s">
        <v>3732</v>
      </c>
      <c r="O137" s="27" t="s">
        <v>3733</v>
      </c>
      <c r="P137" s="28" t="s">
        <v>3734</v>
      </c>
      <c r="Q137" s="29" t="s">
        <v>3735</v>
      </c>
      <c r="R137" s="30" t="s">
        <v>3736</v>
      </c>
      <c r="S137" s="23" t="s">
        <v>3737</v>
      </c>
      <c r="T137" s="23" t="s">
        <v>3738</v>
      </c>
      <c r="U137" s="23" t="s">
        <v>3739</v>
      </c>
      <c r="V137" s="23" t="s">
        <v>3740</v>
      </c>
      <c r="W137" s="23" t="s">
        <v>3741</v>
      </c>
      <c r="X137" s="23" t="s">
        <v>3742</v>
      </c>
      <c r="Y137" s="31" t="s">
        <v>3743</v>
      </c>
      <c r="Z137" s="23" t="s">
        <v>3744</v>
      </c>
      <c r="AA137" s="23" t="s">
        <v>3745</v>
      </c>
      <c r="AB137" s="26" t="s">
        <v>3746</v>
      </c>
      <c r="AC137" s="23" t="s">
        <v>3747</v>
      </c>
      <c r="AD137" s="19"/>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1"/>
      <c r="BK137" s="21"/>
      <c r="BL137" s="21"/>
    </row>
    <row r="138">
      <c r="A138" s="22" t="s">
        <v>3748</v>
      </c>
      <c r="B138" s="23" t="s">
        <v>3749</v>
      </c>
      <c r="C138" s="24" t="s">
        <v>3750</v>
      </c>
      <c r="D138" s="23" t="s">
        <v>3751</v>
      </c>
      <c r="E138" s="23" t="s">
        <v>3752</v>
      </c>
      <c r="F138" s="23" t="s">
        <v>3753</v>
      </c>
      <c r="G138" s="23" t="s">
        <v>3754</v>
      </c>
      <c r="H138" s="23" t="s">
        <v>3755</v>
      </c>
      <c r="I138" s="23" t="s">
        <v>3756</v>
      </c>
      <c r="J138" s="23" t="s">
        <v>3757</v>
      </c>
      <c r="K138" s="25" t="s">
        <v>3758</v>
      </c>
      <c r="L138" s="23" t="s">
        <v>3759</v>
      </c>
      <c r="M138" s="23" t="s">
        <v>3760</v>
      </c>
      <c r="N138" s="26" t="s">
        <v>3761</v>
      </c>
      <c r="O138" s="27" t="s">
        <v>3762</v>
      </c>
      <c r="P138" s="28" t="s">
        <v>3763</v>
      </c>
      <c r="Q138" s="29" t="s">
        <v>3764</v>
      </c>
      <c r="R138" s="30" t="s">
        <v>3765</v>
      </c>
      <c r="S138" s="23" t="s">
        <v>3766</v>
      </c>
      <c r="T138" s="23" t="s">
        <v>3767</v>
      </c>
      <c r="U138" s="23" t="s">
        <v>3768</v>
      </c>
      <c r="V138" s="23" t="s">
        <v>3769</v>
      </c>
      <c r="W138" s="23" t="s">
        <v>3770</v>
      </c>
      <c r="X138" s="23" t="s">
        <v>3771</v>
      </c>
      <c r="Y138" s="31" t="s">
        <v>3772</v>
      </c>
      <c r="Z138" s="23" t="s">
        <v>3773</v>
      </c>
      <c r="AA138" s="23" t="s">
        <v>3774</v>
      </c>
      <c r="AB138" s="26" t="s">
        <v>3775</v>
      </c>
      <c r="AC138" s="23" t="s">
        <v>3776</v>
      </c>
      <c r="AD138" s="19"/>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1"/>
      <c r="BK138" s="21"/>
      <c r="BL138" s="21"/>
    </row>
    <row r="139">
      <c r="A139" s="22" t="s">
        <v>3777</v>
      </c>
      <c r="B139" s="23" t="s">
        <v>3778</v>
      </c>
      <c r="C139" s="24" t="s">
        <v>3779</v>
      </c>
      <c r="D139" s="23" t="s">
        <v>3780</v>
      </c>
      <c r="E139" s="23" t="s">
        <v>3781</v>
      </c>
      <c r="F139" s="23" t="s">
        <v>3782</v>
      </c>
      <c r="G139" s="23" t="s">
        <v>3783</v>
      </c>
      <c r="H139" s="23" t="s">
        <v>3784</v>
      </c>
      <c r="I139" s="23" t="s">
        <v>3785</v>
      </c>
      <c r="J139" s="23" t="s">
        <v>3786</v>
      </c>
      <c r="K139" s="25" t="s">
        <v>3787</v>
      </c>
      <c r="L139" s="23" t="s">
        <v>3788</v>
      </c>
      <c r="M139" s="23" t="s">
        <v>3789</v>
      </c>
      <c r="N139" s="26" t="s">
        <v>3790</v>
      </c>
      <c r="O139" s="27" t="s">
        <v>3791</v>
      </c>
      <c r="P139" s="28" t="s">
        <v>3792</v>
      </c>
      <c r="Q139" s="29" t="s">
        <v>3793</v>
      </c>
      <c r="R139" s="30" t="s">
        <v>3794</v>
      </c>
      <c r="S139" s="23" t="s">
        <v>3795</v>
      </c>
      <c r="T139" s="23" t="s">
        <v>3796</v>
      </c>
      <c r="U139" s="23" t="s">
        <v>3797</v>
      </c>
      <c r="V139" s="23" t="s">
        <v>3798</v>
      </c>
      <c r="W139" s="23" t="s">
        <v>3799</v>
      </c>
      <c r="X139" s="23" t="s">
        <v>3800</v>
      </c>
      <c r="Y139" s="31" t="s">
        <v>3801</v>
      </c>
      <c r="Z139" s="23" t="s">
        <v>3802</v>
      </c>
      <c r="AA139" s="23" t="s">
        <v>3803</v>
      </c>
      <c r="AB139" s="26" t="s">
        <v>3804</v>
      </c>
      <c r="AC139" s="23" t="s">
        <v>3805</v>
      </c>
      <c r="AD139" s="19"/>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1"/>
      <c r="BK139" s="21"/>
      <c r="BL139" s="21"/>
    </row>
    <row r="140">
      <c r="A140" s="22" t="s">
        <v>3806</v>
      </c>
      <c r="B140" s="23" t="s">
        <v>3807</v>
      </c>
      <c r="C140" s="24" t="s">
        <v>3808</v>
      </c>
      <c r="D140" s="23" t="s">
        <v>3809</v>
      </c>
      <c r="E140" s="23" t="s">
        <v>3810</v>
      </c>
      <c r="F140" s="23" t="s">
        <v>3811</v>
      </c>
      <c r="G140" s="23" t="s">
        <v>3812</v>
      </c>
      <c r="H140" s="23" t="s">
        <v>3813</v>
      </c>
      <c r="I140" s="23" t="s">
        <v>3814</v>
      </c>
      <c r="J140" s="23" t="s">
        <v>3815</v>
      </c>
      <c r="K140" s="25" t="s">
        <v>3816</v>
      </c>
      <c r="L140" s="23" t="s">
        <v>3817</v>
      </c>
      <c r="M140" s="23" t="s">
        <v>3818</v>
      </c>
      <c r="N140" s="26" t="s">
        <v>3819</v>
      </c>
      <c r="O140" s="27" t="s">
        <v>3820</v>
      </c>
      <c r="P140" s="28" t="s">
        <v>3821</v>
      </c>
      <c r="Q140" s="29" t="s">
        <v>3822</v>
      </c>
      <c r="R140" s="30" t="s">
        <v>3823</v>
      </c>
      <c r="S140" s="23" t="s">
        <v>3824</v>
      </c>
      <c r="T140" s="23" t="s">
        <v>3825</v>
      </c>
      <c r="U140" s="23" t="s">
        <v>3826</v>
      </c>
      <c r="V140" s="23" t="s">
        <v>3827</v>
      </c>
      <c r="W140" s="23" t="s">
        <v>3828</v>
      </c>
      <c r="X140" s="23" t="s">
        <v>3829</v>
      </c>
      <c r="Y140" s="31" t="s">
        <v>3830</v>
      </c>
      <c r="Z140" s="23" t="s">
        <v>3831</v>
      </c>
      <c r="AA140" s="23" t="s">
        <v>3829</v>
      </c>
      <c r="AB140" s="26" t="s">
        <v>3832</v>
      </c>
      <c r="AC140" s="23" t="s">
        <v>3833</v>
      </c>
      <c r="AD140" s="19"/>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1"/>
      <c r="BK140" s="21"/>
      <c r="BL140" s="21"/>
    </row>
    <row r="141">
      <c r="A141" s="22" t="s">
        <v>3834</v>
      </c>
      <c r="B141" s="23" t="s">
        <v>3246</v>
      </c>
      <c r="C141" s="24" t="s">
        <v>3247</v>
      </c>
      <c r="D141" s="23" t="s">
        <v>3246</v>
      </c>
      <c r="E141" s="23" t="s">
        <v>3246</v>
      </c>
      <c r="F141" s="23" t="s">
        <v>839</v>
      </c>
      <c r="G141" s="23" t="s">
        <v>840</v>
      </c>
      <c r="H141" s="23" t="s">
        <v>3248</v>
      </c>
      <c r="I141" s="23" t="s">
        <v>3249</v>
      </c>
      <c r="J141" s="23" t="s">
        <v>843</v>
      </c>
      <c r="K141" s="25" t="s">
        <v>3250</v>
      </c>
      <c r="L141" s="23" t="s">
        <v>3251</v>
      </c>
      <c r="M141" s="23" t="s">
        <v>3252</v>
      </c>
      <c r="N141" s="26" t="s">
        <v>3253</v>
      </c>
      <c r="O141" s="27" t="s">
        <v>3254</v>
      </c>
      <c r="P141" s="28" t="s">
        <v>3255</v>
      </c>
      <c r="Q141" s="29" t="s">
        <v>3256</v>
      </c>
      <c r="R141" s="30" t="s">
        <v>657</v>
      </c>
      <c r="S141" s="23" t="s">
        <v>3257</v>
      </c>
      <c r="T141" s="23" t="s">
        <v>3258</v>
      </c>
      <c r="U141" s="23" t="s">
        <v>3259</v>
      </c>
      <c r="V141" s="23" t="s">
        <v>3260</v>
      </c>
      <c r="W141" s="23" t="s">
        <v>3261</v>
      </c>
      <c r="X141" s="23" t="s">
        <v>3262</v>
      </c>
      <c r="Y141" s="31" t="s">
        <v>664</v>
      </c>
      <c r="Z141" s="23" t="s">
        <v>3263</v>
      </c>
      <c r="AA141" s="23" t="s">
        <v>852</v>
      </c>
      <c r="AB141" s="26" t="s">
        <v>667</v>
      </c>
      <c r="AC141" s="23" t="s">
        <v>3264</v>
      </c>
      <c r="AD141" s="19"/>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1"/>
      <c r="BK141" s="21"/>
      <c r="BL141" s="21"/>
    </row>
    <row r="142">
      <c r="A142" s="22" t="s">
        <v>3835</v>
      </c>
      <c r="B142" s="23" t="s">
        <v>835</v>
      </c>
      <c r="C142" s="24" t="s">
        <v>836</v>
      </c>
      <c r="D142" s="23" t="s">
        <v>837</v>
      </c>
      <c r="E142" s="23" t="s">
        <v>838</v>
      </c>
      <c r="F142" s="23" t="s">
        <v>839</v>
      </c>
      <c r="G142" s="23" t="s">
        <v>840</v>
      </c>
      <c r="H142" s="23" t="s">
        <v>841</v>
      </c>
      <c r="I142" s="23" t="s">
        <v>842</v>
      </c>
      <c r="J142" s="23" t="s">
        <v>843</v>
      </c>
      <c r="K142" s="25" t="s">
        <v>844</v>
      </c>
      <c r="L142" s="23" t="s">
        <v>651</v>
      </c>
      <c r="M142" s="23" t="s">
        <v>845</v>
      </c>
      <c r="N142" s="26" t="s">
        <v>653</v>
      </c>
      <c r="O142" s="27" t="s">
        <v>846</v>
      </c>
      <c r="P142" s="28" t="s">
        <v>847</v>
      </c>
      <c r="Q142" s="29" t="s">
        <v>656</v>
      </c>
      <c r="R142" s="30" t="s">
        <v>657</v>
      </c>
      <c r="S142" s="23" t="s">
        <v>848</v>
      </c>
      <c r="T142" s="23" t="s">
        <v>659</v>
      </c>
      <c r="U142" s="23" t="s">
        <v>849</v>
      </c>
      <c r="V142" s="23" t="s">
        <v>850</v>
      </c>
      <c r="W142" s="23" t="s">
        <v>851</v>
      </c>
      <c r="X142" s="23" t="s">
        <v>852</v>
      </c>
      <c r="Y142" s="31" t="s">
        <v>664</v>
      </c>
      <c r="Z142" s="23" t="s">
        <v>853</v>
      </c>
      <c r="AA142" s="23" t="s">
        <v>852</v>
      </c>
      <c r="AB142" s="26" t="s">
        <v>667</v>
      </c>
      <c r="AC142" s="23" t="s">
        <v>668</v>
      </c>
      <c r="AD142" s="19"/>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1"/>
      <c r="BK142" s="21"/>
      <c r="BL142" s="21"/>
    </row>
    <row r="143">
      <c r="A143" s="22" t="s">
        <v>3836</v>
      </c>
      <c r="B143" s="23" t="s">
        <v>3837</v>
      </c>
      <c r="C143" s="24" t="s">
        <v>3838</v>
      </c>
      <c r="D143" s="23" t="s">
        <v>3839</v>
      </c>
      <c r="E143" s="23" t="s">
        <v>3840</v>
      </c>
      <c r="F143" s="23" t="s">
        <v>839</v>
      </c>
      <c r="G143" s="23" t="s">
        <v>3841</v>
      </c>
      <c r="H143" s="23" t="s">
        <v>3842</v>
      </c>
      <c r="I143" s="23" t="s">
        <v>842</v>
      </c>
      <c r="J143" s="23" t="s">
        <v>3843</v>
      </c>
      <c r="K143" s="25" t="s">
        <v>3844</v>
      </c>
      <c r="L143" s="23" t="s">
        <v>3845</v>
      </c>
      <c r="M143" s="23" t="s">
        <v>3846</v>
      </c>
      <c r="N143" s="26" t="s">
        <v>3847</v>
      </c>
      <c r="O143" s="27" t="s">
        <v>3848</v>
      </c>
      <c r="P143" s="28" t="s">
        <v>3849</v>
      </c>
      <c r="Q143" s="29" t="s">
        <v>3850</v>
      </c>
      <c r="R143" s="30" t="s">
        <v>3851</v>
      </c>
      <c r="S143" s="23" t="s">
        <v>3852</v>
      </c>
      <c r="T143" s="23" t="s">
        <v>3853</v>
      </c>
      <c r="U143" s="23" t="s">
        <v>3854</v>
      </c>
      <c r="V143" s="23" t="s">
        <v>3855</v>
      </c>
      <c r="W143" s="23" t="s">
        <v>3856</v>
      </c>
      <c r="X143" s="23" t="s">
        <v>3857</v>
      </c>
      <c r="Y143" s="31" t="s">
        <v>3858</v>
      </c>
      <c r="Z143" s="23" t="s">
        <v>3859</v>
      </c>
      <c r="AA143" s="23" t="s">
        <v>3860</v>
      </c>
      <c r="AB143" s="26" t="s">
        <v>3861</v>
      </c>
      <c r="AC143" s="23" t="s">
        <v>3862</v>
      </c>
      <c r="AD143" s="19"/>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1"/>
      <c r="BK143" s="21"/>
      <c r="BL143" s="21"/>
    </row>
    <row r="144">
      <c r="A144" s="22" t="s">
        <v>31</v>
      </c>
      <c r="B144" s="23" t="s">
        <v>32</v>
      </c>
      <c r="C144" s="24" t="s">
        <v>3863</v>
      </c>
      <c r="D144" s="23" t="s">
        <v>3864</v>
      </c>
      <c r="E144" s="23" t="s">
        <v>3865</v>
      </c>
      <c r="F144" s="23" t="s">
        <v>3866</v>
      </c>
      <c r="G144" s="23" t="s">
        <v>3867</v>
      </c>
      <c r="H144" s="23" t="s">
        <v>3868</v>
      </c>
      <c r="I144" s="23" t="s">
        <v>3869</v>
      </c>
      <c r="J144" s="23" t="s">
        <v>3870</v>
      </c>
      <c r="K144" s="25" t="s">
        <v>3871</v>
      </c>
      <c r="L144" s="23" t="s">
        <v>3872</v>
      </c>
      <c r="M144" s="23" t="s">
        <v>3873</v>
      </c>
      <c r="N144" s="26" t="s">
        <v>3874</v>
      </c>
      <c r="O144" s="27" t="s">
        <v>3875</v>
      </c>
      <c r="P144" s="28" t="s">
        <v>3876</v>
      </c>
      <c r="Q144" s="29" t="s">
        <v>3877</v>
      </c>
      <c r="R144" s="30" t="s">
        <v>3878</v>
      </c>
      <c r="S144" s="23" t="s">
        <v>3879</v>
      </c>
      <c r="T144" s="23" t="s">
        <v>3872</v>
      </c>
      <c r="U144" s="23" t="s">
        <v>3880</v>
      </c>
      <c r="V144" s="23" t="s">
        <v>3872</v>
      </c>
      <c r="W144" s="23" t="s">
        <v>3867</v>
      </c>
      <c r="X144" s="23" t="s">
        <v>3881</v>
      </c>
      <c r="Y144" s="31" t="s">
        <v>3882</v>
      </c>
      <c r="Z144" s="23" t="s">
        <v>3883</v>
      </c>
      <c r="AA144" s="23" t="s">
        <v>3881</v>
      </c>
      <c r="AB144" s="26" t="s">
        <v>3884</v>
      </c>
      <c r="AC144" s="23" t="s">
        <v>3885</v>
      </c>
      <c r="AD144" s="19"/>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1"/>
      <c r="BK144" s="21"/>
      <c r="BL144" s="21"/>
    </row>
    <row r="145">
      <c r="A145" s="22" t="s">
        <v>3886</v>
      </c>
      <c r="B145" s="23" t="s">
        <v>3887</v>
      </c>
      <c r="C145" s="24" t="s">
        <v>3888</v>
      </c>
      <c r="D145" s="23" t="s">
        <v>3889</v>
      </c>
      <c r="E145" s="23" t="s">
        <v>3890</v>
      </c>
      <c r="F145" s="23" t="s">
        <v>3891</v>
      </c>
      <c r="G145" s="23" t="s">
        <v>3892</v>
      </c>
      <c r="H145" s="23" t="s">
        <v>3893</v>
      </c>
      <c r="I145" s="23" t="s">
        <v>3894</v>
      </c>
      <c r="J145" s="23" t="s">
        <v>3895</v>
      </c>
      <c r="K145" s="25" t="s">
        <v>3896</v>
      </c>
      <c r="L145" s="23" t="s">
        <v>3887</v>
      </c>
      <c r="M145" s="23" t="s">
        <v>3897</v>
      </c>
      <c r="N145" s="23" t="s">
        <v>3887</v>
      </c>
      <c r="O145" s="27" t="s">
        <v>3898</v>
      </c>
      <c r="P145" s="28" t="s">
        <v>3899</v>
      </c>
      <c r="Q145" s="29" t="s">
        <v>3900</v>
      </c>
      <c r="R145" s="23" t="s">
        <v>3901</v>
      </c>
      <c r="S145" s="23" t="s">
        <v>3902</v>
      </c>
      <c r="T145" s="23" t="s">
        <v>3903</v>
      </c>
      <c r="U145" s="23" t="s">
        <v>3904</v>
      </c>
      <c r="V145" s="23" t="s">
        <v>3905</v>
      </c>
      <c r="W145" s="23" t="s">
        <v>3906</v>
      </c>
      <c r="X145" s="23" t="s">
        <v>3907</v>
      </c>
      <c r="Y145" s="31" t="s">
        <v>3908</v>
      </c>
      <c r="Z145" s="23" t="s">
        <v>3909</v>
      </c>
      <c r="AA145" s="23" t="s">
        <v>3910</v>
      </c>
      <c r="AB145" s="26" t="s">
        <v>3911</v>
      </c>
      <c r="AC145" s="23" t="s">
        <v>3912</v>
      </c>
      <c r="AD145" s="19"/>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1"/>
      <c r="BK145" s="21"/>
      <c r="BL145" s="21"/>
    </row>
    <row r="146">
      <c r="A146" s="22" t="s">
        <v>3913</v>
      </c>
      <c r="B146" s="23" t="s">
        <v>137</v>
      </c>
      <c r="C146" s="24" t="s">
        <v>138</v>
      </c>
      <c r="D146" s="23" t="s">
        <v>139</v>
      </c>
      <c r="E146" s="23" t="s">
        <v>140</v>
      </c>
      <c r="F146" s="23" t="s">
        <v>141</v>
      </c>
      <c r="G146" s="23" t="s">
        <v>142</v>
      </c>
      <c r="H146" s="23" t="s">
        <v>143</v>
      </c>
      <c r="I146" s="23" t="s">
        <v>144</v>
      </c>
      <c r="J146" s="23" t="s">
        <v>145</v>
      </c>
      <c r="K146" s="25" t="s">
        <v>146</v>
      </c>
      <c r="L146" s="23" t="s">
        <v>147</v>
      </c>
      <c r="M146" s="23" t="s">
        <v>148</v>
      </c>
      <c r="N146" s="26" t="s">
        <v>149</v>
      </c>
      <c r="O146" s="27" t="s">
        <v>150</v>
      </c>
      <c r="P146" s="28" t="s">
        <v>151</v>
      </c>
      <c r="Q146" s="29" t="s">
        <v>152</v>
      </c>
      <c r="R146" s="30" t="s">
        <v>153</v>
      </c>
      <c r="S146" s="23" t="s">
        <v>154</v>
      </c>
      <c r="T146" s="23" t="s">
        <v>147</v>
      </c>
      <c r="U146" s="23" t="s">
        <v>155</v>
      </c>
      <c r="V146" s="23" t="s">
        <v>156</v>
      </c>
      <c r="W146" s="23" t="s">
        <v>157</v>
      </c>
      <c r="X146" s="23" t="s">
        <v>158</v>
      </c>
      <c r="Y146" s="31" t="s">
        <v>159</v>
      </c>
      <c r="Z146" s="23" t="s">
        <v>160</v>
      </c>
      <c r="AA146" s="23" t="s">
        <v>161</v>
      </c>
      <c r="AB146" s="26" t="s">
        <v>162</v>
      </c>
      <c r="AC146" s="23" t="s">
        <v>163</v>
      </c>
      <c r="AD146" s="19"/>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1"/>
      <c r="BK146" s="21"/>
      <c r="BL146" s="21"/>
    </row>
    <row r="147">
      <c r="A147" s="22" t="s">
        <v>3914</v>
      </c>
      <c r="B147" s="23" t="s">
        <v>3915</v>
      </c>
      <c r="C147" s="24" t="s">
        <v>3916</v>
      </c>
      <c r="D147" s="23" t="s">
        <v>3917</v>
      </c>
      <c r="E147" s="23" t="s">
        <v>3918</v>
      </c>
      <c r="F147" s="23" t="s">
        <v>3919</v>
      </c>
      <c r="G147" s="23" t="s">
        <v>3920</v>
      </c>
      <c r="H147" s="23" t="s">
        <v>3921</v>
      </c>
      <c r="I147" s="23" t="s">
        <v>3922</v>
      </c>
      <c r="J147" s="23" t="s">
        <v>3923</v>
      </c>
      <c r="K147" s="25" t="s">
        <v>3924</v>
      </c>
      <c r="L147" s="23" t="s">
        <v>3925</v>
      </c>
      <c r="M147" s="23" t="s">
        <v>3926</v>
      </c>
      <c r="N147" s="26" t="s">
        <v>3927</v>
      </c>
      <c r="O147" s="27" t="s">
        <v>3928</v>
      </c>
      <c r="P147" s="28" t="s">
        <v>3929</v>
      </c>
      <c r="Q147" s="29" t="s">
        <v>3930</v>
      </c>
      <c r="R147" s="30" t="s">
        <v>3931</v>
      </c>
      <c r="S147" s="23" t="s">
        <v>3932</v>
      </c>
      <c r="T147" s="23" t="s">
        <v>3933</v>
      </c>
      <c r="U147" s="23" t="s">
        <v>3934</v>
      </c>
      <c r="V147" s="23" t="s">
        <v>3935</v>
      </c>
      <c r="W147" s="23" t="s">
        <v>3936</v>
      </c>
      <c r="X147" s="23" t="s">
        <v>3937</v>
      </c>
      <c r="Y147" s="31" t="s">
        <v>3938</v>
      </c>
      <c r="Z147" s="23" t="s">
        <v>3939</v>
      </c>
      <c r="AA147" s="23" t="s">
        <v>3940</v>
      </c>
      <c r="AB147" s="26" t="s">
        <v>3941</v>
      </c>
      <c r="AC147" s="23" t="s">
        <v>3942</v>
      </c>
      <c r="AD147" s="19"/>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1"/>
      <c r="BK147" s="21"/>
      <c r="BL147" s="21"/>
    </row>
    <row r="148">
      <c r="A148" s="22" t="s">
        <v>3943</v>
      </c>
      <c r="B148" s="23" t="s">
        <v>3944</v>
      </c>
      <c r="C148" s="24" t="s">
        <v>3945</v>
      </c>
      <c r="D148" s="23" t="s">
        <v>3946</v>
      </c>
      <c r="E148" s="23" t="s">
        <v>3947</v>
      </c>
      <c r="F148" s="23" t="s">
        <v>3948</v>
      </c>
      <c r="G148" s="23" t="s">
        <v>3949</v>
      </c>
      <c r="H148" s="23" t="s">
        <v>3950</v>
      </c>
      <c r="I148" s="23" t="s">
        <v>3951</v>
      </c>
      <c r="J148" s="23" t="s">
        <v>3952</v>
      </c>
      <c r="K148" s="25" t="s">
        <v>3953</v>
      </c>
      <c r="L148" s="23" t="s">
        <v>3954</v>
      </c>
      <c r="M148" s="23" t="s">
        <v>3955</v>
      </c>
      <c r="N148" s="26" t="s">
        <v>3956</v>
      </c>
      <c r="O148" s="27" t="s">
        <v>3957</v>
      </c>
      <c r="P148" s="28" t="s">
        <v>3958</v>
      </c>
      <c r="Q148" s="29" t="s">
        <v>3959</v>
      </c>
      <c r="R148" s="30" t="s">
        <v>3960</v>
      </c>
      <c r="S148" s="23" t="s">
        <v>3961</v>
      </c>
      <c r="T148" s="23" t="s">
        <v>3962</v>
      </c>
      <c r="U148" s="23" t="s">
        <v>3963</v>
      </c>
      <c r="V148" s="23" t="s">
        <v>3964</v>
      </c>
      <c r="W148" s="23" t="s">
        <v>3965</v>
      </c>
      <c r="X148" s="23" t="s">
        <v>3966</v>
      </c>
      <c r="Y148" s="31" t="s">
        <v>3967</v>
      </c>
      <c r="Z148" s="23" t="s">
        <v>3968</v>
      </c>
      <c r="AA148" s="23" t="s">
        <v>3969</v>
      </c>
      <c r="AB148" s="26" t="s">
        <v>3970</v>
      </c>
      <c r="AC148" s="23" t="s">
        <v>3971</v>
      </c>
      <c r="AD148" s="19"/>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1"/>
      <c r="BK148" s="21"/>
      <c r="BL148" s="21"/>
    </row>
    <row r="149">
      <c r="A149" s="22" t="s">
        <v>3972</v>
      </c>
      <c r="B149" s="23" t="s">
        <v>3973</v>
      </c>
      <c r="C149" s="24" t="s">
        <v>3974</v>
      </c>
      <c r="D149" s="23" t="s">
        <v>3975</v>
      </c>
      <c r="E149" s="23" t="s">
        <v>3976</v>
      </c>
      <c r="F149" s="23" t="s">
        <v>3977</v>
      </c>
      <c r="G149" s="23" t="s">
        <v>3978</v>
      </c>
      <c r="H149" s="23" t="s">
        <v>3979</v>
      </c>
      <c r="I149" s="23" t="s">
        <v>3980</v>
      </c>
      <c r="J149" s="23" t="s">
        <v>3981</v>
      </c>
      <c r="K149" s="25" t="s">
        <v>3982</v>
      </c>
      <c r="L149" s="23" t="s">
        <v>3983</v>
      </c>
      <c r="M149" s="23" t="s">
        <v>3984</v>
      </c>
      <c r="N149" s="26" t="s">
        <v>3985</v>
      </c>
      <c r="O149" s="27" t="s">
        <v>3986</v>
      </c>
      <c r="P149" s="28" t="s">
        <v>3987</v>
      </c>
      <c r="Q149" s="29" t="s">
        <v>3988</v>
      </c>
      <c r="R149" s="30" t="s">
        <v>3989</v>
      </c>
      <c r="S149" s="23" t="s">
        <v>3990</v>
      </c>
      <c r="T149" s="23" t="s">
        <v>3991</v>
      </c>
      <c r="U149" s="23" t="s">
        <v>3992</v>
      </c>
      <c r="V149" s="23" t="s">
        <v>3993</v>
      </c>
      <c r="W149" s="23" t="s">
        <v>3994</v>
      </c>
      <c r="X149" s="23" t="s">
        <v>3995</v>
      </c>
      <c r="Y149" s="31" t="s">
        <v>3996</v>
      </c>
      <c r="Z149" s="23" t="s">
        <v>3997</v>
      </c>
      <c r="AA149" s="23" t="s">
        <v>3998</v>
      </c>
      <c r="AB149" s="26" t="s">
        <v>3999</v>
      </c>
      <c r="AC149" s="23" t="s">
        <v>4000</v>
      </c>
      <c r="AD149" s="19"/>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1"/>
      <c r="BK149" s="21"/>
      <c r="BL149" s="21"/>
    </row>
    <row r="150">
      <c r="A150" s="22" t="s">
        <v>4001</v>
      </c>
      <c r="B150" s="23" t="s">
        <v>4002</v>
      </c>
      <c r="C150" s="24" t="s">
        <v>4003</v>
      </c>
      <c r="D150" s="23" t="s">
        <v>4004</v>
      </c>
      <c r="E150" s="23" t="s">
        <v>4005</v>
      </c>
      <c r="F150" s="23" t="s">
        <v>4006</v>
      </c>
      <c r="G150" s="23" t="s">
        <v>4007</v>
      </c>
      <c r="H150" s="23" t="s">
        <v>4008</v>
      </c>
      <c r="I150" s="23" t="s">
        <v>4009</v>
      </c>
      <c r="J150" s="23" t="s">
        <v>4010</v>
      </c>
      <c r="K150" s="25" t="s">
        <v>4011</v>
      </c>
      <c r="L150" s="23" t="s">
        <v>4012</v>
      </c>
      <c r="M150" s="23" t="s">
        <v>4013</v>
      </c>
      <c r="N150" s="26" t="s">
        <v>4014</v>
      </c>
      <c r="O150" s="27" t="s">
        <v>4015</v>
      </c>
      <c r="P150" s="28" t="s">
        <v>4016</v>
      </c>
      <c r="Q150" s="29" t="s">
        <v>4017</v>
      </c>
      <c r="R150" s="30" t="s">
        <v>4018</v>
      </c>
      <c r="S150" s="23" t="s">
        <v>4019</v>
      </c>
      <c r="T150" s="23" t="s">
        <v>4020</v>
      </c>
      <c r="U150" s="23" t="s">
        <v>4021</v>
      </c>
      <c r="V150" s="23" t="s">
        <v>4022</v>
      </c>
      <c r="W150" s="23" t="s">
        <v>4023</v>
      </c>
      <c r="X150" s="23" t="s">
        <v>4024</v>
      </c>
      <c r="Y150" s="31" t="s">
        <v>4025</v>
      </c>
      <c r="Z150" s="23" t="s">
        <v>4026</v>
      </c>
      <c r="AA150" s="23" t="s">
        <v>4027</v>
      </c>
      <c r="AB150" s="26" t="s">
        <v>4028</v>
      </c>
      <c r="AC150" s="23" t="s">
        <v>4029</v>
      </c>
      <c r="AD150" s="19"/>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1"/>
      <c r="BK150" s="21"/>
      <c r="BL150" s="21"/>
    </row>
    <row r="151">
      <c r="A151" s="22" t="s">
        <v>4030</v>
      </c>
      <c r="B151" s="23" t="s">
        <v>4031</v>
      </c>
      <c r="C151" s="24" t="s">
        <v>4032</v>
      </c>
      <c r="D151" s="23" t="s">
        <v>4031</v>
      </c>
      <c r="E151" s="23" t="s">
        <v>4033</v>
      </c>
      <c r="F151" s="23" t="s">
        <v>4034</v>
      </c>
      <c r="G151" s="23" t="s">
        <v>4035</v>
      </c>
      <c r="H151" s="23" t="s">
        <v>4036</v>
      </c>
      <c r="I151" s="23" t="s">
        <v>4037</v>
      </c>
      <c r="J151" s="23" t="s">
        <v>4038</v>
      </c>
      <c r="K151" s="25" t="s">
        <v>4039</v>
      </c>
      <c r="L151" s="23" t="s">
        <v>4040</v>
      </c>
      <c r="M151" s="23" t="s">
        <v>4031</v>
      </c>
      <c r="N151" s="26" t="s">
        <v>4041</v>
      </c>
      <c r="O151" s="27" t="s">
        <v>4042</v>
      </c>
      <c r="P151" s="28" t="s">
        <v>4043</v>
      </c>
      <c r="Q151" s="29" t="s">
        <v>4044</v>
      </c>
      <c r="R151" s="23" t="s">
        <v>4031</v>
      </c>
      <c r="S151" s="23" t="s">
        <v>4045</v>
      </c>
      <c r="T151" s="23" t="s">
        <v>4040</v>
      </c>
      <c r="U151" s="23" t="s">
        <v>4046</v>
      </c>
      <c r="V151" s="23" t="s">
        <v>4031</v>
      </c>
      <c r="W151" s="23" t="s">
        <v>4047</v>
      </c>
      <c r="X151" s="23" t="s">
        <v>4048</v>
      </c>
      <c r="Y151" s="31" t="s">
        <v>4049</v>
      </c>
      <c r="Z151" s="23" t="s">
        <v>4050</v>
      </c>
      <c r="AA151" s="23" t="s">
        <v>4051</v>
      </c>
      <c r="AB151" s="26" t="s">
        <v>1154</v>
      </c>
      <c r="AC151" s="23" t="s">
        <v>4052</v>
      </c>
      <c r="AD151" s="19"/>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1"/>
      <c r="BK151" s="21"/>
      <c r="BL151" s="21"/>
    </row>
    <row r="152">
      <c r="A152" s="22" t="s">
        <v>4053</v>
      </c>
      <c r="B152" s="23" t="s">
        <v>1186</v>
      </c>
      <c r="C152" s="24" t="s">
        <v>1187</v>
      </c>
      <c r="D152" s="23" t="s">
        <v>1188</v>
      </c>
      <c r="E152" s="23" t="s">
        <v>1189</v>
      </c>
      <c r="F152" s="23" t="s">
        <v>1190</v>
      </c>
      <c r="G152" s="23" t="s">
        <v>1191</v>
      </c>
      <c r="H152" s="23" t="s">
        <v>1192</v>
      </c>
      <c r="I152" s="23" t="s">
        <v>1193</v>
      </c>
      <c r="J152" s="23" t="s">
        <v>1194</v>
      </c>
      <c r="K152" s="25" t="s">
        <v>1195</v>
      </c>
      <c r="L152" s="23" t="s">
        <v>1196</v>
      </c>
      <c r="M152" s="23" t="s">
        <v>1197</v>
      </c>
      <c r="N152" s="26" t="s">
        <v>1198</v>
      </c>
      <c r="O152" s="27" t="s">
        <v>1199</v>
      </c>
      <c r="P152" s="28" t="s">
        <v>1200</v>
      </c>
      <c r="Q152" s="23" t="s">
        <v>1201</v>
      </c>
      <c r="R152" s="30" t="s">
        <v>1202</v>
      </c>
      <c r="S152" s="23" t="s">
        <v>1203</v>
      </c>
      <c r="T152" s="23" t="s">
        <v>1196</v>
      </c>
      <c r="U152" s="23" t="s">
        <v>1204</v>
      </c>
      <c r="V152" s="23" t="s">
        <v>1205</v>
      </c>
      <c r="W152" s="23" t="s">
        <v>1191</v>
      </c>
      <c r="X152" s="23" t="s">
        <v>1206</v>
      </c>
      <c r="Y152" s="31" t="s">
        <v>1207</v>
      </c>
      <c r="Z152" s="23" t="s">
        <v>1208</v>
      </c>
      <c r="AA152" s="23" t="s">
        <v>1206</v>
      </c>
      <c r="AB152" s="26" t="s">
        <v>1209</v>
      </c>
      <c r="AC152" s="23" t="s">
        <v>1210</v>
      </c>
      <c r="AD152" s="19"/>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1"/>
      <c r="BK152" s="21"/>
      <c r="BL152" s="21"/>
    </row>
    <row r="153">
      <c r="A153" s="22" t="s">
        <v>4054</v>
      </c>
      <c r="B153" s="23" t="s">
        <v>4055</v>
      </c>
      <c r="C153" s="24" t="s">
        <v>4056</v>
      </c>
      <c r="D153" s="23" t="s">
        <v>4057</v>
      </c>
      <c r="E153" s="23" t="s">
        <v>4058</v>
      </c>
      <c r="F153" s="23" t="s">
        <v>4059</v>
      </c>
      <c r="G153" s="23" t="s">
        <v>4060</v>
      </c>
      <c r="H153" s="23" t="s">
        <v>4061</v>
      </c>
      <c r="I153" s="23" t="s">
        <v>4062</v>
      </c>
      <c r="J153" s="23" t="s">
        <v>4063</v>
      </c>
      <c r="K153" s="25" t="s">
        <v>4064</v>
      </c>
      <c r="L153" s="23" t="s">
        <v>4065</v>
      </c>
      <c r="M153" s="23" t="s">
        <v>4066</v>
      </c>
      <c r="N153" s="26" t="s">
        <v>4067</v>
      </c>
      <c r="O153" s="27" t="s">
        <v>4068</v>
      </c>
      <c r="P153" s="28" t="s">
        <v>4069</v>
      </c>
      <c r="Q153" s="29" t="s">
        <v>4070</v>
      </c>
      <c r="R153" s="30" t="s">
        <v>4071</v>
      </c>
      <c r="S153" s="23" t="s">
        <v>4072</v>
      </c>
      <c r="T153" s="23" t="s">
        <v>4073</v>
      </c>
      <c r="U153" s="23" t="s">
        <v>4074</v>
      </c>
      <c r="V153" s="23" t="s">
        <v>4075</v>
      </c>
      <c r="W153" s="23" t="s">
        <v>4076</v>
      </c>
      <c r="X153" s="23" t="s">
        <v>4077</v>
      </c>
      <c r="Y153" s="31" t="s">
        <v>4078</v>
      </c>
      <c r="Z153" s="23" t="s">
        <v>4079</v>
      </c>
      <c r="AA153" s="23" t="s">
        <v>4080</v>
      </c>
      <c r="AB153" s="26" t="s">
        <v>4081</v>
      </c>
      <c r="AC153" s="23" t="s">
        <v>4082</v>
      </c>
      <c r="AD153" s="19"/>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1"/>
      <c r="BK153" s="21"/>
      <c r="BL153" s="21"/>
    </row>
    <row r="154">
      <c r="A154" s="22" t="s">
        <v>4083</v>
      </c>
      <c r="B154" s="23" t="s">
        <v>4084</v>
      </c>
      <c r="C154" s="24" t="s">
        <v>4085</v>
      </c>
      <c r="D154" s="23" t="s">
        <v>4086</v>
      </c>
      <c r="E154" s="23" t="s">
        <v>4087</v>
      </c>
      <c r="F154" s="23" t="s">
        <v>4088</v>
      </c>
      <c r="G154" s="23" t="s">
        <v>4089</v>
      </c>
      <c r="H154" s="23" t="s">
        <v>4090</v>
      </c>
      <c r="I154" s="23" t="s">
        <v>4091</v>
      </c>
      <c r="J154" s="23" t="s">
        <v>4092</v>
      </c>
      <c r="K154" s="25" t="s">
        <v>4093</v>
      </c>
      <c r="L154" s="23" t="s">
        <v>4094</v>
      </c>
      <c r="M154" s="23" t="s">
        <v>4095</v>
      </c>
      <c r="N154" s="26" t="s">
        <v>4096</v>
      </c>
      <c r="O154" s="27" t="s">
        <v>4097</v>
      </c>
      <c r="P154" s="28" t="s">
        <v>4098</v>
      </c>
      <c r="Q154" s="29" t="s">
        <v>4099</v>
      </c>
      <c r="R154" s="30" t="s">
        <v>4100</v>
      </c>
      <c r="S154" s="23" t="s">
        <v>4101</v>
      </c>
      <c r="T154" s="23" t="s">
        <v>4102</v>
      </c>
      <c r="U154" s="23" t="s">
        <v>4103</v>
      </c>
      <c r="V154" s="23" t="s">
        <v>4104</v>
      </c>
      <c r="W154" s="23" t="s">
        <v>4105</v>
      </c>
      <c r="X154" s="23" t="s">
        <v>4106</v>
      </c>
      <c r="Y154" s="31" t="s">
        <v>4107</v>
      </c>
      <c r="Z154" s="23" t="s">
        <v>4108</v>
      </c>
      <c r="AA154" s="23" t="s">
        <v>4109</v>
      </c>
      <c r="AB154" s="26" t="s">
        <v>4110</v>
      </c>
      <c r="AC154" s="23" t="s">
        <v>4111</v>
      </c>
      <c r="AD154" s="19"/>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1"/>
      <c r="BK154" s="21"/>
      <c r="BL154" s="21"/>
    </row>
    <row r="155">
      <c r="A155" s="22" t="s">
        <v>4112</v>
      </c>
      <c r="B155" s="23" t="s">
        <v>4113</v>
      </c>
      <c r="C155" s="24" t="s">
        <v>4114</v>
      </c>
      <c r="D155" s="23" t="s">
        <v>4115</v>
      </c>
      <c r="E155" s="23" t="s">
        <v>4116</v>
      </c>
      <c r="F155" s="23" t="s">
        <v>4117</v>
      </c>
      <c r="G155" s="23" t="s">
        <v>4118</v>
      </c>
      <c r="H155" s="23" t="s">
        <v>4119</v>
      </c>
      <c r="I155" s="23" t="s">
        <v>4120</v>
      </c>
      <c r="J155" s="23" t="s">
        <v>4121</v>
      </c>
      <c r="K155" s="25" t="s">
        <v>4122</v>
      </c>
      <c r="L155" s="23" t="s">
        <v>4123</v>
      </c>
      <c r="M155" s="23" t="s">
        <v>4124</v>
      </c>
      <c r="N155" s="26" t="s">
        <v>4125</v>
      </c>
      <c r="O155" s="27" t="s">
        <v>4126</v>
      </c>
      <c r="P155" s="28" t="s">
        <v>4127</v>
      </c>
      <c r="Q155" s="29" t="s">
        <v>4128</v>
      </c>
      <c r="R155" s="30" t="s">
        <v>4129</v>
      </c>
      <c r="S155" s="23" t="s">
        <v>4130</v>
      </c>
      <c r="T155" s="23" t="s">
        <v>4131</v>
      </c>
      <c r="U155" s="23" t="s">
        <v>4132</v>
      </c>
      <c r="V155" s="23" t="s">
        <v>4133</v>
      </c>
      <c r="W155" s="23" t="s">
        <v>4134</v>
      </c>
      <c r="X155" s="23" t="s">
        <v>4135</v>
      </c>
      <c r="Y155" s="31" t="s">
        <v>4136</v>
      </c>
      <c r="Z155" s="23" t="s">
        <v>4137</v>
      </c>
      <c r="AA155" s="23" t="s">
        <v>4138</v>
      </c>
      <c r="AB155" s="26" t="s">
        <v>4139</v>
      </c>
      <c r="AC155" s="23" t="s">
        <v>4140</v>
      </c>
      <c r="AD155" s="19"/>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1"/>
      <c r="BK155" s="21"/>
      <c r="BL155" s="21"/>
    </row>
    <row r="156">
      <c r="A156" s="22" t="s">
        <v>4141</v>
      </c>
      <c r="B156" s="23" t="s">
        <v>1072</v>
      </c>
      <c r="C156" s="24" t="s">
        <v>1073</v>
      </c>
      <c r="D156" s="23" t="s">
        <v>1074</v>
      </c>
      <c r="E156" s="23" t="s">
        <v>1075</v>
      </c>
      <c r="F156" s="23" t="s">
        <v>1076</v>
      </c>
      <c r="G156" s="23" t="s">
        <v>1077</v>
      </c>
      <c r="H156" s="23" t="s">
        <v>1078</v>
      </c>
      <c r="I156" s="23" t="s">
        <v>1079</v>
      </c>
      <c r="J156" s="23" t="s">
        <v>1080</v>
      </c>
      <c r="K156" s="25" t="s">
        <v>1081</v>
      </c>
      <c r="L156" s="23" t="s">
        <v>1082</v>
      </c>
      <c r="M156" s="23" t="s">
        <v>1083</v>
      </c>
      <c r="N156" s="26" t="s">
        <v>1084</v>
      </c>
      <c r="O156" s="27" t="s">
        <v>1085</v>
      </c>
      <c r="P156" s="28" t="s">
        <v>1086</v>
      </c>
      <c r="Q156" s="29" t="s">
        <v>1087</v>
      </c>
      <c r="R156" s="30" t="s">
        <v>1088</v>
      </c>
      <c r="S156" s="23" t="s">
        <v>1089</v>
      </c>
      <c r="T156" s="23" t="s">
        <v>1090</v>
      </c>
      <c r="U156" s="23" t="s">
        <v>1091</v>
      </c>
      <c r="V156" s="23" t="s">
        <v>1092</v>
      </c>
      <c r="W156" s="23" t="s">
        <v>1093</v>
      </c>
      <c r="X156" s="23" t="s">
        <v>1094</v>
      </c>
      <c r="Y156" s="31" t="s">
        <v>1095</v>
      </c>
      <c r="Z156" s="23" t="s">
        <v>1096</v>
      </c>
      <c r="AA156" s="23" t="s">
        <v>1097</v>
      </c>
      <c r="AB156" s="26" t="s">
        <v>1098</v>
      </c>
      <c r="AC156" s="23" t="s">
        <v>1099</v>
      </c>
      <c r="AD156" s="19"/>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1"/>
      <c r="BK156" s="21"/>
      <c r="BL156" s="21"/>
    </row>
    <row r="157">
      <c r="A157" s="22" t="s">
        <v>4142</v>
      </c>
      <c r="B157" s="23" t="s">
        <v>1072</v>
      </c>
      <c r="C157" s="24" t="s">
        <v>1073</v>
      </c>
      <c r="D157" s="23" t="s">
        <v>1074</v>
      </c>
      <c r="E157" s="23" t="s">
        <v>1075</v>
      </c>
      <c r="F157" s="23" t="s">
        <v>1076</v>
      </c>
      <c r="G157" s="23" t="s">
        <v>1077</v>
      </c>
      <c r="H157" s="23" t="s">
        <v>1078</v>
      </c>
      <c r="I157" s="23" t="s">
        <v>1079</v>
      </c>
      <c r="J157" s="23" t="s">
        <v>1080</v>
      </c>
      <c r="K157" s="25" t="s">
        <v>1081</v>
      </c>
      <c r="L157" s="23" t="s">
        <v>1082</v>
      </c>
      <c r="M157" s="23" t="s">
        <v>1083</v>
      </c>
      <c r="N157" s="26" t="s">
        <v>1084</v>
      </c>
      <c r="O157" s="27" t="s">
        <v>1085</v>
      </c>
      <c r="P157" s="28" t="s">
        <v>1086</v>
      </c>
      <c r="Q157" s="29" t="s">
        <v>1087</v>
      </c>
      <c r="R157" s="30" t="s">
        <v>1088</v>
      </c>
      <c r="S157" s="23" t="s">
        <v>1089</v>
      </c>
      <c r="T157" s="23" t="s">
        <v>1090</v>
      </c>
      <c r="U157" s="23" t="s">
        <v>1091</v>
      </c>
      <c r="V157" s="23" t="s">
        <v>1092</v>
      </c>
      <c r="W157" s="23" t="s">
        <v>1093</v>
      </c>
      <c r="X157" s="23" t="s">
        <v>1094</v>
      </c>
      <c r="Y157" s="31" t="s">
        <v>1095</v>
      </c>
      <c r="Z157" s="23" t="s">
        <v>1096</v>
      </c>
      <c r="AA157" s="23" t="s">
        <v>1097</v>
      </c>
      <c r="AB157" s="26" t="s">
        <v>1098</v>
      </c>
      <c r="AC157" s="23" t="s">
        <v>1099</v>
      </c>
      <c r="AD157" s="19"/>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1"/>
      <c r="BK157" s="21"/>
      <c r="BL157" s="21"/>
    </row>
    <row r="158">
      <c r="A158" s="22" t="s">
        <v>4143</v>
      </c>
      <c r="B158" s="23" t="s">
        <v>4144</v>
      </c>
      <c r="C158" s="24" t="s">
        <v>4145</v>
      </c>
      <c r="D158" s="23" t="s">
        <v>4146</v>
      </c>
      <c r="E158" s="23" t="s">
        <v>4147</v>
      </c>
      <c r="F158" s="23" t="s">
        <v>4148</v>
      </c>
      <c r="G158" s="23" t="s">
        <v>4149</v>
      </c>
      <c r="H158" s="23" t="s">
        <v>4150</v>
      </c>
      <c r="I158" s="23" t="s">
        <v>4151</v>
      </c>
      <c r="J158" s="23" t="s">
        <v>4152</v>
      </c>
      <c r="K158" s="25" t="s">
        <v>4153</v>
      </c>
      <c r="L158" s="23" t="s">
        <v>4154</v>
      </c>
      <c r="M158" s="23" t="s">
        <v>4155</v>
      </c>
      <c r="N158" s="26" t="s">
        <v>4156</v>
      </c>
      <c r="O158" s="27" t="s">
        <v>4157</v>
      </c>
      <c r="P158" s="28" t="s">
        <v>4158</v>
      </c>
      <c r="Q158" s="29" t="s">
        <v>4159</v>
      </c>
      <c r="R158" s="30" t="s">
        <v>4160</v>
      </c>
      <c r="S158" s="23" t="s">
        <v>4161</v>
      </c>
      <c r="T158" s="23" t="s">
        <v>4162</v>
      </c>
      <c r="U158" s="23" t="s">
        <v>4163</v>
      </c>
      <c r="V158" s="23" t="s">
        <v>4164</v>
      </c>
      <c r="W158" s="23" t="s">
        <v>4165</v>
      </c>
      <c r="X158" s="23" t="s">
        <v>4166</v>
      </c>
      <c r="Y158" s="31" t="s">
        <v>4167</v>
      </c>
      <c r="Z158" s="23" t="s">
        <v>4168</v>
      </c>
      <c r="AA158" s="23" t="s">
        <v>4169</v>
      </c>
      <c r="AB158" s="26" t="s">
        <v>4170</v>
      </c>
      <c r="AC158" s="23" t="s">
        <v>4171</v>
      </c>
      <c r="AD158" s="19"/>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1"/>
      <c r="BK158" s="21"/>
      <c r="BL158" s="21"/>
    </row>
    <row r="159">
      <c r="A159" s="22" t="s">
        <v>4172</v>
      </c>
      <c r="B159" s="23" t="s">
        <v>4173</v>
      </c>
      <c r="C159" s="24" t="s">
        <v>4174</v>
      </c>
      <c r="D159" s="23" t="s">
        <v>4175</v>
      </c>
      <c r="E159" s="23" t="s">
        <v>4176</v>
      </c>
      <c r="F159" s="23" t="s">
        <v>4177</v>
      </c>
      <c r="G159" s="23" t="s">
        <v>4178</v>
      </c>
      <c r="H159" s="23" t="s">
        <v>4179</v>
      </c>
      <c r="I159" s="23" t="s">
        <v>4180</v>
      </c>
      <c r="J159" s="23" t="s">
        <v>4181</v>
      </c>
      <c r="K159" s="25" t="s">
        <v>4182</v>
      </c>
      <c r="L159" s="23" t="s">
        <v>4183</v>
      </c>
      <c r="M159" s="23" t="s">
        <v>4184</v>
      </c>
      <c r="N159" s="23" t="s">
        <v>4185</v>
      </c>
      <c r="O159" s="27" t="s">
        <v>4186</v>
      </c>
      <c r="P159" s="28" t="s">
        <v>4187</v>
      </c>
      <c r="Q159" s="29" t="s">
        <v>4188</v>
      </c>
      <c r="R159" s="30" t="s">
        <v>4189</v>
      </c>
      <c r="S159" s="23" t="s">
        <v>4190</v>
      </c>
      <c r="T159" s="23" t="s">
        <v>4191</v>
      </c>
      <c r="U159" s="23" t="s">
        <v>4192</v>
      </c>
      <c r="V159" s="23" t="s">
        <v>4193</v>
      </c>
      <c r="W159" s="23" t="s">
        <v>4194</v>
      </c>
      <c r="X159" s="23" t="s">
        <v>4195</v>
      </c>
      <c r="Y159" s="31" t="s">
        <v>4196</v>
      </c>
      <c r="Z159" s="23" t="s">
        <v>4197</v>
      </c>
      <c r="AA159" s="23" t="s">
        <v>4198</v>
      </c>
      <c r="AB159" s="26" t="s">
        <v>4199</v>
      </c>
      <c r="AC159" s="23" t="s">
        <v>4200</v>
      </c>
      <c r="AD159" s="19"/>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1"/>
      <c r="BK159" s="21"/>
      <c r="BL159" s="21"/>
    </row>
    <row r="160">
      <c r="A160" s="22" t="s">
        <v>4201</v>
      </c>
      <c r="B160" s="23" t="s">
        <v>4202</v>
      </c>
      <c r="C160" s="24" t="s">
        <v>4203</v>
      </c>
      <c r="D160" s="23" t="s">
        <v>4204</v>
      </c>
      <c r="E160" s="23" t="s">
        <v>4205</v>
      </c>
      <c r="F160" s="23" t="s">
        <v>4206</v>
      </c>
      <c r="G160" s="23" t="s">
        <v>4207</v>
      </c>
      <c r="H160" s="23" t="s">
        <v>4208</v>
      </c>
      <c r="I160" s="23" t="s">
        <v>4209</v>
      </c>
      <c r="J160" s="23" t="s">
        <v>4210</v>
      </c>
      <c r="K160" s="25" t="s">
        <v>4211</v>
      </c>
      <c r="L160" s="23" t="s">
        <v>4212</v>
      </c>
      <c r="M160" s="23" t="s">
        <v>4213</v>
      </c>
      <c r="N160" s="26" t="s">
        <v>4214</v>
      </c>
      <c r="O160" s="27" t="s">
        <v>4215</v>
      </c>
      <c r="P160" s="28" t="s">
        <v>4216</v>
      </c>
      <c r="Q160" s="29" t="s">
        <v>4217</v>
      </c>
      <c r="R160" s="30" t="s">
        <v>4218</v>
      </c>
      <c r="S160" s="23" t="s">
        <v>4219</v>
      </c>
      <c r="T160" s="23" t="s">
        <v>4220</v>
      </c>
      <c r="U160" s="23" t="s">
        <v>4221</v>
      </c>
      <c r="V160" s="23" t="s">
        <v>4222</v>
      </c>
      <c r="W160" s="23" t="s">
        <v>4223</v>
      </c>
      <c r="X160" s="23" t="s">
        <v>4224</v>
      </c>
      <c r="Y160" s="31" t="s">
        <v>4225</v>
      </c>
      <c r="Z160" s="23" t="s">
        <v>4226</v>
      </c>
      <c r="AA160" s="23" t="s">
        <v>4227</v>
      </c>
      <c r="AB160" s="26" t="s">
        <v>4228</v>
      </c>
      <c r="AC160" s="23" t="s">
        <v>4229</v>
      </c>
      <c r="AD160" s="19"/>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1"/>
      <c r="BK160" s="21"/>
      <c r="BL160" s="21"/>
    </row>
    <row r="161">
      <c r="A161" s="22" t="s">
        <v>4230</v>
      </c>
      <c r="B161" s="23" t="s">
        <v>4231</v>
      </c>
      <c r="C161" s="24" t="s">
        <v>4232</v>
      </c>
      <c r="D161" s="23" t="s">
        <v>4231</v>
      </c>
      <c r="E161" s="23" t="s">
        <v>4233</v>
      </c>
      <c r="F161" s="23" t="s">
        <v>4234</v>
      </c>
      <c r="G161" s="23" t="s">
        <v>4235</v>
      </c>
      <c r="H161" s="23" t="s">
        <v>4236</v>
      </c>
      <c r="I161" s="23" t="s">
        <v>4237</v>
      </c>
      <c r="J161" s="23" t="s">
        <v>4238</v>
      </c>
      <c r="K161" s="25" t="s">
        <v>4239</v>
      </c>
      <c r="L161" s="23" t="s">
        <v>4240</v>
      </c>
      <c r="M161" s="23" t="s">
        <v>4241</v>
      </c>
      <c r="N161" s="26" t="s">
        <v>4242</v>
      </c>
      <c r="O161" s="27" t="s">
        <v>4243</v>
      </c>
      <c r="P161" s="28" t="s">
        <v>4244</v>
      </c>
      <c r="Q161" s="29" t="s">
        <v>4245</v>
      </c>
      <c r="R161" s="30" t="s">
        <v>4246</v>
      </c>
      <c r="S161" s="23" t="s">
        <v>4247</v>
      </c>
      <c r="T161" s="23" t="s">
        <v>4248</v>
      </c>
      <c r="U161" s="23" t="s">
        <v>4249</v>
      </c>
      <c r="V161" s="23" t="s">
        <v>4250</v>
      </c>
      <c r="W161" s="23" t="s">
        <v>4251</v>
      </c>
      <c r="X161" s="23" t="s">
        <v>4252</v>
      </c>
      <c r="Y161" s="31" t="s">
        <v>4253</v>
      </c>
      <c r="Z161" s="23" t="s">
        <v>4254</v>
      </c>
      <c r="AA161" s="23" t="s">
        <v>4255</v>
      </c>
      <c r="AB161" s="26" t="s">
        <v>4256</v>
      </c>
      <c r="AC161" s="23" t="s">
        <v>4257</v>
      </c>
      <c r="AD161" s="19"/>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1"/>
      <c r="BK161" s="21"/>
      <c r="BL161" s="21"/>
    </row>
    <row r="162">
      <c r="A162" s="22" t="s">
        <v>4258</v>
      </c>
      <c r="B162" s="23" t="s">
        <v>4259</v>
      </c>
      <c r="C162" s="24" t="s">
        <v>4260</v>
      </c>
      <c r="D162" s="23" t="s">
        <v>4261</v>
      </c>
      <c r="E162" s="23" t="s">
        <v>4262</v>
      </c>
      <c r="F162" s="23" t="s">
        <v>4263</v>
      </c>
      <c r="G162" s="23" t="s">
        <v>4264</v>
      </c>
      <c r="H162" s="23" t="s">
        <v>4265</v>
      </c>
      <c r="I162" s="23" t="s">
        <v>4266</v>
      </c>
      <c r="J162" s="23" t="s">
        <v>4267</v>
      </c>
      <c r="K162" s="25" t="s">
        <v>4268</v>
      </c>
      <c r="L162" s="23" t="s">
        <v>4269</v>
      </c>
      <c r="M162" s="23" t="s">
        <v>4270</v>
      </c>
      <c r="N162" s="26" t="s">
        <v>4271</v>
      </c>
      <c r="O162" s="27" t="s">
        <v>4272</v>
      </c>
      <c r="P162" s="28" t="s">
        <v>4273</v>
      </c>
      <c r="Q162" s="29" t="s">
        <v>4274</v>
      </c>
      <c r="R162" s="30" t="s">
        <v>4275</v>
      </c>
      <c r="S162" s="23" t="s">
        <v>4276</v>
      </c>
      <c r="T162" s="23" t="s">
        <v>4269</v>
      </c>
      <c r="U162" s="23" t="s">
        <v>4277</v>
      </c>
      <c r="V162" s="23" t="s">
        <v>4278</v>
      </c>
      <c r="W162" s="23" t="s">
        <v>4279</v>
      </c>
      <c r="X162" s="23" t="s">
        <v>4280</v>
      </c>
      <c r="Y162" s="31" t="s">
        <v>4281</v>
      </c>
      <c r="Z162" s="23" t="s">
        <v>4282</v>
      </c>
      <c r="AA162" s="23" t="s">
        <v>4283</v>
      </c>
      <c r="AB162" s="26" t="s">
        <v>4284</v>
      </c>
      <c r="AC162" s="23" t="s">
        <v>4285</v>
      </c>
      <c r="AD162" s="19"/>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1"/>
      <c r="BK162" s="21"/>
      <c r="BL162" s="21"/>
    </row>
    <row r="163">
      <c r="A163" s="22" t="s">
        <v>4286</v>
      </c>
      <c r="B163" s="23" t="s">
        <v>4287</v>
      </c>
      <c r="C163" s="24" t="s">
        <v>4288</v>
      </c>
      <c r="D163" s="23" t="s">
        <v>4289</v>
      </c>
      <c r="E163" s="23" t="s">
        <v>4290</v>
      </c>
      <c r="F163" s="23" t="s">
        <v>4291</v>
      </c>
      <c r="G163" s="23" t="s">
        <v>4292</v>
      </c>
      <c r="H163" s="23" t="s">
        <v>4293</v>
      </c>
      <c r="I163" s="23" t="s">
        <v>4294</v>
      </c>
      <c r="J163" s="23" t="s">
        <v>4295</v>
      </c>
      <c r="K163" s="25" t="s">
        <v>4296</v>
      </c>
      <c r="L163" s="23" t="s">
        <v>4297</v>
      </c>
      <c r="M163" s="23" t="s">
        <v>4298</v>
      </c>
      <c r="N163" s="26" t="s">
        <v>4299</v>
      </c>
      <c r="O163" s="27" t="s">
        <v>4300</v>
      </c>
      <c r="P163" s="28" t="s">
        <v>4301</v>
      </c>
      <c r="Q163" s="29" t="s">
        <v>4302</v>
      </c>
      <c r="R163" s="30" t="s">
        <v>4303</v>
      </c>
      <c r="S163" s="23" t="s">
        <v>4304</v>
      </c>
      <c r="T163" s="23" t="s">
        <v>4305</v>
      </c>
      <c r="U163" s="23" t="s">
        <v>4306</v>
      </c>
      <c r="V163" s="23" t="s">
        <v>4307</v>
      </c>
      <c r="W163" s="23" t="s">
        <v>4308</v>
      </c>
      <c r="X163" s="23" t="s">
        <v>4309</v>
      </c>
      <c r="Y163" s="31" t="s">
        <v>4310</v>
      </c>
      <c r="Z163" s="23" t="s">
        <v>4311</v>
      </c>
      <c r="AA163" s="23" t="s">
        <v>4312</v>
      </c>
      <c r="AB163" s="26" t="s">
        <v>4313</v>
      </c>
      <c r="AC163" s="23" t="s">
        <v>4314</v>
      </c>
      <c r="AD163" s="19"/>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1"/>
      <c r="BK163" s="21"/>
      <c r="BL163" s="21"/>
    </row>
    <row r="164">
      <c r="A164" s="22" t="s">
        <v>4315</v>
      </c>
      <c r="B164" s="23" t="s">
        <v>4316</v>
      </c>
      <c r="C164" s="24" t="s">
        <v>4317</v>
      </c>
      <c r="D164" s="23" t="s">
        <v>4318</v>
      </c>
      <c r="E164" s="23" t="s">
        <v>4319</v>
      </c>
      <c r="F164" s="23" t="s">
        <v>4320</v>
      </c>
      <c r="G164" s="23" t="s">
        <v>4321</v>
      </c>
      <c r="H164" s="23" t="s">
        <v>4322</v>
      </c>
      <c r="I164" s="23" t="s">
        <v>4323</v>
      </c>
      <c r="J164" s="23" t="s">
        <v>4324</v>
      </c>
      <c r="K164" s="25" t="s">
        <v>4325</v>
      </c>
      <c r="L164" s="23" t="s">
        <v>4326</v>
      </c>
      <c r="M164" s="23" t="s">
        <v>4327</v>
      </c>
      <c r="N164" s="26" t="s">
        <v>4328</v>
      </c>
      <c r="O164" s="27" t="s">
        <v>4329</v>
      </c>
      <c r="P164" s="28" t="s">
        <v>4330</v>
      </c>
      <c r="Q164" s="29" t="s">
        <v>4331</v>
      </c>
      <c r="R164" s="30" t="s">
        <v>4332</v>
      </c>
      <c r="S164" s="23" t="s">
        <v>4333</v>
      </c>
      <c r="T164" s="23" t="s">
        <v>4334</v>
      </c>
      <c r="U164" s="23" t="s">
        <v>4335</v>
      </c>
      <c r="V164" s="23" t="s">
        <v>4336</v>
      </c>
      <c r="W164" s="23" t="s">
        <v>4337</v>
      </c>
      <c r="X164" s="23" t="s">
        <v>4338</v>
      </c>
      <c r="Y164" s="31" t="s">
        <v>4339</v>
      </c>
      <c r="Z164" s="23" t="s">
        <v>4340</v>
      </c>
      <c r="AA164" s="23" t="s">
        <v>4341</v>
      </c>
      <c r="AB164" s="26" t="s">
        <v>4342</v>
      </c>
      <c r="AC164" s="23" t="s">
        <v>4343</v>
      </c>
      <c r="AD164" s="19"/>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1"/>
      <c r="BK164" s="21"/>
      <c r="BL164" s="21"/>
    </row>
    <row r="165">
      <c r="A165" s="22" t="s">
        <v>4344</v>
      </c>
      <c r="B165" s="23" t="s">
        <v>4345</v>
      </c>
      <c r="C165" s="24" t="s">
        <v>4346</v>
      </c>
      <c r="D165" s="23" t="s">
        <v>4347</v>
      </c>
      <c r="E165" s="23" t="s">
        <v>4348</v>
      </c>
      <c r="F165" s="23" t="s">
        <v>4349</v>
      </c>
      <c r="G165" s="23" t="s">
        <v>4350</v>
      </c>
      <c r="H165" s="23" t="s">
        <v>4351</v>
      </c>
      <c r="I165" s="23" t="s">
        <v>4352</v>
      </c>
      <c r="J165" s="23" t="s">
        <v>4353</v>
      </c>
      <c r="K165" s="25" t="s">
        <v>4354</v>
      </c>
      <c r="L165" s="23" t="s">
        <v>4355</v>
      </c>
      <c r="M165" s="23" t="s">
        <v>4356</v>
      </c>
      <c r="N165" s="26" t="s">
        <v>4357</v>
      </c>
      <c r="O165" s="27" t="s">
        <v>4358</v>
      </c>
      <c r="P165" s="28" t="s">
        <v>4359</v>
      </c>
      <c r="Q165" s="29" t="s">
        <v>4360</v>
      </c>
      <c r="R165" s="30" t="s">
        <v>4361</v>
      </c>
      <c r="S165" s="23" t="s">
        <v>4362</v>
      </c>
      <c r="T165" s="23" t="s">
        <v>4355</v>
      </c>
      <c r="U165" s="23" t="s">
        <v>4363</v>
      </c>
      <c r="V165" s="23" t="s">
        <v>4364</v>
      </c>
      <c r="W165" s="23" t="s">
        <v>4365</v>
      </c>
      <c r="X165" s="23" t="s">
        <v>4366</v>
      </c>
      <c r="Y165" s="31" t="s">
        <v>4367</v>
      </c>
      <c r="Z165" s="23" t="s">
        <v>4368</v>
      </c>
      <c r="AA165" s="23" t="s">
        <v>4369</v>
      </c>
      <c r="AB165" s="26" t="s">
        <v>4370</v>
      </c>
      <c r="AC165" s="23" t="s">
        <v>4371</v>
      </c>
      <c r="AD165" s="19"/>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1"/>
      <c r="BK165" s="21"/>
      <c r="BL165" s="21"/>
    </row>
    <row r="166">
      <c r="A166" s="22" t="s">
        <v>4372</v>
      </c>
      <c r="B166" s="23" t="s">
        <v>4373</v>
      </c>
      <c r="C166" s="24" t="s">
        <v>4374</v>
      </c>
      <c r="D166" s="23" t="s">
        <v>4375</v>
      </c>
      <c r="E166" s="23" t="s">
        <v>4376</v>
      </c>
      <c r="F166" s="23" t="s">
        <v>4377</v>
      </c>
      <c r="G166" s="23" t="s">
        <v>4378</v>
      </c>
      <c r="H166" s="23" t="s">
        <v>4379</v>
      </c>
      <c r="I166" s="23" t="s">
        <v>4380</v>
      </c>
      <c r="J166" s="23" t="s">
        <v>4381</v>
      </c>
      <c r="K166" s="25" t="s">
        <v>4382</v>
      </c>
      <c r="L166" s="23" t="s">
        <v>4383</v>
      </c>
      <c r="M166" s="23" t="s">
        <v>4384</v>
      </c>
      <c r="N166" s="26" t="s">
        <v>4385</v>
      </c>
      <c r="O166" s="27" t="s">
        <v>4386</v>
      </c>
      <c r="P166" s="28" t="s">
        <v>4387</v>
      </c>
      <c r="Q166" s="29" t="s">
        <v>4388</v>
      </c>
      <c r="R166" s="30" t="s">
        <v>4389</v>
      </c>
      <c r="S166" s="23" t="s">
        <v>4390</v>
      </c>
      <c r="T166" s="23" t="s">
        <v>4391</v>
      </c>
      <c r="U166" s="23" t="s">
        <v>4392</v>
      </c>
      <c r="V166" s="23" t="s">
        <v>4393</v>
      </c>
      <c r="W166" s="23" t="s">
        <v>4394</v>
      </c>
      <c r="X166" s="23" t="s">
        <v>4395</v>
      </c>
      <c r="Y166" s="31" t="s">
        <v>4396</v>
      </c>
      <c r="Z166" s="23" t="s">
        <v>4397</v>
      </c>
      <c r="AA166" s="23" t="s">
        <v>4398</v>
      </c>
      <c r="AB166" s="26" t="s">
        <v>4399</v>
      </c>
      <c r="AC166" s="23" t="s">
        <v>4400</v>
      </c>
      <c r="AD166" s="19"/>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1"/>
      <c r="BK166" s="21"/>
      <c r="BL166" s="21"/>
    </row>
    <row r="167">
      <c r="A167" s="22" t="s">
        <v>4401</v>
      </c>
      <c r="B167" s="23" t="s">
        <v>4402</v>
      </c>
      <c r="C167" s="24" t="s">
        <v>4403</v>
      </c>
      <c r="D167" s="23" t="s">
        <v>4404</v>
      </c>
      <c r="E167" s="23" t="s">
        <v>4405</v>
      </c>
      <c r="F167" s="23" t="s">
        <v>4406</v>
      </c>
      <c r="G167" s="23" t="s">
        <v>4407</v>
      </c>
      <c r="H167" s="23" t="s">
        <v>1745</v>
      </c>
      <c r="I167" s="23" t="s">
        <v>1745</v>
      </c>
      <c r="J167" s="23" t="s">
        <v>4408</v>
      </c>
      <c r="K167" s="25" t="s">
        <v>1747</v>
      </c>
      <c r="L167" s="23" t="s">
        <v>1748</v>
      </c>
      <c r="M167" s="23" t="s">
        <v>4409</v>
      </c>
      <c r="N167" s="26" t="s">
        <v>1750</v>
      </c>
      <c r="O167" s="27" t="s">
        <v>4410</v>
      </c>
      <c r="P167" s="28" t="s">
        <v>1752</v>
      </c>
      <c r="Q167" s="29" t="s">
        <v>1365</v>
      </c>
      <c r="R167" s="30" t="s">
        <v>1753</v>
      </c>
      <c r="S167" s="23" t="s">
        <v>1367</v>
      </c>
      <c r="T167" s="23" t="s">
        <v>1748</v>
      </c>
      <c r="U167" s="23" t="s">
        <v>4411</v>
      </c>
      <c r="V167" s="23" t="s">
        <v>1370</v>
      </c>
      <c r="W167" s="23" t="s">
        <v>4412</v>
      </c>
      <c r="X167" s="23" t="s">
        <v>1372</v>
      </c>
      <c r="Y167" s="31" t="s">
        <v>1757</v>
      </c>
      <c r="Z167" s="23" t="s">
        <v>1758</v>
      </c>
      <c r="AA167" s="23" t="s">
        <v>1375</v>
      </c>
      <c r="AB167" s="26" t="s">
        <v>4413</v>
      </c>
      <c r="AC167" s="23" t="s">
        <v>1377</v>
      </c>
      <c r="AD167" s="19"/>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1"/>
      <c r="BK167" s="21"/>
      <c r="BL167" s="21"/>
    </row>
    <row r="168">
      <c r="A168" s="22" t="s">
        <v>4414</v>
      </c>
      <c r="B168" s="23" t="s">
        <v>4415</v>
      </c>
      <c r="C168" s="24" t="s">
        <v>4416</v>
      </c>
      <c r="D168" s="23" t="s">
        <v>4417</v>
      </c>
      <c r="E168" s="23" t="s">
        <v>4418</v>
      </c>
      <c r="F168" s="23" t="s">
        <v>4419</v>
      </c>
      <c r="G168" s="23" t="s">
        <v>4420</v>
      </c>
      <c r="H168" s="23" t="s">
        <v>4421</v>
      </c>
      <c r="I168" s="23" t="s">
        <v>4422</v>
      </c>
      <c r="J168" s="23" t="s">
        <v>4423</v>
      </c>
      <c r="K168" s="25" t="s">
        <v>4424</v>
      </c>
      <c r="L168" s="23" t="s">
        <v>4425</v>
      </c>
      <c r="M168" s="23" t="s">
        <v>4426</v>
      </c>
      <c r="N168" s="26" t="s">
        <v>4427</v>
      </c>
      <c r="O168" s="27" t="s">
        <v>4428</v>
      </c>
      <c r="P168" s="28" t="s">
        <v>4429</v>
      </c>
      <c r="Q168" s="29" t="s">
        <v>4430</v>
      </c>
      <c r="R168" s="30" t="s">
        <v>4431</v>
      </c>
      <c r="S168" s="23" t="s">
        <v>4432</v>
      </c>
      <c r="T168" s="23" t="s">
        <v>4433</v>
      </c>
      <c r="U168" s="23" t="s">
        <v>4434</v>
      </c>
      <c r="V168" s="23" t="s">
        <v>4435</v>
      </c>
      <c r="W168" s="23" t="s">
        <v>4436</v>
      </c>
      <c r="X168" s="23" t="s">
        <v>4437</v>
      </c>
      <c r="Y168" s="31" t="s">
        <v>4438</v>
      </c>
      <c r="Z168" s="23" t="s">
        <v>4439</v>
      </c>
      <c r="AA168" s="23" t="s">
        <v>4440</v>
      </c>
      <c r="AB168" s="26" t="s">
        <v>4441</v>
      </c>
      <c r="AC168" s="23" t="s">
        <v>4442</v>
      </c>
      <c r="AD168" s="19"/>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1"/>
      <c r="BK168" s="21"/>
      <c r="BL168" s="21"/>
    </row>
    <row r="169">
      <c r="A169" s="22" t="s">
        <v>4443</v>
      </c>
      <c r="B169" s="23" t="s">
        <v>4444</v>
      </c>
      <c r="C169" s="24" t="s">
        <v>4445</v>
      </c>
      <c r="D169" s="23" t="s">
        <v>4446</v>
      </c>
      <c r="E169" s="23" t="s">
        <v>4447</v>
      </c>
      <c r="F169" s="23" t="s">
        <v>4448</v>
      </c>
      <c r="G169" s="23" t="s">
        <v>4449</v>
      </c>
      <c r="H169" s="23" t="s">
        <v>4450</v>
      </c>
      <c r="I169" s="23" t="s">
        <v>4451</v>
      </c>
      <c r="J169" s="23" t="s">
        <v>4452</v>
      </c>
      <c r="K169" s="25" t="s">
        <v>4453</v>
      </c>
      <c r="L169" s="23" t="s">
        <v>4454</v>
      </c>
      <c r="M169" s="23" t="s">
        <v>4455</v>
      </c>
      <c r="N169" s="26" t="s">
        <v>4456</v>
      </c>
      <c r="O169" s="27" t="s">
        <v>4457</v>
      </c>
      <c r="P169" s="28" t="s">
        <v>4458</v>
      </c>
      <c r="Q169" s="29" t="s">
        <v>4459</v>
      </c>
      <c r="R169" s="30" t="s">
        <v>4460</v>
      </c>
      <c r="S169" s="23" t="s">
        <v>4461</v>
      </c>
      <c r="T169" s="23" t="s">
        <v>4462</v>
      </c>
      <c r="U169" s="23" t="s">
        <v>4463</v>
      </c>
      <c r="V169" s="23" t="s">
        <v>4464</v>
      </c>
      <c r="W169" s="23" t="s">
        <v>4449</v>
      </c>
      <c r="X169" s="23" t="s">
        <v>4465</v>
      </c>
      <c r="Y169" s="31" t="s">
        <v>4466</v>
      </c>
      <c r="Z169" s="23" t="s">
        <v>4467</v>
      </c>
      <c r="AA169" s="23" t="s">
        <v>4468</v>
      </c>
      <c r="AB169" s="26" t="s">
        <v>4469</v>
      </c>
      <c r="AC169" s="23" t="s">
        <v>4470</v>
      </c>
      <c r="AD169" s="19"/>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1"/>
      <c r="BK169" s="21"/>
      <c r="BL169" s="21"/>
    </row>
    <row r="170">
      <c r="A170" s="22" t="s">
        <v>4471</v>
      </c>
      <c r="B170" s="23" t="s">
        <v>4472</v>
      </c>
      <c r="C170" s="24" t="s">
        <v>4473</v>
      </c>
      <c r="D170" s="23" t="s">
        <v>4474</v>
      </c>
      <c r="E170" s="23" t="s">
        <v>4475</v>
      </c>
      <c r="F170" s="23" t="s">
        <v>4476</v>
      </c>
      <c r="G170" s="23" t="s">
        <v>4477</v>
      </c>
      <c r="H170" s="23" t="s">
        <v>4478</v>
      </c>
      <c r="I170" s="23" t="s">
        <v>4479</v>
      </c>
      <c r="J170" s="23" t="s">
        <v>4480</v>
      </c>
      <c r="K170" s="25" t="s">
        <v>4481</v>
      </c>
      <c r="L170" s="23" t="s">
        <v>4482</v>
      </c>
      <c r="M170" s="23" t="s">
        <v>4483</v>
      </c>
      <c r="N170" s="26" t="s">
        <v>4484</v>
      </c>
      <c r="O170" s="27" t="s">
        <v>4485</v>
      </c>
      <c r="P170" s="28" t="s">
        <v>4486</v>
      </c>
      <c r="Q170" s="29" t="s">
        <v>4487</v>
      </c>
      <c r="R170" s="30" t="s">
        <v>4488</v>
      </c>
      <c r="S170" s="23" t="s">
        <v>4489</v>
      </c>
      <c r="T170" s="23" t="s">
        <v>4490</v>
      </c>
      <c r="U170" s="23" t="s">
        <v>4491</v>
      </c>
      <c r="V170" s="23" t="s">
        <v>4492</v>
      </c>
      <c r="W170" s="23" t="s">
        <v>4493</v>
      </c>
      <c r="X170" s="23" t="s">
        <v>4494</v>
      </c>
      <c r="Y170" s="31" t="s">
        <v>4495</v>
      </c>
      <c r="Z170" s="23" t="s">
        <v>4496</v>
      </c>
      <c r="AA170" s="23" t="s">
        <v>4497</v>
      </c>
      <c r="AB170" s="26" t="s">
        <v>4498</v>
      </c>
      <c r="AC170" s="23" t="s">
        <v>4499</v>
      </c>
      <c r="AD170" s="19"/>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1"/>
      <c r="BK170" s="21"/>
      <c r="BL170" s="21"/>
    </row>
    <row r="171">
      <c r="A171" s="22" t="s">
        <v>4500</v>
      </c>
      <c r="B171" s="23" t="s">
        <v>4500</v>
      </c>
      <c r="C171" s="24" t="s">
        <v>4501</v>
      </c>
      <c r="D171" s="23" t="s">
        <v>4502</v>
      </c>
      <c r="E171" s="23" t="s">
        <v>4503</v>
      </c>
      <c r="F171" s="23" t="s">
        <v>4504</v>
      </c>
      <c r="G171" s="23" t="s">
        <v>4505</v>
      </c>
      <c r="H171" s="23" t="s">
        <v>4506</v>
      </c>
      <c r="I171" s="23" t="s">
        <v>4507</v>
      </c>
      <c r="J171" s="23" t="s">
        <v>4508</v>
      </c>
      <c r="K171" s="25" t="s">
        <v>4509</v>
      </c>
      <c r="L171" s="23" t="s">
        <v>4510</v>
      </c>
      <c r="M171" s="23" t="s">
        <v>4511</v>
      </c>
      <c r="N171" s="26" t="s">
        <v>4512</v>
      </c>
      <c r="O171" s="27" t="s">
        <v>4513</v>
      </c>
      <c r="P171" s="28" t="s">
        <v>807</v>
      </c>
      <c r="Q171" s="29" t="s">
        <v>4514</v>
      </c>
      <c r="R171" s="30" t="s">
        <v>4515</v>
      </c>
      <c r="S171" s="23" t="s">
        <v>4516</v>
      </c>
      <c r="T171" s="23" t="s">
        <v>4500</v>
      </c>
      <c r="U171" s="23" t="s">
        <v>4500</v>
      </c>
      <c r="V171" s="23" t="s">
        <v>4517</v>
      </c>
      <c r="W171" s="23" t="s">
        <v>4500</v>
      </c>
      <c r="X171" s="23" t="s">
        <v>4518</v>
      </c>
      <c r="Y171" s="31" t="s">
        <v>4519</v>
      </c>
      <c r="Z171" s="23" t="s">
        <v>4520</v>
      </c>
      <c r="AA171" s="23" t="s">
        <v>4521</v>
      </c>
      <c r="AB171" s="26" t="s">
        <v>4522</v>
      </c>
      <c r="AC171" s="23" t="s">
        <v>4523</v>
      </c>
      <c r="AD171" s="19"/>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1"/>
      <c r="BK171" s="21"/>
      <c r="BL171" s="21"/>
    </row>
    <row r="172">
      <c r="A172" s="22" t="s">
        <v>4524</v>
      </c>
      <c r="B172" s="23" t="s">
        <v>4524</v>
      </c>
      <c r="C172" s="24" t="s">
        <v>4525</v>
      </c>
      <c r="D172" s="23" t="s">
        <v>4526</v>
      </c>
      <c r="E172" s="23" t="s">
        <v>4503</v>
      </c>
      <c r="F172" s="23" t="s">
        <v>4527</v>
      </c>
      <c r="G172" s="23" t="s">
        <v>4528</v>
      </c>
      <c r="H172" s="23" t="s">
        <v>4529</v>
      </c>
      <c r="I172" s="23" t="s">
        <v>4530</v>
      </c>
      <c r="J172" s="23" t="s">
        <v>4531</v>
      </c>
      <c r="K172" s="25" t="s">
        <v>4532</v>
      </c>
      <c r="L172" s="23" t="s">
        <v>4500</v>
      </c>
      <c r="M172" s="23" t="s">
        <v>4533</v>
      </c>
      <c r="N172" s="26" t="s">
        <v>4512</v>
      </c>
      <c r="O172" s="27" t="s">
        <v>4534</v>
      </c>
      <c r="P172" s="28" t="s">
        <v>4535</v>
      </c>
      <c r="Q172" s="29" t="s">
        <v>4536</v>
      </c>
      <c r="R172" s="30" t="s">
        <v>4515</v>
      </c>
      <c r="S172" s="23" t="s">
        <v>4537</v>
      </c>
      <c r="T172" s="23" t="s">
        <v>4538</v>
      </c>
      <c r="U172" s="23" t="s">
        <v>4524</v>
      </c>
      <c r="V172" s="23" t="s">
        <v>4539</v>
      </c>
      <c r="W172" s="23" t="s">
        <v>4540</v>
      </c>
      <c r="X172" s="23" t="s">
        <v>4541</v>
      </c>
      <c r="Y172" s="31" t="s">
        <v>4519</v>
      </c>
      <c r="Z172" s="23" t="s">
        <v>4542</v>
      </c>
      <c r="AA172" s="23" t="s">
        <v>4543</v>
      </c>
      <c r="AB172" s="26" t="s">
        <v>4544</v>
      </c>
      <c r="AC172" s="23" t="s">
        <v>4523</v>
      </c>
      <c r="AD172" s="19"/>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1"/>
      <c r="BK172" s="21"/>
      <c r="BL172" s="21"/>
    </row>
    <row r="173">
      <c r="A173" s="22" t="s">
        <v>4545</v>
      </c>
      <c r="B173" s="23" t="s">
        <v>4545</v>
      </c>
      <c r="C173" s="24" t="s">
        <v>4546</v>
      </c>
      <c r="D173" s="23" t="s">
        <v>4547</v>
      </c>
      <c r="E173" s="23" t="s">
        <v>4548</v>
      </c>
      <c r="F173" s="23" t="s">
        <v>4549</v>
      </c>
      <c r="G173" s="23" t="s">
        <v>4550</v>
      </c>
      <c r="H173" s="23" t="s">
        <v>4551</v>
      </c>
      <c r="I173" s="23" t="s">
        <v>4552</v>
      </c>
      <c r="J173" s="23" t="s">
        <v>4553</v>
      </c>
      <c r="K173" s="25" t="s">
        <v>4554</v>
      </c>
      <c r="L173" s="23" t="s">
        <v>4555</v>
      </c>
      <c r="M173" s="23" t="s">
        <v>4556</v>
      </c>
      <c r="N173" s="26" t="s">
        <v>4557</v>
      </c>
      <c r="O173" s="27" t="s">
        <v>4558</v>
      </c>
      <c r="P173" s="28" t="s">
        <v>4559</v>
      </c>
      <c r="Q173" s="29" t="s">
        <v>4560</v>
      </c>
      <c r="R173" s="30" t="s">
        <v>4561</v>
      </c>
      <c r="S173" s="23" t="s">
        <v>4562</v>
      </c>
      <c r="T173" s="23" t="s">
        <v>4563</v>
      </c>
      <c r="U173" s="23" t="s">
        <v>4564</v>
      </c>
      <c r="V173" s="23" t="s">
        <v>4565</v>
      </c>
      <c r="W173" s="23" t="s">
        <v>4566</v>
      </c>
      <c r="X173" s="23" t="s">
        <v>4567</v>
      </c>
      <c r="Y173" s="31" t="s">
        <v>4568</v>
      </c>
      <c r="Z173" s="23" t="s">
        <v>4569</v>
      </c>
      <c r="AA173" s="23" t="s">
        <v>4570</v>
      </c>
      <c r="AB173" s="26" t="s">
        <v>4557</v>
      </c>
      <c r="AC173" s="23" t="s">
        <v>4571</v>
      </c>
      <c r="AD173" s="19"/>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1"/>
      <c r="BK173" s="21"/>
      <c r="BL173" s="21"/>
    </row>
    <row r="174">
      <c r="A174" s="22" t="s">
        <v>4572</v>
      </c>
      <c r="B174" s="23" t="s">
        <v>4572</v>
      </c>
      <c r="C174" s="24" t="s">
        <v>4573</v>
      </c>
      <c r="D174" s="23" t="s">
        <v>4574</v>
      </c>
      <c r="E174" s="23" t="s">
        <v>4575</v>
      </c>
      <c r="F174" s="23" t="s">
        <v>4576</v>
      </c>
      <c r="G174" s="23" t="s">
        <v>4577</v>
      </c>
      <c r="H174" s="23" t="s">
        <v>4578</v>
      </c>
      <c r="I174" s="23" t="s">
        <v>4579</v>
      </c>
      <c r="J174" s="23" t="s">
        <v>4580</v>
      </c>
      <c r="K174" s="25" t="s">
        <v>4581</v>
      </c>
      <c r="L174" s="23" t="s">
        <v>4582</v>
      </c>
      <c r="M174" s="23" t="s">
        <v>4583</v>
      </c>
      <c r="N174" s="26" t="s">
        <v>4584</v>
      </c>
      <c r="O174" s="27" t="s">
        <v>4585</v>
      </c>
      <c r="P174" s="28" t="s">
        <v>4586</v>
      </c>
      <c r="Q174" s="23" t="s">
        <v>4587</v>
      </c>
      <c r="R174" s="30" t="s">
        <v>4588</v>
      </c>
      <c r="S174" s="23" t="s">
        <v>4589</v>
      </c>
      <c r="T174" s="23" t="s">
        <v>4582</v>
      </c>
      <c r="U174" s="23" t="s">
        <v>4590</v>
      </c>
      <c r="V174" s="23" t="s">
        <v>4574</v>
      </c>
      <c r="W174" s="23" t="s">
        <v>4591</v>
      </c>
      <c r="X174" s="23" t="s">
        <v>4592</v>
      </c>
      <c r="Y174" s="31" t="s">
        <v>4593</v>
      </c>
      <c r="Z174" s="23" t="s">
        <v>4594</v>
      </c>
      <c r="AA174" s="23" t="s">
        <v>4595</v>
      </c>
      <c r="AB174" s="26" t="s">
        <v>4596</v>
      </c>
      <c r="AC174" s="23" t="s">
        <v>4597</v>
      </c>
      <c r="AD174" s="19"/>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1"/>
      <c r="BK174" s="21"/>
      <c r="BL174" s="21"/>
    </row>
    <row r="175">
      <c r="A175" s="22" t="s">
        <v>4598</v>
      </c>
      <c r="B175" s="23" t="s">
        <v>4599</v>
      </c>
      <c r="C175" s="24" t="s">
        <v>4600</v>
      </c>
      <c r="D175" s="23" t="s">
        <v>4601</v>
      </c>
      <c r="E175" s="23" t="s">
        <v>4602</v>
      </c>
      <c r="F175" s="23" t="s">
        <v>4603</v>
      </c>
      <c r="G175" s="23" t="s">
        <v>4604</v>
      </c>
      <c r="H175" s="23" t="s">
        <v>4605</v>
      </c>
      <c r="I175" s="23" t="s">
        <v>4606</v>
      </c>
      <c r="J175" s="23" t="s">
        <v>4607</v>
      </c>
      <c r="K175" s="25" t="s">
        <v>4608</v>
      </c>
      <c r="L175" s="23" t="s">
        <v>4609</v>
      </c>
      <c r="M175" s="23" t="s">
        <v>4610</v>
      </c>
      <c r="N175" s="26" t="s">
        <v>2573</v>
      </c>
      <c r="O175" s="27" t="s">
        <v>4611</v>
      </c>
      <c r="P175" s="28" t="s">
        <v>4612</v>
      </c>
      <c r="Q175" s="29" t="s">
        <v>4613</v>
      </c>
      <c r="R175" s="30" t="s">
        <v>4614</v>
      </c>
      <c r="S175" s="23" t="s">
        <v>4615</v>
      </c>
      <c r="T175" s="23" t="s">
        <v>4616</v>
      </c>
      <c r="U175" s="23" t="s">
        <v>4617</v>
      </c>
      <c r="V175" s="23" t="s">
        <v>4618</v>
      </c>
      <c r="W175" s="23" t="s">
        <v>4619</v>
      </c>
      <c r="X175" s="23" t="s">
        <v>4620</v>
      </c>
      <c r="Y175" s="31" t="s">
        <v>4621</v>
      </c>
      <c r="Z175" s="23" t="s">
        <v>4622</v>
      </c>
      <c r="AA175" s="23" t="s">
        <v>4623</v>
      </c>
      <c r="AB175" s="26" t="s">
        <v>4624</v>
      </c>
      <c r="AC175" s="23" t="s">
        <v>4625</v>
      </c>
      <c r="AD175" s="19"/>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1"/>
      <c r="BK175" s="21"/>
      <c r="BL175" s="21"/>
    </row>
    <row r="176">
      <c r="A176" s="22" t="s">
        <v>4626</v>
      </c>
      <c r="B176" s="23" t="s">
        <v>4627</v>
      </c>
      <c r="C176" s="24" t="s">
        <v>4628</v>
      </c>
      <c r="D176" s="23" t="s">
        <v>4629</v>
      </c>
      <c r="E176" s="23" t="s">
        <v>4630</v>
      </c>
      <c r="F176" s="23" t="s">
        <v>4631</v>
      </c>
      <c r="G176" s="23" t="s">
        <v>4632</v>
      </c>
      <c r="H176" s="23" t="s">
        <v>4633</v>
      </c>
      <c r="I176" s="23" t="s">
        <v>4634</v>
      </c>
      <c r="J176" s="23" t="s">
        <v>4635</v>
      </c>
      <c r="K176" s="25" t="s">
        <v>4636</v>
      </c>
      <c r="L176" s="23" t="s">
        <v>4637</v>
      </c>
      <c r="M176" s="23" t="s">
        <v>4638</v>
      </c>
      <c r="N176" s="26" t="s">
        <v>4639</v>
      </c>
      <c r="O176" s="27" t="s">
        <v>4640</v>
      </c>
      <c r="P176" s="28" t="s">
        <v>4641</v>
      </c>
      <c r="Q176" s="29" t="s">
        <v>4642</v>
      </c>
      <c r="R176" s="30" t="s">
        <v>4643</v>
      </c>
      <c r="S176" s="23" t="s">
        <v>4644</v>
      </c>
      <c r="T176" s="23" t="s">
        <v>4645</v>
      </c>
      <c r="U176" s="23" t="s">
        <v>4646</v>
      </c>
      <c r="V176" s="23" t="s">
        <v>4647</v>
      </c>
      <c r="W176" s="23" t="s">
        <v>4648</v>
      </c>
      <c r="X176" s="23" t="s">
        <v>4649</v>
      </c>
      <c r="Y176" s="31" t="s">
        <v>4650</v>
      </c>
      <c r="Z176" s="23" t="s">
        <v>4651</v>
      </c>
      <c r="AA176" s="23" t="s">
        <v>4652</v>
      </c>
      <c r="AB176" s="26" t="s">
        <v>4653</v>
      </c>
      <c r="AC176" s="23" t="s">
        <v>4654</v>
      </c>
      <c r="AD176" s="19"/>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1"/>
      <c r="BK176" s="21"/>
      <c r="BL176" s="21"/>
    </row>
    <row r="177">
      <c r="A177" s="22" t="s">
        <v>4655</v>
      </c>
      <c r="B177" s="23" t="s">
        <v>4655</v>
      </c>
      <c r="C177" s="24" t="s">
        <v>4656</v>
      </c>
      <c r="D177" s="23" t="s">
        <v>4657</v>
      </c>
      <c r="E177" s="23" t="s">
        <v>4658</v>
      </c>
      <c r="F177" s="23" t="s">
        <v>4659</v>
      </c>
      <c r="G177" s="23" t="s">
        <v>4660</v>
      </c>
      <c r="H177" s="23" t="s">
        <v>4661</v>
      </c>
      <c r="I177" s="23" t="s">
        <v>4662</v>
      </c>
      <c r="J177" s="23" t="s">
        <v>4663</v>
      </c>
      <c r="K177" s="25" t="s">
        <v>4664</v>
      </c>
      <c r="L177" s="23" t="s">
        <v>308</v>
      </c>
      <c r="M177" s="23" t="s">
        <v>4665</v>
      </c>
      <c r="N177" s="26" t="s">
        <v>4666</v>
      </c>
      <c r="O177" s="27" t="s">
        <v>4667</v>
      </c>
      <c r="P177" s="28" t="s">
        <v>4668</v>
      </c>
      <c r="Q177" s="29" t="s">
        <v>4669</v>
      </c>
      <c r="R177" s="30" t="s">
        <v>4670</v>
      </c>
      <c r="S177" s="23" t="s">
        <v>4671</v>
      </c>
      <c r="T177" s="23" t="s">
        <v>4672</v>
      </c>
      <c r="U177" s="23" t="s">
        <v>317</v>
      </c>
      <c r="V177" s="23" t="s">
        <v>4673</v>
      </c>
      <c r="W177" s="23" t="s">
        <v>4674</v>
      </c>
      <c r="X177" s="23" t="s">
        <v>4675</v>
      </c>
      <c r="Y177" s="31" t="s">
        <v>321</v>
      </c>
      <c r="Z177" s="23" t="s">
        <v>4676</v>
      </c>
      <c r="AA177" s="23" t="s">
        <v>4677</v>
      </c>
      <c r="AB177" s="26" t="s">
        <v>4678</v>
      </c>
      <c r="AC177" s="23" t="s">
        <v>325</v>
      </c>
      <c r="AD177" s="19"/>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1"/>
      <c r="BK177" s="21"/>
      <c r="BL177" s="21"/>
    </row>
    <row r="178">
      <c r="A178" s="22" t="s">
        <v>4679</v>
      </c>
      <c r="B178" s="23" t="s">
        <v>4680</v>
      </c>
      <c r="C178" s="24" t="s">
        <v>4681</v>
      </c>
      <c r="D178" s="23" t="s">
        <v>4682</v>
      </c>
      <c r="E178" s="23" t="s">
        <v>4683</v>
      </c>
      <c r="F178" s="23" t="s">
        <v>4684</v>
      </c>
      <c r="G178" s="23" t="s">
        <v>4685</v>
      </c>
      <c r="H178" s="23" t="s">
        <v>4686</v>
      </c>
      <c r="I178" s="23" t="s">
        <v>4687</v>
      </c>
      <c r="J178" s="23" t="s">
        <v>4688</v>
      </c>
      <c r="K178" s="25" t="s">
        <v>4689</v>
      </c>
      <c r="L178" s="23" t="s">
        <v>4690</v>
      </c>
      <c r="M178" s="23" t="s">
        <v>4691</v>
      </c>
      <c r="N178" s="26" t="s">
        <v>4692</v>
      </c>
      <c r="O178" s="27" t="s">
        <v>4693</v>
      </c>
      <c r="P178" s="28" t="s">
        <v>4694</v>
      </c>
      <c r="Q178" s="29" t="s">
        <v>4695</v>
      </c>
      <c r="R178" s="30" t="s">
        <v>4696</v>
      </c>
      <c r="S178" s="23" t="s">
        <v>4697</v>
      </c>
      <c r="T178" s="23" t="s">
        <v>4698</v>
      </c>
      <c r="U178" s="23" t="s">
        <v>4699</v>
      </c>
      <c r="V178" s="23" t="s">
        <v>4700</v>
      </c>
      <c r="W178" s="23" t="s">
        <v>4701</v>
      </c>
      <c r="X178" s="23" t="s">
        <v>4702</v>
      </c>
      <c r="Y178" s="31" t="s">
        <v>4703</v>
      </c>
      <c r="Z178" s="23" t="s">
        <v>4704</v>
      </c>
      <c r="AA178" s="23" t="s">
        <v>4705</v>
      </c>
      <c r="AB178" s="26" t="s">
        <v>4706</v>
      </c>
      <c r="AC178" s="23" t="s">
        <v>4052</v>
      </c>
      <c r="AD178" s="19"/>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1"/>
      <c r="BK178" s="21"/>
      <c r="BL178" s="21"/>
    </row>
    <row r="179">
      <c r="A179" s="22" t="s">
        <v>4707</v>
      </c>
      <c r="B179" s="23" t="s">
        <v>4707</v>
      </c>
      <c r="C179" s="24" t="s">
        <v>4708</v>
      </c>
      <c r="D179" s="23" t="s">
        <v>4709</v>
      </c>
      <c r="E179" s="23" t="s">
        <v>4710</v>
      </c>
      <c r="F179" s="23" t="s">
        <v>4711</v>
      </c>
      <c r="G179" s="23" t="s">
        <v>4712</v>
      </c>
      <c r="H179" s="23" t="s">
        <v>4713</v>
      </c>
      <c r="I179" s="23" t="s">
        <v>4714</v>
      </c>
      <c r="J179" s="23" t="s">
        <v>4715</v>
      </c>
      <c r="K179" s="25" t="s">
        <v>4716</v>
      </c>
      <c r="L179" s="23" t="s">
        <v>4717</v>
      </c>
      <c r="M179" s="23" t="s">
        <v>4718</v>
      </c>
      <c r="N179" s="26" t="s">
        <v>4719</v>
      </c>
      <c r="O179" s="27" t="s">
        <v>4720</v>
      </c>
      <c r="P179" s="28" t="s">
        <v>4721</v>
      </c>
      <c r="Q179" s="29" t="s">
        <v>4722</v>
      </c>
      <c r="R179" s="30" t="s">
        <v>4723</v>
      </c>
      <c r="S179" s="23" t="s">
        <v>4724</v>
      </c>
      <c r="T179" s="23" t="s">
        <v>4725</v>
      </c>
      <c r="U179" s="23" t="s">
        <v>4726</v>
      </c>
      <c r="V179" s="23" t="s">
        <v>4727</v>
      </c>
      <c r="W179" s="23" t="s">
        <v>4728</v>
      </c>
      <c r="X179" s="23" t="s">
        <v>4729</v>
      </c>
      <c r="Y179" s="31" t="s">
        <v>4730</v>
      </c>
      <c r="Z179" s="23" t="s">
        <v>4731</v>
      </c>
      <c r="AA179" s="23" t="s">
        <v>4732</v>
      </c>
      <c r="AB179" s="26" t="s">
        <v>4733</v>
      </c>
      <c r="AC179" s="23" t="s">
        <v>4734</v>
      </c>
      <c r="AD179" s="19"/>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1"/>
      <c r="BK179" s="21"/>
      <c r="BL179" s="21"/>
    </row>
    <row r="180">
      <c r="A180" s="22" t="s">
        <v>4735</v>
      </c>
      <c r="B180" s="23" t="s">
        <v>4735</v>
      </c>
      <c r="C180" s="24" t="s">
        <v>4736</v>
      </c>
      <c r="D180" s="23" t="s">
        <v>4737</v>
      </c>
      <c r="E180" s="23" t="s">
        <v>4738</v>
      </c>
      <c r="F180" s="23" t="s">
        <v>4739</v>
      </c>
      <c r="G180" s="23" t="s">
        <v>4740</v>
      </c>
      <c r="H180" s="23" t="s">
        <v>4741</v>
      </c>
      <c r="I180" s="23" t="s">
        <v>4742</v>
      </c>
      <c r="J180" s="23" t="s">
        <v>4743</v>
      </c>
      <c r="K180" s="25" t="s">
        <v>4744</v>
      </c>
      <c r="L180" s="23" t="s">
        <v>4745</v>
      </c>
      <c r="M180" s="23" t="s">
        <v>4746</v>
      </c>
      <c r="N180" s="26" t="s">
        <v>4747</v>
      </c>
      <c r="O180" s="27" t="s">
        <v>4748</v>
      </c>
      <c r="P180" s="28" t="s">
        <v>4749</v>
      </c>
      <c r="Q180" s="29" t="s">
        <v>4750</v>
      </c>
      <c r="R180" s="30" t="s">
        <v>4751</v>
      </c>
      <c r="S180" s="23" t="s">
        <v>4752</v>
      </c>
      <c r="T180" s="23" t="s">
        <v>4745</v>
      </c>
      <c r="U180" s="23" t="s">
        <v>4753</v>
      </c>
      <c r="V180" s="23" t="s">
        <v>4754</v>
      </c>
      <c r="W180" s="23" t="s">
        <v>4740</v>
      </c>
      <c r="X180" s="23" t="s">
        <v>4755</v>
      </c>
      <c r="Y180" s="31" t="s">
        <v>4756</v>
      </c>
      <c r="Z180" s="23" t="s">
        <v>4757</v>
      </c>
      <c r="AA180" s="23" t="s">
        <v>4758</v>
      </c>
      <c r="AB180" s="26" t="s">
        <v>4759</v>
      </c>
      <c r="AC180" s="23" t="s">
        <v>4760</v>
      </c>
      <c r="AD180" s="19"/>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1"/>
      <c r="BK180" s="21"/>
      <c r="BL180" s="21"/>
    </row>
    <row r="181">
      <c r="A181" s="22" t="s">
        <v>4761</v>
      </c>
      <c r="B181" s="23" t="s">
        <v>4762</v>
      </c>
      <c r="C181" s="24" t="s">
        <v>4763</v>
      </c>
      <c r="D181" s="23" t="s">
        <v>4764</v>
      </c>
      <c r="E181" s="23" t="s">
        <v>4765</v>
      </c>
      <c r="F181" s="23" t="s">
        <v>4766</v>
      </c>
      <c r="G181" s="23" t="s">
        <v>4767</v>
      </c>
      <c r="H181" s="23" t="s">
        <v>4768</v>
      </c>
      <c r="I181" s="23" t="s">
        <v>4769</v>
      </c>
      <c r="J181" s="23" t="s">
        <v>4770</v>
      </c>
      <c r="K181" s="25" t="s">
        <v>4771</v>
      </c>
      <c r="L181" s="23" t="s">
        <v>4772</v>
      </c>
      <c r="M181" s="23" t="s">
        <v>4773</v>
      </c>
      <c r="N181" s="26" t="s">
        <v>4774</v>
      </c>
      <c r="O181" s="27" t="s">
        <v>4775</v>
      </c>
      <c r="P181" s="28" t="s">
        <v>4776</v>
      </c>
      <c r="Q181" s="29" t="s">
        <v>4777</v>
      </c>
      <c r="R181" s="30" t="s">
        <v>4778</v>
      </c>
      <c r="S181" s="23" t="s">
        <v>4779</v>
      </c>
      <c r="T181" s="23" t="s">
        <v>4780</v>
      </c>
      <c r="U181" s="23" t="s">
        <v>4781</v>
      </c>
      <c r="V181" s="23" t="s">
        <v>4782</v>
      </c>
      <c r="W181" s="23" t="s">
        <v>4783</v>
      </c>
      <c r="X181" s="23" t="s">
        <v>4784</v>
      </c>
      <c r="Y181" s="31" t="s">
        <v>4785</v>
      </c>
      <c r="Z181" s="23" t="s">
        <v>4786</v>
      </c>
      <c r="AA181" s="23" t="s">
        <v>4787</v>
      </c>
      <c r="AB181" s="26" t="s">
        <v>4788</v>
      </c>
      <c r="AC181" s="23" t="s">
        <v>4789</v>
      </c>
      <c r="AD181" s="19"/>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1"/>
      <c r="BK181" s="21"/>
      <c r="BL181" s="21"/>
    </row>
    <row r="182">
      <c r="A182" s="22" t="s">
        <v>4790</v>
      </c>
      <c r="B182" s="23" t="s">
        <v>4791</v>
      </c>
      <c r="C182" s="24" t="s">
        <v>4792</v>
      </c>
      <c r="D182" s="23" t="s">
        <v>4793</v>
      </c>
      <c r="E182" s="23" t="s">
        <v>4794</v>
      </c>
      <c r="F182" s="23" t="s">
        <v>4795</v>
      </c>
      <c r="G182" s="23" t="s">
        <v>4796</v>
      </c>
      <c r="H182" s="23" t="s">
        <v>4797</v>
      </c>
      <c r="I182" s="23" t="s">
        <v>4798</v>
      </c>
      <c r="J182" s="23" t="s">
        <v>4799</v>
      </c>
      <c r="K182" s="25" t="s">
        <v>4800</v>
      </c>
      <c r="L182" s="23" t="s">
        <v>4801</v>
      </c>
      <c r="M182" s="23" t="s">
        <v>4802</v>
      </c>
      <c r="N182" s="26" t="s">
        <v>4803</v>
      </c>
      <c r="O182" s="27" t="s">
        <v>4804</v>
      </c>
      <c r="P182" s="28" t="s">
        <v>4805</v>
      </c>
      <c r="Q182" s="29" t="s">
        <v>4806</v>
      </c>
      <c r="R182" s="30" t="s">
        <v>4807</v>
      </c>
      <c r="S182" s="23" t="s">
        <v>4808</v>
      </c>
      <c r="T182" s="23" t="s">
        <v>4809</v>
      </c>
      <c r="U182" s="23" t="s">
        <v>4810</v>
      </c>
      <c r="V182" s="23" t="s">
        <v>4811</v>
      </c>
      <c r="W182" s="23" t="s">
        <v>4812</v>
      </c>
      <c r="X182" s="23" t="s">
        <v>4813</v>
      </c>
      <c r="Y182" s="31" t="s">
        <v>4814</v>
      </c>
      <c r="Z182" s="23" t="s">
        <v>4815</v>
      </c>
      <c r="AA182" s="23" t="s">
        <v>4816</v>
      </c>
      <c r="AB182" s="26" t="s">
        <v>4817</v>
      </c>
      <c r="AC182" s="23" t="s">
        <v>4818</v>
      </c>
      <c r="AD182" s="19"/>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1"/>
      <c r="BK182" s="21"/>
      <c r="BL182" s="21"/>
    </row>
    <row r="183">
      <c r="A183" s="22" t="s">
        <v>4819</v>
      </c>
      <c r="B183" s="23" t="s">
        <v>4820</v>
      </c>
      <c r="C183" s="24" t="s">
        <v>4821</v>
      </c>
      <c r="D183" s="23" t="s">
        <v>4822</v>
      </c>
      <c r="E183" s="23" t="s">
        <v>4823</v>
      </c>
      <c r="F183" s="23" t="s">
        <v>4824</v>
      </c>
      <c r="G183" s="23" t="s">
        <v>4825</v>
      </c>
      <c r="H183" s="23" t="s">
        <v>4826</v>
      </c>
      <c r="I183" s="23" t="s">
        <v>4827</v>
      </c>
      <c r="J183" s="23" t="s">
        <v>4828</v>
      </c>
      <c r="K183" s="25" t="s">
        <v>4829</v>
      </c>
      <c r="L183" s="23" t="s">
        <v>4830</v>
      </c>
      <c r="M183" s="23" t="s">
        <v>4831</v>
      </c>
      <c r="N183" s="26" t="s">
        <v>4832</v>
      </c>
      <c r="O183" s="27" t="s">
        <v>4833</v>
      </c>
      <c r="P183" s="28" t="s">
        <v>4834</v>
      </c>
      <c r="Q183" s="29" t="s">
        <v>4835</v>
      </c>
      <c r="R183" s="30" t="s">
        <v>4836</v>
      </c>
      <c r="S183" s="23" t="s">
        <v>4837</v>
      </c>
      <c r="T183" s="23" t="s">
        <v>4838</v>
      </c>
      <c r="U183" s="23" t="s">
        <v>4839</v>
      </c>
      <c r="V183" s="23" t="s">
        <v>4840</v>
      </c>
      <c r="W183" s="23" t="s">
        <v>4841</v>
      </c>
      <c r="X183" s="23" t="s">
        <v>4842</v>
      </c>
      <c r="Y183" s="31" t="s">
        <v>4843</v>
      </c>
      <c r="Z183" s="23" t="s">
        <v>4844</v>
      </c>
      <c r="AA183" s="23" t="s">
        <v>4845</v>
      </c>
      <c r="AB183" s="26" t="s">
        <v>4846</v>
      </c>
      <c r="AC183" s="23" t="s">
        <v>4847</v>
      </c>
      <c r="AD183" s="19"/>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1"/>
      <c r="BK183" s="21"/>
      <c r="BL183" s="21"/>
    </row>
    <row r="184">
      <c r="A184" s="22" t="s">
        <v>4848</v>
      </c>
      <c r="B184" s="23" t="s">
        <v>4849</v>
      </c>
      <c r="C184" s="24" t="s">
        <v>4850</v>
      </c>
      <c r="D184" s="23" t="s">
        <v>4851</v>
      </c>
      <c r="E184" s="23" t="s">
        <v>4852</v>
      </c>
      <c r="F184" s="23" t="s">
        <v>4853</v>
      </c>
      <c r="G184" s="23" t="s">
        <v>4854</v>
      </c>
      <c r="H184" s="23" t="s">
        <v>4855</v>
      </c>
      <c r="I184" s="23" t="s">
        <v>4856</v>
      </c>
      <c r="J184" s="23" t="s">
        <v>4857</v>
      </c>
      <c r="K184" s="25" t="s">
        <v>4858</v>
      </c>
      <c r="L184" s="23" t="s">
        <v>4859</v>
      </c>
      <c r="M184" s="23" t="s">
        <v>4860</v>
      </c>
      <c r="N184" s="26" t="s">
        <v>4861</v>
      </c>
      <c r="O184" s="27" t="s">
        <v>4862</v>
      </c>
      <c r="P184" s="28" t="s">
        <v>4863</v>
      </c>
      <c r="Q184" s="29" t="s">
        <v>4864</v>
      </c>
      <c r="R184" s="30" t="s">
        <v>4865</v>
      </c>
      <c r="S184" s="23" t="s">
        <v>4866</v>
      </c>
      <c r="T184" s="23" t="s">
        <v>4867</v>
      </c>
      <c r="U184" s="23" t="s">
        <v>4868</v>
      </c>
      <c r="V184" s="23" t="s">
        <v>4869</v>
      </c>
      <c r="W184" s="23" t="s">
        <v>4870</v>
      </c>
      <c r="X184" s="23" t="s">
        <v>4871</v>
      </c>
      <c r="Y184" s="31" t="s">
        <v>4872</v>
      </c>
      <c r="Z184" s="23" t="s">
        <v>4873</v>
      </c>
      <c r="AA184" s="23" t="s">
        <v>4874</v>
      </c>
      <c r="AB184" s="26" t="s">
        <v>4875</v>
      </c>
      <c r="AC184" s="23" t="s">
        <v>4876</v>
      </c>
      <c r="AD184" s="19"/>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1"/>
      <c r="BK184" s="21"/>
      <c r="BL184" s="21"/>
    </row>
    <row r="185">
      <c r="A185" s="22" t="s">
        <v>4877</v>
      </c>
      <c r="B185" s="23" t="s">
        <v>4878</v>
      </c>
      <c r="C185" s="24" t="s">
        <v>4879</v>
      </c>
      <c r="D185" s="23" t="s">
        <v>4880</v>
      </c>
      <c r="E185" s="23" t="s">
        <v>4881</v>
      </c>
      <c r="F185" s="23" t="s">
        <v>4882</v>
      </c>
      <c r="G185" s="23" t="s">
        <v>4883</v>
      </c>
      <c r="H185" s="23" t="s">
        <v>4884</v>
      </c>
      <c r="I185" s="23" t="s">
        <v>4885</v>
      </c>
      <c r="J185" s="23" t="s">
        <v>4886</v>
      </c>
      <c r="K185" s="25" t="s">
        <v>4887</v>
      </c>
      <c r="L185" s="23" t="s">
        <v>4888</v>
      </c>
      <c r="M185" s="23" t="s">
        <v>4889</v>
      </c>
      <c r="N185" s="26" t="s">
        <v>4890</v>
      </c>
      <c r="O185" s="27" t="s">
        <v>4891</v>
      </c>
      <c r="P185" s="28" t="s">
        <v>4892</v>
      </c>
      <c r="Q185" s="29" t="s">
        <v>4893</v>
      </c>
      <c r="R185" s="30" t="s">
        <v>4894</v>
      </c>
      <c r="S185" s="23" t="s">
        <v>4895</v>
      </c>
      <c r="T185" s="23" t="s">
        <v>4896</v>
      </c>
      <c r="U185" s="23" t="s">
        <v>4897</v>
      </c>
      <c r="V185" s="23" t="s">
        <v>4898</v>
      </c>
      <c r="W185" s="23" t="s">
        <v>4899</v>
      </c>
      <c r="X185" s="23" t="s">
        <v>4900</v>
      </c>
      <c r="Y185" s="31" t="s">
        <v>4901</v>
      </c>
      <c r="Z185" s="23" t="s">
        <v>4902</v>
      </c>
      <c r="AA185" s="23" t="s">
        <v>4903</v>
      </c>
      <c r="AB185" s="26" t="s">
        <v>4904</v>
      </c>
      <c r="AC185" s="23" t="s">
        <v>4905</v>
      </c>
      <c r="AD185" s="19"/>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1"/>
      <c r="BK185" s="21"/>
      <c r="BL185" s="21"/>
    </row>
    <row r="186">
      <c r="A186" s="22" t="s">
        <v>4906</v>
      </c>
      <c r="B186" s="23" t="s">
        <v>4907</v>
      </c>
      <c r="C186" s="24" t="s">
        <v>4908</v>
      </c>
      <c r="D186" s="23" t="s">
        <v>4909</v>
      </c>
      <c r="E186" s="23" t="s">
        <v>4910</v>
      </c>
      <c r="F186" s="23" t="s">
        <v>4911</v>
      </c>
      <c r="G186" s="23" t="s">
        <v>4912</v>
      </c>
      <c r="H186" s="23" t="s">
        <v>4913</v>
      </c>
      <c r="I186" s="23" t="s">
        <v>4914</v>
      </c>
      <c r="J186" s="23" t="s">
        <v>4915</v>
      </c>
      <c r="K186" s="25" t="s">
        <v>4916</v>
      </c>
      <c r="L186" s="23" t="s">
        <v>4917</v>
      </c>
      <c r="M186" s="23" t="s">
        <v>4918</v>
      </c>
      <c r="N186" s="26" t="s">
        <v>4919</v>
      </c>
      <c r="O186" s="27" t="s">
        <v>4920</v>
      </c>
      <c r="P186" s="28" t="s">
        <v>4921</v>
      </c>
      <c r="Q186" s="29" t="s">
        <v>4922</v>
      </c>
      <c r="R186" s="30" t="s">
        <v>4923</v>
      </c>
      <c r="S186" s="23" t="s">
        <v>4924</v>
      </c>
      <c r="T186" s="23" t="s">
        <v>4925</v>
      </c>
      <c r="U186" s="23" t="s">
        <v>4926</v>
      </c>
      <c r="V186" s="23" t="s">
        <v>4927</v>
      </c>
      <c r="W186" s="23" t="s">
        <v>4928</v>
      </c>
      <c r="X186" s="23" t="s">
        <v>4929</v>
      </c>
      <c r="Y186" s="31" t="s">
        <v>4930</v>
      </c>
      <c r="Z186" s="23" t="s">
        <v>4931</v>
      </c>
      <c r="AA186" s="23" t="s">
        <v>4932</v>
      </c>
      <c r="AB186" s="26" t="s">
        <v>4933</v>
      </c>
      <c r="AC186" s="23" t="s">
        <v>4934</v>
      </c>
      <c r="AD186" s="19"/>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1"/>
      <c r="BK186" s="21"/>
      <c r="BL186" s="21"/>
    </row>
    <row r="187">
      <c r="A187" s="22" t="s">
        <v>4935</v>
      </c>
      <c r="B187" s="23" t="s">
        <v>4936</v>
      </c>
      <c r="C187" s="24" t="s">
        <v>4937</v>
      </c>
      <c r="D187" s="23" t="s">
        <v>4938</v>
      </c>
      <c r="E187" s="23" t="s">
        <v>4939</v>
      </c>
      <c r="F187" s="23" t="s">
        <v>4940</v>
      </c>
      <c r="G187" s="23" t="s">
        <v>4941</v>
      </c>
      <c r="H187" s="23" t="s">
        <v>4942</v>
      </c>
      <c r="I187" s="23" t="s">
        <v>4943</v>
      </c>
      <c r="J187" s="23" t="s">
        <v>4944</v>
      </c>
      <c r="K187" s="25" t="s">
        <v>4945</v>
      </c>
      <c r="L187" s="23" t="s">
        <v>4946</v>
      </c>
      <c r="M187" s="23" t="s">
        <v>4947</v>
      </c>
      <c r="N187" s="23" t="s">
        <v>4948</v>
      </c>
      <c r="O187" s="27" t="s">
        <v>4949</v>
      </c>
      <c r="P187" s="28" t="s">
        <v>4950</v>
      </c>
      <c r="Q187" s="29" t="s">
        <v>4951</v>
      </c>
      <c r="R187" s="30" t="s">
        <v>4952</v>
      </c>
      <c r="S187" s="23" t="s">
        <v>4953</v>
      </c>
      <c r="T187" s="23" t="s">
        <v>4954</v>
      </c>
      <c r="U187" s="23" t="s">
        <v>4955</v>
      </c>
      <c r="V187" s="23" t="s">
        <v>4956</v>
      </c>
      <c r="W187" s="23" t="s">
        <v>4957</v>
      </c>
      <c r="X187" s="23" t="s">
        <v>4958</v>
      </c>
      <c r="Y187" s="31" t="s">
        <v>4959</v>
      </c>
      <c r="Z187" s="23" t="s">
        <v>4960</v>
      </c>
      <c r="AA187" s="23" t="s">
        <v>4961</v>
      </c>
      <c r="AB187" s="26" t="s">
        <v>4962</v>
      </c>
      <c r="AC187" s="23" t="s">
        <v>4963</v>
      </c>
      <c r="AD187" s="19"/>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1"/>
      <c r="BK187" s="21"/>
      <c r="BL187" s="21"/>
    </row>
    <row r="188">
      <c r="A188" s="22" t="s">
        <v>4964</v>
      </c>
      <c r="B188" s="23" t="s">
        <v>4965</v>
      </c>
      <c r="C188" s="24" t="s">
        <v>4966</v>
      </c>
      <c r="D188" s="23" t="s">
        <v>4967</v>
      </c>
      <c r="E188" s="23" t="s">
        <v>4968</v>
      </c>
      <c r="F188" s="23" t="s">
        <v>4969</v>
      </c>
      <c r="G188" s="23" t="s">
        <v>4970</v>
      </c>
      <c r="H188" s="23" t="s">
        <v>4971</v>
      </c>
      <c r="I188" s="23" t="s">
        <v>4972</v>
      </c>
      <c r="J188" s="23" t="s">
        <v>4973</v>
      </c>
      <c r="K188" s="25" t="s">
        <v>4974</v>
      </c>
      <c r="L188" s="23" t="s">
        <v>4975</v>
      </c>
      <c r="M188" s="23" t="s">
        <v>4976</v>
      </c>
      <c r="N188" s="26" t="s">
        <v>4977</v>
      </c>
      <c r="O188" s="27" t="s">
        <v>4978</v>
      </c>
      <c r="P188" s="28" t="s">
        <v>4979</v>
      </c>
      <c r="Q188" s="29" t="s">
        <v>4980</v>
      </c>
      <c r="R188" s="30" t="s">
        <v>4981</v>
      </c>
      <c r="S188" s="23" t="s">
        <v>4982</v>
      </c>
      <c r="T188" s="23" t="s">
        <v>4983</v>
      </c>
      <c r="U188" s="23" t="s">
        <v>4984</v>
      </c>
      <c r="V188" s="23" t="s">
        <v>4985</v>
      </c>
      <c r="W188" s="23" t="s">
        <v>4986</v>
      </c>
      <c r="X188" s="23" t="s">
        <v>4987</v>
      </c>
      <c r="Y188" s="31" t="s">
        <v>4988</v>
      </c>
      <c r="Z188" s="23" t="s">
        <v>4989</v>
      </c>
      <c r="AA188" s="23" t="s">
        <v>4990</v>
      </c>
      <c r="AB188" s="26" t="s">
        <v>4991</v>
      </c>
      <c r="AC188" s="23" t="s">
        <v>4992</v>
      </c>
      <c r="AD188" s="19"/>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1"/>
      <c r="BK188" s="21"/>
      <c r="BL188" s="21"/>
    </row>
    <row r="189">
      <c r="A189" s="22" t="s">
        <v>4993</v>
      </c>
      <c r="B189" s="23" t="s">
        <v>4994</v>
      </c>
      <c r="C189" s="24" t="s">
        <v>4995</v>
      </c>
      <c r="D189" s="23" t="s">
        <v>4996</v>
      </c>
      <c r="E189" s="23" t="s">
        <v>4997</v>
      </c>
      <c r="F189" s="23" t="s">
        <v>4998</v>
      </c>
      <c r="G189" s="23" t="s">
        <v>4999</v>
      </c>
      <c r="H189" s="23" t="s">
        <v>5000</v>
      </c>
      <c r="I189" s="23" t="s">
        <v>5001</v>
      </c>
      <c r="J189" s="23" t="s">
        <v>5002</v>
      </c>
      <c r="K189" s="25" t="s">
        <v>5003</v>
      </c>
      <c r="L189" s="23" t="s">
        <v>5004</v>
      </c>
      <c r="M189" s="23" t="s">
        <v>5005</v>
      </c>
      <c r="N189" s="26" t="s">
        <v>5006</v>
      </c>
      <c r="O189" s="27" t="s">
        <v>5007</v>
      </c>
      <c r="P189" s="28" t="s">
        <v>5008</v>
      </c>
      <c r="Q189" s="29" t="s">
        <v>5009</v>
      </c>
      <c r="R189" s="30" t="s">
        <v>5010</v>
      </c>
      <c r="S189" s="23" t="s">
        <v>5011</v>
      </c>
      <c r="T189" s="23" t="s">
        <v>5012</v>
      </c>
      <c r="U189" s="23" t="s">
        <v>5013</v>
      </c>
      <c r="V189" s="23" t="s">
        <v>5014</v>
      </c>
      <c r="W189" s="23" t="s">
        <v>5015</v>
      </c>
      <c r="X189" s="23" t="s">
        <v>5016</v>
      </c>
      <c r="Y189" s="31" t="s">
        <v>5017</v>
      </c>
      <c r="Z189" s="23" t="s">
        <v>5018</v>
      </c>
      <c r="AA189" s="23" t="s">
        <v>5019</v>
      </c>
      <c r="AB189" s="26" t="s">
        <v>5020</v>
      </c>
      <c r="AC189" s="23" t="s">
        <v>5021</v>
      </c>
      <c r="AD189" s="19"/>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1"/>
      <c r="BK189" s="21"/>
      <c r="BL189" s="21"/>
    </row>
    <row r="190">
      <c r="A190" s="22" t="s">
        <v>5022</v>
      </c>
      <c r="B190" s="23" t="s">
        <v>5023</v>
      </c>
      <c r="C190" s="24" t="s">
        <v>5024</v>
      </c>
      <c r="D190" s="23" t="s">
        <v>5025</v>
      </c>
      <c r="E190" s="23" t="s">
        <v>5026</v>
      </c>
      <c r="F190" s="23" t="s">
        <v>5027</v>
      </c>
      <c r="G190" s="23" t="s">
        <v>5028</v>
      </c>
      <c r="H190" s="23" t="s">
        <v>5029</v>
      </c>
      <c r="I190" s="23" t="s">
        <v>5030</v>
      </c>
      <c r="J190" s="23" t="s">
        <v>5031</v>
      </c>
      <c r="K190" s="25" t="s">
        <v>5032</v>
      </c>
      <c r="L190" s="23" t="s">
        <v>5033</v>
      </c>
      <c r="M190" s="23" t="s">
        <v>5034</v>
      </c>
      <c r="N190" s="26" t="s">
        <v>5035</v>
      </c>
      <c r="O190" s="27" t="s">
        <v>5036</v>
      </c>
      <c r="P190" s="28" t="s">
        <v>5037</v>
      </c>
      <c r="Q190" s="29" t="s">
        <v>5038</v>
      </c>
      <c r="R190" s="30" t="s">
        <v>5039</v>
      </c>
      <c r="S190" s="23" t="s">
        <v>5040</v>
      </c>
      <c r="T190" s="23" t="s">
        <v>5041</v>
      </c>
      <c r="U190" s="23" t="s">
        <v>5042</v>
      </c>
      <c r="V190" s="23" t="s">
        <v>5043</v>
      </c>
      <c r="W190" s="23" t="s">
        <v>5044</v>
      </c>
      <c r="X190" s="23" t="s">
        <v>5045</v>
      </c>
      <c r="Y190" s="31" t="s">
        <v>5046</v>
      </c>
      <c r="Z190" s="23" t="s">
        <v>5047</v>
      </c>
      <c r="AA190" s="23" t="s">
        <v>5048</v>
      </c>
      <c r="AB190" s="26" t="s">
        <v>5049</v>
      </c>
      <c r="AC190" s="23" t="s">
        <v>5050</v>
      </c>
      <c r="AD190" s="19"/>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1"/>
      <c r="BK190" s="21"/>
      <c r="BL190" s="21"/>
    </row>
    <row r="191">
      <c r="A191" s="22" t="s">
        <v>5051</v>
      </c>
      <c r="B191" s="23" t="s">
        <v>5052</v>
      </c>
      <c r="C191" s="24" t="s">
        <v>5053</v>
      </c>
      <c r="D191" s="23" t="s">
        <v>5054</v>
      </c>
      <c r="E191" s="23" t="s">
        <v>5055</v>
      </c>
      <c r="F191" s="23" t="s">
        <v>5056</v>
      </c>
      <c r="G191" s="23" t="s">
        <v>5057</v>
      </c>
      <c r="H191" s="23" t="s">
        <v>5058</v>
      </c>
      <c r="I191" s="23" t="s">
        <v>5059</v>
      </c>
      <c r="J191" s="23" t="s">
        <v>5060</v>
      </c>
      <c r="K191" s="25" t="s">
        <v>5061</v>
      </c>
      <c r="L191" s="23" t="s">
        <v>5062</v>
      </c>
      <c r="M191" s="23" t="s">
        <v>5063</v>
      </c>
      <c r="N191" s="26" t="s">
        <v>5064</v>
      </c>
      <c r="O191" s="27" t="s">
        <v>5065</v>
      </c>
      <c r="P191" s="28" t="s">
        <v>5066</v>
      </c>
      <c r="Q191" s="29" t="s">
        <v>5067</v>
      </c>
      <c r="R191" s="30" t="s">
        <v>5068</v>
      </c>
      <c r="S191" s="23" t="s">
        <v>5069</v>
      </c>
      <c r="T191" s="23" t="s">
        <v>5070</v>
      </c>
      <c r="U191" s="23" t="s">
        <v>5071</v>
      </c>
      <c r="V191" s="23" t="s">
        <v>5072</v>
      </c>
      <c r="W191" s="23" t="s">
        <v>5073</v>
      </c>
      <c r="X191" s="23" t="s">
        <v>5074</v>
      </c>
      <c r="Y191" s="31" t="s">
        <v>5075</v>
      </c>
      <c r="Z191" s="23" t="s">
        <v>5076</v>
      </c>
      <c r="AA191" s="23" t="s">
        <v>5077</v>
      </c>
      <c r="AB191" s="26" t="s">
        <v>5078</v>
      </c>
      <c r="AC191" s="23" t="s">
        <v>5079</v>
      </c>
      <c r="AD191" s="19"/>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1"/>
      <c r="BK191" s="21"/>
      <c r="BL191" s="21"/>
    </row>
    <row r="192">
      <c r="A192" s="22" t="s">
        <v>5080</v>
      </c>
      <c r="B192" s="23" t="s">
        <v>5081</v>
      </c>
      <c r="C192" s="24" t="s">
        <v>5082</v>
      </c>
      <c r="D192" s="23" t="s">
        <v>5083</v>
      </c>
      <c r="E192" s="23" t="s">
        <v>5084</v>
      </c>
      <c r="F192" s="23" t="s">
        <v>5085</v>
      </c>
      <c r="G192" s="23" t="s">
        <v>5086</v>
      </c>
      <c r="H192" s="23" t="s">
        <v>5087</v>
      </c>
      <c r="I192" s="23" t="s">
        <v>5088</v>
      </c>
      <c r="J192" s="23" t="s">
        <v>5089</v>
      </c>
      <c r="K192" s="25" t="s">
        <v>5090</v>
      </c>
      <c r="L192" s="23" t="s">
        <v>5091</v>
      </c>
      <c r="M192" s="23" t="s">
        <v>5092</v>
      </c>
      <c r="N192" s="26" t="s">
        <v>5093</v>
      </c>
      <c r="O192" s="27" t="s">
        <v>5094</v>
      </c>
      <c r="P192" s="28" t="s">
        <v>5095</v>
      </c>
      <c r="Q192" s="29" t="s">
        <v>5096</v>
      </c>
      <c r="R192" s="30" t="s">
        <v>5097</v>
      </c>
      <c r="S192" s="23" t="s">
        <v>5098</v>
      </c>
      <c r="T192" s="23" t="s">
        <v>5099</v>
      </c>
      <c r="U192" s="23" t="s">
        <v>5100</v>
      </c>
      <c r="V192" s="23" t="s">
        <v>5101</v>
      </c>
      <c r="W192" s="23" t="s">
        <v>5102</v>
      </c>
      <c r="X192" s="23" t="s">
        <v>5103</v>
      </c>
      <c r="Y192" s="31" t="s">
        <v>5104</v>
      </c>
      <c r="Z192" s="23" t="s">
        <v>5105</v>
      </c>
      <c r="AA192" s="23" t="s">
        <v>5106</v>
      </c>
      <c r="AB192" s="26" t="s">
        <v>5107</v>
      </c>
      <c r="AC192" s="23" t="s">
        <v>5108</v>
      </c>
      <c r="AD192" s="19"/>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1"/>
      <c r="BK192" s="21"/>
      <c r="BL192" s="21"/>
    </row>
    <row r="193">
      <c r="A193" s="22" t="s">
        <v>5109</v>
      </c>
      <c r="B193" s="23" t="s">
        <v>5110</v>
      </c>
      <c r="C193" s="24" t="s">
        <v>5111</v>
      </c>
      <c r="D193" s="23" t="s">
        <v>5112</v>
      </c>
      <c r="E193" s="23" t="s">
        <v>5113</v>
      </c>
      <c r="F193" s="23" t="s">
        <v>5114</v>
      </c>
      <c r="G193" s="23" t="s">
        <v>5115</v>
      </c>
      <c r="H193" s="23" t="s">
        <v>5116</v>
      </c>
      <c r="I193" s="23" t="s">
        <v>5117</v>
      </c>
      <c r="J193" s="23" t="s">
        <v>5118</v>
      </c>
      <c r="K193" s="25" t="s">
        <v>5119</v>
      </c>
      <c r="L193" s="23" t="s">
        <v>5120</v>
      </c>
      <c r="M193" s="23" t="s">
        <v>5121</v>
      </c>
      <c r="N193" s="26" t="s">
        <v>5122</v>
      </c>
      <c r="O193" s="27" t="s">
        <v>5123</v>
      </c>
      <c r="P193" s="28" t="s">
        <v>5124</v>
      </c>
      <c r="Q193" s="29" t="s">
        <v>5125</v>
      </c>
      <c r="R193" s="30" t="s">
        <v>5126</v>
      </c>
      <c r="S193" s="23" t="s">
        <v>5127</v>
      </c>
      <c r="T193" s="23" t="s">
        <v>5120</v>
      </c>
      <c r="U193" s="23" t="s">
        <v>5128</v>
      </c>
      <c r="V193" s="23" t="s">
        <v>5129</v>
      </c>
      <c r="W193" s="23" t="s">
        <v>5130</v>
      </c>
      <c r="X193" s="23" t="s">
        <v>5131</v>
      </c>
      <c r="Y193" s="31" t="s">
        <v>5132</v>
      </c>
      <c r="Z193" s="23" t="s">
        <v>5133</v>
      </c>
      <c r="AA193" s="23" t="s">
        <v>5134</v>
      </c>
      <c r="AB193" s="26" t="s">
        <v>5135</v>
      </c>
      <c r="AC193" s="23" t="s">
        <v>5136</v>
      </c>
      <c r="AD193" s="19"/>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1"/>
      <c r="BK193" s="21"/>
      <c r="BL193" s="21"/>
    </row>
    <row r="194">
      <c r="A194" s="22" t="s">
        <v>3220</v>
      </c>
      <c r="B194" s="23" t="s">
        <v>3220</v>
      </c>
      <c r="C194" s="24" t="s">
        <v>3221</v>
      </c>
      <c r="D194" s="23" t="s">
        <v>3222</v>
      </c>
      <c r="E194" s="23" t="s">
        <v>3223</v>
      </c>
      <c r="F194" s="23" t="s">
        <v>3224</v>
      </c>
      <c r="G194" s="23" t="s">
        <v>3225</v>
      </c>
      <c r="H194" s="23" t="s">
        <v>3226</v>
      </c>
      <c r="I194" s="23" t="s">
        <v>3227</v>
      </c>
      <c r="J194" s="23" t="s">
        <v>3228</v>
      </c>
      <c r="K194" s="25" t="s">
        <v>3229</v>
      </c>
      <c r="L194" s="23" t="s">
        <v>3230</v>
      </c>
      <c r="M194" s="23" t="s">
        <v>3225</v>
      </c>
      <c r="N194" s="26" t="s">
        <v>3231</v>
      </c>
      <c r="O194" s="27" t="s">
        <v>3232</v>
      </c>
      <c r="P194" s="28" t="s">
        <v>3233</v>
      </c>
      <c r="Q194" s="29" t="s">
        <v>3234</v>
      </c>
      <c r="R194" s="30" t="s">
        <v>3235</v>
      </c>
      <c r="S194" s="23" t="s">
        <v>3236</v>
      </c>
      <c r="T194" s="23" t="s">
        <v>3237</v>
      </c>
      <c r="U194" s="23" t="s">
        <v>3238</v>
      </c>
      <c r="V194" s="23" t="s">
        <v>3239</v>
      </c>
      <c r="W194" s="23" t="s">
        <v>3225</v>
      </c>
      <c r="X194" s="23" t="s">
        <v>3240</v>
      </c>
      <c r="Y194" s="31" t="s">
        <v>3241</v>
      </c>
      <c r="Z194" s="23" t="s">
        <v>3237</v>
      </c>
      <c r="AA194" s="23" t="s">
        <v>3242</v>
      </c>
      <c r="AB194" s="26" t="s">
        <v>3243</v>
      </c>
      <c r="AC194" s="23" t="s">
        <v>3244</v>
      </c>
      <c r="AD194" s="19"/>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1"/>
      <c r="BK194" s="21"/>
      <c r="BL194" s="21"/>
    </row>
    <row r="195">
      <c r="A195" s="22" t="s">
        <v>3191</v>
      </c>
      <c r="B195" s="23" t="s">
        <v>3191</v>
      </c>
      <c r="C195" s="24" t="s">
        <v>3192</v>
      </c>
      <c r="D195" s="23" t="s">
        <v>3193</v>
      </c>
      <c r="E195" s="23" t="s">
        <v>3194</v>
      </c>
      <c r="F195" s="23" t="s">
        <v>3195</v>
      </c>
      <c r="G195" s="23" t="s">
        <v>3196</v>
      </c>
      <c r="H195" s="23" t="s">
        <v>3197</v>
      </c>
      <c r="I195" s="23" t="s">
        <v>3198</v>
      </c>
      <c r="J195" s="23" t="s">
        <v>3199</v>
      </c>
      <c r="K195" s="25" t="s">
        <v>3200</v>
      </c>
      <c r="L195" s="23" t="s">
        <v>3201</v>
      </c>
      <c r="M195" s="23" t="s">
        <v>3202</v>
      </c>
      <c r="N195" s="26" t="s">
        <v>3203</v>
      </c>
      <c r="O195" s="27" t="s">
        <v>3204</v>
      </c>
      <c r="P195" s="28" t="s">
        <v>3205</v>
      </c>
      <c r="Q195" s="29" t="s">
        <v>3206</v>
      </c>
      <c r="R195" s="30" t="s">
        <v>3207</v>
      </c>
      <c r="S195" s="23" t="s">
        <v>3208</v>
      </c>
      <c r="T195" s="23" t="s">
        <v>3209</v>
      </c>
      <c r="U195" s="23" t="s">
        <v>3210</v>
      </c>
      <c r="V195" s="23" t="s">
        <v>3211</v>
      </c>
      <c r="W195" s="23" t="s">
        <v>3212</v>
      </c>
      <c r="X195" s="23" t="s">
        <v>3213</v>
      </c>
      <c r="Y195" s="31" t="s">
        <v>3214</v>
      </c>
      <c r="Z195" s="23" t="s">
        <v>3215</v>
      </c>
      <c r="AA195" s="23" t="s">
        <v>3216</v>
      </c>
      <c r="AB195" s="26" t="s">
        <v>3217</v>
      </c>
      <c r="AC195" s="23" t="s">
        <v>3218</v>
      </c>
      <c r="AD195" s="19"/>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1"/>
      <c r="BK195" s="21"/>
      <c r="BL195" s="21"/>
    </row>
    <row r="196">
      <c r="A196" s="22" t="s">
        <v>5137</v>
      </c>
      <c r="B196" s="23" t="s">
        <v>5137</v>
      </c>
      <c r="C196" s="24" t="s">
        <v>5138</v>
      </c>
      <c r="D196" s="23" t="s">
        <v>5139</v>
      </c>
      <c r="E196" s="23" t="s">
        <v>5140</v>
      </c>
      <c r="F196" s="23" t="s">
        <v>5141</v>
      </c>
      <c r="G196" s="23" t="s">
        <v>5142</v>
      </c>
      <c r="H196" s="23" t="s">
        <v>5143</v>
      </c>
      <c r="I196" s="23" t="s">
        <v>5144</v>
      </c>
      <c r="J196" s="23" t="s">
        <v>5137</v>
      </c>
      <c r="K196" s="25" t="s">
        <v>5145</v>
      </c>
      <c r="L196" s="23" t="s">
        <v>5146</v>
      </c>
      <c r="M196" s="23" t="s">
        <v>5147</v>
      </c>
      <c r="N196" s="26" t="s">
        <v>5148</v>
      </c>
      <c r="O196" s="27" t="s">
        <v>5149</v>
      </c>
      <c r="P196" s="28" t="s">
        <v>5150</v>
      </c>
      <c r="Q196" s="29" t="s">
        <v>5151</v>
      </c>
      <c r="R196" s="30" t="s">
        <v>5152</v>
      </c>
      <c r="S196" s="23" t="s">
        <v>5153</v>
      </c>
      <c r="T196" s="23" t="s">
        <v>5154</v>
      </c>
      <c r="U196" s="23" t="s">
        <v>5140</v>
      </c>
      <c r="V196" s="23" t="s">
        <v>5147</v>
      </c>
      <c r="W196" s="23" t="s">
        <v>5147</v>
      </c>
      <c r="X196" s="23" t="s">
        <v>5155</v>
      </c>
      <c r="Y196" s="31" t="s">
        <v>5156</v>
      </c>
      <c r="Z196" s="23" t="s">
        <v>5157</v>
      </c>
      <c r="AA196" s="23" t="s">
        <v>5155</v>
      </c>
      <c r="AB196" s="26" t="s">
        <v>5158</v>
      </c>
      <c r="AC196" s="23" t="s">
        <v>5159</v>
      </c>
      <c r="AD196" s="19"/>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1"/>
      <c r="BK196" s="21"/>
      <c r="BL196" s="21"/>
    </row>
    <row r="197">
      <c r="A197" s="22" t="s">
        <v>5160</v>
      </c>
      <c r="B197" s="23" t="s">
        <v>5160</v>
      </c>
      <c r="C197" s="24" t="s">
        <v>5161</v>
      </c>
      <c r="D197" s="23" t="s">
        <v>5162</v>
      </c>
      <c r="E197" s="23" t="s">
        <v>5163</v>
      </c>
      <c r="F197" s="23" t="s">
        <v>5164</v>
      </c>
      <c r="G197" s="23" t="s">
        <v>5165</v>
      </c>
      <c r="H197" s="23" t="s">
        <v>5166</v>
      </c>
      <c r="I197" s="23" t="s">
        <v>5167</v>
      </c>
      <c r="J197" s="23" t="s">
        <v>5168</v>
      </c>
      <c r="K197" s="25" t="s">
        <v>5169</v>
      </c>
      <c r="L197" s="23" t="s">
        <v>5170</v>
      </c>
      <c r="M197" s="23" t="s">
        <v>5171</v>
      </c>
      <c r="N197" s="26" t="s">
        <v>5172</v>
      </c>
      <c r="O197" s="27" t="s">
        <v>5173</v>
      </c>
      <c r="P197" s="28" t="s">
        <v>5174</v>
      </c>
      <c r="Q197" s="29" t="s">
        <v>5175</v>
      </c>
      <c r="R197" s="30" t="s">
        <v>5176</v>
      </c>
      <c r="S197" s="23" t="s">
        <v>5177</v>
      </c>
      <c r="T197" s="23" t="s">
        <v>5178</v>
      </c>
      <c r="U197" s="23" t="s">
        <v>5179</v>
      </c>
      <c r="V197" s="23" t="s">
        <v>5180</v>
      </c>
      <c r="W197" s="23" t="s">
        <v>5181</v>
      </c>
      <c r="X197" s="23" t="s">
        <v>5182</v>
      </c>
      <c r="Y197" s="31" t="s">
        <v>5183</v>
      </c>
      <c r="Z197" s="23" t="s">
        <v>5184</v>
      </c>
      <c r="AA197" s="23" t="s">
        <v>5185</v>
      </c>
      <c r="AB197" s="26" t="s">
        <v>5186</v>
      </c>
      <c r="AC197" s="23" t="s">
        <v>5187</v>
      </c>
      <c r="AD197" s="19"/>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1"/>
      <c r="BK197" s="21"/>
      <c r="BL197" s="21"/>
    </row>
    <row r="198">
      <c r="A198" s="22" t="s">
        <v>1740</v>
      </c>
      <c r="B198" s="23" t="s">
        <v>1740</v>
      </c>
      <c r="C198" s="24" t="s">
        <v>1741</v>
      </c>
      <c r="D198" s="23" t="s">
        <v>1742</v>
      </c>
      <c r="E198" s="23" t="s">
        <v>1740</v>
      </c>
      <c r="F198" s="23" t="s">
        <v>1354</v>
      </c>
      <c r="G198" s="23" t="s">
        <v>1743</v>
      </c>
      <c r="H198" s="23" t="s">
        <v>1744</v>
      </c>
      <c r="I198" s="23" t="s">
        <v>1745</v>
      </c>
      <c r="J198" s="23" t="s">
        <v>1746</v>
      </c>
      <c r="K198" s="25" t="s">
        <v>1747</v>
      </c>
      <c r="L198" s="23" t="s">
        <v>1748</v>
      </c>
      <c r="M198" s="23" t="s">
        <v>1749</v>
      </c>
      <c r="N198" s="26" t="s">
        <v>1750</v>
      </c>
      <c r="O198" s="27" t="s">
        <v>1751</v>
      </c>
      <c r="P198" s="28" t="s">
        <v>1752</v>
      </c>
      <c r="Q198" s="29" t="s">
        <v>1365</v>
      </c>
      <c r="R198" s="30" t="s">
        <v>1753</v>
      </c>
      <c r="S198" s="23" t="s">
        <v>1754</v>
      </c>
      <c r="T198" s="23" t="s">
        <v>1748</v>
      </c>
      <c r="U198" s="23" t="s">
        <v>1755</v>
      </c>
      <c r="V198" s="23" t="s">
        <v>1756</v>
      </c>
      <c r="W198" s="23" t="s">
        <v>1749</v>
      </c>
      <c r="X198" s="23" t="s">
        <v>1372</v>
      </c>
      <c r="Y198" s="31" t="s">
        <v>1757</v>
      </c>
      <c r="Z198" s="23" t="s">
        <v>1758</v>
      </c>
      <c r="AA198" s="23" t="s">
        <v>1759</v>
      </c>
      <c r="AB198" s="26" t="s">
        <v>1760</v>
      </c>
      <c r="AC198" s="23" t="s">
        <v>1377</v>
      </c>
      <c r="AD198" s="19"/>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1"/>
      <c r="BK198" s="21"/>
      <c r="BL198" s="21"/>
    </row>
    <row r="199">
      <c r="A199" s="22" t="s">
        <v>5188</v>
      </c>
      <c r="B199" s="23" t="s">
        <v>5189</v>
      </c>
      <c r="C199" s="24" t="s">
        <v>5190</v>
      </c>
      <c r="D199" s="23" t="s">
        <v>5191</v>
      </c>
      <c r="E199" s="23" t="s">
        <v>5192</v>
      </c>
      <c r="F199" s="23" t="s">
        <v>5193</v>
      </c>
      <c r="G199" s="23" t="s">
        <v>5194</v>
      </c>
      <c r="H199" s="23" t="s">
        <v>5195</v>
      </c>
      <c r="I199" s="23" t="s">
        <v>5196</v>
      </c>
      <c r="J199" s="23" t="s">
        <v>5197</v>
      </c>
      <c r="K199" s="25" t="s">
        <v>5198</v>
      </c>
      <c r="L199" s="23" t="s">
        <v>5199</v>
      </c>
      <c r="M199" s="23" t="s">
        <v>5200</v>
      </c>
      <c r="N199" s="26" t="s">
        <v>5201</v>
      </c>
      <c r="O199" s="27" t="s">
        <v>5202</v>
      </c>
      <c r="P199" s="28" t="s">
        <v>5203</v>
      </c>
      <c r="Q199" s="29" t="s">
        <v>5204</v>
      </c>
      <c r="R199" s="30" t="s">
        <v>5205</v>
      </c>
      <c r="S199" s="23" t="s">
        <v>5206</v>
      </c>
      <c r="T199" s="23" t="s">
        <v>5207</v>
      </c>
      <c r="U199" s="23" t="s">
        <v>5208</v>
      </c>
      <c r="V199" s="23" t="s">
        <v>5209</v>
      </c>
      <c r="W199" s="23" t="s">
        <v>5210</v>
      </c>
      <c r="X199" s="23" t="s">
        <v>5211</v>
      </c>
      <c r="Y199" s="31" t="s">
        <v>5212</v>
      </c>
      <c r="Z199" s="23" t="s">
        <v>5213</v>
      </c>
      <c r="AA199" s="23" t="s">
        <v>5214</v>
      </c>
      <c r="AB199" s="26" t="s">
        <v>5215</v>
      </c>
      <c r="AC199" s="23" t="s">
        <v>5216</v>
      </c>
      <c r="AD199" s="19"/>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1"/>
      <c r="BK199" s="21"/>
      <c r="BL199" s="21"/>
    </row>
    <row r="200">
      <c r="A200" s="22" t="s">
        <v>5217</v>
      </c>
      <c r="B200" s="23" t="s">
        <v>5218</v>
      </c>
      <c r="C200" s="24" t="s">
        <v>5219</v>
      </c>
      <c r="D200" s="23" t="s">
        <v>5220</v>
      </c>
      <c r="E200" s="23" t="s">
        <v>5221</v>
      </c>
      <c r="F200" s="23" t="s">
        <v>5222</v>
      </c>
      <c r="G200" s="23" t="s">
        <v>5223</v>
      </c>
      <c r="H200" s="23" t="s">
        <v>5224</v>
      </c>
      <c r="I200" s="23" t="s">
        <v>5225</v>
      </c>
      <c r="J200" s="23" t="s">
        <v>5226</v>
      </c>
      <c r="K200" s="25" t="s">
        <v>5227</v>
      </c>
      <c r="L200" s="23" t="s">
        <v>5228</v>
      </c>
      <c r="M200" s="23" t="s">
        <v>5229</v>
      </c>
      <c r="N200" s="26" t="s">
        <v>5230</v>
      </c>
      <c r="O200" s="27" t="s">
        <v>5231</v>
      </c>
      <c r="P200" s="28" t="s">
        <v>5232</v>
      </c>
      <c r="Q200" s="29" t="s">
        <v>5233</v>
      </c>
      <c r="R200" s="30" t="s">
        <v>5234</v>
      </c>
      <c r="S200" s="23" t="s">
        <v>5235</v>
      </c>
      <c r="T200" s="23" t="s">
        <v>5236</v>
      </c>
      <c r="U200" s="23" t="s">
        <v>5237</v>
      </c>
      <c r="V200" s="23" t="s">
        <v>5238</v>
      </c>
      <c r="W200" s="23" t="s">
        <v>5239</v>
      </c>
      <c r="X200" s="23" t="s">
        <v>5240</v>
      </c>
      <c r="Y200" s="31" t="s">
        <v>5241</v>
      </c>
      <c r="Z200" s="23" t="s">
        <v>5242</v>
      </c>
      <c r="AA200" s="23" t="s">
        <v>5243</v>
      </c>
      <c r="AB200" s="26" t="s">
        <v>5244</v>
      </c>
      <c r="AC200" s="23" t="s">
        <v>5245</v>
      </c>
      <c r="AD200" s="19"/>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1"/>
      <c r="BK200" s="21"/>
      <c r="BL200" s="21"/>
    </row>
    <row r="201">
      <c r="A201" s="22" t="s">
        <v>5246</v>
      </c>
      <c r="B201" s="23" t="s">
        <v>5247</v>
      </c>
      <c r="C201" s="24" t="s">
        <v>5248</v>
      </c>
      <c r="D201" s="23" t="s">
        <v>5249</v>
      </c>
      <c r="E201" s="23" t="s">
        <v>5250</v>
      </c>
      <c r="F201" s="23" t="s">
        <v>5251</v>
      </c>
      <c r="G201" s="23" t="s">
        <v>5252</v>
      </c>
      <c r="H201" s="23" t="s">
        <v>5253</v>
      </c>
      <c r="I201" s="23" t="s">
        <v>5254</v>
      </c>
      <c r="J201" s="23" t="s">
        <v>5255</v>
      </c>
      <c r="K201" s="25" t="s">
        <v>5256</v>
      </c>
      <c r="L201" s="23" t="s">
        <v>5257</v>
      </c>
      <c r="M201" s="23" t="s">
        <v>5258</v>
      </c>
      <c r="N201" s="26" t="s">
        <v>5259</v>
      </c>
      <c r="O201" s="27" t="s">
        <v>5260</v>
      </c>
      <c r="P201" s="28" t="s">
        <v>5261</v>
      </c>
      <c r="Q201" s="29" t="s">
        <v>5262</v>
      </c>
      <c r="R201" s="30" t="s">
        <v>5263</v>
      </c>
      <c r="S201" s="23" t="s">
        <v>5264</v>
      </c>
      <c r="T201" s="23" t="s">
        <v>5265</v>
      </c>
      <c r="U201" s="23" t="s">
        <v>5266</v>
      </c>
      <c r="V201" s="23" t="s">
        <v>5267</v>
      </c>
      <c r="W201" s="23" t="s">
        <v>5268</v>
      </c>
      <c r="X201" s="23" t="s">
        <v>5269</v>
      </c>
      <c r="Y201" s="31" t="s">
        <v>5270</v>
      </c>
      <c r="Z201" s="23" t="s">
        <v>5271</v>
      </c>
      <c r="AA201" s="23" t="s">
        <v>5272</v>
      </c>
      <c r="AB201" s="26" t="s">
        <v>5273</v>
      </c>
      <c r="AC201" s="23" t="s">
        <v>5274</v>
      </c>
      <c r="AD201" s="19"/>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1"/>
      <c r="BK201" s="21"/>
      <c r="BL201" s="21"/>
    </row>
    <row r="202">
      <c r="A202" s="22" t="s">
        <v>5275</v>
      </c>
      <c r="B202" s="23" t="s">
        <v>5276</v>
      </c>
      <c r="C202" s="24" t="s">
        <v>5277</v>
      </c>
      <c r="D202" s="23" t="s">
        <v>5278</v>
      </c>
      <c r="E202" s="23" t="s">
        <v>5279</v>
      </c>
      <c r="F202" s="23" t="s">
        <v>5280</v>
      </c>
      <c r="G202" s="23" t="s">
        <v>5281</v>
      </c>
      <c r="H202" s="23" t="s">
        <v>5282</v>
      </c>
      <c r="I202" s="23" t="s">
        <v>5283</v>
      </c>
      <c r="J202" s="23" t="s">
        <v>5284</v>
      </c>
      <c r="K202" s="25" t="s">
        <v>5285</v>
      </c>
      <c r="L202" s="23" t="s">
        <v>5286</v>
      </c>
      <c r="M202" s="23" t="s">
        <v>5287</v>
      </c>
      <c r="N202" s="26" t="s">
        <v>5288</v>
      </c>
      <c r="O202" s="27" t="s">
        <v>5289</v>
      </c>
      <c r="P202" s="28" t="s">
        <v>5290</v>
      </c>
      <c r="Q202" s="29" t="s">
        <v>5291</v>
      </c>
      <c r="R202" s="30" t="s">
        <v>5292</v>
      </c>
      <c r="S202" s="23" t="s">
        <v>5293</v>
      </c>
      <c r="T202" s="23" t="s">
        <v>5294</v>
      </c>
      <c r="U202" s="23" t="s">
        <v>5295</v>
      </c>
      <c r="V202" s="23" t="s">
        <v>5296</v>
      </c>
      <c r="W202" s="23" t="s">
        <v>5297</v>
      </c>
      <c r="X202" s="23" t="s">
        <v>5298</v>
      </c>
      <c r="Y202" s="31" t="s">
        <v>5299</v>
      </c>
      <c r="Z202" s="23" t="s">
        <v>5300</v>
      </c>
      <c r="AA202" s="23" t="s">
        <v>5301</v>
      </c>
      <c r="AB202" s="26" t="s">
        <v>5302</v>
      </c>
      <c r="AC202" s="23" t="s">
        <v>5303</v>
      </c>
      <c r="AD202" s="19"/>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1"/>
      <c r="BK202" s="21"/>
      <c r="BL202" s="21"/>
    </row>
    <row r="203">
      <c r="A203" s="22" t="s">
        <v>5304</v>
      </c>
      <c r="B203" s="23" t="s">
        <v>5305</v>
      </c>
      <c r="C203" s="24" t="s">
        <v>5306</v>
      </c>
      <c r="D203" s="23" t="s">
        <v>5307</v>
      </c>
      <c r="E203" s="23" t="s">
        <v>5308</v>
      </c>
      <c r="F203" s="23" t="s">
        <v>5309</v>
      </c>
      <c r="G203" s="23" t="s">
        <v>5310</v>
      </c>
      <c r="H203" s="23" t="s">
        <v>5311</v>
      </c>
      <c r="I203" s="23" t="s">
        <v>5312</v>
      </c>
      <c r="J203" s="23" t="s">
        <v>5313</v>
      </c>
      <c r="K203" s="23" t="s">
        <v>5314</v>
      </c>
      <c r="L203" s="23" t="s">
        <v>5315</v>
      </c>
      <c r="M203" s="23" t="s">
        <v>5316</v>
      </c>
      <c r="N203" s="26" t="s">
        <v>5317</v>
      </c>
      <c r="O203" s="27" t="s">
        <v>5318</v>
      </c>
      <c r="P203" s="28" t="s">
        <v>5319</v>
      </c>
      <c r="Q203" s="29" t="s">
        <v>5320</v>
      </c>
      <c r="R203" s="30" t="s">
        <v>5321</v>
      </c>
      <c r="S203" s="23" t="s">
        <v>5322</v>
      </c>
      <c r="T203" s="23" t="s">
        <v>5323</v>
      </c>
      <c r="U203" s="23" t="s">
        <v>5324</v>
      </c>
      <c r="V203" s="23" t="s">
        <v>5325</v>
      </c>
      <c r="W203" s="23" t="s">
        <v>5326</v>
      </c>
      <c r="X203" s="23" t="s">
        <v>5327</v>
      </c>
      <c r="Y203" s="31" t="s">
        <v>5328</v>
      </c>
      <c r="Z203" s="23" t="s">
        <v>5329</v>
      </c>
      <c r="AA203" s="23" t="s">
        <v>5330</v>
      </c>
      <c r="AB203" s="26" t="s">
        <v>5331</v>
      </c>
      <c r="AC203" s="23" t="s">
        <v>5332</v>
      </c>
      <c r="AD203" s="19"/>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1"/>
      <c r="BK203" s="21"/>
      <c r="BL203" s="21"/>
    </row>
    <row r="204">
      <c r="A204" s="22" t="s">
        <v>5333</v>
      </c>
      <c r="B204" s="23" t="s">
        <v>5334</v>
      </c>
      <c r="C204" s="24" t="s">
        <v>5335</v>
      </c>
      <c r="D204" s="23" t="s">
        <v>5336</v>
      </c>
      <c r="E204" s="23" t="s">
        <v>5337</v>
      </c>
      <c r="F204" s="23" t="s">
        <v>5338</v>
      </c>
      <c r="G204" s="23" t="s">
        <v>5339</v>
      </c>
      <c r="H204" s="23" t="s">
        <v>5340</v>
      </c>
      <c r="I204" s="23" t="s">
        <v>5341</v>
      </c>
      <c r="J204" s="23" t="s">
        <v>5342</v>
      </c>
      <c r="K204" s="25" t="s">
        <v>5343</v>
      </c>
      <c r="L204" s="23" t="s">
        <v>5344</v>
      </c>
      <c r="M204" s="23" t="s">
        <v>5345</v>
      </c>
      <c r="N204" s="26" t="s">
        <v>5346</v>
      </c>
      <c r="O204" s="27" t="s">
        <v>5347</v>
      </c>
      <c r="P204" s="28" t="s">
        <v>5348</v>
      </c>
      <c r="Q204" s="29" t="s">
        <v>5349</v>
      </c>
      <c r="R204" s="30" t="s">
        <v>5350</v>
      </c>
      <c r="S204" s="23" t="s">
        <v>5351</v>
      </c>
      <c r="T204" s="23" t="s">
        <v>5352</v>
      </c>
      <c r="U204" s="23" t="s">
        <v>5353</v>
      </c>
      <c r="V204" s="23" t="s">
        <v>5354</v>
      </c>
      <c r="W204" s="23" t="s">
        <v>5355</v>
      </c>
      <c r="X204" s="23" t="s">
        <v>5356</v>
      </c>
      <c r="Y204" s="31" t="s">
        <v>5357</v>
      </c>
      <c r="Z204" s="23" t="s">
        <v>5358</v>
      </c>
      <c r="AA204" s="23" t="s">
        <v>5359</v>
      </c>
      <c r="AB204" s="26" t="s">
        <v>5360</v>
      </c>
      <c r="AC204" s="23" t="s">
        <v>5361</v>
      </c>
      <c r="AD204" s="19"/>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1"/>
      <c r="BK204" s="21"/>
      <c r="BL204" s="21"/>
    </row>
    <row r="205">
      <c r="A205" s="22" t="s">
        <v>5362</v>
      </c>
      <c r="B205" s="23" t="s">
        <v>5363</v>
      </c>
      <c r="C205" s="24" t="s">
        <v>5364</v>
      </c>
      <c r="D205" s="23" t="s">
        <v>5365</v>
      </c>
      <c r="E205" s="23" t="s">
        <v>5366</v>
      </c>
      <c r="F205" s="23" t="s">
        <v>5367</v>
      </c>
      <c r="G205" s="23" t="s">
        <v>5368</v>
      </c>
      <c r="H205" s="23" t="s">
        <v>5369</v>
      </c>
      <c r="I205" s="23" t="s">
        <v>5370</v>
      </c>
      <c r="J205" s="23" t="s">
        <v>5371</v>
      </c>
      <c r="K205" s="25" t="s">
        <v>5372</v>
      </c>
      <c r="L205" s="23" t="s">
        <v>5373</v>
      </c>
      <c r="M205" s="23" t="s">
        <v>5374</v>
      </c>
      <c r="N205" s="26" t="s">
        <v>5375</v>
      </c>
      <c r="O205" s="27" t="s">
        <v>5376</v>
      </c>
      <c r="P205" s="28" t="s">
        <v>5377</v>
      </c>
      <c r="Q205" s="29" t="s">
        <v>5378</v>
      </c>
      <c r="R205" s="30" t="s">
        <v>5379</v>
      </c>
      <c r="S205" s="23" t="s">
        <v>5380</v>
      </c>
      <c r="T205" s="23" t="s">
        <v>5381</v>
      </c>
      <c r="U205" s="23" t="s">
        <v>5382</v>
      </c>
      <c r="V205" s="23" t="s">
        <v>5383</v>
      </c>
      <c r="W205" s="23" t="s">
        <v>5384</v>
      </c>
      <c r="X205" s="23" t="s">
        <v>5385</v>
      </c>
      <c r="Y205" s="31" t="s">
        <v>5386</v>
      </c>
      <c r="Z205" s="23" t="s">
        <v>5387</v>
      </c>
      <c r="AA205" s="23" t="s">
        <v>5388</v>
      </c>
      <c r="AB205" s="26" t="s">
        <v>5389</v>
      </c>
      <c r="AC205" s="23" t="s">
        <v>5390</v>
      </c>
      <c r="AD205" s="19"/>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1"/>
      <c r="BK205" s="21"/>
      <c r="BL205" s="21"/>
    </row>
    <row r="206">
      <c r="A206" s="22" t="s">
        <v>5391</v>
      </c>
      <c r="B206" s="23" t="s">
        <v>5392</v>
      </c>
      <c r="C206" s="24" t="s">
        <v>5393</v>
      </c>
      <c r="D206" s="23" t="s">
        <v>5394</v>
      </c>
      <c r="E206" s="23" t="s">
        <v>5395</v>
      </c>
      <c r="F206" s="23" t="s">
        <v>5396</v>
      </c>
      <c r="G206" s="23" t="s">
        <v>5397</v>
      </c>
      <c r="H206" s="23" t="s">
        <v>5398</v>
      </c>
      <c r="I206" s="23" t="s">
        <v>5399</v>
      </c>
      <c r="J206" s="23" t="s">
        <v>5400</v>
      </c>
      <c r="K206" s="25" t="s">
        <v>5401</v>
      </c>
      <c r="L206" s="23" t="s">
        <v>5402</v>
      </c>
      <c r="M206" s="23" t="s">
        <v>5403</v>
      </c>
      <c r="N206" s="26" t="s">
        <v>5404</v>
      </c>
      <c r="O206" s="27" t="s">
        <v>5405</v>
      </c>
      <c r="P206" s="28" t="s">
        <v>5406</v>
      </c>
      <c r="Q206" s="29" t="s">
        <v>5407</v>
      </c>
      <c r="R206" s="30" t="s">
        <v>5408</v>
      </c>
      <c r="S206" s="23" t="s">
        <v>5409</v>
      </c>
      <c r="T206" s="23" t="s">
        <v>5410</v>
      </c>
      <c r="U206" s="23" t="s">
        <v>5411</v>
      </c>
      <c r="V206" s="23" t="s">
        <v>5412</v>
      </c>
      <c r="W206" s="23" t="s">
        <v>5413</v>
      </c>
      <c r="X206" s="23" t="s">
        <v>5414</v>
      </c>
      <c r="Y206" s="31" t="s">
        <v>5415</v>
      </c>
      <c r="Z206" s="23" t="s">
        <v>5416</v>
      </c>
      <c r="AA206" s="23" t="s">
        <v>5417</v>
      </c>
      <c r="AB206" s="26" t="s">
        <v>5418</v>
      </c>
      <c r="AC206" s="23" t="s">
        <v>5419</v>
      </c>
      <c r="AD206" s="19"/>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1"/>
      <c r="BK206" s="21"/>
      <c r="BL206" s="21"/>
    </row>
    <row r="207">
      <c r="A207" s="22" t="s">
        <v>5420</v>
      </c>
      <c r="B207" s="23" t="s">
        <v>5421</v>
      </c>
      <c r="C207" s="24" t="s">
        <v>5422</v>
      </c>
      <c r="D207" s="23" t="s">
        <v>5423</v>
      </c>
      <c r="E207" s="23" t="s">
        <v>5424</v>
      </c>
      <c r="F207" s="23" t="s">
        <v>5425</v>
      </c>
      <c r="G207" s="23" t="s">
        <v>5426</v>
      </c>
      <c r="H207" s="23" t="s">
        <v>5427</v>
      </c>
      <c r="I207" s="23" t="s">
        <v>5428</v>
      </c>
      <c r="J207" s="23" t="s">
        <v>5429</v>
      </c>
      <c r="K207" s="25" t="s">
        <v>5430</v>
      </c>
      <c r="L207" s="23" t="s">
        <v>5431</v>
      </c>
      <c r="M207" s="23" t="s">
        <v>5432</v>
      </c>
      <c r="N207" s="26" t="s">
        <v>5433</v>
      </c>
      <c r="O207" s="27" t="s">
        <v>5434</v>
      </c>
      <c r="P207" s="28" t="s">
        <v>5435</v>
      </c>
      <c r="Q207" s="29" t="s">
        <v>5436</v>
      </c>
      <c r="R207" s="30" t="s">
        <v>5437</v>
      </c>
      <c r="S207" s="23" t="s">
        <v>5438</v>
      </c>
      <c r="T207" s="23" t="s">
        <v>5439</v>
      </c>
      <c r="U207" s="23" t="s">
        <v>5440</v>
      </c>
      <c r="V207" s="23" t="s">
        <v>5441</v>
      </c>
      <c r="W207" s="23" t="s">
        <v>5442</v>
      </c>
      <c r="X207" s="23" t="s">
        <v>5443</v>
      </c>
      <c r="Y207" s="31" t="s">
        <v>5444</v>
      </c>
      <c r="Z207" s="23" t="s">
        <v>5445</v>
      </c>
      <c r="AA207" s="23" t="s">
        <v>5446</v>
      </c>
      <c r="AB207" s="26" t="s">
        <v>5447</v>
      </c>
      <c r="AC207" s="23" t="s">
        <v>5448</v>
      </c>
      <c r="AD207" s="19"/>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1"/>
      <c r="BK207" s="21"/>
      <c r="BL207" s="21"/>
    </row>
    <row r="208">
      <c r="A208" s="22" t="s">
        <v>5449</v>
      </c>
      <c r="B208" s="23" t="s">
        <v>5449</v>
      </c>
      <c r="C208" s="24" t="s">
        <v>5450</v>
      </c>
      <c r="D208" s="23" t="s">
        <v>5451</v>
      </c>
      <c r="E208" s="23" t="s">
        <v>5452</v>
      </c>
      <c r="F208" s="23" t="s">
        <v>5453</v>
      </c>
      <c r="G208" s="23" t="s">
        <v>5454</v>
      </c>
      <c r="H208" s="23" t="s">
        <v>5455</v>
      </c>
      <c r="I208" s="23" t="s">
        <v>5456</v>
      </c>
      <c r="J208" s="23" t="s">
        <v>5457</v>
      </c>
      <c r="K208" s="25" t="s">
        <v>5458</v>
      </c>
      <c r="L208" s="23" t="s">
        <v>5459</v>
      </c>
      <c r="M208" s="23" t="s">
        <v>5460</v>
      </c>
      <c r="N208" s="26" t="s">
        <v>5461</v>
      </c>
      <c r="O208" s="27" t="s">
        <v>5462</v>
      </c>
      <c r="P208" s="28" t="s">
        <v>5463</v>
      </c>
      <c r="Q208" s="29" t="s">
        <v>5464</v>
      </c>
      <c r="R208" s="30" t="s">
        <v>5465</v>
      </c>
      <c r="S208" s="23" t="s">
        <v>5466</v>
      </c>
      <c r="T208" s="23" t="s">
        <v>5467</v>
      </c>
      <c r="U208" s="23" t="s">
        <v>5468</v>
      </c>
      <c r="V208" s="23" t="s">
        <v>5469</v>
      </c>
      <c r="W208" s="23" t="s">
        <v>5470</v>
      </c>
      <c r="X208" s="23" t="s">
        <v>5471</v>
      </c>
      <c r="Y208" s="31" t="s">
        <v>5472</v>
      </c>
      <c r="Z208" s="23" t="s">
        <v>5473</v>
      </c>
      <c r="AA208" s="23" t="s">
        <v>5474</v>
      </c>
      <c r="AB208" s="26" t="s">
        <v>5475</v>
      </c>
      <c r="AC208" s="23" t="s">
        <v>5476</v>
      </c>
      <c r="AD208" s="19"/>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1"/>
      <c r="BK208" s="21"/>
      <c r="BL208" s="21"/>
    </row>
    <row r="209">
      <c r="A209" s="22" t="s">
        <v>5477</v>
      </c>
      <c r="B209" s="23" t="s">
        <v>5477</v>
      </c>
      <c r="C209" s="24" t="s">
        <v>5478</v>
      </c>
      <c r="D209" s="23" t="s">
        <v>5479</v>
      </c>
      <c r="E209" s="23" t="s">
        <v>5480</v>
      </c>
      <c r="F209" s="23" t="s">
        <v>5481</v>
      </c>
      <c r="G209" s="23" t="s">
        <v>5482</v>
      </c>
      <c r="H209" s="23" t="s">
        <v>5483</v>
      </c>
      <c r="I209" s="23" t="s">
        <v>5484</v>
      </c>
      <c r="J209" s="23" t="s">
        <v>5485</v>
      </c>
      <c r="K209" s="25" t="s">
        <v>5486</v>
      </c>
      <c r="L209" s="23" t="s">
        <v>5477</v>
      </c>
      <c r="M209" s="23" t="s">
        <v>5477</v>
      </c>
      <c r="N209" s="26" t="s">
        <v>5487</v>
      </c>
      <c r="O209" s="27" t="s">
        <v>5488</v>
      </c>
      <c r="P209" s="28" t="s">
        <v>5489</v>
      </c>
      <c r="Q209" s="29" t="s">
        <v>5490</v>
      </c>
      <c r="R209" s="30" t="s">
        <v>5491</v>
      </c>
      <c r="S209" s="23" t="s">
        <v>5492</v>
      </c>
      <c r="T209" s="23" t="s">
        <v>5477</v>
      </c>
      <c r="U209" s="23" t="s">
        <v>5493</v>
      </c>
      <c r="V209" s="23" t="s">
        <v>5494</v>
      </c>
      <c r="W209" s="23" t="s">
        <v>5495</v>
      </c>
      <c r="X209" s="23" t="s">
        <v>5496</v>
      </c>
      <c r="Y209" s="31" t="s">
        <v>5497</v>
      </c>
      <c r="Z209" s="23" t="s">
        <v>5498</v>
      </c>
      <c r="AA209" s="23" t="s">
        <v>5499</v>
      </c>
      <c r="AB209" s="26" t="s">
        <v>5500</v>
      </c>
      <c r="AC209" s="23" t="s">
        <v>5501</v>
      </c>
      <c r="AD209" s="19"/>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1"/>
      <c r="BK209" s="21"/>
      <c r="BL209" s="21"/>
    </row>
    <row r="210">
      <c r="A210" s="22" t="s">
        <v>5502</v>
      </c>
      <c r="B210" s="23" t="s">
        <v>5502</v>
      </c>
      <c r="C210" s="24" t="s">
        <v>5503</v>
      </c>
      <c r="D210" s="23" t="s">
        <v>5504</v>
      </c>
      <c r="E210" s="23" t="s">
        <v>5505</v>
      </c>
      <c r="F210" s="23" t="s">
        <v>5506</v>
      </c>
      <c r="G210" s="23" t="s">
        <v>5507</v>
      </c>
      <c r="H210" s="23" t="s">
        <v>5508</v>
      </c>
      <c r="I210" s="23" t="s">
        <v>5509</v>
      </c>
      <c r="J210" s="23" t="s">
        <v>5510</v>
      </c>
      <c r="K210" s="25" t="s">
        <v>5511</v>
      </c>
      <c r="L210" s="23" t="s">
        <v>5512</v>
      </c>
      <c r="M210" s="23" t="s">
        <v>5513</v>
      </c>
      <c r="N210" s="26" t="s">
        <v>5514</v>
      </c>
      <c r="O210" s="27" t="s">
        <v>5515</v>
      </c>
      <c r="P210" s="28" t="s">
        <v>5516</v>
      </c>
      <c r="Q210" s="29" t="s">
        <v>5517</v>
      </c>
      <c r="R210" s="30" t="s">
        <v>5518</v>
      </c>
      <c r="S210" s="23" t="s">
        <v>5519</v>
      </c>
      <c r="T210" s="23" t="s">
        <v>5520</v>
      </c>
      <c r="U210" s="23" t="s">
        <v>5521</v>
      </c>
      <c r="V210" s="23" t="s">
        <v>5522</v>
      </c>
      <c r="W210" s="23" t="s">
        <v>5507</v>
      </c>
      <c r="X210" s="23" t="s">
        <v>5523</v>
      </c>
      <c r="Y210" s="31" t="s">
        <v>5524</v>
      </c>
      <c r="Z210" s="23" t="s">
        <v>5525</v>
      </c>
      <c r="AA210" s="23" t="s">
        <v>5526</v>
      </c>
      <c r="AB210" s="26" t="s">
        <v>5527</v>
      </c>
      <c r="AC210" s="23" t="s">
        <v>5528</v>
      </c>
      <c r="AD210" s="19"/>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1"/>
      <c r="BK210" s="21"/>
      <c r="BL210" s="21"/>
    </row>
    <row r="211">
      <c r="A211" s="22" t="s">
        <v>5529</v>
      </c>
      <c r="B211" s="23" t="s">
        <v>5530</v>
      </c>
      <c r="C211" s="24" t="s">
        <v>5531</v>
      </c>
      <c r="D211" s="23" t="s">
        <v>5532</v>
      </c>
      <c r="E211" s="23" t="s">
        <v>5533</v>
      </c>
      <c r="F211" s="23" t="s">
        <v>5534</v>
      </c>
      <c r="G211" s="23" t="s">
        <v>5535</v>
      </c>
      <c r="H211" s="23" t="s">
        <v>5536</v>
      </c>
      <c r="I211" s="23" t="s">
        <v>5537</v>
      </c>
      <c r="J211" s="23" t="s">
        <v>5538</v>
      </c>
      <c r="K211" s="25" t="s">
        <v>5539</v>
      </c>
      <c r="L211" s="23" t="s">
        <v>5540</v>
      </c>
      <c r="M211" s="23" t="s">
        <v>5541</v>
      </c>
      <c r="N211" s="26" t="s">
        <v>5542</v>
      </c>
      <c r="O211" s="27" t="s">
        <v>5543</v>
      </c>
      <c r="P211" s="28" t="s">
        <v>5544</v>
      </c>
      <c r="Q211" s="29" t="s">
        <v>5545</v>
      </c>
      <c r="R211" s="30" t="s">
        <v>5546</v>
      </c>
      <c r="S211" s="23" t="s">
        <v>5547</v>
      </c>
      <c r="T211" s="23" t="s">
        <v>5548</v>
      </c>
      <c r="U211" s="23" t="s">
        <v>5549</v>
      </c>
      <c r="V211" s="23" t="s">
        <v>5550</v>
      </c>
      <c r="W211" s="23" t="s">
        <v>5551</v>
      </c>
      <c r="X211" s="23" t="s">
        <v>5552</v>
      </c>
      <c r="Y211" s="31" t="s">
        <v>5553</v>
      </c>
      <c r="Z211" s="23" t="s">
        <v>5554</v>
      </c>
      <c r="AA211" s="23" t="s">
        <v>5555</v>
      </c>
      <c r="AB211" s="26" t="s">
        <v>5556</v>
      </c>
      <c r="AC211" s="23" t="s">
        <v>5557</v>
      </c>
      <c r="AD211" s="19"/>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1"/>
      <c r="BK211" s="21"/>
      <c r="BL211" s="21"/>
    </row>
    <row r="212">
      <c r="A212" s="22" t="s">
        <v>5558</v>
      </c>
      <c r="B212" s="23" t="s">
        <v>5559</v>
      </c>
      <c r="C212" s="24" t="s">
        <v>5560</v>
      </c>
      <c r="D212" s="23" t="s">
        <v>5561</v>
      </c>
      <c r="E212" s="23" t="s">
        <v>5562</v>
      </c>
      <c r="F212" s="23" t="s">
        <v>5563</v>
      </c>
      <c r="G212" s="23" t="s">
        <v>5564</v>
      </c>
      <c r="H212" s="23" t="s">
        <v>5565</v>
      </c>
      <c r="I212" s="23" t="s">
        <v>5566</v>
      </c>
      <c r="J212" s="23" t="s">
        <v>5567</v>
      </c>
      <c r="K212" s="25" t="s">
        <v>5568</v>
      </c>
      <c r="L212" s="23" t="s">
        <v>5569</v>
      </c>
      <c r="M212" s="23" t="s">
        <v>5570</v>
      </c>
      <c r="N212" s="26" t="s">
        <v>5571</v>
      </c>
      <c r="O212" s="27" t="s">
        <v>5572</v>
      </c>
      <c r="P212" s="28" t="s">
        <v>5573</v>
      </c>
      <c r="Q212" s="29" t="s">
        <v>5574</v>
      </c>
      <c r="R212" s="30" t="s">
        <v>5575</v>
      </c>
      <c r="S212" s="23" t="s">
        <v>5576</v>
      </c>
      <c r="T212" s="23" t="s">
        <v>5577</v>
      </c>
      <c r="U212" s="23" t="s">
        <v>5578</v>
      </c>
      <c r="V212" s="23" t="s">
        <v>5579</v>
      </c>
      <c r="W212" s="23" t="s">
        <v>5580</v>
      </c>
      <c r="X212" s="23" t="s">
        <v>5581</v>
      </c>
      <c r="Y212" s="31" t="s">
        <v>5582</v>
      </c>
      <c r="Z212" s="23" t="s">
        <v>5583</v>
      </c>
      <c r="AA212" s="23" t="s">
        <v>5584</v>
      </c>
      <c r="AB212" s="26" t="s">
        <v>5585</v>
      </c>
      <c r="AC212" s="23" t="s">
        <v>5586</v>
      </c>
      <c r="AD212" s="19"/>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1"/>
      <c r="BK212" s="21"/>
      <c r="BL212" s="21"/>
    </row>
    <row r="213">
      <c r="A213" s="22" t="s">
        <v>5587</v>
      </c>
      <c r="B213" s="23" t="s">
        <v>5587</v>
      </c>
      <c r="C213" s="24" t="s">
        <v>5588</v>
      </c>
      <c r="D213" s="23" t="s">
        <v>5589</v>
      </c>
      <c r="E213" s="23" t="s">
        <v>5590</v>
      </c>
      <c r="F213" s="23" t="s">
        <v>5591</v>
      </c>
      <c r="G213" s="23" t="s">
        <v>5592</v>
      </c>
      <c r="H213" s="23" t="s">
        <v>5593</v>
      </c>
      <c r="I213" s="23" t="s">
        <v>5594</v>
      </c>
      <c r="J213" s="23" t="s">
        <v>5595</v>
      </c>
      <c r="K213" s="25" t="s">
        <v>5596</v>
      </c>
      <c r="L213" s="23" t="s">
        <v>5597</v>
      </c>
      <c r="M213" s="23" t="s">
        <v>5598</v>
      </c>
      <c r="N213" s="26" t="s">
        <v>5599</v>
      </c>
      <c r="O213" s="27" t="s">
        <v>5600</v>
      </c>
      <c r="P213" s="28" t="s">
        <v>5601</v>
      </c>
      <c r="Q213" s="29" t="s">
        <v>5602</v>
      </c>
      <c r="R213" s="30" t="s">
        <v>5603</v>
      </c>
      <c r="S213" s="23" t="s">
        <v>5604</v>
      </c>
      <c r="T213" s="23" t="s">
        <v>5605</v>
      </c>
      <c r="U213" s="23" t="s">
        <v>5606</v>
      </c>
      <c r="V213" s="23" t="s">
        <v>5607</v>
      </c>
      <c r="W213" s="23" t="s">
        <v>5592</v>
      </c>
      <c r="X213" s="23" t="s">
        <v>5608</v>
      </c>
      <c r="Y213" s="31" t="s">
        <v>5609</v>
      </c>
      <c r="Z213" s="23" t="s">
        <v>5610</v>
      </c>
      <c r="AA213" s="23" t="s">
        <v>5611</v>
      </c>
      <c r="AB213" s="26" t="s">
        <v>5612</v>
      </c>
      <c r="AC213" s="23" t="s">
        <v>5613</v>
      </c>
      <c r="AD213" s="19"/>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1"/>
      <c r="BK213" s="21"/>
      <c r="BL213" s="21"/>
    </row>
    <row r="214">
      <c r="A214" s="22" t="s">
        <v>5614</v>
      </c>
      <c r="B214" s="23" t="s">
        <v>5614</v>
      </c>
      <c r="C214" s="24" t="s">
        <v>5615</v>
      </c>
      <c r="D214" s="23" t="s">
        <v>5616</v>
      </c>
      <c r="E214" s="23" t="s">
        <v>5617</v>
      </c>
      <c r="F214" s="23" t="s">
        <v>5618</v>
      </c>
      <c r="G214" s="23" t="s">
        <v>5619</v>
      </c>
      <c r="H214" s="23" t="s">
        <v>5620</v>
      </c>
      <c r="I214" s="23" t="s">
        <v>5621</v>
      </c>
      <c r="J214" s="23" t="s">
        <v>5622</v>
      </c>
      <c r="K214" s="25" t="s">
        <v>5623</v>
      </c>
      <c r="L214" s="23" t="s">
        <v>5624</v>
      </c>
      <c r="M214" s="23" t="s">
        <v>5625</v>
      </c>
      <c r="N214" s="26" t="s">
        <v>5626</v>
      </c>
      <c r="O214" s="27" t="s">
        <v>5627</v>
      </c>
      <c r="P214" s="28" t="s">
        <v>5628</v>
      </c>
      <c r="Q214" s="29" t="s">
        <v>5629</v>
      </c>
      <c r="R214" s="30" t="s">
        <v>5630</v>
      </c>
      <c r="S214" s="23" t="s">
        <v>5631</v>
      </c>
      <c r="T214" s="23" t="s">
        <v>5624</v>
      </c>
      <c r="U214" s="23" t="s">
        <v>5632</v>
      </c>
      <c r="V214" s="23" t="s">
        <v>5616</v>
      </c>
      <c r="W214" s="23" t="s">
        <v>5633</v>
      </c>
      <c r="X214" s="23" t="s">
        <v>5634</v>
      </c>
      <c r="Y214" s="31" t="s">
        <v>5635</v>
      </c>
      <c r="Z214" s="23" t="s">
        <v>5636</v>
      </c>
      <c r="AA214" s="23" t="s">
        <v>5637</v>
      </c>
      <c r="AB214" s="26" t="s">
        <v>5638</v>
      </c>
      <c r="AC214" s="23" t="s">
        <v>5639</v>
      </c>
      <c r="AD214" s="19"/>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1"/>
      <c r="BK214" s="21"/>
      <c r="BL214" s="21"/>
    </row>
    <row r="215">
      <c r="A215" s="22" t="s">
        <v>5640</v>
      </c>
      <c r="B215" s="23" t="s">
        <v>5641</v>
      </c>
      <c r="C215" s="24" t="s">
        <v>5642</v>
      </c>
      <c r="D215" s="23" t="s">
        <v>5643</v>
      </c>
      <c r="E215" s="23" t="s">
        <v>5644</v>
      </c>
      <c r="F215" s="23" t="s">
        <v>5645</v>
      </c>
      <c r="G215" s="23" t="s">
        <v>5646</v>
      </c>
      <c r="H215" s="23" t="s">
        <v>5647</v>
      </c>
      <c r="I215" s="23" t="s">
        <v>5648</v>
      </c>
      <c r="J215" s="23" t="s">
        <v>5649</v>
      </c>
      <c r="K215" s="25" t="s">
        <v>5650</v>
      </c>
      <c r="L215" s="23" t="s">
        <v>5651</v>
      </c>
      <c r="M215" s="23" t="s">
        <v>5652</v>
      </c>
      <c r="N215" s="26" t="s">
        <v>5653</v>
      </c>
      <c r="O215" s="27" t="s">
        <v>5654</v>
      </c>
      <c r="P215" s="28" t="s">
        <v>5655</v>
      </c>
      <c r="Q215" s="29" t="s">
        <v>5656</v>
      </c>
      <c r="R215" s="30" t="s">
        <v>5657</v>
      </c>
      <c r="S215" s="23" t="s">
        <v>5658</v>
      </c>
      <c r="T215" s="23" t="s">
        <v>5659</v>
      </c>
      <c r="U215" s="23" t="s">
        <v>5660</v>
      </c>
      <c r="V215" s="23" t="s">
        <v>5661</v>
      </c>
      <c r="W215" s="23" t="s">
        <v>5662</v>
      </c>
      <c r="X215" s="23" t="s">
        <v>5663</v>
      </c>
      <c r="Y215" s="31" t="s">
        <v>5664</v>
      </c>
      <c r="Z215" s="23" t="s">
        <v>5665</v>
      </c>
      <c r="AA215" s="23" t="s">
        <v>5666</v>
      </c>
      <c r="AB215" s="26" t="s">
        <v>5667</v>
      </c>
      <c r="AC215" s="23" t="s">
        <v>5668</v>
      </c>
      <c r="AD215" s="19"/>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1"/>
      <c r="BK215" s="21"/>
      <c r="BL215" s="21"/>
    </row>
    <row r="216">
      <c r="A216" s="22" t="s">
        <v>5669</v>
      </c>
      <c r="B216" s="23" t="s">
        <v>5670</v>
      </c>
      <c r="C216" s="24" t="s">
        <v>5671</v>
      </c>
      <c r="D216" s="23" t="s">
        <v>5672</v>
      </c>
      <c r="E216" s="23" t="s">
        <v>5673</v>
      </c>
      <c r="F216" s="23" t="s">
        <v>5674</v>
      </c>
      <c r="G216" s="23" t="s">
        <v>5675</v>
      </c>
      <c r="H216" s="23" t="s">
        <v>5676</v>
      </c>
      <c r="I216" s="23" t="s">
        <v>5677</v>
      </c>
      <c r="J216" s="23" t="s">
        <v>5678</v>
      </c>
      <c r="K216" s="23" t="s">
        <v>5679</v>
      </c>
      <c r="L216" s="23" t="s">
        <v>5680</v>
      </c>
      <c r="M216" s="23" t="s">
        <v>5681</v>
      </c>
      <c r="N216" s="23" t="s">
        <v>5682</v>
      </c>
      <c r="O216" s="27" t="s">
        <v>5683</v>
      </c>
      <c r="P216" s="23" t="s">
        <v>5684</v>
      </c>
      <c r="Q216" s="23" t="s">
        <v>5685</v>
      </c>
      <c r="R216" s="30" t="s">
        <v>5686</v>
      </c>
      <c r="S216" s="23" t="s">
        <v>5687</v>
      </c>
      <c r="T216" s="23" t="s">
        <v>5688</v>
      </c>
      <c r="U216" s="23" t="s">
        <v>5689</v>
      </c>
      <c r="V216" s="23" t="s">
        <v>5690</v>
      </c>
      <c r="W216" s="23" t="s">
        <v>5691</v>
      </c>
      <c r="X216" s="23" t="s">
        <v>5692</v>
      </c>
      <c r="Y216" s="31" t="s">
        <v>5693</v>
      </c>
      <c r="Z216" s="23" t="s">
        <v>5694</v>
      </c>
      <c r="AA216" s="23" t="s">
        <v>5695</v>
      </c>
      <c r="AB216" s="26" t="s">
        <v>5696</v>
      </c>
      <c r="AC216" s="23" t="s">
        <v>5697</v>
      </c>
      <c r="AD216" s="19"/>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1"/>
      <c r="BK216" s="21"/>
      <c r="BL216" s="21"/>
    </row>
    <row r="217">
      <c r="A217" s="22" t="s">
        <v>5698</v>
      </c>
      <c r="B217" s="23" t="s">
        <v>5699</v>
      </c>
      <c r="C217" s="23" t="s">
        <v>5699</v>
      </c>
      <c r="D217" s="23" t="s">
        <v>5699</v>
      </c>
      <c r="E217" s="23" t="s">
        <v>5699</v>
      </c>
      <c r="F217" s="23" t="s">
        <v>5700</v>
      </c>
      <c r="G217" s="23" t="s">
        <v>5699</v>
      </c>
      <c r="H217" s="23" t="s">
        <v>5699</v>
      </c>
      <c r="I217" s="23" t="s">
        <v>5699</v>
      </c>
      <c r="J217" s="23" t="s">
        <v>5699</v>
      </c>
      <c r="K217" s="25" t="s">
        <v>5701</v>
      </c>
      <c r="L217" s="23" t="s">
        <v>5699</v>
      </c>
      <c r="M217" s="23" t="s">
        <v>5699</v>
      </c>
      <c r="N217" s="23" t="s">
        <v>5702</v>
      </c>
      <c r="O217" s="27" t="s">
        <v>5703</v>
      </c>
      <c r="P217" s="28" t="s">
        <v>5704</v>
      </c>
      <c r="Q217" s="23" t="s">
        <v>5705</v>
      </c>
      <c r="R217" s="23" t="s">
        <v>5699</v>
      </c>
      <c r="S217" s="23" t="s">
        <v>5706</v>
      </c>
      <c r="T217" s="23" t="s">
        <v>5699</v>
      </c>
      <c r="U217" s="23" t="s">
        <v>5699</v>
      </c>
      <c r="V217" s="23" t="s">
        <v>5699</v>
      </c>
      <c r="W217" s="23" t="s">
        <v>5699</v>
      </c>
      <c r="X217" s="23" t="s">
        <v>5699</v>
      </c>
      <c r="Y217" s="31" t="s">
        <v>5707</v>
      </c>
      <c r="Z217" s="23" t="s">
        <v>5699</v>
      </c>
      <c r="AA217" s="23" t="s">
        <v>5699</v>
      </c>
      <c r="AB217" s="23" t="s">
        <v>5699</v>
      </c>
      <c r="AC217" s="23" t="s">
        <v>5708</v>
      </c>
      <c r="AD217" s="19"/>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1"/>
      <c r="BK217" s="21"/>
      <c r="BL217" s="21"/>
    </row>
    <row r="218">
      <c r="A218" s="22" t="s">
        <v>5709</v>
      </c>
      <c r="B218" s="23" t="s">
        <v>5710</v>
      </c>
      <c r="C218" s="24" t="s">
        <v>5711</v>
      </c>
      <c r="D218" s="23" t="s">
        <v>5712</v>
      </c>
      <c r="E218" s="23" t="s">
        <v>5713</v>
      </c>
      <c r="F218" s="23" t="s">
        <v>5714</v>
      </c>
      <c r="G218" s="23" t="s">
        <v>5715</v>
      </c>
      <c r="H218" s="23" t="s">
        <v>5716</v>
      </c>
      <c r="I218" s="23" t="s">
        <v>5717</v>
      </c>
      <c r="J218" s="23" t="s">
        <v>5718</v>
      </c>
      <c r="K218" s="25" t="s">
        <v>5719</v>
      </c>
      <c r="L218" s="23" t="s">
        <v>5720</v>
      </c>
      <c r="M218" s="23" t="s">
        <v>5721</v>
      </c>
      <c r="N218" s="26" t="s">
        <v>5722</v>
      </c>
      <c r="O218" s="27" t="s">
        <v>5723</v>
      </c>
      <c r="P218" s="28" t="s">
        <v>5724</v>
      </c>
      <c r="Q218" s="29" t="s">
        <v>5725</v>
      </c>
      <c r="R218" s="30" t="s">
        <v>5726</v>
      </c>
      <c r="S218" s="23" t="s">
        <v>5727</v>
      </c>
      <c r="T218" s="23" t="s">
        <v>5728</v>
      </c>
      <c r="U218" s="23" t="s">
        <v>5729</v>
      </c>
      <c r="V218" s="23" t="s">
        <v>5730</v>
      </c>
      <c r="W218" s="23" t="s">
        <v>5731</v>
      </c>
      <c r="X218" s="23" t="s">
        <v>5732</v>
      </c>
      <c r="Y218" s="31" t="s">
        <v>5733</v>
      </c>
      <c r="Z218" s="23" t="s">
        <v>5734</v>
      </c>
      <c r="AA218" s="23" t="s">
        <v>5735</v>
      </c>
      <c r="AB218" s="26" t="s">
        <v>5736</v>
      </c>
      <c r="AC218" s="23" t="s">
        <v>5737</v>
      </c>
      <c r="AD218" s="19"/>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1"/>
      <c r="BK218" s="21"/>
      <c r="BL218" s="21"/>
    </row>
    <row r="219">
      <c r="A219" s="22" t="s">
        <v>5738</v>
      </c>
      <c r="B219" s="23" t="s">
        <v>5739</v>
      </c>
      <c r="C219" s="24" t="s">
        <v>5740</v>
      </c>
      <c r="D219" s="23" t="s">
        <v>5741</v>
      </c>
      <c r="E219" s="23" t="s">
        <v>5742</v>
      </c>
      <c r="F219" s="23" t="s">
        <v>5743</v>
      </c>
      <c r="G219" s="23" t="s">
        <v>5744</v>
      </c>
      <c r="H219" s="23" t="s">
        <v>5745</v>
      </c>
      <c r="I219" s="23" t="s">
        <v>5746</v>
      </c>
      <c r="J219" s="23" t="s">
        <v>5747</v>
      </c>
      <c r="K219" s="23" t="s">
        <v>5748</v>
      </c>
      <c r="L219" s="23" t="s">
        <v>5749</v>
      </c>
      <c r="M219" s="23" t="s">
        <v>5750</v>
      </c>
      <c r="N219" s="23" t="s">
        <v>5751</v>
      </c>
      <c r="O219" s="27" t="s">
        <v>5752</v>
      </c>
      <c r="P219" s="28" t="s">
        <v>5753</v>
      </c>
      <c r="Q219" s="23" t="s">
        <v>5754</v>
      </c>
      <c r="R219" s="30" t="s">
        <v>5755</v>
      </c>
      <c r="S219" s="23" t="s">
        <v>5756</v>
      </c>
      <c r="T219" s="23" t="s">
        <v>5749</v>
      </c>
      <c r="U219" s="23" t="s">
        <v>5757</v>
      </c>
      <c r="V219" s="23" t="s">
        <v>5758</v>
      </c>
      <c r="W219" s="23" t="s">
        <v>5759</v>
      </c>
      <c r="X219" s="23" t="s">
        <v>5760</v>
      </c>
      <c r="Y219" s="31" t="s">
        <v>5761</v>
      </c>
      <c r="Z219" s="23" t="s">
        <v>5762</v>
      </c>
      <c r="AA219" s="23" t="s">
        <v>5763</v>
      </c>
      <c r="AB219" s="26" t="s">
        <v>5764</v>
      </c>
      <c r="AC219" s="23" t="s">
        <v>5765</v>
      </c>
      <c r="AD219" s="19"/>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1"/>
      <c r="BK219" s="21"/>
      <c r="BL219" s="21"/>
    </row>
    <row r="220">
      <c r="A220" s="22" t="s">
        <v>5766</v>
      </c>
      <c r="B220" s="23" t="s">
        <v>5766</v>
      </c>
      <c r="C220" s="24" t="s">
        <v>5767</v>
      </c>
      <c r="D220" s="23" t="s">
        <v>5768</v>
      </c>
      <c r="E220" s="23" t="s">
        <v>5769</v>
      </c>
      <c r="F220" s="23" t="s">
        <v>5770</v>
      </c>
      <c r="G220" s="23" t="s">
        <v>5771</v>
      </c>
      <c r="H220" s="23" t="s">
        <v>5772</v>
      </c>
      <c r="I220" s="23" t="s">
        <v>5773</v>
      </c>
      <c r="J220" s="23" t="s">
        <v>5774</v>
      </c>
      <c r="K220" s="25" t="s">
        <v>5775</v>
      </c>
      <c r="L220" s="23" t="s">
        <v>5776</v>
      </c>
      <c r="M220" s="23" t="s">
        <v>5777</v>
      </c>
      <c r="N220" s="26" t="s">
        <v>5778</v>
      </c>
      <c r="O220" s="27" t="s">
        <v>5779</v>
      </c>
      <c r="P220" s="28" t="s">
        <v>5780</v>
      </c>
      <c r="Q220" s="29" t="s">
        <v>5781</v>
      </c>
      <c r="R220" s="30" t="s">
        <v>5782</v>
      </c>
      <c r="S220" s="23" t="s">
        <v>5783</v>
      </c>
      <c r="T220" s="23" t="s">
        <v>5784</v>
      </c>
      <c r="U220" s="23" t="s">
        <v>5785</v>
      </c>
      <c r="V220" s="23" t="s">
        <v>5786</v>
      </c>
      <c r="W220" s="23" t="s">
        <v>5787</v>
      </c>
      <c r="X220" s="23" t="s">
        <v>5788</v>
      </c>
      <c r="Y220" s="31" t="s">
        <v>5789</v>
      </c>
      <c r="Z220" s="23" t="s">
        <v>5790</v>
      </c>
      <c r="AA220" s="23" t="s">
        <v>5791</v>
      </c>
      <c r="AB220" s="26" t="s">
        <v>5778</v>
      </c>
      <c r="AC220" s="23" t="s">
        <v>5792</v>
      </c>
      <c r="AD220" s="19"/>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1"/>
      <c r="BK220" s="21"/>
      <c r="BL220" s="21"/>
    </row>
    <row r="221">
      <c r="A221" s="22" t="s">
        <v>5793</v>
      </c>
      <c r="B221" s="23" t="s">
        <v>5794</v>
      </c>
      <c r="C221" s="24" t="s">
        <v>5795</v>
      </c>
      <c r="D221" s="23" t="s">
        <v>5796</v>
      </c>
      <c r="E221" s="23" t="s">
        <v>5797</v>
      </c>
      <c r="F221" s="23" t="s">
        <v>5798</v>
      </c>
      <c r="G221" s="23" t="s">
        <v>5799</v>
      </c>
      <c r="H221" s="23" t="s">
        <v>5800</v>
      </c>
      <c r="I221" s="23" t="s">
        <v>5801</v>
      </c>
      <c r="J221" s="23" t="s">
        <v>5802</v>
      </c>
      <c r="K221" s="25" t="s">
        <v>5803</v>
      </c>
      <c r="L221" s="23" t="s">
        <v>5804</v>
      </c>
      <c r="M221" s="23" t="s">
        <v>5805</v>
      </c>
      <c r="N221" s="26" t="s">
        <v>5806</v>
      </c>
      <c r="O221" s="27" t="s">
        <v>5807</v>
      </c>
      <c r="P221" s="28" t="s">
        <v>5808</v>
      </c>
      <c r="Q221" s="29" t="s">
        <v>5809</v>
      </c>
      <c r="R221" s="30" t="s">
        <v>5810</v>
      </c>
      <c r="S221" s="23" t="s">
        <v>5811</v>
      </c>
      <c r="T221" s="23" t="s">
        <v>5812</v>
      </c>
      <c r="U221" s="23" t="s">
        <v>5813</v>
      </c>
      <c r="V221" s="23" t="s">
        <v>5814</v>
      </c>
      <c r="W221" s="23" t="s">
        <v>5815</v>
      </c>
      <c r="X221" s="23" t="s">
        <v>5816</v>
      </c>
      <c r="Y221" s="31" t="s">
        <v>5817</v>
      </c>
      <c r="Z221" s="23" t="s">
        <v>5818</v>
      </c>
      <c r="AA221" s="23" t="s">
        <v>5819</v>
      </c>
      <c r="AB221" s="26" t="s">
        <v>5820</v>
      </c>
      <c r="AC221" s="23" t="s">
        <v>5821</v>
      </c>
      <c r="AD221" s="19"/>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1"/>
      <c r="BK221" s="21"/>
      <c r="BL221" s="21"/>
    </row>
    <row r="222">
      <c r="A222" s="22" t="s">
        <v>5822</v>
      </c>
      <c r="B222" s="23" t="s">
        <v>5823</v>
      </c>
      <c r="C222" s="24" t="s">
        <v>5824</v>
      </c>
      <c r="D222" s="23" t="s">
        <v>5825</v>
      </c>
      <c r="E222" s="23" t="s">
        <v>5826</v>
      </c>
      <c r="F222" s="23" t="s">
        <v>5827</v>
      </c>
      <c r="G222" s="23" t="s">
        <v>5828</v>
      </c>
      <c r="H222" s="23" t="s">
        <v>5829</v>
      </c>
      <c r="I222" s="23" t="s">
        <v>5830</v>
      </c>
      <c r="J222" s="23" t="s">
        <v>5831</v>
      </c>
      <c r="K222" s="25" t="s">
        <v>5832</v>
      </c>
      <c r="L222" s="23" t="s">
        <v>5833</v>
      </c>
      <c r="M222" s="23" t="s">
        <v>5834</v>
      </c>
      <c r="N222" s="26" t="s">
        <v>5835</v>
      </c>
      <c r="O222" s="27" t="s">
        <v>5836</v>
      </c>
      <c r="P222" s="28" t="s">
        <v>5837</v>
      </c>
      <c r="Q222" s="29" t="s">
        <v>5838</v>
      </c>
      <c r="R222" s="30" t="s">
        <v>5839</v>
      </c>
      <c r="S222" s="23" t="s">
        <v>5840</v>
      </c>
      <c r="T222" s="23" t="s">
        <v>5841</v>
      </c>
      <c r="U222" s="23" t="s">
        <v>5842</v>
      </c>
      <c r="V222" s="23" t="s">
        <v>5843</v>
      </c>
      <c r="W222" s="23" t="s">
        <v>5844</v>
      </c>
      <c r="X222" s="23" t="s">
        <v>5845</v>
      </c>
      <c r="Y222" s="31" t="s">
        <v>5846</v>
      </c>
      <c r="Z222" s="23" t="s">
        <v>5847</v>
      </c>
      <c r="AA222" s="23" t="s">
        <v>5848</v>
      </c>
      <c r="AB222" s="26" t="s">
        <v>5849</v>
      </c>
      <c r="AC222" s="23" t="s">
        <v>5850</v>
      </c>
      <c r="AD222" s="19"/>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1"/>
      <c r="BK222" s="21"/>
      <c r="BL222" s="21"/>
    </row>
    <row r="223">
      <c r="A223" s="22" t="s">
        <v>5851</v>
      </c>
      <c r="B223" s="23" t="s">
        <v>5852</v>
      </c>
      <c r="C223" s="24" t="s">
        <v>5853</v>
      </c>
      <c r="D223" s="23" t="s">
        <v>5854</v>
      </c>
      <c r="E223" s="23" t="s">
        <v>5855</v>
      </c>
      <c r="F223" s="23" t="s">
        <v>5856</v>
      </c>
      <c r="G223" s="23" t="s">
        <v>5857</v>
      </c>
      <c r="H223" s="23" t="s">
        <v>5858</v>
      </c>
      <c r="I223" s="23" t="s">
        <v>5859</v>
      </c>
      <c r="J223" s="23" t="s">
        <v>5860</v>
      </c>
      <c r="K223" s="25" t="s">
        <v>5861</v>
      </c>
      <c r="L223" s="23" t="s">
        <v>5862</v>
      </c>
      <c r="M223" s="23" t="s">
        <v>5863</v>
      </c>
      <c r="N223" s="26" t="s">
        <v>5864</v>
      </c>
      <c r="O223" s="27" t="s">
        <v>5865</v>
      </c>
      <c r="P223" s="28" t="s">
        <v>5866</v>
      </c>
      <c r="Q223" s="29" t="s">
        <v>5867</v>
      </c>
      <c r="R223" s="30" t="s">
        <v>5868</v>
      </c>
      <c r="S223" s="23" t="s">
        <v>5869</v>
      </c>
      <c r="T223" s="23" t="s">
        <v>5870</v>
      </c>
      <c r="U223" s="23" t="s">
        <v>5871</v>
      </c>
      <c r="V223" s="23" t="s">
        <v>5872</v>
      </c>
      <c r="W223" s="23" t="s">
        <v>5873</v>
      </c>
      <c r="X223" s="23" t="s">
        <v>5874</v>
      </c>
      <c r="Y223" s="31" t="s">
        <v>5875</v>
      </c>
      <c r="Z223" s="23" t="s">
        <v>5876</v>
      </c>
      <c r="AA223" s="23" t="s">
        <v>5877</v>
      </c>
      <c r="AB223" s="26" t="s">
        <v>5878</v>
      </c>
      <c r="AC223" s="23" t="s">
        <v>5879</v>
      </c>
      <c r="AD223" s="19"/>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1"/>
      <c r="BK223" s="21"/>
      <c r="BL223" s="21"/>
    </row>
    <row r="224">
      <c r="A224" s="22" t="s">
        <v>5880</v>
      </c>
      <c r="B224" s="23" t="s">
        <v>5881</v>
      </c>
      <c r="C224" s="24" t="s">
        <v>5882</v>
      </c>
      <c r="D224" s="23" t="s">
        <v>5883</v>
      </c>
      <c r="E224" s="23" t="s">
        <v>5884</v>
      </c>
      <c r="F224" s="23" t="s">
        <v>5885</v>
      </c>
      <c r="G224" s="23" t="s">
        <v>5886</v>
      </c>
      <c r="H224" s="23" t="s">
        <v>5887</v>
      </c>
      <c r="I224" s="23" t="s">
        <v>5888</v>
      </c>
      <c r="J224" s="23" t="s">
        <v>5889</v>
      </c>
      <c r="K224" s="25" t="s">
        <v>5890</v>
      </c>
      <c r="L224" s="23" t="s">
        <v>5891</v>
      </c>
      <c r="M224" s="23" t="s">
        <v>5892</v>
      </c>
      <c r="N224" s="26" t="s">
        <v>5893</v>
      </c>
      <c r="O224" s="27" t="s">
        <v>5894</v>
      </c>
      <c r="P224" s="28" t="s">
        <v>5895</v>
      </c>
      <c r="Q224" s="29" t="s">
        <v>5896</v>
      </c>
      <c r="R224" s="30" t="s">
        <v>5897</v>
      </c>
      <c r="S224" s="23" t="s">
        <v>5898</v>
      </c>
      <c r="T224" s="23" t="s">
        <v>5899</v>
      </c>
      <c r="U224" s="23" t="s">
        <v>5900</v>
      </c>
      <c r="V224" s="23" t="s">
        <v>5901</v>
      </c>
      <c r="W224" s="23" t="s">
        <v>5902</v>
      </c>
      <c r="X224" s="23" t="s">
        <v>5903</v>
      </c>
      <c r="Y224" s="31" t="s">
        <v>5904</v>
      </c>
      <c r="Z224" s="23" t="s">
        <v>5905</v>
      </c>
      <c r="AA224" s="23" t="s">
        <v>5906</v>
      </c>
      <c r="AB224" s="26" t="s">
        <v>5907</v>
      </c>
      <c r="AC224" s="23" t="s">
        <v>5908</v>
      </c>
      <c r="AD224" s="19"/>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1"/>
      <c r="BK224" s="21"/>
      <c r="BL224" s="21"/>
    </row>
    <row r="225">
      <c r="A225" s="22" t="s">
        <v>5909</v>
      </c>
      <c r="B225" s="23" t="s">
        <v>5910</v>
      </c>
      <c r="C225" s="24" t="s">
        <v>5911</v>
      </c>
      <c r="D225" s="23" t="s">
        <v>5912</v>
      </c>
      <c r="E225" s="23" t="s">
        <v>5913</v>
      </c>
      <c r="F225" s="23" t="s">
        <v>5914</v>
      </c>
      <c r="G225" s="23" t="s">
        <v>5915</v>
      </c>
      <c r="H225" s="23" t="s">
        <v>5916</v>
      </c>
      <c r="I225" s="23" t="s">
        <v>5917</v>
      </c>
      <c r="J225" s="23" t="s">
        <v>5918</v>
      </c>
      <c r="K225" s="25" t="s">
        <v>5919</v>
      </c>
      <c r="L225" s="23" t="s">
        <v>5920</v>
      </c>
      <c r="M225" s="23" t="s">
        <v>5921</v>
      </c>
      <c r="N225" s="26" t="s">
        <v>5922</v>
      </c>
      <c r="O225" s="27" t="s">
        <v>5923</v>
      </c>
      <c r="P225" s="28" t="s">
        <v>5924</v>
      </c>
      <c r="Q225" s="29" t="s">
        <v>5925</v>
      </c>
      <c r="R225" s="30" t="s">
        <v>5926</v>
      </c>
      <c r="S225" s="23" t="s">
        <v>5927</v>
      </c>
      <c r="T225" s="23" t="s">
        <v>5928</v>
      </c>
      <c r="U225" s="23" t="s">
        <v>5929</v>
      </c>
      <c r="V225" s="23" t="s">
        <v>5930</v>
      </c>
      <c r="W225" s="23" t="s">
        <v>5931</v>
      </c>
      <c r="X225" s="23" t="s">
        <v>5932</v>
      </c>
      <c r="Y225" s="31" t="s">
        <v>5933</v>
      </c>
      <c r="Z225" s="23" t="s">
        <v>5934</v>
      </c>
      <c r="AA225" s="23" t="s">
        <v>5935</v>
      </c>
      <c r="AB225" s="26" t="s">
        <v>5936</v>
      </c>
      <c r="AC225" s="23" t="s">
        <v>5937</v>
      </c>
      <c r="AD225" s="19"/>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1"/>
      <c r="BK225" s="21"/>
      <c r="BL225" s="21"/>
    </row>
    <row r="226">
      <c r="A226" s="22" t="s">
        <v>5938</v>
      </c>
      <c r="B226" s="23" t="s">
        <v>5939</v>
      </c>
      <c r="C226" s="24" t="s">
        <v>5940</v>
      </c>
      <c r="D226" s="23" t="s">
        <v>5941</v>
      </c>
      <c r="E226" s="23" t="s">
        <v>5942</v>
      </c>
      <c r="F226" s="23" t="s">
        <v>5943</v>
      </c>
      <c r="G226" s="23" t="s">
        <v>5944</v>
      </c>
      <c r="H226" s="23" t="s">
        <v>5945</v>
      </c>
      <c r="I226" s="23" t="s">
        <v>5946</v>
      </c>
      <c r="J226" s="23" t="s">
        <v>5947</v>
      </c>
      <c r="K226" s="25" t="s">
        <v>5948</v>
      </c>
      <c r="L226" s="23" t="s">
        <v>5949</v>
      </c>
      <c r="M226" s="23" t="s">
        <v>5950</v>
      </c>
      <c r="N226" s="26" t="s">
        <v>5951</v>
      </c>
      <c r="O226" s="27" t="s">
        <v>5952</v>
      </c>
      <c r="P226" s="28" t="s">
        <v>5953</v>
      </c>
      <c r="Q226" s="29" t="s">
        <v>5954</v>
      </c>
      <c r="R226" s="30" t="s">
        <v>5955</v>
      </c>
      <c r="S226" s="23" t="s">
        <v>5956</v>
      </c>
      <c r="T226" s="23" t="s">
        <v>5957</v>
      </c>
      <c r="U226" s="23" t="s">
        <v>5958</v>
      </c>
      <c r="V226" s="23" t="s">
        <v>5959</v>
      </c>
      <c r="W226" s="23" t="s">
        <v>5960</v>
      </c>
      <c r="X226" s="23" t="s">
        <v>5961</v>
      </c>
      <c r="Y226" s="31" t="s">
        <v>5962</v>
      </c>
      <c r="Z226" s="23" t="s">
        <v>5963</v>
      </c>
      <c r="AA226" s="23" t="s">
        <v>5964</v>
      </c>
      <c r="AB226" s="26" t="s">
        <v>5965</v>
      </c>
      <c r="AC226" s="23" t="s">
        <v>5966</v>
      </c>
      <c r="AD226" s="19"/>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1"/>
      <c r="BK226" s="21"/>
      <c r="BL226" s="21"/>
    </row>
    <row r="227">
      <c r="A227" s="22" t="s">
        <v>5967</v>
      </c>
      <c r="B227" s="23" t="s">
        <v>5967</v>
      </c>
      <c r="C227" s="24" t="s">
        <v>5968</v>
      </c>
      <c r="D227" s="23" t="s">
        <v>5969</v>
      </c>
      <c r="E227" s="23" t="s">
        <v>5970</v>
      </c>
      <c r="F227" s="23" t="s">
        <v>5971</v>
      </c>
      <c r="G227" s="23" t="s">
        <v>5972</v>
      </c>
      <c r="H227" s="23" t="s">
        <v>5973</v>
      </c>
      <c r="I227" s="23" t="s">
        <v>5974</v>
      </c>
      <c r="J227" s="23" t="s">
        <v>5975</v>
      </c>
      <c r="K227" s="25" t="s">
        <v>5976</v>
      </c>
      <c r="L227" s="23" t="s">
        <v>5977</v>
      </c>
      <c r="M227" s="23" t="s">
        <v>5978</v>
      </c>
      <c r="N227" s="26" t="s">
        <v>5979</v>
      </c>
      <c r="O227" s="27" t="s">
        <v>5980</v>
      </c>
      <c r="P227" s="28" t="s">
        <v>5981</v>
      </c>
      <c r="Q227" s="29" t="s">
        <v>5982</v>
      </c>
      <c r="R227" s="30" t="s">
        <v>5983</v>
      </c>
      <c r="S227" s="23" t="s">
        <v>5984</v>
      </c>
      <c r="T227" s="23" t="s">
        <v>5985</v>
      </c>
      <c r="U227" s="23" t="s">
        <v>5967</v>
      </c>
      <c r="V227" s="23" t="s">
        <v>5986</v>
      </c>
      <c r="W227" s="23" t="s">
        <v>5987</v>
      </c>
      <c r="X227" s="23" t="s">
        <v>5988</v>
      </c>
      <c r="Y227" s="31" t="s">
        <v>5989</v>
      </c>
      <c r="Z227" s="23" t="s">
        <v>5990</v>
      </c>
      <c r="AA227" s="23" t="s">
        <v>5991</v>
      </c>
      <c r="AB227" s="26" t="s">
        <v>5992</v>
      </c>
      <c r="AC227" s="23" t="s">
        <v>5993</v>
      </c>
      <c r="AD227" s="19"/>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1"/>
      <c r="BK227" s="21"/>
      <c r="BL227" s="21"/>
    </row>
    <row r="228">
      <c r="A228" s="22" t="s">
        <v>5994</v>
      </c>
      <c r="B228" s="23" t="s">
        <v>5994</v>
      </c>
      <c r="C228" s="24" t="s">
        <v>5995</v>
      </c>
      <c r="D228" s="23" t="s">
        <v>5996</v>
      </c>
      <c r="E228" s="23" t="s">
        <v>5997</v>
      </c>
      <c r="F228" s="23" t="s">
        <v>5998</v>
      </c>
      <c r="G228" s="23" t="s">
        <v>5999</v>
      </c>
      <c r="H228" s="23" t="s">
        <v>6000</v>
      </c>
      <c r="I228" s="23" t="s">
        <v>6001</v>
      </c>
      <c r="J228" s="23" t="s">
        <v>6002</v>
      </c>
      <c r="K228" s="25" t="s">
        <v>6003</v>
      </c>
      <c r="L228" s="23" t="s">
        <v>6004</v>
      </c>
      <c r="M228" s="23" t="s">
        <v>6005</v>
      </c>
      <c r="N228" s="26" t="s">
        <v>6006</v>
      </c>
      <c r="O228" s="27" t="s">
        <v>6007</v>
      </c>
      <c r="P228" s="28" t="s">
        <v>6008</v>
      </c>
      <c r="Q228" s="29" t="s">
        <v>6009</v>
      </c>
      <c r="R228" s="30" t="s">
        <v>6010</v>
      </c>
      <c r="S228" s="23" t="s">
        <v>6011</v>
      </c>
      <c r="T228" s="23" t="s">
        <v>6012</v>
      </c>
      <c r="U228" s="23" t="s">
        <v>6013</v>
      </c>
      <c r="V228" s="23" t="s">
        <v>6014</v>
      </c>
      <c r="W228" s="23" t="s">
        <v>6005</v>
      </c>
      <c r="X228" s="23" t="s">
        <v>6015</v>
      </c>
      <c r="Y228" s="31" t="s">
        <v>6016</v>
      </c>
      <c r="Z228" s="23" t="s">
        <v>6017</v>
      </c>
      <c r="AA228" s="23" t="s">
        <v>6018</v>
      </c>
      <c r="AB228" s="26" t="s">
        <v>6019</v>
      </c>
      <c r="AC228" s="23" t="s">
        <v>6020</v>
      </c>
      <c r="AD228" s="19"/>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1"/>
      <c r="BK228" s="21"/>
      <c r="BL228" s="21"/>
    </row>
    <row r="229">
      <c r="A229" s="22" t="s">
        <v>6021</v>
      </c>
      <c r="B229" s="23" t="s">
        <v>6021</v>
      </c>
      <c r="C229" s="24" t="s">
        <v>6022</v>
      </c>
      <c r="D229" s="23" t="s">
        <v>6023</v>
      </c>
      <c r="E229" s="23" t="s">
        <v>6024</v>
      </c>
      <c r="F229" s="23" t="s">
        <v>6025</v>
      </c>
      <c r="G229" s="23" t="s">
        <v>6026</v>
      </c>
      <c r="H229" s="23" t="s">
        <v>6027</v>
      </c>
      <c r="I229" s="23" t="s">
        <v>6028</v>
      </c>
      <c r="J229" s="23" t="s">
        <v>6029</v>
      </c>
      <c r="K229" s="25" t="s">
        <v>6030</v>
      </c>
      <c r="L229" s="23" t="s">
        <v>6031</v>
      </c>
      <c r="M229" s="23" t="s">
        <v>6032</v>
      </c>
      <c r="N229" s="26" t="s">
        <v>6033</v>
      </c>
      <c r="O229" s="27" t="s">
        <v>6034</v>
      </c>
      <c r="P229" s="28" t="s">
        <v>6035</v>
      </c>
      <c r="Q229" s="29" t="s">
        <v>6036</v>
      </c>
      <c r="R229" s="30" t="s">
        <v>6037</v>
      </c>
      <c r="S229" s="23" t="s">
        <v>6038</v>
      </c>
      <c r="T229" s="23" t="s">
        <v>6039</v>
      </c>
      <c r="U229" s="23" t="s">
        <v>6040</v>
      </c>
      <c r="V229" s="23" t="s">
        <v>6041</v>
      </c>
      <c r="W229" s="23" t="s">
        <v>6042</v>
      </c>
      <c r="X229" s="23" t="s">
        <v>6043</v>
      </c>
      <c r="Y229" s="31" t="s">
        <v>6044</v>
      </c>
      <c r="Z229" s="23" t="s">
        <v>6045</v>
      </c>
      <c r="AA229" s="23" t="s">
        <v>6046</v>
      </c>
      <c r="AB229" s="26" t="s">
        <v>6047</v>
      </c>
      <c r="AC229" s="23" t="s">
        <v>6048</v>
      </c>
      <c r="AD229" s="19"/>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1"/>
      <c r="BK229" s="21"/>
      <c r="BL229" s="21"/>
    </row>
    <row r="230">
      <c r="A230" s="22" t="s">
        <v>6049</v>
      </c>
      <c r="B230" s="23" t="s">
        <v>6049</v>
      </c>
      <c r="C230" s="24" t="s">
        <v>6050</v>
      </c>
      <c r="D230" s="23" t="s">
        <v>6051</v>
      </c>
      <c r="E230" s="23" t="s">
        <v>6052</v>
      </c>
      <c r="F230" s="23" t="s">
        <v>6053</v>
      </c>
      <c r="G230" s="23" t="s">
        <v>6054</v>
      </c>
      <c r="H230" s="23" t="s">
        <v>6055</v>
      </c>
      <c r="I230" s="23" t="s">
        <v>6056</v>
      </c>
      <c r="J230" s="23" t="s">
        <v>6057</v>
      </c>
      <c r="K230" s="25" t="s">
        <v>6058</v>
      </c>
      <c r="L230" s="23" t="s">
        <v>6059</v>
      </c>
      <c r="M230" s="23" t="s">
        <v>6060</v>
      </c>
      <c r="N230" s="26" t="s">
        <v>6061</v>
      </c>
      <c r="O230" s="27" t="s">
        <v>2862</v>
      </c>
      <c r="P230" s="28" t="s">
        <v>6062</v>
      </c>
      <c r="Q230" s="29" t="s">
        <v>6063</v>
      </c>
      <c r="R230" s="30" t="s">
        <v>6064</v>
      </c>
      <c r="S230" s="23" t="s">
        <v>6065</v>
      </c>
      <c r="T230" s="23" t="s">
        <v>6066</v>
      </c>
      <c r="U230" s="23" t="s">
        <v>3097</v>
      </c>
      <c r="V230" s="23" t="s">
        <v>6067</v>
      </c>
      <c r="W230" s="23" t="s">
        <v>6054</v>
      </c>
      <c r="X230" s="23" t="s">
        <v>6068</v>
      </c>
      <c r="Y230" s="31" t="s">
        <v>6069</v>
      </c>
      <c r="Z230" s="23" t="s">
        <v>6070</v>
      </c>
      <c r="AA230" s="23" t="s">
        <v>6071</v>
      </c>
      <c r="AB230" s="26" t="s">
        <v>6072</v>
      </c>
      <c r="AC230" s="23" t="s">
        <v>6073</v>
      </c>
      <c r="AD230" s="19"/>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1"/>
      <c r="BK230" s="21"/>
      <c r="BL230" s="21"/>
    </row>
    <row r="231">
      <c r="A231" s="22" t="s">
        <v>6074</v>
      </c>
      <c r="B231" s="23" t="s">
        <v>6075</v>
      </c>
      <c r="C231" s="24" t="s">
        <v>6076</v>
      </c>
      <c r="D231" s="23" t="s">
        <v>6077</v>
      </c>
      <c r="E231" s="23" t="s">
        <v>6078</v>
      </c>
      <c r="F231" s="23" t="s">
        <v>6079</v>
      </c>
      <c r="G231" s="23" t="s">
        <v>6080</v>
      </c>
      <c r="H231" s="23" t="s">
        <v>6081</v>
      </c>
      <c r="I231" s="23" t="s">
        <v>6082</v>
      </c>
      <c r="J231" s="23" t="s">
        <v>6083</v>
      </c>
      <c r="K231" s="25" t="s">
        <v>6084</v>
      </c>
      <c r="L231" s="23" t="s">
        <v>6085</v>
      </c>
      <c r="M231" s="23" t="s">
        <v>6086</v>
      </c>
      <c r="N231" s="26" t="s">
        <v>6087</v>
      </c>
      <c r="O231" s="27" t="s">
        <v>6088</v>
      </c>
      <c r="P231" s="28" t="s">
        <v>6089</v>
      </c>
      <c r="Q231" s="29" t="s">
        <v>6090</v>
      </c>
      <c r="R231" s="30" t="s">
        <v>6091</v>
      </c>
      <c r="S231" s="23" t="s">
        <v>6092</v>
      </c>
      <c r="T231" s="23" t="s">
        <v>6085</v>
      </c>
      <c r="U231" s="23" t="s">
        <v>6093</v>
      </c>
      <c r="V231" s="23" t="s">
        <v>6094</v>
      </c>
      <c r="W231" s="23" t="s">
        <v>6095</v>
      </c>
      <c r="X231" s="23" t="s">
        <v>6096</v>
      </c>
      <c r="Y231" s="31" t="s">
        <v>6097</v>
      </c>
      <c r="Z231" s="23" t="s">
        <v>6098</v>
      </c>
      <c r="AA231" s="23" t="s">
        <v>6099</v>
      </c>
      <c r="AB231" s="26" t="s">
        <v>6100</v>
      </c>
      <c r="AC231" s="23" t="s">
        <v>6101</v>
      </c>
      <c r="AD231" s="19"/>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1"/>
      <c r="BK231" s="21"/>
      <c r="BL231" s="21"/>
    </row>
    <row r="232">
      <c r="A232" s="22" t="s">
        <v>6102</v>
      </c>
      <c r="B232" s="23" t="s">
        <v>6102</v>
      </c>
      <c r="C232" s="24" t="s">
        <v>6103</v>
      </c>
      <c r="D232" s="23" t="s">
        <v>6104</v>
      </c>
      <c r="E232" s="23" t="s">
        <v>6105</v>
      </c>
      <c r="F232" s="23" t="s">
        <v>6106</v>
      </c>
      <c r="G232" s="23" t="s">
        <v>4577</v>
      </c>
      <c r="H232" s="23" t="s">
        <v>6107</v>
      </c>
      <c r="I232" s="23" t="s">
        <v>6102</v>
      </c>
      <c r="J232" s="23" t="s">
        <v>6108</v>
      </c>
      <c r="K232" s="25" t="s">
        <v>6109</v>
      </c>
      <c r="L232" s="23" t="s">
        <v>6110</v>
      </c>
      <c r="M232" s="23" t="s">
        <v>6111</v>
      </c>
      <c r="N232" s="26" t="s">
        <v>6112</v>
      </c>
      <c r="O232" s="27" t="s">
        <v>6113</v>
      </c>
      <c r="P232" s="28" t="s">
        <v>6114</v>
      </c>
      <c r="Q232" s="23" t="s">
        <v>6115</v>
      </c>
      <c r="R232" s="30" t="s">
        <v>6116</v>
      </c>
      <c r="S232" s="23" t="s">
        <v>6117</v>
      </c>
      <c r="T232" s="23" t="s">
        <v>6110</v>
      </c>
      <c r="U232" s="23" t="s">
        <v>6118</v>
      </c>
      <c r="V232" s="23" t="s">
        <v>6119</v>
      </c>
      <c r="W232" s="23" t="s">
        <v>6120</v>
      </c>
      <c r="X232" s="23" t="s">
        <v>4592</v>
      </c>
      <c r="Y232" s="31" t="s">
        <v>6121</v>
      </c>
      <c r="Z232" s="23" t="s">
        <v>6122</v>
      </c>
      <c r="AA232" s="23" t="s">
        <v>4592</v>
      </c>
      <c r="AB232" s="26" t="s">
        <v>6123</v>
      </c>
      <c r="AC232" s="23" t="s">
        <v>6124</v>
      </c>
      <c r="AD232" s="19"/>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1"/>
      <c r="BK232" s="21"/>
      <c r="BL232" s="21"/>
    </row>
    <row r="233">
      <c r="A233" s="22" t="s">
        <v>6125</v>
      </c>
      <c r="B233" s="23" t="s">
        <v>6126</v>
      </c>
      <c r="C233" s="24" t="s">
        <v>6127</v>
      </c>
      <c r="D233" s="23" t="s">
        <v>6128</v>
      </c>
      <c r="E233" s="23" t="s">
        <v>6129</v>
      </c>
      <c r="F233" s="23" t="s">
        <v>6130</v>
      </c>
      <c r="G233" s="23" t="s">
        <v>6131</v>
      </c>
      <c r="H233" s="23" t="s">
        <v>6132</v>
      </c>
      <c r="I233" s="23" t="s">
        <v>6133</v>
      </c>
      <c r="J233" s="23" t="s">
        <v>6134</v>
      </c>
      <c r="K233" s="25" t="s">
        <v>6135</v>
      </c>
      <c r="L233" s="23" t="s">
        <v>6136</v>
      </c>
      <c r="M233" s="23" t="s">
        <v>6137</v>
      </c>
      <c r="N233" s="26" t="s">
        <v>6138</v>
      </c>
      <c r="O233" s="27" t="s">
        <v>6139</v>
      </c>
      <c r="P233" s="28" t="s">
        <v>6140</v>
      </c>
      <c r="Q233" s="29" t="s">
        <v>6141</v>
      </c>
      <c r="R233" s="30" t="s">
        <v>6142</v>
      </c>
      <c r="S233" s="23" t="s">
        <v>6143</v>
      </c>
      <c r="T233" s="23" t="s">
        <v>6144</v>
      </c>
      <c r="U233" s="23" t="s">
        <v>6145</v>
      </c>
      <c r="V233" s="23" t="s">
        <v>6146</v>
      </c>
      <c r="W233" s="23" t="s">
        <v>6147</v>
      </c>
      <c r="X233" s="23" t="s">
        <v>6148</v>
      </c>
      <c r="Y233" s="31" t="s">
        <v>6149</v>
      </c>
      <c r="Z233" s="23" t="s">
        <v>6150</v>
      </c>
      <c r="AA233" s="23" t="s">
        <v>6151</v>
      </c>
      <c r="AB233" s="26" t="s">
        <v>6152</v>
      </c>
      <c r="AC233" s="23" t="s">
        <v>6153</v>
      </c>
      <c r="AD233" s="19"/>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1"/>
      <c r="BK233" s="21"/>
      <c r="BL233" s="21"/>
    </row>
    <row r="234">
      <c r="A234" s="22" t="s">
        <v>6154</v>
      </c>
      <c r="B234" s="23" t="s">
        <v>6155</v>
      </c>
      <c r="C234" s="24" t="s">
        <v>6156</v>
      </c>
      <c r="D234" s="23" t="s">
        <v>6157</v>
      </c>
      <c r="E234" s="23" t="s">
        <v>6158</v>
      </c>
      <c r="F234" s="23" t="s">
        <v>6159</v>
      </c>
      <c r="G234" s="23" t="s">
        <v>6160</v>
      </c>
      <c r="H234" s="23" t="s">
        <v>6161</v>
      </c>
      <c r="I234" s="23" t="s">
        <v>6162</v>
      </c>
      <c r="J234" s="23" t="s">
        <v>6163</v>
      </c>
      <c r="K234" s="25" t="s">
        <v>6164</v>
      </c>
      <c r="L234" s="23" t="s">
        <v>6165</v>
      </c>
      <c r="M234" s="23" t="s">
        <v>6166</v>
      </c>
      <c r="N234" s="26" t="s">
        <v>6167</v>
      </c>
      <c r="O234" s="27" t="s">
        <v>6168</v>
      </c>
      <c r="P234" s="28" t="s">
        <v>6169</v>
      </c>
      <c r="Q234" s="29" t="s">
        <v>6170</v>
      </c>
      <c r="R234" s="30" t="s">
        <v>6171</v>
      </c>
      <c r="S234" s="23" t="s">
        <v>6172</v>
      </c>
      <c r="T234" s="23" t="s">
        <v>6173</v>
      </c>
      <c r="U234" s="23" t="s">
        <v>6174</v>
      </c>
      <c r="V234" s="23" t="s">
        <v>6175</v>
      </c>
      <c r="W234" s="23" t="s">
        <v>6176</v>
      </c>
      <c r="X234" s="23" t="s">
        <v>6177</v>
      </c>
      <c r="Y234" s="31" t="s">
        <v>6178</v>
      </c>
      <c r="Z234" s="23" t="s">
        <v>6179</v>
      </c>
      <c r="AA234" s="23" t="s">
        <v>6180</v>
      </c>
      <c r="AB234" s="26" t="s">
        <v>6181</v>
      </c>
      <c r="AC234" s="23" t="s">
        <v>6182</v>
      </c>
      <c r="AD234" s="19"/>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1"/>
      <c r="BK234" s="21"/>
      <c r="BL234" s="21"/>
    </row>
    <row r="235">
      <c r="A235" s="22" t="s">
        <v>6183</v>
      </c>
      <c r="B235" s="23" t="s">
        <v>6184</v>
      </c>
      <c r="C235" s="24" t="s">
        <v>6185</v>
      </c>
      <c r="D235" s="23" t="s">
        <v>6186</v>
      </c>
      <c r="E235" s="23" t="s">
        <v>6187</v>
      </c>
      <c r="F235" s="23" t="s">
        <v>6188</v>
      </c>
      <c r="G235" s="23" t="s">
        <v>6189</v>
      </c>
      <c r="H235" s="23" t="s">
        <v>6190</v>
      </c>
      <c r="I235" s="23" t="s">
        <v>6191</v>
      </c>
      <c r="J235" s="23" t="s">
        <v>6192</v>
      </c>
      <c r="K235" s="25" t="s">
        <v>6193</v>
      </c>
      <c r="L235" s="23" t="s">
        <v>6194</v>
      </c>
      <c r="M235" s="23" t="s">
        <v>6195</v>
      </c>
      <c r="N235" s="26" t="s">
        <v>6196</v>
      </c>
      <c r="O235" s="27" t="s">
        <v>6197</v>
      </c>
      <c r="P235" s="28" t="s">
        <v>6198</v>
      </c>
      <c r="Q235" s="29" t="s">
        <v>6199</v>
      </c>
      <c r="R235" s="30" t="s">
        <v>6200</v>
      </c>
      <c r="S235" s="23" t="s">
        <v>6201</v>
      </c>
      <c r="T235" s="23" t="s">
        <v>6202</v>
      </c>
      <c r="U235" s="23" t="s">
        <v>6203</v>
      </c>
      <c r="V235" s="23" t="s">
        <v>6204</v>
      </c>
      <c r="W235" s="23" t="s">
        <v>6205</v>
      </c>
      <c r="X235" s="23" t="s">
        <v>6206</v>
      </c>
      <c r="Y235" s="31" t="s">
        <v>6207</v>
      </c>
      <c r="Z235" s="23" t="s">
        <v>6208</v>
      </c>
      <c r="AA235" s="23" t="s">
        <v>6209</v>
      </c>
      <c r="AB235" s="26" t="s">
        <v>6210</v>
      </c>
      <c r="AC235" s="23" t="s">
        <v>6211</v>
      </c>
      <c r="AD235" s="19"/>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1"/>
      <c r="BK235" s="21"/>
      <c r="BL235" s="21"/>
    </row>
    <row r="236">
      <c r="A236" s="22" t="s">
        <v>6212</v>
      </c>
      <c r="B236" s="23" t="s">
        <v>6213</v>
      </c>
      <c r="C236" s="24" t="s">
        <v>6214</v>
      </c>
      <c r="D236" s="23" t="s">
        <v>6215</v>
      </c>
      <c r="E236" s="23" t="s">
        <v>6216</v>
      </c>
      <c r="F236" s="23" t="s">
        <v>6217</v>
      </c>
      <c r="G236" s="23" t="s">
        <v>6218</v>
      </c>
      <c r="H236" s="23" t="s">
        <v>6219</v>
      </c>
      <c r="I236" s="23" t="s">
        <v>6220</v>
      </c>
      <c r="J236" s="23" t="s">
        <v>6221</v>
      </c>
      <c r="K236" s="25" t="s">
        <v>6222</v>
      </c>
      <c r="L236" s="23" t="s">
        <v>6223</v>
      </c>
      <c r="M236" s="23" t="s">
        <v>6224</v>
      </c>
      <c r="N236" s="26" t="s">
        <v>6225</v>
      </c>
      <c r="O236" s="27" t="s">
        <v>6226</v>
      </c>
      <c r="P236" s="28" t="s">
        <v>6227</v>
      </c>
      <c r="Q236" s="29" t="s">
        <v>6228</v>
      </c>
      <c r="R236" s="30" t="s">
        <v>6229</v>
      </c>
      <c r="S236" s="23" t="s">
        <v>6230</v>
      </c>
      <c r="T236" s="23" t="s">
        <v>6231</v>
      </c>
      <c r="U236" s="23" t="s">
        <v>6232</v>
      </c>
      <c r="V236" s="23" t="s">
        <v>6233</v>
      </c>
      <c r="W236" s="23" t="s">
        <v>6234</v>
      </c>
      <c r="X236" s="23" t="s">
        <v>6235</v>
      </c>
      <c r="Y236" s="31" t="s">
        <v>6236</v>
      </c>
      <c r="Z236" s="23" t="s">
        <v>6237</v>
      </c>
      <c r="AA236" s="23" t="s">
        <v>6238</v>
      </c>
      <c r="AB236" s="26" t="s">
        <v>6239</v>
      </c>
      <c r="AC236" s="23" t="s">
        <v>6240</v>
      </c>
      <c r="AD236" s="19"/>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1"/>
      <c r="BK236" s="21"/>
      <c r="BL236" s="21"/>
    </row>
    <row r="237">
      <c r="A237" s="22" t="s">
        <v>6241</v>
      </c>
      <c r="B237" s="23" t="s">
        <v>6242</v>
      </c>
      <c r="C237" s="24" t="s">
        <v>6243</v>
      </c>
      <c r="D237" s="23" t="s">
        <v>6244</v>
      </c>
      <c r="E237" s="23" t="s">
        <v>6245</v>
      </c>
      <c r="F237" s="23" t="s">
        <v>6246</v>
      </c>
      <c r="G237" s="23" t="s">
        <v>6247</v>
      </c>
      <c r="H237" s="23" t="s">
        <v>6248</v>
      </c>
      <c r="I237" s="23" t="s">
        <v>6249</v>
      </c>
      <c r="J237" s="23" t="s">
        <v>6250</v>
      </c>
      <c r="K237" s="25" t="s">
        <v>6251</v>
      </c>
      <c r="L237" s="23" t="s">
        <v>6252</v>
      </c>
      <c r="M237" s="23" t="s">
        <v>6253</v>
      </c>
      <c r="N237" s="26" t="s">
        <v>6254</v>
      </c>
      <c r="O237" s="27" t="s">
        <v>6255</v>
      </c>
      <c r="P237" s="28" t="s">
        <v>6256</v>
      </c>
      <c r="Q237" s="29" t="s">
        <v>6257</v>
      </c>
      <c r="R237" s="30" t="s">
        <v>6258</v>
      </c>
      <c r="S237" s="23" t="s">
        <v>6259</v>
      </c>
      <c r="T237" s="23" t="s">
        <v>6260</v>
      </c>
      <c r="U237" s="23" t="s">
        <v>6261</v>
      </c>
      <c r="V237" s="23" t="s">
        <v>6262</v>
      </c>
      <c r="W237" s="23" t="s">
        <v>6263</v>
      </c>
      <c r="X237" s="23" t="s">
        <v>6264</v>
      </c>
      <c r="Y237" s="31" t="s">
        <v>6265</v>
      </c>
      <c r="Z237" s="23" t="s">
        <v>6266</v>
      </c>
      <c r="AA237" s="23" t="s">
        <v>6267</v>
      </c>
      <c r="AB237" s="26" t="s">
        <v>6268</v>
      </c>
      <c r="AC237" s="23" t="s">
        <v>6269</v>
      </c>
      <c r="AD237" s="19"/>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1"/>
      <c r="BK237" s="21"/>
      <c r="BL237" s="21"/>
    </row>
    <row r="238">
      <c r="A238" s="22" t="s">
        <v>6270</v>
      </c>
      <c r="B238" s="23" t="s">
        <v>6271</v>
      </c>
      <c r="C238" s="24" t="s">
        <v>6272</v>
      </c>
      <c r="D238" s="23" t="s">
        <v>6273</v>
      </c>
      <c r="E238" s="23" t="s">
        <v>6274</v>
      </c>
      <c r="F238" s="23" t="s">
        <v>6275</v>
      </c>
      <c r="G238" s="23" t="s">
        <v>6276</v>
      </c>
      <c r="H238" s="23" t="s">
        <v>6277</v>
      </c>
      <c r="I238" s="23" t="s">
        <v>6278</v>
      </c>
      <c r="J238" s="23" t="s">
        <v>6279</v>
      </c>
      <c r="K238" s="25" t="s">
        <v>6280</v>
      </c>
      <c r="L238" s="23" t="s">
        <v>6281</v>
      </c>
      <c r="M238" s="23" t="s">
        <v>6282</v>
      </c>
      <c r="N238" s="26" t="s">
        <v>6283</v>
      </c>
      <c r="O238" s="27" t="s">
        <v>6284</v>
      </c>
      <c r="P238" s="28" t="s">
        <v>6285</v>
      </c>
      <c r="Q238" s="29" t="s">
        <v>6286</v>
      </c>
      <c r="R238" s="30" t="s">
        <v>6287</v>
      </c>
      <c r="S238" s="23" t="s">
        <v>6288</v>
      </c>
      <c r="T238" s="23" t="s">
        <v>6289</v>
      </c>
      <c r="U238" s="23" t="s">
        <v>6290</v>
      </c>
      <c r="V238" s="23" t="s">
        <v>6291</v>
      </c>
      <c r="W238" s="23" t="s">
        <v>6292</v>
      </c>
      <c r="X238" s="23" t="s">
        <v>6293</v>
      </c>
      <c r="Y238" s="31" t="s">
        <v>6294</v>
      </c>
      <c r="Z238" s="23" t="s">
        <v>6295</v>
      </c>
      <c r="AA238" s="23" t="s">
        <v>6296</v>
      </c>
      <c r="AB238" s="26" t="s">
        <v>6297</v>
      </c>
      <c r="AC238" s="23" t="s">
        <v>6298</v>
      </c>
      <c r="AD238" s="19"/>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1"/>
      <c r="BK238" s="21"/>
      <c r="BL238" s="21"/>
    </row>
    <row r="239">
      <c r="A239" s="22" t="s">
        <v>6299</v>
      </c>
      <c r="B239" s="23" t="s">
        <v>6300</v>
      </c>
      <c r="C239" s="24" t="s">
        <v>6301</v>
      </c>
      <c r="D239" s="23" t="s">
        <v>6302</v>
      </c>
      <c r="E239" s="23" t="s">
        <v>6303</v>
      </c>
      <c r="F239" s="23" t="s">
        <v>6304</v>
      </c>
      <c r="G239" s="23" t="s">
        <v>6305</v>
      </c>
      <c r="H239" s="23" t="s">
        <v>6306</v>
      </c>
      <c r="I239" s="23" t="s">
        <v>6307</v>
      </c>
      <c r="J239" s="23" t="s">
        <v>6308</v>
      </c>
      <c r="K239" s="25" t="s">
        <v>6309</v>
      </c>
      <c r="L239" s="23" t="s">
        <v>6310</v>
      </c>
      <c r="M239" s="23" t="s">
        <v>6311</v>
      </c>
      <c r="N239" s="26" t="s">
        <v>6312</v>
      </c>
      <c r="O239" s="27" t="s">
        <v>6313</v>
      </c>
      <c r="P239" s="28" t="s">
        <v>6314</v>
      </c>
      <c r="Q239" s="29" t="s">
        <v>6315</v>
      </c>
      <c r="R239" s="30" t="s">
        <v>6316</v>
      </c>
      <c r="S239" s="23" t="s">
        <v>6317</v>
      </c>
      <c r="T239" s="23" t="s">
        <v>6318</v>
      </c>
      <c r="U239" s="23" t="s">
        <v>6319</v>
      </c>
      <c r="V239" s="23" t="s">
        <v>6320</v>
      </c>
      <c r="W239" s="23" t="s">
        <v>6321</v>
      </c>
      <c r="X239" s="23" t="s">
        <v>6322</v>
      </c>
      <c r="Y239" s="31" t="s">
        <v>6323</v>
      </c>
      <c r="Z239" s="23" t="s">
        <v>6324</v>
      </c>
      <c r="AA239" s="23" t="s">
        <v>6325</v>
      </c>
      <c r="AB239" s="26" t="s">
        <v>6326</v>
      </c>
      <c r="AC239" s="23" t="s">
        <v>6327</v>
      </c>
      <c r="AD239" s="19"/>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1"/>
      <c r="BK239" s="21"/>
      <c r="BL239" s="21"/>
    </row>
    <row r="240">
      <c r="A240" s="22" t="s">
        <v>6328</v>
      </c>
      <c r="B240" s="23" t="s">
        <v>6329</v>
      </c>
      <c r="C240" s="24" t="s">
        <v>6330</v>
      </c>
      <c r="D240" s="23" t="s">
        <v>6331</v>
      </c>
      <c r="E240" s="23" t="s">
        <v>6332</v>
      </c>
      <c r="F240" s="23" t="s">
        <v>6333</v>
      </c>
      <c r="G240" s="23" t="s">
        <v>6334</v>
      </c>
      <c r="H240" s="23" t="s">
        <v>6335</v>
      </c>
      <c r="I240" s="23" t="s">
        <v>6336</v>
      </c>
      <c r="J240" s="23" t="s">
        <v>6337</v>
      </c>
      <c r="K240" s="25" t="s">
        <v>6338</v>
      </c>
      <c r="L240" s="23" t="s">
        <v>6339</v>
      </c>
      <c r="M240" s="23" t="s">
        <v>6340</v>
      </c>
      <c r="N240" s="26" t="s">
        <v>6341</v>
      </c>
      <c r="O240" s="27" t="s">
        <v>6342</v>
      </c>
      <c r="P240" s="28" t="s">
        <v>6343</v>
      </c>
      <c r="Q240" s="29" t="s">
        <v>6344</v>
      </c>
      <c r="R240" s="30" t="s">
        <v>6345</v>
      </c>
      <c r="S240" s="23" t="s">
        <v>6346</v>
      </c>
      <c r="T240" s="23" t="s">
        <v>6347</v>
      </c>
      <c r="U240" s="23" t="s">
        <v>6348</v>
      </c>
      <c r="V240" s="23" t="s">
        <v>6349</v>
      </c>
      <c r="W240" s="23" t="s">
        <v>6350</v>
      </c>
      <c r="X240" s="23" t="s">
        <v>2612</v>
      </c>
      <c r="Y240" s="31" t="s">
        <v>664</v>
      </c>
      <c r="Z240" s="23" t="s">
        <v>6351</v>
      </c>
      <c r="AA240" s="23" t="s">
        <v>6352</v>
      </c>
      <c r="AB240" s="26" t="s">
        <v>6353</v>
      </c>
      <c r="AC240" s="23" t="s">
        <v>2617</v>
      </c>
      <c r="AD240" s="19"/>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1"/>
      <c r="BK240" s="21"/>
      <c r="BL240" s="21"/>
    </row>
    <row r="241">
      <c r="A241" s="22" t="s">
        <v>6354</v>
      </c>
      <c r="B241" s="23" t="s">
        <v>6355</v>
      </c>
      <c r="C241" s="24" t="s">
        <v>6356</v>
      </c>
      <c r="D241" s="23" t="s">
        <v>6357</v>
      </c>
      <c r="E241" s="23" t="s">
        <v>6358</v>
      </c>
      <c r="F241" s="23" t="s">
        <v>6359</v>
      </c>
      <c r="G241" s="23" t="s">
        <v>6360</v>
      </c>
      <c r="H241" s="23" t="s">
        <v>6361</v>
      </c>
      <c r="I241" s="23" t="s">
        <v>6362</v>
      </c>
      <c r="J241" s="23" t="s">
        <v>6363</v>
      </c>
      <c r="K241" s="25" t="s">
        <v>6364</v>
      </c>
      <c r="L241" s="23" t="s">
        <v>6365</v>
      </c>
      <c r="M241" s="23" t="s">
        <v>6366</v>
      </c>
      <c r="N241" s="26" t="s">
        <v>6367</v>
      </c>
      <c r="O241" s="27" t="s">
        <v>6368</v>
      </c>
      <c r="P241" s="28" t="s">
        <v>6369</v>
      </c>
      <c r="Q241" s="29" t="s">
        <v>6370</v>
      </c>
      <c r="R241" s="30" t="s">
        <v>6371</v>
      </c>
      <c r="S241" s="23" t="s">
        <v>6372</v>
      </c>
      <c r="T241" s="23" t="s">
        <v>6373</v>
      </c>
      <c r="U241" s="23" t="s">
        <v>6374</v>
      </c>
      <c r="V241" s="23" t="s">
        <v>6375</v>
      </c>
      <c r="W241" s="23" t="s">
        <v>6376</v>
      </c>
      <c r="X241" s="23" t="s">
        <v>6377</v>
      </c>
      <c r="Y241" s="31" t="s">
        <v>6378</v>
      </c>
      <c r="Z241" s="23" t="s">
        <v>6379</v>
      </c>
      <c r="AA241" s="23" t="s">
        <v>6380</v>
      </c>
      <c r="AB241" s="26" t="s">
        <v>6381</v>
      </c>
      <c r="AC241" s="23" t="s">
        <v>6382</v>
      </c>
      <c r="AD241" s="19"/>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1"/>
      <c r="BK241" s="21"/>
      <c r="BL241" s="21"/>
    </row>
    <row r="242">
      <c r="A242" s="22" t="s">
        <v>6383</v>
      </c>
      <c r="B242" s="23" t="s">
        <v>6384</v>
      </c>
      <c r="C242" s="24" t="s">
        <v>6385</v>
      </c>
      <c r="D242" s="23" t="s">
        <v>750</v>
      </c>
      <c r="E242" s="23" t="s">
        <v>751</v>
      </c>
      <c r="F242" s="23" t="s">
        <v>6386</v>
      </c>
      <c r="G242" s="23" t="s">
        <v>753</v>
      </c>
      <c r="H242" s="23" t="s">
        <v>6387</v>
      </c>
      <c r="I242" s="23" t="s">
        <v>755</v>
      </c>
      <c r="J242" s="23" t="s">
        <v>6388</v>
      </c>
      <c r="K242" s="25" t="s">
        <v>6389</v>
      </c>
      <c r="L242" s="23" t="s">
        <v>758</v>
      </c>
      <c r="M242" s="23" t="s">
        <v>759</v>
      </c>
      <c r="N242" s="26" t="s">
        <v>760</v>
      </c>
      <c r="O242" s="27" t="s">
        <v>6390</v>
      </c>
      <c r="P242" s="28" t="s">
        <v>762</v>
      </c>
      <c r="Q242" s="29" t="s">
        <v>6391</v>
      </c>
      <c r="R242" s="30" t="s">
        <v>764</v>
      </c>
      <c r="S242" s="23" t="s">
        <v>765</v>
      </c>
      <c r="T242" s="23" t="s">
        <v>766</v>
      </c>
      <c r="U242" s="23" t="s">
        <v>751</v>
      </c>
      <c r="V242" s="23" t="s">
        <v>6392</v>
      </c>
      <c r="W242" s="23" t="s">
        <v>6393</v>
      </c>
      <c r="X242" s="23" t="s">
        <v>6394</v>
      </c>
      <c r="Y242" s="31" t="s">
        <v>771</v>
      </c>
      <c r="Z242" s="23" t="s">
        <v>6395</v>
      </c>
      <c r="AA242" s="23" t="s">
        <v>6396</v>
      </c>
      <c r="AB242" s="26" t="s">
        <v>6397</v>
      </c>
      <c r="AC242" s="23" t="s">
        <v>775</v>
      </c>
      <c r="AD242" s="19"/>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1"/>
      <c r="BK242" s="21"/>
      <c r="BL242" s="21"/>
    </row>
    <row r="243">
      <c r="A243" s="22" t="s">
        <v>6398</v>
      </c>
      <c r="B243" s="23" t="s">
        <v>6399</v>
      </c>
      <c r="C243" s="24" t="s">
        <v>6400</v>
      </c>
      <c r="D243" s="23" t="s">
        <v>6401</v>
      </c>
      <c r="E243" s="23" t="s">
        <v>6402</v>
      </c>
      <c r="F243" s="23" t="s">
        <v>6403</v>
      </c>
      <c r="G243" s="23" t="s">
        <v>6404</v>
      </c>
      <c r="H243" s="23" t="s">
        <v>6405</v>
      </c>
      <c r="I243" s="23" t="s">
        <v>6406</v>
      </c>
      <c r="J243" s="23" t="s">
        <v>6407</v>
      </c>
      <c r="K243" s="25" t="s">
        <v>6408</v>
      </c>
      <c r="L243" s="23" t="s">
        <v>6409</v>
      </c>
      <c r="M243" s="23" t="s">
        <v>6410</v>
      </c>
      <c r="N243" s="26" t="s">
        <v>6411</v>
      </c>
      <c r="O243" s="27" t="s">
        <v>6412</v>
      </c>
      <c r="P243" s="28" t="s">
        <v>6413</v>
      </c>
      <c r="Q243" s="29" t="s">
        <v>6414</v>
      </c>
      <c r="R243" s="30" t="s">
        <v>6415</v>
      </c>
      <c r="S243" s="23" t="s">
        <v>6416</v>
      </c>
      <c r="T243" s="23" t="s">
        <v>6417</v>
      </c>
      <c r="U243" s="23" t="s">
        <v>6418</v>
      </c>
      <c r="V243" s="23" t="s">
        <v>6419</v>
      </c>
      <c r="W243" s="23" t="s">
        <v>6420</v>
      </c>
      <c r="X243" s="23" t="s">
        <v>6421</v>
      </c>
      <c r="Y243" s="31" t="s">
        <v>6422</v>
      </c>
      <c r="Z243" s="23" t="s">
        <v>6423</v>
      </c>
      <c r="AA243" s="23" t="s">
        <v>6424</v>
      </c>
      <c r="AB243" s="26" t="s">
        <v>6425</v>
      </c>
      <c r="AC243" s="23" t="s">
        <v>6426</v>
      </c>
      <c r="AD243" s="19"/>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1"/>
      <c r="BK243" s="21"/>
      <c r="BL243" s="21"/>
    </row>
    <row r="244">
      <c r="A244" s="22" t="s">
        <v>6427</v>
      </c>
      <c r="B244" s="23" t="s">
        <v>6428</v>
      </c>
      <c r="C244" s="23" t="s">
        <v>6428</v>
      </c>
      <c r="D244" s="23" t="s">
        <v>6428</v>
      </c>
      <c r="E244" s="23" t="s">
        <v>6428</v>
      </c>
      <c r="F244" s="23" t="s">
        <v>6428</v>
      </c>
      <c r="G244" s="23" t="s">
        <v>6429</v>
      </c>
      <c r="H244" s="23" t="s">
        <v>6428</v>
      </c>
      <c r="I244" s="23" t="s">
        <v>6428</v>
      </c>
      <c r="J244" s="23" t="s">
        <v>6428</v>
      </c>
      <c r="K244" s="23" t="s">
        <v>6428</v>
      </c>
      <c r="L244" s="23" t="s">
        <v>6428</v>
      </c>
      <c r="M244" s="23" t="s">
        <v>6428</v>
      </c>
      <c r="N244" s="23" t="s">
        <v>6428</v>
      </c>
      <c r="O244" s="27" t="s">
        <v>6430</v>
      </c>
      <c r="P244" s="23" t="s">
        <v>6428</v>
      </c>
      <c r="Q244" s="23" t="s">
        <v>6428</v>
      </c>
      <c r="R244" s="23" t="s">
        <v>6428</v>
      </c>
      <c r="S244" s="23" t="s">
        <v>6431</v>
      </c>
      <c r="T244" s="23" t="s">
        <v>6428</v>
      </c>
      <c r="U244" s="23" t="s">
        <v>6428</v>
      </c>
      <c r="V244" s="23" t="s">
        <v>6428</v>
      </c>
      <c r="W244" s="23" t="s">
        <v>6428</v>
      </c>
      <c r="X244" s="23" t="s">
        <v>6428</v>
      </c>
      <c r="Y244" s="23" t="s">
        <v>6428</v>
      </c>
      <c r="Z244" s="23" t="s">
        <v>6428</v>
      </c>
      <c r="AA244" s="23" t="s">
        <v>6428</v>
      </c>
      <c r="AB244" s="23" t="s">
        <v>6428</v>
      </c>
      <c r="AC244" s="23" t="s">
        <v>6432</v>
      </c>
      <c r="AD244" s="19"/>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1"/>
      <c r="BK244" s="21"/>
      <c r="BL244" s="21"/>
    </row>
    <row r="245">
      <c r="A245" s="22" t="s">
        <v>6433</v>
      </c>
      <c r="B245" s="23" t="s">
        <v>6434</v>
      </c>
      <c r="C245" s="24" t="s">
        <v>6435</v>
      </c>
      <c r="D245" s="23" t="s">
        <v>6436</v>
      </c>
      <c r="E245" s="23" t="s">
        <v>6437</v>
      </c>
      <c r="F245" s="23" t="s">
        <v>6438</v>
      </c>
      <c r="G245" s="23" t="s">
        <v>6439</v>
      </c>
      <c r="H245" s="23" t="s">
        <v>6440</v>
      </c>
      <c r="I245" s="23" t="s">
        <v>6441</v>
      </c>
      <c r="J245" s="23" t="s">
        <v>6442</v>
      </c>
      <c r="K245" s="25" t="s">
        <v>6443</v>
      </c>
      <c r="L245" s="23" t="s">
        <v>6444</v>
      </c>
      <c r="M245" s="23" t="s">
        <v>6445</v>
      </c>
      <c r="N245" s="26" t="s">
        <v>6446</v>
      </c>
      <c r="O245" s="27" t="s">
        <v>6447</v>
      </c>
      <c r="P245" s="28" t="s">
        <v>807</v>
      </c>
      <c r="Q245" s="29" t="s">
        <v>6448</v>
      </c>
      <c r="R245" s="30" t="s">
        <v>6449</v>
      </c>
      <c r="S245" s="23" t="s">
        <v>6450</v>
      </c>
      <c r="T245" s="23" t="s">
        <v>6444</v>
      </c>
      <c r="U245" s="23" t="s">
        <v>6451</v>
      </c>
      <c r="V245" s="23" t="s">
        <v>6452</v>
      </c>
      <c r="W245" s="23" t="s">
        <v>6453</v>
      </c>
      <c r="X245" s="23" t="s">
        <v>6454</v>
      </c>
      <c r="Y245" s="31" t="s">
        <v>6455</v>
      </c>
      <c r="Z245" s="23" t="s">
        <v>6456</v>
      </c>
      <c r="AA245" s="23" t="s">
        <v>6457</v>
      </c>
      <c r="AB245" s="26" t="s">
        <v>6458</v>
      </c>
      <c r="AC245" s="23" t="s">
        <v>6459</v>
      </c>
      <c r="AD245" s="19"/>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1"/>
      <c r="BK245" s="21"/>
      <c r="BL245" s="21"/>
    </row>
    <row r="246">
      <c r="A246" s="22" t="s">
        <v>6460</v>
      </c>
      <c r="B246" s="23" t="s">
        <v>6461</v>
      </c>
      <c r="C246" s="24" t="s">
        <v>6462</v>
      </c>
      <c r="D246" s="23" t="s">
        <v>6463</v>
      </c>
      <c r="E246" s="23" t="s">
        <v>6464</v>
      </c>
      <c r="F246" s="23" t="s">
        <v>6465</v>
      </c>
      <c r="G246" s="23" t="s">
        <v>6466</v>
      </c>
      <c r="H246" s="23" t="s">
        <v>6467</v>
      </c>
      <c r="I246" s="23" t="s">
        <v>6468</v>
      </c>
      <c r="J246" s="23" t="s">
        <v>6469</v>
      </c>
      <c r="K246" s="25" t="s">
        <v>6470</v>
      </c>
      <c r="L246" s="23" t="s">
        <v>6471</v>
      </c>
      <c r="M246" s="23" t="s">
        <v>6472</v>
      </c>
      <c r="N246" s="26" t="s">
        <v>6473</v>
      </c>
      <c r="O246" s="27" t="s">
        <v>6474</v>
      </c>
      <c r="P246" s="28" t="s">
        <v>6475</v>
      </c>
      <c r="Q246" s="29" t="s">
        <v>6476</v>
      </c>
      <c r="R246" s="30" t="s">
        <v>6477</v>
      </c>
      <c r="S246" s="23" t="s">
        <v>6478</v>
      </c>
      <c r="T246" s="23" t="s">
        <v>6471</v>
      </c>
      <c r="U246" s="23" t="s">
        <v>6451</v>
      </c>
      <c r="V246" s="23" t="s">
        <v>6479</v>
      </c>
      <c r="W246" s="23" t="s">
        <v>6480</v>
      </c>
      <c r="X246" s="23" t="s">
        <v>6481</v>
      </c>
      <c r="Y246" s="31" t="s">
        <v>6482</v>
      </c>
      <c r="Z246" s="23" t="s">
        <v>6483</v>
      </c>
      <c r="AA246" s="23" t="s">
        <v>6484</v>
      </c>
      <c r="AB246" s="26" t="s">
        <v>6485</v>
      </c>
      <c r="AC246" s="23" t="s">
        <v>6486</v>
      </c>
      <c r="AD246" s="19"/>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1"/>
      <c r="BK246" s="21"/>
      <c r="BL246" s="21"/>
    </row>
    <row r="247">
      <c r="A247" s="22" t="s">
        <v>6487</v>
      </c>
      <c r="B247" s="23" t="s">
        <v>6488</v>
      </c>
      <c r="C247" s="24" t="s">
        <v>6489</v>
      </c>
      <c r="D247" s="23" t="s">
        <v>6490</v>
      </c>
      <c r="E247" s="23" t="s">
        <v>6491</v>
      </c>
      <c r="F247" s="23" t="s">
        <v>6492</v>
      </c>
      <c r="G247" s="23" t="s">
        <v>6488</v>
      </c>
      <c r="H247" s="23" t="s">
        <v>6493</v>
      </c>
      <c r="I247" s="23" t="s">
        <v>6494</v>
      </c>
      <c r="J247" s="23" t="s">
        <v>6495</v>
      </c>
      <c r="K247" s="25" t="s">
        <v>6496</v>
      </c>
      <c r="L247" s="23" t="s">
        <v>6497</v>
      </c>
      <c r="M247" s="23" t="s">
        <v>6498</v>
      </c>
      <c r="N247" s="26" t="s">
        <v>6499</v>
      </c>
      <c r="O247" s="27" t="s">
        <v>6500</v>
      </c>
      <c r="P247" s="28" t="s">
        <v>6501</v>
      </c>
      <c r="Q247" s="29" t="s">
        <v>6502</v>
      </c>
      <c r="R247" s="30" t="s">
        <v>6503</v>
      </c>
      <c r="S247" s="23" t="s">
        <v>6504</v>
      </c>
      <c r="T247" s="23" t="s">
        <v>6505</v>
      </c>
      <c r="U247" s="23" t="s">
        <v>6506</v>
      </c>
      <c r="V247" s="23" t="s">
        <v>6507</v>
      </c>
      <c r="W247" s="23" t="s">
        <v>6508</v>
      </c>
      <c r="X247" s="23" t="s">
        <v>6509</v>
      </c>
      <c r="Y247" s="31" t="s">
        <v>6510</v>
      </c>
      <c r="Z247" s="23" t="s">
        <v>6511</v>
      </c>
      <c r="AA247" s="23" t="s">
        <v>6512</v>
      </c>
      <c r="AB247" s="26" t="s">
        <v>6513</v>
      </c>
      <c r="AC247" s="23" t="s">
        <v>6514</v>
      </c>
      <c r="AD247" s="19"/>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1"/>
      <c r="BK247" s="21"/>
      <c r="BL247" s="21"/>
    </row>
    <row r="248">
      <c r="A248" s="22" t="s">
        <v>6515</v>
      </c>
      <c r="B248" s="23" t="s">
        <v>6516</v>
      </c>
      <c r="C248" s="24" t="s">
        <v>6517</v>
      </c>
      <c r="D248" s="23" t="s">
        <v>6518</v>
      </c>
      <c r="E248" s="23" t="s">
        <v>6519</v>
      </c>
      <c r="F248" s="23" t="s">
        <v>6520</v>
      </c>
      <c r="G248" s="23" t="s">
        <v>6521</v>
      </c>
      <c r="H248" s="23" t="s">
        <v>6522</v>
      </c>
      <c r="I248" s="23" t="s">
        <v>6523</v>
      </c>
      <c r="J248" s="23" t="s">
        <v>6524</v>
      </c>
      <c r="K248" s="25" t="s">
        <v>6525</v>
      </c>
      <c r="L248" s="23" t="s">
        <v>6526</v>
      </c>
      <c r="M248" s="23" t="s">
        <v>6527</v>
      </c>
      <c r="N248" s="26" t="s">
        <v>6528</v>
      </c>
      <c r="O248" s="27" t="s">
        <v>6529</v>
      </c>
      <c r="P248" s="28" t="s">
        <v>6530</v>
      </c>
      <c r="Q248" s="29" t="s">
        <v>6531</v>
      </c>
      <c r="R248" s="30" t="s">
        <v>6532</v>
      </c>
      <c r="S248" s="23" t="s">
        <v>6533</v>
      </c>
      <c r="T248" s="23" t="s">
        <v>6534</v>
      </c>
      <c r="U248" s="23" t="s">
        <v>6535</v>
      </c>
      <c r="V248" s="23" t="s">
        <v>6536</v>
      </c>
      <c r="W248" s="23" t="s">
        <v>6537</v>
      </c>
      <c r="X248" s="23" t="s">
        <v>6538</v>
      </c>
      <c r="Y248" s="31" t="s">
        <v>6539</v>
      </c>
      <c r="Z248" s="23" t="s">
        <v>6540</v>
      </c>
      <c r="AA248" s="23" t="s">
        <v>6541</v>
      </c>
      <c r="AB248" s="26" t="s">
        <v>6542</v>
      </c>
      <c r="AC248" s="23" t="s">
        <v>6543</v>
      </c>
      <c r="AD248" s="19"/>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1"/>
      <c r="BK248" s="21"/>
      <c r="BL248" s="21"/>
    </row>
    <row r="249">
      <c r="A249" s="22" t="s">
        <v>6544</v>
      </c>
      <c r="B249" s="23" t="s">
        <v>6545</v>
      </c>
      <c r="C249" s="24" t="s">
        <v>6546</v>
      </c>
      <c r="D249" s="23" t="s">
        <v>6547</v>
      </c>
      <c r="E249" s="23" t="s">
        <v>6548</v>
      </c>
      <c r="F249" s="23" t="s">
        <v>6549</v>
      </c>
      <c r="G249" s="23" t="s">
        <v>6550</v>
      </c>
      <c r="H249" s="23" t="s">
        <v>6551</v>
      </c>
      <c r="I249" s="23" t="s">
        <v>6552</v>
      </c>
      <c r="J249" s="23" t="s">
        <v>6553</v>
      </c>
      <c r="K249" s="25" t="s">
        <v>6554</v>
      </c>
      <c r="L249" s="23" t="s">
        <v>6555</v>
      </c>
      <c r="M249" s="23" t="s">
        <v>6556</v>
      </c>
      <c r="N249" s="26" t="s">
        <v>6557</v>
      </c>
      <c r="O249" s="27" t="s">
        <v>6558</v>
      </c>
      <c r="P249" s="28" t="s">
        <v>6559</v>
      </c>
      <c r="Q249" s="29" t="s">
        <v>6560</v>
      </c>
      <c r="R249" s="30" t="s">
        <v>6561</v>
      </c>
      <c r="S249" s="23" t="s">
        <v>6562</v>
      </c>
      <c r="T249" s="23" t="s">
        <v>6563</v>
      </c>
      <c r="U249" s="23" t="s">
        <v>6564</v>
      </c>
      <c r="V249" s="23" t="s">
        <v>6565</v>
      </c>
      <c r="W249" s="23" t="s">
        <v>6566</v>
      </c>
      <c r="X249" s="23" t="s">
        <v>6567</v>
      </c>
      <c r="Y249" s="31" t="s">
        <v>6568</v>
      </c>
      <c r="Z249" s="23" t="s">
        <v>6569</v>
      </c>
      <c r="AA249" s="23" t="s">
        <v>6570</v>
      </c>
      <c r="AB249" s="26" t="s">
        <v>6571</v>
      </c>
      <c r="AC249" s="23" t="s">
        <v>6572</v>
      </c>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row>
    <row r="250">
      <c r="A250" s="22" t="s">
        <v>6573</v>
      </c>
      <c r="B250" s="23" t="s">
        <v>6574</v>
      </c>
      <c r="C250" s="24" t="s">
        <v>6575</v>
      </c>
      <c r="D250" s="23" t="s">
        <v>6576</v>
      </c>
      <c r="E250" s="23" t="s">
        <v>6577</v>
      </c>
      <c r="F250" s="23" t="s">
        <v>6578</v>
      </c>
      <c r="G250" s="23" t="s">
        <v>6579</v>
      </c>
      <c r="H250" s="23" t="s">
        <v>6580</v>
      </c>
      <c r="I250" s="23" t="s">
        <v>6581</v>
      </c>
      <c r="J250" s="23" t="s">
        <v>6582</v>
      </c>
      <c r="K250" s="25" t="s">
        <v>6583</v>
      </c>
      <c r="L250" s="23" t="s">
        <v>6584</v>
      </c>
      <c r="M250" s="23" t="s">
        <v>6585</v>
      </c>
      <c r="N250" s="23" t="s">
        <v>6586</v>
      </c>
      <c r="O250" s="27" t="s">
        <v>6587</v>
      </c>
      <c r="P250" s="28" t="s">
        <v>6588</v>
      </c>
      <c r="Q250" s="29" t="s">
        <v>6589</v>
      </c>
      <c r="R250" s="30" t="s">
        <v>6590</v>
      </c>
      <c r="S250" s="23" t="s">
        <v>6591</v>
      </c>
      <c r="T250" s="23" t="s">
        <v>6592</v>
      </c>
      <c r="U250" s="23" t="s">
        <v>6593</v>
      </c>
      <c r="V250" s="23" t="s">
        <v>6594</v>
      </c>
      <c r="W250" s="23" t="s">
        <v>6595</v>
      </c>
      <c r="X250" s="23" t="s">
        <v>6596</v>
      </c>
      <c r="Y250" s="31" t="s">
        <v>6597</v>
      </c>
      <c r="Z250" s="23" t="s">
        <v>6598</v>
      </c>
      <c r="AA250" s="23" t="s">
        <v>6599</v>
      </c>
      <c r="AB250" s="26" t="s">
        <v>6600</v>
      </c>
      <c r="AC250" s="23" t="s">
        <v>6601</v>
      </c>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row>
    <row r="251">
      <c r="A251" s="22" t="s">
        <v>6602</v>
      </c>
      <c r="B251" s="23" t="s">
        <v>6603</v>
      </c>
      <c r="C251" s="24" t="s">
        <v>6604</v>
      </c>
      <c r="D251" s="23" t="s">
        <v>6605</v>
      </c>
      <c r="E251" s="23" t="s">
        <v>6606</v>
      </c>
      <c r="F251" s="23" t="s">
        <v>6607</v>
      </c>
      <c r="G251" s="23" t="s">
        <v>6608</v>
      </c>
      <c r="H251" s="23" t="s">
        <v>6609</v>
      </c>
      <c r="I251" s="23" t="s">
        <v>6610</v>
      </c>
      <c r="J251" s="23" t="s">
        <v>6611</v>
      </c>
      <c r="K251" s="25" t="s">
        <v>6612</v>
      </c>
      <c r="L251" s="23" t="s">
        <v>6613</v>
      </c>
      <c r="M251" s="23" t="s">
        <v>6614</v>
      </c>
      <c r="N251" s="26" t="s">
        <v>6615</v>
      </c>
      <c r="O251" s="27" t="s">
        <v>6616</v>
      </c>
      <c r="P251" s="28" t="s">
        <v>6617</v>
      </c>
      <c r="Q251" s="29" t="s">
        <v>6618</v>
      </c>
      <c r="R251" s="30" t="s">
        <v>6619</v>
      </c>
      <c r="S251" s="23" t="s">
        <v>6620</v>
      </c>
      <c r="T251" s="23" t="s">
        <v>6621</v>
      </c>
      <c r="U251" s="23" t="s">
        <v>6622</v>
      </c>
      <c r="V251" s="23" t="s">
        <v>6623</v>
      </c>
      <c r="W251" s="23" t="s">
        <v>6624</v>
      </c>
      <c r="X251" s="23" t="s">
        <v>6625</v>
      </c>
      <c r="Y251" s="31" t="s">
        <v>6626</v>
      </c>
      <c r="Z251" s="23" t="s">
        <v>6627</v>
      </c>
      <c r="AA251" s="23" t="s">
        <v>6628</v>
      </c>
      <c r="AB251" s="26" t="s">
        <v>6629</v>
      </c>
      <c r="AC251" s="23" t="s">
        <v>6630</v>
      </c>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row>
    <row r="252">
      <c r="A252" s="22" t="s">
        <v>6631</v>
      </c>
      <c r="B252" s="23" t="s">
        <v>1072</v>
      </c>
      <c r="C252" s="24" t="s">
        <v>1073</v>
      </c>
      <c r="D252" s="23" t="s">
        <v>1074</v>
      </c>
      <c r="E252" s="23" t="s">
        <v>6632</v>
      </c>
      <c r="F252" s="23" t="s">
        <v>1076</v>
      </c>
      <c r="G252" s="23" t="s">
        <v>1077</v>
      </c>
      <c r="H252" s="23" t="s">
        <v>6633</v>
      </c>
      <c r="I252" s="23" t="s">
        <v>1079</v>
      </c>
      <c r="J252" s="23" t="s">
        <v>1080</v>
      </c>
      <c r="K252" s="25" t="s">
        <v>1081</v>
      </c>
      <c r="L252" s="23" t="s">
        <v>1082</v>
      </c>
      <c r="M252" s="23" t="s">
        <v>1083</v>
      </c>
      <c r="N252" s="26" t="s">
        <v>1084</v>
      </c>
      <c r="O252" s="27" t="s">
        <v>1085</v>
      </c>
      <c r="P252" s="28" t="s">
        <v>1086</v>
      </c>
      <c r="Q252" s="29" t="s">
        <v>6634</v>
      </c>
      <c r="R252" s="30" t="s">
        <v>1088</v>
      </c>
      <c r="S252" s="23" t="s">
        <v>1089</v>
      </c>
      <c r="T252" s="23" t="s">
        <v>1090</v>
      </c>
      <c r="U252" s="23" t="s">
        <v>1091</v>
      </c>
      <c r="V252" s="23" t="s">
        <v>1092</v>
      </c>
      <c r="W252" s="23" t="s">
        <v>1093</v>
      </c>
      <c r="X252" s="23" t="s">
        <v>1094</v>
      </c>
      <c r="Y252" s="31" t="s">
        <v>1095</v>
      </c>
      <c r="Z252" s="23" t="s">
        <v>1096</v>
      </c>
      <c r="AA252" s="23" t="s">
        <v>1097</v>
      </c>
      <c r="AB252" s="26" t="s">
        <v>1098</v>
      </c>
      <c r="AC252" s="23" t="s">
        <v>1099</v>
      </c>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row>
    <row r="253">
      <c r="A253" s="22" t="s">
        <v>6635</v>
      </c>
      <c r="B253" s="23" t="s">
        <v>6636</v>
      </c>
      <c r="C253" s="24" t="s">
        <v>6637</v>
      </c>
      <c r="D253" s="23" t="s">
        <v>6638</v>
      </c>
      <c r="E253" s="23" t="s">
        <v>6639</v>
      </c>
      <c r="F253" s="23" t="s">
        <v>6640</v>
      </c>
      <c r="G253" s="23" t="s">
        <v>6641</v>
      </c>
      <c r="H253" s="23" t="s">
        <v>6642</v>
      </c>
      <c r="I253" s="23" t="s">
        <v>6643</v>
      </c>
      <c r="J253" s="23" t="s">
        <v>6636</v>
      </c>
      <c r="K253" s="25" t="s">
        <v>6644</v>
      </c>
      <c r="L253" s="23" t="s">
        <v>6645</v>
      </c>
      <c r="M253" s="23" t="s">
        <v>6646</v>
      </c>
      <c r="N253" s="26" t="s">
        <v>6647</v>
      </c>
      <c r="O253" s="27" t="s">
        <v>6648</v>
      </c>
      <c r="P253" s="28" t="s">
        <v>6649</v>
      </c>
      <c r="Q253" s="29" t="s">
        <v>6650</v>
      </c>
      <c r="R253" s="30" t="s">
        <v>6651</v>
      </c>
      <c r="S253" s="23" t="s">
        <v>6652</v>
      </c>
      <c r="T253" s="23" t="s">
        <v>6653</v>
      </c>
      <c r="U253" s="23" t="s">
        <v>6654</v>
      </c>
      <c r="V253" s="23" t="s">
        <v>6655</v>
      </c>
      <c r="W253" s="23" t="s">
        <v>6656</v>
      </c>
      <c r="X253" s="23" t="s">
        <v>6657</v>
      </c>
      <c r="Y253" s="31" t="s">
        <v>6658</v>
      </c>
      <c r="Z253" s="23" t="s">
        <v>6659</v>
      </c>
      <c r="AA253" s="23" t="s">
        <v>6660</v>
      </c>
      <c r="AB253" s="26" t="s">
        <v>6661</v>
      </c>
      <c r="AC253" s="23" t="s">
        <v>6662</v>
      </c>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row>
    <row r="254">
      <c r="A254" s="22" t="s">
        <v>6663</v>
      </c>
      <c r="B254" s="23" t="s">
        <v>6664</v>
      </c>
      <c r="C254" s="24" t="s">
        <v>6665</v>
      </c>
      <c r="D254" s="23" t="s">
        <v>6666</v>
      </c>
      <c r="E254" s="23" t="s">
        <v>6667</v>
      </c>
      <c r="F254" s="23" t="s">
        <v>6668</v>
      </c>
      <c r="G254" s="23" t="s">
        <v>6669</v>
      </c>
      <c r="H254" s="23" t="s">
        <v>6670</v>
      </c>
      <c r="I254" s="23" t="s">
        <v>6671</v>
      </c>
      <c r="J254" s="23" t="s">
        <v>6672</v>
      </c>
      <c r="K254" s="25" t="s">
        <v>6673</v>
      </c>
      <c r="L254" s="23" t="s">
        <v>6674</v>
      </c>
      <c r="M254" s="23" t="s">
        <v>6675</v>
      </c>
      <c r="N254" s="26" t="s">
        <v>6676</v>
      </c>
      <c r="O254" s="27" t="s">
        <v>6677</v>
      </c>
      <c r="P254" s="28" t="s">
        <v>6678</v>
      </c>
      <c r="Q254" s="29" t="s">
        <v>6679</v>
      </c>
      <c r="R254" s="30" t="s">
        <v>6680</v>
      </c>
      <c r="S254" s="23" t="s">
        <v>6681</v>
      </c>
      <c r="T254" s="23" t="s">
        <v>6682</v>
      </c>
      <c r="U254" s="23" t="s">
        <v>6683</v>
      </c>
      <c r="V254" s="23" t="s">
        <v>6684</v>
      </c>
      <c r="W254" s="23" t="s">
        <v>6685</v>
      </c>
      <c r="X254" s="23" t="s">
        <v>6686</v>
      </c>
      <c r="Y254" s="31" t="s">
        <v>6687</v>
      </c>
      <c r="Z254" s="23" t="s">
        <v>6688</v>
      </c>
      <c r="AA254" s="23" t="s">
        <v>6689</v>
      </c>
      <c r="AB254" s="26" t="s">
        <v>6690</v>
      </c>
      <c r="AC254" s="23" t="s">
        <v>6691</v>
      </c>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row>
    <row r="255">
      <c r="A255" s="22" t="s">
        <v>6692</v>
      </c>
      <c r="B255" s="23" t="s">
        <v>6693</v>
      </c>
      <c r="C255" s="24" t="s">
        <v>6694</v>
      </c>
      <c r="D255" s="23" t="s">
        <v>6695</v>
      </c>
      <c r="E255" s="23" t="s">
        <v>6696</v>
      </c>
      <c r="F255" s="23" t="s">
        <v>6697</v>
      </c>
      <c r="G255" s="23" t="s">
        <v>6698</v>
      </c>
      <c r="H255" s="23" t="s">
        <v>6699</v>
      </c>
      <c r="I255" s="23" t="s">
        <v>6700</v>
      </c>
      <c r="J255" s="23" t="s">
        <v>6701</v>
      </c>
      <c r="K255" s="25" t="s">
        <v>6702</v>
      </c>
      <c r="L255" s="23" t="s">
        <v>6703</v>
      </c>
      <c r="M255" s="23" t="s">
        <v>6704</v>
      </c>
      <c r="N255" s="26" t="s">
        <v>6705</v>
      </c>
      <c r="O255" s="27" t="s">
        <v>6706</v>
      </c>
      <c r="P255" s="28" t="s">
        <v>6707</v>
      </c>
      <c r="Q255" s="29" t="s">
        <v>6708</v>
      </c>
      <c r="R255" s="30" t="s">
        <v>6709</v>
      </c>
      <c r="S255" s="23" t="s">
        <v>6699</v>
      </c>
      <c r="T255" s="23" t="s">
        <v>6703</v>
      </c>
      <c r="U255" s="23" t="s">
        <v>6710</v>
      </c>
      <c r="V255" s="23" t="s">
        <v>6711</v>
      </c>
      <c r="W255" s="23" t="s">
        <v>6712</v>
      </c>
      <c r="X255" s="23" t="s">
        <v>6713</v>
      </c>
      <c r="Y255" s="31" t="s">
        <v>6714</v>
      </c>
      <c r="Z255" s="23" t="s">
        <v>6715</v>
      </c>
      <c r="AA255" s="23" t="s">
        <v>6716</v>
      </c>
      <c r="AB255" s="26" t="s">
        <v>6717</v>
      </c>
      <c r="AC255" s="23" t="s">
        <v>6718</v>
      </c>
      <c r="AD255" s="20"/>
      <c r="AE255" s="20"/>
      <c r="AF255" s="20"/>
      <c r="AG255" s="36"/>
      <c r="AH255" s="36"/>
      <c r="AI255" s="36"/>
      <c r="AJ255" s="36"/>
      <c r="AK255" s="36"/>
      <c r="AL255" s="36"/>
      <c r="AM255" s="36"/>
      <c r="AN255" s="36"/>
      <c r="AO255" s="36"/>
      <c r="AP255" s="36"/>
      <c r="AQ255" s="36"/>
      <c r="AR255" s="36"/>
      <c r="AS255" s="36"/>
      <c r="AT255" s="36"/>
      <c r="AU255" s="36"/>
      <c r="AV255" s="36"/>
      <c r="AW255" s="36"/>
      <c r="AX255" s="36"/>
      <c r="AY255" s="36"/>
      <c r="AZ255" s="36"/>
      <c r="BA255" s="36"/>
      <c r="BB255" s="36"/>
      <c r="BC255" s="36"/>
      <c r="BD255" s="36"/>
      <c r="BE255" s="36"/>
      <c r="BF255" s="36"/>
      <c r="BG255" s="36"/>
      <c r="BH255" s="36"/>
      <c r="BI255" s="36"/>
      <c r="BJ255" s="36"/>
      <c r="BK255" s="36"/>
      <c r="BL255" s="36"/>
    </row>
    <row r="256">
      <c r="A256" s="22" t="s">
        <v>6719</v>
      </c>
      <c r="B256" s="23" t="s">
        <v>6720</v>
      </c>
      <c r="C256" s="24" t="s">
        <v>6721</v>
      </c>
      <c r="D256" s="23" t="s">
        <v>6722</v>
      </c>
      <c r="E256" s="23" t="s">
        <v>6723</v>
      </c>
      <c r="F256" s="23" t="s">
        <v>6724</v>
      </c>
      <c r="G256" s="23" t="s">
        <v>6725</v>
      </c>
      <c r="H256" s="23" t="s">
        <v>6726</v>
      </c>
      <c r="I256" s="23" t="s">
        <v>6727</v>
      </c>
      <c r="J256" s="23" t="s">
        <v>6728</v>
      </c>
      <c r="K256" s="25" t="s">
        <v>6729</v>
      </c>
      <c r="L256" s="23" t="s">
        <v>6730</v>
      </c>
      <c r="M256" s="23" t="s">
        <v>6731</v>
      </c>
      <c r="N256" s="26" t="s">
        <v>6732</v>
      </c>
      <c r="O256" s="27" t="s">
        <v>6733</v>
      </c>
      <c r="P256" s="28" t="s">
        <v>6734</v>
      </c>
      <c r="Q256" s="29" t="s">
        <v>6735</v>
      </c>
      <c r="R256" s="30" t="s">
        <v>6736</v>
      </c>
      <c r="S256" s="23" t="s">
        <v>6737</v>
      </c>
      <c r="T256" s="23" t="s">
        <v>6738</v>
      </c>
      <c r="U256" s="23" t="s">
        <v>6739</v>
      </c>
      <c r="V256" s="23" t="s">
        <v>6740</v>
      </c>
      <c r="W256" s="23" t="s">
        <v>6741</v>
      </c>
      <c r="X256" s="23" t="s">
        <v>6742</v>
      </c>
      <c r="Y256" s="31" t="s">
        <v>6743</v>
      </c>
      <c r="Z256" s="23" t="s">
        <v>6744</v>
      </c>
      <c r="AA256" s="23" t="s">
        <v>6745</v>
      </c>
      <c r="AB256" s="26" t="s">
        <v>6746</v>
      </c>
      <c r="AC256" s="23" t="s">
        <v>6747</v>
      </c>
      <c r="AD256" s="20"/>
      <c r="AE256" s="20"/>
      <c r="AF256" s="20"/>
      <c r="AG256" s="36"/>
      <c r="AH256" s="36"/>
      <c r="AI256" s="36"/>
      <c r="AJ256" s="36"/>
      <c r="AK256" s="36"/>
      <c r="AL256" s="36"/>
      <c r="AM256" s="36"/>
      <c r="AN256" s="36"/>
      <c r="AO256" s="36"/>
      <c r="AP256" s="36"/>
      <c r="AQ256" s="36"/>
      <c r="AR256" s="36"/>
      <c r="AS256" s="36"/>
      <c r="AT256" s="36"/>
      <c r="AU256" s="36"/>
      <c r="AV256" s="36"/>
      <c r="AW256" s="36"/>
      <c r="AX256" s="36"/>
      <c r="AY256" s="36"/>
      <c r="AZ256" s="36"/>
      <c r="BA256" s="36"/>
      <c r="BB256" s="36"/>
      <c r="BC256" s="36"/>
      <c r="BD256" s="36"/>
      <c r="BE256" s="36"/>
      <c r="BF256" s="36"/>
      <c r="BG256" s="36"/>
      <c r="BH256" s="36"/>
      <c r="BI256" s="36"/>
      <c r="BJ256" s="36"/>
      <c r="BK256" s="36"/>
      <c r="BL256" s="36"/>
    </row>
    <row r="257">
      <c r="A257" s="22" t="s">
        <v>6748</v>
      </c>
      <c r="B257" s="23" t="s">
        <v>6749</v>
      </c>
      <c r="C257" s="24" t="s">
        <v>6750</v>
      </c>
      <c r="D257" s="23" t="s">
        <v>6751</v>
      </c>
      <c r="E257" s="23" t="s">
        <v>6752</v>
      </c>
      <c r="F257" s="23" t="s">
        <v>6753</v>
      </c>
      <c r="G257" s="23" t="s">
        <v>6754</v>
      </c>
      <c r="H257" s="23" t="s">
        <v>6755</v>
      </c>
      <c r="I257" s="23" t="s">
        <v>6756</v>
      </c>
      <c r="J257" s="23" t="s">
        <v>6757</v>
      </c>
      <c r="K257" s="25" t="s">
        <v>6758</v>
      </c>
      <c r="L257" s="23" t="s">
        <v>6759</v>
      </c>
      <c r="M257" s="23" t="s">
        <v>6760</v>
      </c>
      <c r="N257" s="26" t="s">
        <v>6761</v>
      </c>
      <c r="O257" s="27" t="s">
        <v>6762</v>
      </c>
      <c r="P257" s="28" t="s">
        <v>6763</v>
      </c>
      <c r="Q257" s="29" t="s">
        <v>6764</v>
      </c>
      <c r="R257" s="30" t="s">
        <v>6765</v>
      </c>
      <c r="S257" s="23" t="s">
        <v>6766</v>
      </c>
      <c r="T257" s="23" t="s">
        <v>6767</v>
      </c>
      <c r="U257" s="23" t="s">
        <v>6768</v>
      </c>
      <c r="V257" s="23" t="s">
        <v>6769</v>
      </c>
      <c r="W257" s="23" t="s">
        <v>6770</v>
      </c>
      <c r="X257" s="23" t="s">
        <v>6771</v>
      </c>
      <c r="Y257" s="31" t="s">
        <v>6772</v>
      </c>
      <c r="Z257" s="23" t="s">
        <v>6773</v>
      </c>
      <c r="AA257" s="23" t="s">
        <v>6774</v>
      </c>
      <c r="AB257" s="26" t="s">
        <v>6775</v>
      </c>
      <c r="AC257" s="23" t="s">
        <v>6776</v>
      </c>
      <c r="AD257" s="20"/>
      <c r="AE257" s="20"/>
      <c r="AF257" s="20"/>
      <c r="AG257" s="36"/>
      <c r="AH257" s="36"/>
      <c r="AI257" s="36"/>
      <c r="AJ257" s="36"/>
      <c r="AK257" s="36"/>
      <c r="AL257" s="36"/>
      <c r="AM257" s="36"/>
      <c r="AN257" s="36"/>
      <c r="AO257" s="36"/>
      <c r="AP257" s="36"/>
      <c r="AQ257" s="36"/>
      <c r="AR257" s="36"/>
      <c r="AS257" s="36"/>
      <c r="AT257" s="36"/>
      <c r="AU257" s="36"/>
      <c r="AV257" s="36"/>
      <c r="AW257" s="36"/>
      <c r="AX257" s="36"/>
      <c r="AY257" s="36"/>
      <c r="AZ257" s="36"/>
      <c r="BA257" s="36"/>
      <c r="BB257" s="36"/>
      <c r="BC257" s="36"/>
      <c r="BD257" s="36"/>
      <c r="BE257" s="36"/>
      <c r="BF257" s="36"/>
      <c r="BG257" s="36"/>
      <c r="BH257" s="36"/>
      <c r="BI257" s="36"/>
      <c r="BJ257" s="36"/>
      <c r="BK257" s="36"/>
      <c r="BL257" s="36"/>
    </row>
    <row r="258">
      <c r="A258" s="22" t="s">
        <v>6777</v>
      </c>
      <c r="B258" s="23" t="s">
        <v>6749</v>
      </c>
      <c r="C258" s="24" t="s">
        <v>6750</v>
      </c>
      <c r="D258" s="23" t="s">
        <v>6751</v>
      </c>
      <c r="E258" s="23" t="s">
        <v>6752</v>
      </c>
      <c r="F258" s="23" t="s">
        <v>6753</v>
      </c>
      <c r="G258" s="23" t="s">
        <v>6754</v>
      </c>
      <c r="H258" s="23" t="s">
        <v>6755</v>
      </c>
      <c r="I258" s="23" t="s">
        <v>6756</v>
      </c>
      <c r="J258" s="23" t="s">
        <v>6757</v>
      </c>
      <c r="K258" s="25" t="s">
        <v>6758</v>
      </c>
      <c r="L258" s="23" t="s">
        <v>6759</v>
      </c>
      <c r="M258" s="23" t="s">
        <v>6760</v>
      </c>
      <c r="N258" s="26" t="s">
        <v>6761</v>
      </c>
      <c r="O258" s="27" t="s">
        <v>6762</v>
      </c>
      <c r="P258" s="28" t="s">
        <v>6763</v>
      </c>
      <c r="Q258" s="29" t="s">
        <v>6764</v>
      </c>
      <c r="R258" s="30" t="s">
        <v>6765</v>
      </c>
      <c r="S258" s="23" t="s">
        <v>6766</v>
      </c>
      <c r="T258" s="23" t="s">
        <v>6767</v>
      </c>
      <c r="U258" s="23" t="s">
        <v>6768</v>
      </c>
      <c r="V258" s="23" t="s">
        <v>6769</v>
      </c>
      <c r="W258" s="23" t="s">
        <v>6770</v>
      </c>
      <c r="X258" s="23" t="s">
        <v>6771</v>
      </c>
      <c r="Y258" s="31" t="s">
        <v>6772</v>
      </c>
      <c r="Z258" s="23" t="s">
        <v>6773</v>
      </c>
      <c r="AA258" s="23" t="s">
        <v>6774</v>
      </c>
      <c r="AB258" s="26" t="s">
        <v>6775</v>
      </c>
      <c r="AC258" s="23" t="s">
        <v>6776</v>
      </c>
      <c r="AD258" s="20"/>
      <c r="AE258" s="20"/>
      <c r="AF258" s="20"/>
      <c r="AG258" s="36"/>
      <c r="AH258" s="36"/>
      <c r="AI258" s="36"/>
      <c r="AJ258" s="36"/>
      <c r="AK258" s="36"/>
      <c r="AL258" s="36"/>
      <c r="AM258" s="36"/>
      <c r="AN258" s="36"/>
      <c r="AO258" s="36"/>
      <c r="AP258" s="36"/>
      <c r="AQ258" s="36"/>
      <c r="AR258" s="36"/>
      <c r="AS258" s="36"/>
      <c r="AT258" s="36"/>
      <c r="AU258" s="36"/>
      <c r="AV258" s="36"/>
      <c r="AW258" s="36"/>
      <c r="AX258" s="36"/>
      <c r="AY258" s="36"/>
      <c r="AZ258" s="36"/>
      <c r="BA258" s="36"/>
      <c r="BB258" s="36"/>
      <c r="BC258" s="36"/>
      <c r="BD258" s="36"/>
      <c r="BE258" s="36"/>
      <c r="BF258" s="36"/>
      <c r="BG258" s="36"/>
      <c r="BH258" s="36"/>
      <c r="BI258" s="36"/>
      <c r="BJ258" s="36"/>
      <c r="BK258" s="36"/>
      <c r="BL258" s="36"/>
    </row>
    <row r="259">
      <c r="A259" s="22" t="s">
        <v>6778</v>
      </c>
      <c r="B259" s="23" t="s">
        <v>6779</v>
      </c>
      <c r="C259" s="24" t="s">
        <v>6780</v>
      </c>
      <c r="D259" s="23" t="s">
        <v>6781</v>
      </c>
      <c r="E259" s="23" t="s">
        <v>6782</v>
      </c>
      <c r="F259" s="23" t="s">
        <v>6783</v>
      </c>
      <c r="G259" s="23" t="s">
        <v>6784</v>
      </c>
      <c r="H259" s="23" t="s">
        <v>6785</v>
      </c>
      <c r="I259" s="23" t="s">
        <v>6786</v>
      </c>
      <c r="J259" s="23" t="s">
        <v>6787</v>
      </c>
      <c r="K259" s="25" t="s">
        <v>6788</v>
      </c>
      <c r="L259" s="23" t="s">
        <v>6789</v>
      </c>
      <c r="M259" s="23" t="s">
        <v>6790</v>
      </c>
      <c r="N259" s="26" t="s">
        <v>6791</v>
      </c>
      <c r="O259" s="27" t="s">
        <v>6792</v>
      </c>
      <c r="P259" s="28" t="s">
        <v>6793</v>
      </c>
      <c r="Q259" s="29" t="s">
        <v>6794</v>
      </c>
      <c r="R259" s="30" t="s">
        <v>6795</v>
      </c>
      <c r="S259" s="23" t="s">
        <v>6796</v>
      </c>
      <c r="T259" s="23" t="s">
        <v>6797</v>
      </c>
      <c r="U259" s="23" t="s">
        <v>6798</v>
      </c>
      <c r="V259" s="23" t="s">
        <v>6799</v>
      </c>
      <c r="W259" s="23" t="s">
        <v>6800</v>
      </c>
      <c r="X259" s="23" t="s">
        <v>6801</v>
      </c>
      <c r="Y259" s="31" t="s">
        <v>6802</v>
      </c>
      <c r="Z259" s="23" t="s">
        <v>6803</v>
      </c>
      <c r="AA259" s="23" t="s">
        <v>6804</v>
      </c>
      <c r="AB259" s="26" t="s">
        <v>6805</v>
      </c>
      <c r="AC259" s="23" t="s">
        <v>6806</v>
      </c>
      <c r="AD259" s="20"/>
      <c r="AE259" s="20"/>
      <c r="AF259" s="20"/>
      <c r="AG259" s="36"/>
      <c r="AH259" s="36"/>
      <c r="AI259" s="36"/>
      <c r="AJ259" s="36"/>
      <c r="AK259" s="36"/>
      <c r="AL259" s="36"/>
      <c r="AM259" s="36"/>
      <c r="AN259" s="36"/>
      <c r="AO259" s="36"/>
      <c r="AP259" s="36"/>
      <c r="AQ259" s="36"/>
      <c r="AR259" s="36"/>
      <c r="AS259" s="36"/>
      <c r="AT259" s="36"/>
      <c r="AU259" s="36"/>
      <c r="AV259" s="36"/>
      <c r="AW259" s="36"/>
      <c r="AX259" s="36"/>
      <c r="AY259" s="36"/>
      <c r="AZ259" s="36"/>
      <c r="BA259" s="36"/>
      <c r="BB259" s="36"/>
      <c r="BC259" s="36"/>
      <c r="BD259" s="36"/>
      <c r="BE259" s="36"/>
      <c r="BF259" s="36"/>
      <c r="BG259" s="36"/>
      <c r="BH259" s="36"/>
      <c r="BI259" s="36"/>
      <c r="BJ259" s="36"/>
      <c r="BK259" s="36"/>
      <c r="BL259" s="36"/>
    </row>
    <row r="260">
      <c r="A260" s="22" t="s">
        <v>6807</v>
      </c>
      <c r="B260" s="23" t="s">
        <v>6808</v>
      </c>
      <c r="C260" s="24" t="s">
        <v>6809</v>
      </c>
      <c r="D260" s="23" t="s">
        <v>6810</v>
      </c>
      <c r="E260" s="23" t="s">
        <v>6811</v>
      </c>
      <c r="F260" s="23" t="s">
        <v>6812</v>
      </c>
      <c r="G260" s="23" t="s">
        <v>6813</v>
      </c>
      <c r="H260" s="23" t="s">
        <v>6814</v>
      </c>
      <c r="I260" s="23" t="s">
        <v>6815</v>
      </c>
      <c r="J260" s="23" t="s">
        <v>6816</v>
      </c>
      <c r="K260" s="25" t="s">
        <v>6817</v>
      </c>
      <c r="L260" s="23" t="s">
        <v>6818</v>
      </c>
      <c r="M260" s="23" t="s">
        <v>6819</v>
      </c>
      <c r="N260" s="26" t="s">
        <v>6820</v>
      </c>
      <c r="O260" s="27" t="s">
        <v>6821</v>
      </c>
      <c r="P260" s="28" t="s">
        <v>6822</v>
      </c>
      <c r="Q260" s="29" t="s">
        <v>6823</v>
      </c>
      <c r="R260" s="30" t="s">
        <v>6824</v>
      </c>
      <c r="S260" s="23" t="s">
        <v>6825</v>
      </c>
      <c r="T260" s="23" t="s">
        <v>6826</v>
      </c>
      <c r="U260" s="23" t="s">
        <v>6827</v>
      </c>
      <c r="V260" s="23" t="s">
        <v>6828</v>
      </c>
      <c r="W260" s="23" t="s">
        <v>6829</v>
      </c>
      <c r="X260" s="23" t="s">
        <v>6830</v>
      </c>
      <c r="Y260" s="31" t="s">
        <v>6831</v>
      </c>
      <c r="Z260" s="23" t="s">
        <v>6832</v>
      </c>
      <c r="AA260" s="23" t="s">
        <v>6833</v>
      </c>
      <c r="AB260" s="26" t="s">
        <v>6834</v>
      </c>
      <c r="AC260" s="23" t="s">
        <v>6835</v>
      </c>
      <c r="AD260" s="19"/>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1"/>
      <c r="BK260" s="21"/>
      <c r="BL260" s="21"/>
    </row>
    <row r="261">
      <c r="A261" s="22" t="s">
        <v>6836</v>
      </c>
      <c r="B261" s="23" t="s">
        <v>6837</v>
      </c>
      <c r="C261" s="24" t="s">
        <v>6838</v>
      </c>
      <c r="D261" s="23" t="s">
        <v>6839</v>
      </c>
      <c r="E261" s="23" t="s">
        <v>6840</v>
      </c>
      <c r="F261" s="23" t="s">
        <v>6841</v>
      </c>
      <c r="G261" s="23" t="s">
        <v>6842</v>
      </c>
      <c r="H261" s="23" t="s">
        <v>6843</v>
      </c>
      <c r="I261" s="23" t="s">
        <v>6844</v>
      </c>
      <c r="J261" s="23" t="s">
        <v>6845</v>
      </c>
      <c r="K261" s="25" t="s">
        <v>6846</v>
      </c>
      <c r="L261" s="23" t="s">
        <v>6847</v>
      </c>
      <c r="M261" s="23" t="s">
        <v>6848</v>
      </c>
      <c r="N261" s="26" t="s">
        <v>6849</v>
      </c>
      <c r="O261" s="27" t="s">
        <v>6850</v>
      </c>
      <c r="P261" s="28" t="s">
        <v>6851</v>
      </c>
      <c r="Q261" s="29" t="s">
        <v>6852</v>
      </c>
      <c r="R261" s="30" t="s">
        <v>6853</v>
      </c>
      <c r="S261" s="23" t="s">
        <v>6854</v>
      </c>
      <c r="T261" s="23" t="s">
        <v>6855</v>
      </c>
      <c r="U261" s="23" t="s">
        <v>6856</v>
      </c>
      <c r="V261" s="23" t="s">
        <v>6857</v>
      </c>
      <c r="W261" s="23" t="s">
        <v>6858</v>
      </c>
      <c r="X261" s="23" t="s">
        <v>6859</v>
      </c>
      <c r="Y261" s="31" t="s">
        <v>6860</v>
      </c>
      <c r="Z261" s="23" t="s">
        <v>6861</v>
      </c>
      <c r="AA261" s="23" t="s">
        <v>6862</v>
      </c>
      <c r="AB261" s="26" t="s">
        <v>6863</v>
      </c>
      <c r="AC261" s="23" t="s">
        <v>6864</v>
      </c>
      <c r="AD261" s="19"/>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1"/>
      <c r="BK261" s="21"/>
      <c r="BL261" s="21"/>
    </row>
    <row r="262">
      <c r="A262" s="22" t="s">
        <v>6865</v>
      </c>
      <c r="B262" s="23" t="s">
        <v>6866</v>
      </c>
      <c r="C262" s="24" t="s">
        <v>6867</v>
      </c>
      <c r="D262" s="23" t="s">
        <v>6868</v>
      </c>
      <c r="E262" s="23" t="s">
        <v>6869</v>
      </c>
      <c r="F262" s="23" t="s">
        <v>6870</v>
      </c>
      <c r="G262" s="23" t="s">
        <v>6871</v>
      </c>
      <c r="H262" s="23" t="s">
        <v>6872</v>
      </c>
      <c r="I262" s="23" t="s">
        <v>6873</v>
      </c>
      <c r="J262" s="23" t="s">
        <v>6874</v>
      </c>
      <c r="K262" s="25" t="s">
        <v>6875</v>
      </c>
      <c r="L262" s="23" t="s">
        <v>6876</v>
      </c>
      <c r="M262" s="23" t="s">
        <v>6877</v>
      </c>
      <c r="N262" s="26" t="s">
        <v>6878</v>
      </c>
      <c r="O262" s="27" t="s">
        <v>6879</v>
      </c>
      <c r="P262" s="28" t="s">
        <v>6880</v>
      </c>
      <c r="Q262" s="29" t="s">
        <v>6881</v>
      </c>
      <c r="R262" s="30" t="s">
        <v>6882</v>
      </c>
      <c r="S262" s="23" t="s">
        <v>6883</v>
      </c>
      <c r="T262" s="23" t="s">
        <v>6876</v>
      </c>
      <c r="U262" s="23" t="s">
        <v>6869</v>
      </c>
      <c r="V262" s="23" t="s">
        <v>6884</v>
      </c>
      <c r="W262" s="23" t="s">
        <v>6885</v>
      </c>
      <c r="X262" s="23" t="s">
        <v>6886</v>
      </c>
      <c r="Y262" s="31" t="s">
        <v>6887</v>
      </c>
      <c r="Z262" s="23" t="s">
        <v>6888</v>
      </c>
      <c r="AA262" s="23" t="s">
        <v>6886</v>
      </c>
      <c r="AB262" s="26" t="s">
        <v>6889</v>
      </c>
      <c r="AC262" s="23" t="s">
        <v>6890</v>
      </c>
      <c r="AD262" s="19"/>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1"/>
      <c r="BK262" s="21"/>
      <c r="BL262" s="21"/>
    </row>
    <row r="263">
      <c r="A263" s="22" t="s">
        <v>6891</v>
      </c>
      <c r="B263" s="23" t="s">
        <v>6892</v>
      </c>
      <c r="C263" s="24" t="s">
        <v>6893</v>
      </c>
      <c r="D263" s="23" t="s">
        <v>6894</v>
      </c>
      <c r="E263" s="23" t="s">
        <v>6895</v>
      </c>
      <c r="F263" s="23" t="s">
        <v>6896</v>
      </c>
      <c r="G263" s="23" t="s">
        <v>6897</v>
      </c>
      <c r="H263" s="23" t="s">
        <v>6898</v>
      </c>
      <c r="I263" s="23" t="s">
        <v>6899</v>
      </c>
      <c r="J263" s="23" t="s">
        <v>6900</v>
      </c>
      <c r="K263" s="25" t="s">
        <v>6901</v>
      </c>
      <c r="L263" s="23" t="s">
        <v>6902</v>
      </c>
      <c r="M263" s="23" t="s">
        <v>6903</v>
      </c>
      <c r="N263" s="26" t="s">
        <v>6904</v>
      </c>
      <c r="O263" s="27" t="s">
        <v>6905</v>
      </c>
      <c r="P263" s="28" t="s">
        <v>6906</v>
      </c>
      <c r="Q263" s="29" t="s">
        <v>6907</v>
      </c>
      <c r="R263" s="30" t="s">
        <v>6908</v>
      </c>
      <c r="S263" s="23" t="s">
        <v>6909</v>
      </c>
      <c r="T263" s="23" t="s">
        <v>6910</v>
      </c>
      <c r="U263" s="23" t="s">
        <v>6911</v>
      </c>
      <c r="V263" s="23" t="s">
        <v>6912</v>
      </c>
      <c r="W263" s="23" t="s">
        <v>6913</v>
      </c>
      <c r="X263" s="23" t="s">
        <v>6914</v>
      </c>
      <c r="Y263" s="31" t="s">
        <v>6915</v>
      </c>
      <c r="Z263" s="23" t="s">
        <v>6916</v>
      </c>
      <c r="AA263" s="23" t="s">
        <v>6917</v>
      </c>
      <c r="AB263" s="26" t="s">
        <v>6918</v>
      </c>
      <c r="AC263" s="23" t="s">
        <v>6919</v>
      </c>
      <c r="AD263" s="19"/>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1"/>
      <c r="BK263" s="21"/>
      <c r="BL263" s="21"/>
    </row>
    <row r="264">
      <c r="A264" s="22" t="s">
        <v>6920</v>
      </c>
      <c r="B264" s="23" t="s">
        <v>6921</v>
      </c>
      <c r="C264" s="24" t="s">
        <v>6922</v>
      </c>
      <c r="D264" s="23" t="s">
        <v>6923</v>
      </c>
      <c r="E264" s="23" t="s">
        <v>6924</v>
      </c>
      <c r="F264" s="23" t="s">
        <v>6925</v>
      </c>
      <c r="G264" s="23" t="s">
        <v>6926</v>
      </c>
      <c r="H264" s="23" t="s">
        <v>6927</v>
      </c>
      <c r="I264" s="23" t="s">
        <v>6928</v>
      </c>
      <c r="J264" s="23" t="s">
        <v>6929</v>
      </c>
      <c r="K264" s="25" t="s">
        <v>6930</v>
      </c>
      <c r="L264" s="23" t="s">
        <v>6931</v>
      </c>
      <c r="M264" s="23" t="s">
        <v>6932</v>
      </c>
      <c r="N264" s="26" t="s">
        <v>6933</v>
      </c>
      <c r="O264" s="27" t="s">
        <v>6934</v>
      </c>
      <c r="P264" s="28" t="s">
        <v>6935</v>
      </c>
      <c r="Q264" s="29" t="s">
        <v>6936</v>
      </c>
      <c r="R264" s="30" t="s">
        <v>6937</v>
      </c>
      <c r="S264" s="23" t="s">
        <v>6938</v>
      </c>
      <c r="T264" s="23" t="s">
        <v>6939</v>
      </c>
      <c r="U264" s="23" t="s">
        <v>6940</v>
      </c>
      <c r="V264" s="23" t="s">
        <v>6941</v>
      </c>
      <c r="W264" s="23" t="s">
        <v>6942</v>
      </c>
      <c r="X264" s="23" t="s">
        <v>6943</v>
      </c>
      <c r="Y264" s="31" t="s">
        <v>6944</v>
      </c>
      <c r="Z264" s="23" t="s">
        <v>6945</v>
      </c>
      <c r="AA264" s="23" t="s">
        <v>6946</v>
      </c>
      <c r="AB264" s="26" t="s">
        <v>6947</v>
      </c>
      <c r="AC264" s="23" t="s">
        <v>6948</v>
      </c>
      <c r="AD264" s="19"/>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1"/>
      <c r="BK264" s="21"/>
      <c r="BL264" s="21"/>
    </row>
    <row r="265">
      <c r="A265" s="22" t="s">
        <v>6949</v>
      </c>
      <c r="B265" s="23" t="s">
        <v>6950</v>
      </c>
      <c r="C265" s="24" t="s">
        <v>6951</v>
      </c>
      <c r="D265" s="23" t="s">
        <v>6952</v>
      </c>
      <c r="E265" s="23" t="s">
        <v>6953</v>
      </c>
      <c r="F265" s="23" t="s">
        <v>6954</v>
      </c>
      <c r="G265" s="23" t="s">
        <v>6955</v>
      </c>
      <c r="H265" s="23" t="s">
        <v>6956</v>
      </c>
      <c r="I265" s="23" t="s">
        <v>6957</v>
      </c>
      <c r="J265" s="23" t="s">
        <v>6958</v>
      </c>
      <c r="K265" s="25" t="s">
        <v>6959</v>
      </c>
      <c r="L265" s="23" t="s">
        <v>6960</v>
      </c>
      <c r="M265" s="23" t="s">
        <v>6961</v>
      </c>
      <c r="N265" s="26" t="s">
        <v>6962</v>
      </c>
      <c r="O265" s="27" t="s">
        <v>6963</v>
      </c>
      <c r="P265" s="28" t="s">
        <v>6964</v>
      </c>
      <c r="Q265" s="29" t="s">
        <v>6965</v>
      </c>
      <c r="R265" s="30" t="s">
        <v>6966</v>
      </c>
      <c r="S265" s="23" t="s">
        <v>6967</v>
      </c>
      <c r="T265" s="23" t="s">
        <v>6960</v>
      </c>
      <c r="U265" s="23" t="s">
        <v>6968</v>
      </c>
      <c r="V265" s="23" t="s">
        <v>6969</v>
      </c>
      <c r="W265" s="23" t="s">
        <v>6970</v>
      </c>
      <c r="X265" s="23" t="s">
        <v>6971</v>
      </c>
      <c r="Y265" s="31" t="s">
        <v>6972</v>
      </c>
      <c r="Z265" s="23" t="s">
        <v>6973</v>
      </c>
      <c r="AA265" s="23" t="s">
        <v>6974</v>
      </c>
      <c r="AB265" s="26" t="s">
        <v>6975</v>
      </c>
      <c r="AC265" s="23" t="s">
        <v>6976</v>
      </c>
      <c r="AD265" s="19"/>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1"/>
      <c r="BK265" s="21"/>
      <c r="BL265" s="21"/>
    </row>
    <row r="266">
      <c r="A266" s="22" t="s">
        <v>6977</v>
      </c>
      <c r="B266" s="23" t="s">
        <v>6978</v>
      </c>
      <c r="C266" s="24" t="s">
        <v>6979</v>
      </c>
      <c r="D266" s="23" t="s">
        <v>6980</v>
      </c>
      <c r="E266" s="23" t="s">
        <v>6981</v>
      </c>
      <c r="F266" s="23" t="s">
        <v>6982</v>
      </c>
      <c r="G266" s="23" t="s">
        <v>6983</v>
      </c>
      <c r="H266" s="23" t="s">
        <v>6984</v>
      </c>
      <c r="I266" s="23" t="s">
        <v>6985</v>
      </c>
      <c r="J266" s="23" t="s">
        <v>6986</v>
      </c>
      <c r="K266" s="25" t="s">
        <v>6987</v>
      </c>
      <c r="L266" s="23" t="s">
        <v>6988</v>
      </c>
      <c r="M266" s="23" t="s">
        <v>6989</v>
      </c>
      <c r="N266" s="26" t="s">
        <v>6990</v>
      </c>
      <c r="O266" s="27" t="s">
        <v>6991</v>
      </c>
      <c r="P266" s="28" t="s">
        <v>6992</v>
      </c>
      <c r="Q266" s="29" t="s">
        <v>6993</v>
      </c>
      <c r="R266" s="30" t="s">
        <v>6994</v>
      </c>
      <c r="S266" s="23" t="s">
        <v>6995</v>
      </c>
      <c r="T266" s="23" t="s">
        <v>6996</v>
      </c>
      <c r="U266" s="23" t="s">
        <v>6997</v>
      </c>
      <c r="V266" s="23" t="s">
        <v>6998</v>
      </c>
      <c r="W266" s="23" t="s">
        <v>6999</v>
      </c>
      <c r="X266" s="23" t="s">
        <v>7000</v>
      </c>
      <c r="Y266" s="31" t="s">
        <v>7001</v>
      </c>
      <c r="Z266" s="23" t="s">
        <v>7002</v>
      </c>
      <c r="AA266" s="23" t="s">
        <v>7003</v>
      </c>
      <c r="AB266" s="26" t="s">
        <v>7004</v>
      </c>
      <c r="AC266" s="23" t="s">
        <v>7005</v>
      </c>
      <c r="AD266" s="19"/>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1"/>
      <c r="BK266" s="21"/>
      <c r="BL266" s="21"/>
    </row>
    <row r="267">
      <c r="A267" s="22" t="s">
        <v>7006</v>
      </c>
      <c r="B267" s="23" t="s">
        <v>7007</v>
      </c>
      <c r="C267" s="24" t="s">
        <v>7008</v>
      </c>
      <c r="D267" s="23" t="s">
        <v>7009</v>
      </c>
      <c r="E267" s="23" t="s">
        <v>7010</v>
      </c>
      <c r="F267" s="23" t="s">
        <v>7011</v>
      </c>
      <c r="G267" s="23" t="s">
        <v>7012</v>
      </c>
      <c r="H267" s="23" t="s">
        <v>7013</v>
      </c>
      <c r="I267" s="23" t="s">
        <v>7014</v>
      </c>
      <c r="J267" s="23" t="s">
        <v>7015</v>
      </c>
      <c r="K267" s="25" t="s">
        <v>7016</v>
      </c>
      <c r="L267" s="23" t="s">
        <v>7017</v>
      </c>
      <c r="M267" s="23" t="s">
        <v>7018</v>
      </c>
      <c r="N267" s="26" t="s">
        <v>7019</v>
      </c>
      <c r="O267" s="27" t="s">
        <v>7020</v>
      </c>
      <c r="P267" s="28" t="s">
        <v>7021</v>
      </c>
      <c r="Q267" s="29" t="s">
        <v>7022</v>
      </c>
      <c r="R267" s="30" t="s">
        <v>7023</v>
      </c>
      <c r="S267" s="23" t="s">
        <v>7024</v>
      </c>
      <c r="T267" s="23" t="s">
        <v>7017</v>
      </c>
      <c r="U267" s="23" t="s">
        <v>7025</v>
      </c>
      <c r="V267" s="23" t="s">
        <v>7026</v>
      </c>
      <c r="W267" s="23" t="s">
        <v>7027</v>
      </c>
      <c r="X267" s="23" t="s">
        <v>7028</v>
      </c>
      <c r="Y267" s="31" t="s">
        <v>7029</v>
      </c>
      <c r="Z267" s="23" t="s">
        <v>7030</v>
      </c>
      <c r="AA267" s="23" t="s">
        <v>7031</v>
      </c>
      <c r="AB267" s="26" t="s">
        <v>7032</v>
      </c>
      <c r="AC267" s="23" t="s">
        <v>7033</v>
      </c>
      <c r="AD267" s="19"/>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1"/>
      <c r="BK267" s="21"/>
      <c r="BL267" s="21"/>
    </row>
    <row r="268">
      <c r="A268" s="22" t="s">
        <v>7034</v>
      </c>
      <c r="B268" s="23" t="s">
        <v>7035</v>
      </c>
      <c r="C268" s="24" t="s">
        <v>7036</v>
      </c>
      <c r="D268" s="23" t="s">
        <v>7037</v>
      </c>
      <c r="E268" s="23" t="s">
        <v>7038</v>
      </c>
      <c r="F268" s="23" t="s">
        <v>7039</v>
      </c>
      <c r="G268" s="23" t="s">
        <v>7040</v>
      </c>
      <c r="H268" s="23" t="s">
        <v>7041</v>
      </c>
      <c r="I268" s="23" t="s">
        <v>7042</v>
      </c>
      <c r="J268" s="23" t="s">
        <v>7043</v>
      </c>
      <c r="K268" s="25" t="s">
        <v>7044</v>
      </c>
      <c r="L268" s="23" t="s">
        <v>7045</v>
      </c>
      <c r="M268" s="23" t="s">
        <v>7046</v>
      </c>
      <c r="N268" s="26" t="s">
        <v>7047</v>
      </c>
      <c r="O268" s="27" t="s">
        <v>7048</v>
      </c>
      <c r="P268" s="28" t="s">
        <v>7049</v>
      </c>
      <c r="Q268" s="29" t="s">
        <v>7050</v>
      </c>
      <c r="R268" s="30" t="s">
        <v>7051</v>
      </c>
      <c r="S268" s="23" t="s">
        <v>7052</v>
      </c>
      <c r="T268" s="23" t="s">
        <v>7053</v>
      </c>
      <c r="U268" s="23" t="s">
        <v>7054</v>
      </c>
      <c r="V268" s="23" t="s">
        <v>7055</v>
      </c>
      <c r="W268" s="23" t="s">
        <v>7035</v>
      </c>
      <c r="X268" s="23" t="s">
        <v>7056</v>
      </c>
      <c r="Y268" s="31" t="s">
        <v>7057</v>
      </c>
      <c r="Z268" s="23" t="s">
        <v>7058</v>
      </c>
      <c r="AA268" s="23" t="s">
        <v>7059</v>
      </c>
      <c r="AB268" s="26" t="s">
        <v>7060</v>
      </c>
      <c r="AC268" s="23" t="s">
        <v>7061</v>
      </c>
      <c r="AD268" s="19"/>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1"/>
      <c r="BK268" s="21"/>
      <c r="BL268" s="21"/>
    </row>
    <row r="269">
      <c r="A269" s="22" t="s">
        <v>7062</v>
      </c>
      <c r="B269" s="23" t="s">
        <v>7063</v>
      </c>
      <c r="C269" s="24" t="s">
        <v>7064</v>
      </c>
      <c r="D269" s="23" t="s">
        <v>7065</v>
      </c>
      <c r="E269" s="23" t="s">
        <v>7066</v>
      </c>
      <c r="F269" s="23" t="s">
        <v>7067</v>
      </c>
      <c r="G269" s="23" t="s">
        <v>7068</v>
      </c>
      <c r="H269" s="23" t="s">
        <v>7069</v>
      </c>
      <c r="I269" s="23" t="s">
        <v>7070</v>
      </c>
      <c r="J269" s="23" t="s">
        <v>7071</v>
      </c>
      <c r="K269" s="25" t="s">
        <v>7072</v>
      </c>
      <c r="L269" s="23" t="s">
        <v>7073</v>
      </c>
      <c r="M269" s="23" t="s">
        <v>7074</v>
      </c>
      <c r="N269" s="26" t="s">
        <v>7075</v>
      </c>
      <c r="O269" s="27" t="s">
        <v>7076</v>
      </c>
      <c r="P269" s="28" t="s">
        <v>7077</v>
      </c>
      <c r="Q269" s="29" t="s">
        <v>7078</v>
      </c>
      <c r="R269" s="30" t="s">
        <v>7079</v>
      </c>
      <c r="S269" s="23" t="s">
        <v>7080</v>
      </c>
      <c r="T269" s="23" t="s">
        <v>7081</v>
      </c>
      <c r="U269" s="23" t="s">
        <v>7082</v>
      </c>
      <c r="V269" s="23" t="s">
        <v>7083</v>
      </c>
      <c r="W269" s="23" t="s">
        <v>7084</v>
      </c>
      <c r="X269" s="23" t="s">
        <v>7085</v>
      </c>
      <c r="Y269" s="31" t="s">
        <v>7086</v>
      </c>
      <c r="Z269" s="23" t="s">
        <v>7087</v>
      </c>
      <c r="AA269" s="23" t="s">
        <v>7088</v>
      </c>
      <c r="AB269" s="26" t="s">
        <v>7089</v>
      </c>
      <c r="AC269" s="23" t="s">
        <v>7090</v>
      </c>
      <c r="AD269" s="19"/>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1"/>
      <c r="BK269" s="21"/>
      <c r="BL269" s="21"/>
    </row>
    <row r="270">
      <c r="A270" s="22" t="s">
        <v>7091</v>
      </c>
      <c r="B270" s="23" t="s">
        <v>7092</v>
      </c>
      <c r="C270" s="24" t="s">
        <v>7093</v>
      </c>
      <c r="D270" s="23" t="s">
        <v>7094</v>
      </c>
      <c r="E270" s="23" t="s">
        <v>7095</v>
      </c>
      <c r="F270" s="23" t="s">
        <v>7096</v>
      </c>
      <c r="G270" s="23" t="s">
        <v>7097</v>
      </c>
      <c r="H270" s="23" t="s">
        <v>7098</v>
      </c>
      <c r="I270" s="23" t="s">
        <v>7099</v>
      </c>
      <c r="J270" s="23" t="s">
        <v>7100</v>
      </c>
      <c r="K270" s="25" t="s">
        <v>7101</v>
      </c>
      <c r="L270" s="23" t="s">
        <v>7102</v>
      </c>
      <c r="M270" s="23" t="s">
        <v>7103</v>
      </c>
      <c r="N270" s="26" t="s">
        <v>7104</v>
      </c>
      <c r="O270" s="27" t="s">
        <v>7105</v>
      </c>
      <c r="P270" s="28" t="s">
        <v>7106</v>
      </c>
      <c r="Q270" s="29" t="s">
        <v>7107</v>
      </c>
      <c r="R270" s="30" t="s">
        <v>7108</v>
      </c>
      <c r="S270" s="23" t="s">
        <v>7109</v>
      </c>
      <c r="T270" s="23" t="s">
        <v>7102</v>
      </c>
      <c r="U270" s="23" t="s">
        <v>7110</v>
      </c>
      <c r="V270" s="23" t="s">
        <v>7111</v>
      </c>
      <c r="W270" s="23" t="s">
        <v>7112</v>
      </c>
      <c r="X270" s="23" t="s">
        <v>7113</v>
      </c>
      <c r="Y270" s="31" t="s">
        <v>7114</v>
      </c>
      <c r="Z270" s="23" t="s">
        <v>7115</v>
      </c>
      <c r="AA270" s="23" t="s">
        <v>7116</v>
      </c>
      <c r="AB270" s="26" t="s">
        <v>7117</v>
      </c>
      <c r="AC270" s="23" t="s">
        <v>7118</v>
      </c>
      <c r="AD270" s="19"/>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1"/>
      <c r="BK270" s="21"/>
      <c r="BL270" s="21"/>
    </row>
    <row r="271">
      <c r="A271" s="22" t="s">
        <v>7119</v>
      </c>
      <c r="B271" s="23" t="s">
        <v>7120</v>
      </c>
      <c r="C271" s="24" t="s">
        <v>7121</v>
      </c>
      <c r="D271" s="23" t="s">
        <v>7122</v>
      </c>
      <c r="E271" s="23" t="s">
        <v>7123</v>
      </c>
      <c r="F271" s="23" t="s">
        <v>7124</v>
      </c>
      <c r="G271" s="23" t="s">
        <v>7125</v>
      </c>
      <c r="H271" s="23" t="s">
        <v>7126</v>
      </c>
      <c r="I271" s="23" t="s">
        <v>7127</v>
      </c>
      <c r="J271" s="23" t="s">
        <v>7128</v>
      </c>
      <c r="K271" s="25" t="s">
        <v>7129</v>
      </c>
      <c r="L271" s="23" t="s">
        <v>7130</v>
      </c>
      <c r="M271" s="23" t="s">
        <v>7131</v>
      </c>
      <c r="N271" s="26" t="s">
        <v>7132</v>
      </c>
      <c r="O271" s="27" t="s">
        <v>7133</v>
      </c>
      <c r="P271" s="28" t="s">
        <v>7134</v>
      </c>
      <c r="Q271" s="29" t="s">
        <v>7135</v>
      </c>
      <c r="R271" s="30" t="s">
        <v>7136</v>
      </c>
      <c r="S271" s="23" t="s">
        <v>7137</v>
      </c>
      <c r="T271" s="23" t="s">
        <v>7138</v>
      </c>
      <c r="U271" s="23" t="s">
        <v>7139</v>
      </c>
      <c r="V271" s="23" t="s">
        <v>7140</v>
      </c>
      <c r="W271" s="23" t="s">
        <v>7141</v>
      </c>
      <c r="X271" s="23" t="s">
        <v>7142</v>
      </c>
      <c r="Y271" s="31" t="s">
        <v>7143</v>
      </c>
      <c r="Z271" s="23" t="s">
        <v>7144</v>
      </c>
      <c r="AA271" s="23" t="s">
        <v>7145</v>
      </c>
      <c r="AB271" s="26" t="s">
        <v>7146</v>
      </c>
      <c r="AC271" s="23" t="s">
        <v>7147</v>
      </c>
      <c r="AD271" s="19"/>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1"/>
      <c r="BK271" s="21"/>
      <c r="BL271" s="21"/>
    </row>
    <row r="272">
      <c r="A272" s="22" t="s">
        <v>7148</v>
      </c>
      <c r="B272" s="23" t="s">
        <v>7149</v>
      </c>
      <c r="C272" s="24" t="s">
        <v>7150</v>
      </c>
      <c r="D272" s="23" t="s">
        <v>7151</v>
      </c>
      <c r="E272" s="23" t="s">
        <v>7152</v>
      </c>
      <c r="F272" s="23" t="s">
        <v>7153</v>
      </c>
      <c r="G272" s="23" t="s">
        <v>7154</v>
      </c>
      <c r="H272" s="23" t="s">
        <v>7155</v>
      </c>
      <c r="I272" s="23" t="s">
        <v>7156</v>
      </c>
      <c r="J272" s="23" t="s">
        <v>7157</v>
      </c>
      <c r="K272" s="25" t="s">
        <v>7158</v>
      </c>
      <c r="L272" s="23" t="s">
        <v>7159</v>
      </c>
      <c r="M272" s="23" t="s">
        <v>7160</v>
      </c>
      <c r="N272" s="26" t="s">
        <v>7161</v>
      </c>
      <c r="O272" s="27" t="s">
        <v>7162</v>
      </c>
      <c r="P272" s="28" t="s">
        <v>7163</v>
      </c>
      <c r="Q272" s="29" t="s">
        <v>7164</v>
      </c>
      <c r="R272" s="30" t="s">
        <v>7165</v>
      </c>
      <c r="S272" s="23" t="s">
        <v>7166</v>
      </c>
      <c r="T272" s="23" t="s">
        <v>7167</v>
      </c>
      <c r="U272" s="23" t="s">
        <v>7168</v>
      </c>
      <c r="V272" s="23" t="s">
        <v>7169</v>
      </c>
      <c r="W272" s="23" t="s">
        <v>7170</v>
      </c>
      <c r="X272" s="23" t="s">
        <v>7171</v>
      </c>
      <c r="Y272" s="31" t="s">
        <v>7172</v>
      </c>
      <c r="Z272" s="23" t="s">
        <v>7173</v>
      </c>
      <c r="AA272" s="23" t="s">
        <v>7174</v>
      </c>
      <c r="AB272" s="26" t="s">
        <v>7175</v>
      </c>
      <c r="AC272" s="23" t="s">
        <v>7176</v>
      </c>
      <c r="AD272" s="19"/>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1"/>
      <c r="BK272" s="21"/>
      <c r="BL272" s="21"/>
    </row>
    <row r="273">
      <c r="A273" s="22" t="s">
        <v>7177</v>
      </c>
      <c r="B273" s="23" t="s">
        <v>7178</v>
      </c>
      <c r="C273" s="24" t="s">
        <v>7179</v>
      </c>
      <c r="D273" s="23" t="s">
        <v>7180</v>
      </c>
      <c r="E273" s="23" t="s">
        <v>7181</v>
      </c>
      <c r="F273" s="23" t="s">
        <v>7182</v>
      </c>
      <c r="G273" s="23" t="s">
        <v>7183</v>
      </c>
      <c r="H273" s="23" t="s">
        <v>7184</v>
      </c>
      <c r="I273" s="23" t="s">
        <v>7185</v>
      </c>
      <c r="J273" s="23" t="s">
        <v>7186</v>
      </c>
      <c r="K273" s="25" t="s">
        <v>7187</v>
      </c>
      <c r="L273" s="23" t="s">
        <v>7188</v>
      </c>
      <c r="M273" s="23" t="s">
        <v>7189</v>
      </c>
      <c r="N273" s="26" t="s">
        <v>7190</v>
      </c>
      <c r="O273" s="27" t="s">
        <v>7191</v>
      </c>
      <c r="P273" s="28" t="s">
        <v>7192</v>
      </c>
      <c r="Q273" s="29" t="s">
        <v>7193</v>
      </c>
      <c r="R273" s="30" t="s">
        <v>7194</v>
      </c>
      <c r="S273" s="23" t="s">
        <v>7195</v>
      </c>
      <c r="T273" s="23" t="s">
        <v>7196</v>
      </c>
      <c r="U273" s="23" t="s">
        <v>7197</v>
      </c>
      <c r="V273" s="23" t="s">
        <v>7198</v>
      </c>
      <c r="W273" s="23" t="s">
        <v>7199</v>
      </c>
      <c r="X273" s="23" t="s">
        <v>7200</v>
      </c>
      <c r="Y273" s="31" t="s">
        <v>7201</v>
      </c>
      <c r="Z273" s="23" t="s">
        <v>7202</v>
      </c>
      <c r="AA273" s="23" t="s">
        <v>7203</v>
      </c>
      <c r="AB273" s="26" t="s">
        <v>7190</v>
      </c>
      <c r="AC273" s="23" t="s">
        <v>7204</v>
      </c>
      <c r="AD273" s="19"/>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1"/>
      <c r="BK273" s="21"/>
      <c r="BL273" s="21"/>
    </row>
    <row r="274">
      <c r="A274" s="22" t="s">
        <v>7205</v>
      </c>
      <c r="B274" s="23" t="s">
        <v>7206</v>
      </c>
      <c r="C274" s="24" t="s">
        <v>7207</v>
      </c>
      <c r="D274" s="23" t="s">
        <v>7208</v>
      </c>
      <c r="E274" s="23" t="s">
        <v>7209</v>
      </c>
      <c r="F274" s="23" t="s">
        <v>7210</v>
      </c>
      <c r="G274" s="23" t="s">
        <v>7211</v>
      </c>
      <c r="H274" s="23" t="s">
        <v>7212</v>
      </c>
      <c r="I274" s="23" t="s">
        <v>7213</v>
      </c>
      <c r="J274" s="23" t="s">
        <v>7214</v>
      </c>
      <c r="K274" s="25" t="s">
        <v>7215</v>
      </c>
      <c r="L274" s="23" t="s">
        <v>7216</v>
      </c>
      <c r="M274" s="23" t="s">
        <v>7217</v>
      </c>
      <c r="N274" s="26" t="s">
        <v>7218</v>
      </c>
      <c r="O274" s="27" t="s">
        <v>7219</v>
      </c>
      <c r="P274" s="28" t="s">
        <v>7220</v>
      </c>
      <c r="Q274" s="29" t="s">
        <v>7221</v>
      </c>
      <c r="R274" s="30" t="s">
        <v>7222</v>
      </c>
      <c r="S274" s="23" t="s">
        <v>7223</v>
      </c>
      <c r="T274" s="23" t="s">
        <v>7224</v>
      </c>
      <c r="U274" s="23" t="s">
        <v>7225</v>
      </c>
      <c r="V274" s="23" t="s">
        <v>7226</v>
      </c>
      <c r="W274" s="23" t="s">
        <v>7227</v>
      </c>
      <c r="X274" s="23" t="s">
        <v>7228</v>
      </c>
      <c r="Y274" s="31" t="s">
        <v>7229</v>
      </c>
      <c r="Z274" s="23" t="s">
        <v>7230</v>
      </c>
      <c r="AA274" s="23" t="s">
        <v>7231</v>
      </c>
      <c r="AB274" s="26" t="s">
        <v>7232</v>
      </c>
      <c r="AC274" s="23" t="s">
        <v>7233</v>
      </c>
      <c r="AD274" s="19"/>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1"/>
      <c r="BK274" s="21"/>
      <c r="BL274" s="21"/>
    </row>
    <row r="275">
      <c r="A275" s="22" t="s">
        <v>7234</v>
      </c>
      <c r="B275" s="23" t="s">
        <v>7235</v>
      </c>
      <c r="C275" s="24" t="s">
        <v>7236</v>
      </c>
      <c r="D275" s="23" t="s">
        <v>7237</v>
      </c>
      <c r="E275" s="23" t="s">
        <v>7238</v>
      </c>
      <c r="F275" s="23" t="s">
        <v>7239</v>
      </c>
      <c r="G275" s="23" t="s">
        <v>7240</v>
      </c>
      <c r="H275" s="23" t="s">
        <v>7241</v>
      </c>
      <c r="I275" s="23" t="s">
        <v>7242</v>
      </c>
      <c r="J275" s="23" t="s">
        <v>7243</v>
      </c>
      <c r="K275" s="25" t="s">
        <v>7244</v>
      </c>
      <c r="L275" s="23" t="s">
        <v>7245</v>
      </c>
      <c r="M275" s="23" t="s">
        <v>7246</v>
      </c>
      <c r="N275" s="26" t="s">
        <v>7247</v>
      </c>
      <c r="O275" s="27" t="s">
        <v>7248</v>
      </c>
      <c r="P275" s="28" t="s">
        <v>7249</v>
      </c>
      <c r="Q275" s="29" t="s">
        <v>7250</v>
      </c>
      <c r="R275" s="30" t="s">
        <v>7251</v>
      </c>
      <c r="S275" s="23" t="s">
        <v>7252</v>
      </c>
      <c r="T275" s="23" t="s">
        <v>7253</v>
      </c>
      <c r="U275" s="23" t="s">
        <v>7254</v>
      </c>
      <c r="V275" s="23" t="s">
        <v>7255</v>
      </c>
      <c r="W275" s="23" t="s">
        <v>7256</v>
      </c>
      <c r="X275" s="23" t="s">
        <v>7257</v>
      </c>
      <c r="Y275" s="31" t="s">
        <v>7258</v>
      </c>
      <c r="Z275" s="23" t="s">
        <v>7259</v>
      </c>
      <c r="AA275" s="23" t="s">
        <v>7260</v>
      </c>
      <c r="AB275" s="26" t="s">
        <v>7261</v>
      </c>
      <c r="AC275" s="23" t="s">
        <v>7262</v>
      </c>
      <c r="AD275" s="19"/>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1"/>
      <c r="BK275" s="21"/>
      <c r="BL275" s="21"/>
    </row>
    <row r="276">
      <c r="A276" s="22" t="s">
        <v>7263</v>
      </c>
      <c r="B276" s="23" t="s">
        <v>7264</v>
      </c>
      <c r="C276" s="24" t="s">
        <v>7265</v>
      </c>
      <c r="D276" s="23" t="s">
        <v>7266</v>
      </c>
      <c r="E276" s="23" t="s">
        <v>7267</v>
      </c>
      <c r="F276" s="23" t="s">
        <v>7268</v>
      </c>
      <c r="G276" s="23" t="s">
        <v>7269</v>
      </c>
      <c r="H276" s="23" t="s">
        <v>7270</v>
      </c>
      <c r="I276" s="23" t="s">
        <v>7271</v>
      </c>
      <c r="J276" s="23" t="s">
        <v>7272</v>
      </c>
      <c r="K276" s="25" t="s">
        <v>7273</v>
      </c>
      <c r="L276" s="23" t="s">
        <v>7274</v>
      </c>
      <c r="M276" s="23" t="s">
        <v>7275</v>
      </c>
      <c r="N276" s="26" t="s">
        <v>7276</v>
      </c>
      <c r="O276" s="27" t="s">
        <v>7277</v>
      </c>
      <c r="P276" s="28" t="s">
        <v>7278</v>
      </c>
      <c r="Q276" s="29" t="s">
        <v>7279</v>
      </c>
      <c r="R276" s="30" t="s">
        <v>7280</v>
      </c>
      <c r="S276" s="23" t="s">
        <v>7281</v>
      </c>
      <c r="T276" s="23" t="s">
        <v>7282</v>
      </c>
      <c r="U276" s="23" t="s">
        <v>7283</v>
      </c>
      <c r="V276" s="23" t="s">
        <v>7284</v>
      </c>
      <c r="W276" s="23" t="s">
        <v>7285</v>
      </c>
      <c r="X276" s="23" t="s">
        <v>7286</v>
      </c>
      <c r="Y276" s="31" t="s">
        <v>7287</v>
      </c>
      <c r="Z276" s="23" t="s">
        <v>7288</v>
      </c>
      <c r="AA276" s="23" t="s">
        <v>7289</v>
      </c>
      <c r="AB276" s="26" t="s">
        <v>7290</v>
      </c>
      <c r="AC276" s="23" t="s">
        <v>7291</v>
      </c>
      <c r="AD276" s="19"/>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1"/>
      <c r="BK276" s="21"/>
      <c r="BL276" s="21"/>
    </row>
    <row r="277">
      <c r="A277" s="22" t="s">
        <v>7292</v>
      </c>
      <c r="B277" s="23" t="s">
        <v>7293</v>
      </c>
      <c r="C277" s="24" t="s">
        <v>7294</v>
      </c>
      <c r="D277" s="23" t="s">
        <v>7295</v>
      </c>
      <c r="E277" s="23" t="s">
        <v>7296</v>
      </c>
      <c r="F277" s="23" t="s">
        <v>7297</v>
      </c>
      <c r="G277" s="23" t="s">
        <v>7298</v>
      </c>
      <c r="H277" s="23" t="s">
        <v>7299</v>
      </c>
      <c r="I277" s="23" t="s">
        <v>7300</v>
      </c>
      <c r="J277" s="23" t="s">
        <v>7301</v>
      </c>
      <c r="K277" s="25" t="s">
        <v>7302</v>
      </c>
      <c r="L277" s="23" t="s">
        <v>7303</v>
      </c>
      <c r="M277" s="23" t="s">
        <v>7304</v>
      </c>
      <c r="N277" s="23" t="s">
        <v>7305</v>
      </c>
      <c r="O277" s="27" t="s">
        <v>7306</v>
      </c>
      <c r="P277" s="28" t="s">
        <v>7307</v>
      </c>
      <c r="Q277" s="29" t="s">
        <v>7308</v>
      </c>
      <c r="R277" s="30" t="s">
        <v>7309</v>
      </c>
      <c r="S277" s="23" t="s">
        <v>7310</v>
      </c>
      <c r="T277" s="23" t="s">
        <v>7311</v>
      </c>
      <c r="U277" s="23" t="s">
        <v>7312</v>
      </c>
      <c r="V277" s="23" t="s">
        <v>7313</v>
      </c>
      <c r="W277" s="23" t="s">
        <v>7314</v>
      </c>
      <c r="X277" s="23" t="s">
        <v>7315</v>
      </c>
      <c r="Y277" s="31" t="s">
        <v>7316</v>
      </c>
      <c r="Z277" s="23" t="s">
        <v>7317</v>
      </c>
      <c r="AA277" s="23" t="s">
        <v>7318</v>
      </c>
      <c r="AB277" s="26" t="s">
        <v>7319</v>
      </c>
      <c r="AC277" s="23" t="s">
        <v>7320</v>
      </c>
      <c r="AD277" s="19"/>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1"/>
      <c r="BK277" s="21"/>
      <c r="BL277" s="21"/>
    </row>
    <row r="278">
      <c r="A278" s="22" t="s">
        <v>7321</v>
      </c>
      <c r="B278" s="23" t="s">
        <v>7322</v>
      </c>
      <c r="C278" s="24" t="s">
        <v>7323</v>
      </c>
      <c r="D278" s="23" t="s">
        <v>7324</v>
      </c>
      <c r="E278" s="23" t="s">
        <v>7325</v>
      </c>
      <c r="F278" s="23" t="s">
        <v>7326</v>
      </c>
      <c r="G278" s="23" t="s">
        <v>7327</v>
      </c>
      <c r="H278" s="23" t="s">
        <v>7328</v>
      </c>
      <c r="I278" s="23" t="s">
        <v>7329</v>
      </c>
      <c r="J278" s="23" t="s">
        <v>7330</v>
      </c>
      <c r="K278" s="25" t="s">
        <v>7331</v>
      </c>
      <c r="L278" s="23" t="s">
        <v>7332</v>
      </c>
      <c r="M278" s="23" t="s">
        <v>7333</v>
      </c>
      <c r="N278" s="26" t="s">
        <v>7334</v>
      </c>
      <c r="O278" s="27" t="s">
        <v>7335</v>
      </c>
      <c r="P278" s="28" t="s">
        <v>7336</v>
      </c>
      <c r="Q278" s="29" t="s">
        <v>7337</v>
      </c>
      <c r="R278" s="30" t="s">
        <v>7338</v>
      </c>
      <c r="S278" s="23" t="s">
        <v>7339</v>
      </c>
      <c r="T278" s="23" t="s">
        <v>7332</v>
      </c>
      <c r="U278" s="23" t="s">
        <v>7340</v>
      </c>
      <c r="V278" s="23" t="s">
        <v>7341</v>
      </c>
      <c r="W278" s="23" t="s">
        <v>7342</v>
      </c>
      <c r="X278" s="23" t="s">
        <v>7343</v>
      </c>
      <c r="Y278" s="31" t="s">
        <v>7344</v>
      </c>
      <c r="Z278" s="23" t="s">
        <v>7345</v>
      </c>
      <c r="AA278" s="23" t="s">
        <v>7346</v>
      </c>
      <c r="AB278" s="26" t="s">
        <v>7347</v>
      </c>
      <c r="AC278" s="23" t="s">
        <v>7348</v>
      </c>
      <c r="AD278" s="19"/>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1"/>
      <c r="BK278" s="21"/>
      <c r="BL278" s="21"/>
    </row>
    <row r="279">
      <c r="A279" s="22" t="s">
        <v>7349</v>
      </c>
      <c r="B279" s="23" t="s">
        <v>7350</v>
      </c>
      <c r="C279" s="24" t="s">
        <v>7351</v>
      </c>
      <c r="D279" s="23" t="s">
        <v>7352</v>
      </c>
      <c r="E279" s="23" t="s">
        <v>7353</v>
      </c>
      <c r="F279" s="23" t="s">
        <v>7354</v>
      </c>
      <c r="G279" s="23" t="s">
        <v>7355</v>
      </c>
      <c r="H279" s="23" t="s">
        <v>7356</v>
      </c>
      <c r="I279" s="23" t="s">
        <v>7357</v>
      </c>
      <c r="J279" s="23" t="s">
        <v>7358</v>
      </c>
      <c r="K279" s="25" t="s">
        <v>7359</v>
      </c>
      <c r="L279" s="23" t="s">
        <v>7360</v>
      </c>
      <c r="M279" s="23" t="s">
        <v>7361</v>
      </c>
      <c r="N279" s="26" t="s">
        <v>7362</v>
      </c>
      <c r="O279" s="27" t="s">
        <v>7363</v>
      </c>
      <c r="P279" s="28" t="s">
        <v>7364</v>
      </c>
      <c r="Q279" s="29" t="s">
        <v>7365</v>
      </c>
      <c r="R279" s="30" t="s">
        <v>7366</v>
      </c>
      <c r="S279" s="23" t="s">
        <v>7367</v>
      </c>
      <c r="T279" s="23" t="s">
        <v>7368</v>
      </c>
      <c r="U279" s="23" t="s">
        <v>7369</v>
      </c>
      <c r="V279" s="23" t="s">
        <v>7370</v>
      </c>
      <c r="W279" s="23" t="s">
        <v>7371</v>
      </c>
      <c r="X279" s="23" t="s">
        <v>7372</v>
      </c>
      <c r="Y279" s="31" t="s">
        <v>7373</v>
      </c>
      <c r="Z279" s="23" t="s">
        <v>7374</v>
      </c>
      <c r="AA279" s="23" t="s">
        <v>7375</v>
      </c>
      <c r="AB279" s="26" t="s">
        <v>7362</v>
      </c>
      <c r="AC279" s="23" t="s">
        <v>7376</v>
      </c>
      <c r="AD279" s="19"/>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1"/>
      <c r="BK279" s="21"/>
      <c r="BL279" s="21"/>
    </row>
    <row r="280">
      <c r="A280" s="22" t="s">
        <v>7377</v>
      </c>
      <c r="B280" s="23" t="s">
        <v>7378</v>
      </c>
      <c r="C280" s="24" t="s">
        <v>7379</v>
      </c>
      <c r="D280" s="23" t="s">
        <v>7380</v>
      </c>
      <c r="E280" s="23" t="s">
        <v>7381</v>
      </c>
      <c r="F280" s="23" t="s">
        <v>7382</v>
      </c>
      <c r="G280" s="23" t="s">
        <v>7383</v>
      </c>
      <c r="H280" s="23" t="s">
        <v>7384</v>
      </c>
      <c r="I280" s="23" t="s">
        <v>7385</v>
      </c>
      <c r="J280" s="23" t="s">
        <v>7386</v>
      </c>
      <c r="K280" s="25" t="s">
        <v>7387</v>
      </c>
      <c r="L280" s="23" t="s">
        <v>7388</v>
      </c>
      <c r="M280" s="23" t="s">
        <v>7389</v>
      </c>
      <c r="N280" s="26" t="s">
        <v>7390</v>
      </c>
      <c r="O280" s="27" t="s">
        <v>7391</v>
      </c>
      <c r="P280" s="28" t="s">
        <v>7392</v>
      </c>
      <c r="Q280" s="29" t="s">
        <v>7393</v>
      </c>
      <c r="R280" s="30" t="s">
        <v>7394</v>
      </c>
      <c r="S280" s="23" t="s">
        <v>7395</v>
      </c>
      <c r="T280" s="23" t="s">
        <v>7388</v>
      </c>
      <c r="U280" s="23" t="s">
        <v>7381</v>
      </c>
      <c r="V280" s="23" t="s">
        <v>7396</v>
      </c>
      <c r="W280" s="23" t="s">
        <v>7397</v>
      </c>
      <c r="X280" s="23" t="s">
        <v>7398</v>
      </c>
      <c r="Y280" s="31" t="s">
        <v>7399</v>
      </c>
      <c r="Z280" s="23" t="s">
        <v>7400</v>
      </c>
      <c r="AA280" s="23" t="s">
        <v>7401</v>
      </c>
      <c r="AB280" s="26" t="s">
        <v>7402</v>
      </c>
      <c r="AC280" s="23" t="s">
        <v>7403</v>
      </c>
      <c r="AD280" s="19"/>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1"/>
      <c r="BK280" s="21"/>
      <c r="BL280" s="21"/>
    </row>
    <row r="281">
      <c r="A281" s="22" t="s">
        <v>7404</v>
      </c>
      <c r="B281" s="23" t="s">
        <v>7405</v>
      </c>
      <c r="C281" s="24" t="s">
        <v>7406</v>
      </c>
      <c r="D281" s="23" t="s">
        <v>7407</v>
      </c>
      <c r="E281" s="23" t="s">
        <v>7408</v>
      </c>
      <c r="F281" s="23" t="s">
        <v>7409</v>
      </c>
      <c r="G281" s="23" t="s">
        <v>7410</v>
      </c>
      <c r="H281" s="23" t="s">
        <v>7411</v>
      </c>
      <c r="I281" s="23" t="s">
        <v>7412</v>
      </c>
      <c r="J281" s="23" t="s">
        <v>7413</v>
      </c>
      <c r="K281" s="25" t="s">
        <v>7414</v>
      </c>
      <c r="L281" s="23" t="s">
        <v>7415</v>
      </c>
      <c r="M281" s="23" t="s">
        <v>7416</v>
      </c>
      <c r="N281" s="26" t="s">
        <v>7417</v>
      </c>
      <c r="O281" s="27" t="s">
        <v>7418</v>
      </c>
      <c r="P281" s="28" t="s">
        <v>7419</v>
      </c>
      <c r="Q281" s="29" t="s">
        <v>7420</v>
      </c>
      <c r="R281" s="30" t="s">
        <v>7421</v>
      </c>
      <c r="S281" s="23" t="s">
        <v>7422</v>
      </c>
      <c r="T281" s="23" t="s">
        <v>7423</v>
      </c>
      <c r="U281" s="23" t="s">
        <v>7424</v>
      </c>
      <c r="V281" s="23" t="s">
        <v>7425</v>
      </c>
      <c r="W281" s="23" t="s">
        <v>7426</v>
      </c>
      <c r="X281" s="23" t="s">
        <v>7427</v>
      </c>
      <c r="Y281" s="31" t="s">
        <v>7428</v>
      </c>
      <c r="Z281" s="23" t="s">
        <v>7429</v>
      </c>
      <c r="AA281" s="23" t="s">
        <v>7430</v>
      </c>
      <c r="AB281" s="26" t="s">
        <v>7431</v>
      </c>
      <c r="AC281" s="23" t="s">
        <v>7432</v>
      </c>
      <c r="AD281" s="19"/>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1"/>
      <c r="BK281" s="21"/>
      <c r="BL281" s="21"/>
    </row>
    <row r="282">
      <c r="A282" s="22" t="s">
        <v>7433</v>
      </c>
      <c r="B282" s="23" t="s">
        <v>7434</v>
      </c>
      <c r="C282" s="24" t="s">
        <v>7435</v>
      </c>
      <c r="D282" s="23" t="s">
        <v>7436</v>
      </c>
      <c r="E282" s="23" t="s">
        <v>7437</v>
      </c>
      <c r="F282" s="23" t="s">
        <v>7438</v>
      </c>
      <c r="G282" s="23" t="s">
        <v>7439</v>
      </c>
      <c r="H282" s="23" t="s">
        <v>7440</v>
      </c>
      <c r="I282" s="23" t="s">
        <v>7441</v>
      </c>
      <c r="J282" s="23" t="s">
        <v>7442</v>
      </c>
      <c r="K282" s="25" t="s">
        <v>7443</v>
      </c>
      <c r="L282" s="23" t="s">
        <v>7444</v>
      </c>
      <c r="M282" s="23" t="s">
        <v>7445</v>
      </c>
      <c r="N282" s="26" t="s">
        <v>7446</v>
      </c>
      <c r="O282" s="27" t="s">
        <v>7447</v>
      </c>
      <c r="P282" s="28" t="s">
        <v>7448</v>
      </c>
      <c r="Q282" s="29" t="s">
        <v>7449</v>
      </c>
      <c r="R282" s="30" t="s">
        <v>7450</v>
      </c>
      <c r="S282" s="23" t="s">
        <v>7451</v>
      </c>
      <c r="T282" s="23" t="s">
        <v>7444</v>
      </c>
      <c r="U282" s="23" t="s">
        <v>7452</v>
      </c>
      <c r="V282" s="23" t="s">
        <v>7453</v>
      </c>
      <c r="W282" s="23" t="s">
        <v>7439</v>
      </c>
      <c r="X282" s="23" t="s">
        <v>7454</v>
      </c>
      <c r="Y282" s="31" t="s">
        <v>7455</v>
      </c>
      <c r="Z282" s="23" t="s">
        <v>7456</v>
      </c>
      <c r="AA282" s="23" t="s">
        <v>7457</v>
      </c>
      <c r="AB282" s="26" t="s">
        <v>7458</v>
      </c>
      <c r="AC282" s="23" t="s">
        <v>7459</v>
      </c>
      <c r="AD282" s="19"/>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1"/>
      <c r="BK282" s="21"/>
      <c r="BL282" s="21"/>
    </row>
    <row r="283">
      <c r="A283" s="22" t="s">
        <v>7460</v>
      </c>
      <c r="B283" s="23" t="s">
        <v>7461</v>
      </c>
      <c r="C283" s="24" t="s">
        <v>7462</v>
      </c>
      <c r="D283" s="23" t="s">
        <v>7461</v>
      </c>
      <c r="E283" s="23" t="s">
        <v>7461</v>
      </c>
      <c r="F283" s="23" t="s">
        <v>7463</v>
      </c>
      <c r="G283" s="23" t="s">
        <v>7464</v>
      </c>
      <c r="H283" s="23" t="s">
        <v>7465</v>
      </c>
      <c r="I283" s="23" t="s">
        <v>7466</v>
      </c>
      <c r="J283" s="23" t="s">
        <v>7467</v>
      </c>
      <c r="K283" s="25" t="s">
        <v>7468</v>
      </c>
      <c r="L283" s="23" t="s">
        <v>7461</v>
      </c>
      <c r="M283" s="23" t="s">
        <v>7469</v>
      </c>
      <c r="N283" s="26" t="s">
        <v>7470</v>
      </c>
      <c r="O283" s="27" t="s">
        <v>7471</v>
      </c>
      <c r="P283" s="28" t="s">
        <v>7472</v>
      </c>
      <c r="Q283" s="29" t="s">
        <v>7473</v>
      </c>
      <c r="R283" s="30" t="s">
        <v>7474</v>
      </c>
      <c r="S283" s="23" t="s">
        <v>7475</v>
      </c>
      <c r="T283" s="23" t="s">
        <v>7461</v>
      </c>
      <c r="U283" s="23" t="s">
        <v>7476</v>
      </c>
      <c r="V283" s="23" t="s">
        <v>7477</v>
      </c>
      <c r="W283" s="23" t="s">
        <v>7478</v>
      </c>
      <c r="X283" s="23" t="s">
        <v>7479</v>
      </c>
      <c r="Y283" s="31" t="s">
        <v>7480</v>
      </c>
      <c r="Z283" s="23" t="s">
        <v>7481</v>
      </c>
      <c r="AA283" s="23" t="s">
        <v>7482</v>
      </c>
      <c r="AB283" s="26" t="s">
        <v>7483</v>
      </c>
      <c r="AC283" s="23" t="s">
        <v>7484</v>
      </c>
      <c r="AD283" s="19"/>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1"/>
      <c r="BK283" s="21"/>
      <c r="BL283" s="21"/>
    </row>
    <row r="284">
      <c r="A284" s="22" t="s">
        <v>7485</v>
      </c>
      <c r="B284" s="23" t="s">
        <v>7486</v>
      </c>
      <c r="C284" s="24" t="s">
        <v>7487</v>
      </c>
      <c r="D284" s="23" t="s">
        <v>7488</v>
      </c>
      <c r="E284" s="23" t="s">
        <v>7489</v>
      </c>
      <c r="F284" s="23" t="s">
        <v>7490</v>
      </c>
      <c r="G284" s="23" t="s">
        <v>7491</v>
      </c>
      <c r="H284" s="23" t="s">
        <v>7492</v>
      </c>
      <c r="I284" s="23" t="s">
        <v>7493</v>
      </c>
      <c r="J284" s="23" t="s">
        <v>7494</v>
      </c>
      <c r="K284" s="25" t="s">
        <v>7495</v>
      </c>
      <c r="L284" s="23" t="s">
        <v>7496</v>
      </c>
      <c r="M284" s="23" t="s">
        <v>7497</v>
      </c>
      <c r="N284" s="26" t="s">
        <v>7498</v>
      </c>
      <c r="O284" s="27" t="s">
        <v>7499</v>
      </c>
      <c r="P284" s="28" t="s">
        <v>7500</v>
      </c>
      <c r="Q284" s="29" t="s">
        <v>7501</v>
      </c>
      <c r="R284" s="30" t="s">
        <v>7502</v>
      </c>
      <c r="S284" s="23" t="s">
        <v>7503</v>
      </c>
      <c r="T284" s="23" t="s">
        <v>7504</v>
      </c>
      <c r="U284" s="23" t="s">
        <v>7505</v>
      </c>
      <c r="V284" s="23" t="s">
        <v>7506</v>
      </c>
      <c r="W284" s="23" t="s">
        <v>7507</v>
      </c>
      <c r="X284" s="23" t="s">
        <v>7508</v>
      </c>
      <c r="Y284" s="31" t="s">
        <v>7509</v>
      </c>
      <c r="Z284" s="23" t="s">
        <v>7510</v>
      </c>
      <c r="AA284" s="23" t="s">
        <v>7511</v>
      </c>
      <c r="AB284" s="26" t="s">
        <v>7512</v>
      </c>
      <c r="AC284" s="23" t="s">
        <v>7513</v>
      </c>
      <c r="AD284" s="19"/>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1"/>
      <c r="BK284" s="21"/>
      <c r="BL284" s="21"/>
    </row>
    <row r="285">
      <c r="A285" s="22" t="s">
        <v>7514</v>
      </c>
      <c r="B285" s="23" t="s">
        <v>7515</v>
      </c>
      <c r="C285" s="24" t="s">
        <v>7516</v>
      </c>
      <c r="D285" s="23" t="s">
        <v>7517</v>
      </c>
      <c r="E285" s="23" t="s">
        <v>7518</v>
      </c>
      <c r="F285" s="23" t="s">
        <v>7519</v>
      </c>
      <c r="G285" s="23" t="s">
        <v>7520</v>
      </c>
      <c r="H285" s="23" t="s">
        <v>7521</v>
      </c>
      <c r="I285" s="23" t="s">
        <v>7522</v>
      </c>
      <c r="J285" s="23" t="s">
        <v>7523</v>
      </c>
      <c r="K285" s="25" t="s">
        <v>7524</v>
      </c>
      <c r="L285" s="23" t="s">
        <v>7525</v>
      </c>
      <c r="M285" s="23" t="s">
        <v>7526</v>
      </c>
      <c r="N285" s="26" t="s">
        <v>7527</v>
      </c>
      <c r="O285" s="27" t="s">
        <v>7528</v>
      </c>
      <c r="P285" s="28" t="s">
        <v>7529</v>
      </c>
      <c r="Q285" s="29" t="s">
        <v>7530</v>
      </c>
      <c r="R285" s="30" t="s">
        <v>7531</v>
      </c>
      <c r="S285" s="23" t="s">
        <v>7532</v>
      </c>
      <c r="T285" s="23" t="s">
        <v>7525</v>
      </c>
      <c r="U285" s="23" t="s">
        <v>7518</v>
      </c>
      <c r="V285" s="23" t="s">
        <v>7533</v>
      </c>
      <c r="W285" s="23" t="s">
        <v>7526</v>
      </c>
      <c r="X285" s="23" t="s">
        <v>7534</v>
      </c>
      <c r="Y285" s="31" t="s">
        <v>7535</v>
      </c>
      <c r="Z285" s="23" t="s">
        <v>7536</v>
      </c>
      <c r="AA285" s="23" t="s">
        <v>7537</v>
      </c>
      <c r="AB285" s="26" t="s">
        <v>7538</v>
      </c>
      <c r="AC285" s="23" t="s">
        <v>7539</v>
      </c>
      <c r="AD285" s="19"/>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1"/>
      <c r="BK285" s="21"/>
      <c r="BL285" s="21"/>
    </row>
    <row r="286">
      <c r="A286" s="22" t="s">
        <v>7540</v>
      </c>
      <c r="B286" s="23" t="s">
        <v>7541</v>
      </c>
      <c r="C286" s="24" t="s">
        <v>7542</v>
      </c>
      <c r="D286" s="23" t="s">
        <v>7543</v>
      </c>
      <c r="E286" s="23" t="s">
        <v>7544</v>
      </c>
      <c r="F286" s="23" t="s">
        <v>7545</v>
      </c>
      <c r="G286" s="23" t="s">
        <v>7546</v>
      </c>
      <c r="H286" s="23" t="s">
        <v>7547</v>
      </c>
      <c r="I286" s="23" t="s">
        <v>7548</v>
      </c>
      <c r="J286" s="23" t="s">
        <v>7549</v>
      </c>
      <c r="K286" s="25" t="s">
        <v>7550</v>
      </c>
      <c r="L286" s="23" t="s">
        <v>7551</v>
      </c>
      <c r="M286" s="23" t="s">
        <v>7552</v>
      </c>
      <c r="N286" s="26" t="s">
        <v>7553</v>
      </c>
      <c r="O286" s="27" t="s">
        <v>7554</v>
      </c>
      <c r="P286" s="28" t="s">
        <v>7555</v>
      </c>
      <c r="Q286" s="29" t="s">
        <v>7556</v>
      </c>
      <c r="R286" s="30" t="s">
        <v>7557</v>
      </c>
      <c r="S286" s="23" t="s">
        <v>7558</v>
      </c>
      <c r="T286" s="23" t="s">
        <v>7551</v>
      </c>
      <c r="U286" s="23" t="s">
        <v>7559</v>
      </c>
      <c r="V286" s="23" t="s">
        <v>7560</v>
      </c>
      <c r="W286" s="23" t="s">
        <v>7561</v>
      </c>
      <c r="X286" s="23" t="s">
        <v>7562</v>
      </c>
      <c r="Y286" s="31" t="s">
        <v>7563</v>
      </c>
      <c r="Z286" s="23" t="s">
        <v>7564</v>
      </c>
      <c r="AA286" s="23" t="s">
        <v>7565</v>
      </c>
      <c r="AB286" s="26" t="s">
        <v>7566</v>
      </c>
      <c r="AC286" s="23" t="s">
        <v>7567</v>
      </c>
      <c r="AD286" s="19"/>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1"/>
      <c r="BK286" s="21"/>
      <c r="BL286" s="21"/>
    </row>
    <row r="287">
      <c r="A287" s="22" t="s">
        <v>7568</v>
      </c>
      <c r="B287" s="23" t="s">
        <v>7569</v>
      </c>
      <c r="C287" s="24" t="s">
        <v>7570</v>
      </c>
      <c r="D287" s="23" t="s">
        <v>7571</v>
      </c>
      <c r="E287" s="23" t="s">
        <v>7572</v>
      </c>
      <c r="F287" s="23" t="s">
        <v>7573</v>
      </c>
      <c r="G287" s="23" t="s">
        <v>7574</v>
      </c>
      <c r="H287" s="23" t="s">
        <v>7575</v>
      </c>
      <c r="I287" s="23" t="s">
        <v>7576</v>
      </c>
      <c r="J287" s="23" t="s">
        <v>7577</v>
      </c>
      <c r="K287" s="25" t="s">
        <v>7578</v>
      </c>
      <c r="L287" s="23" t="s">
        <v>7579</v>
      </c>
      <c r="M287" s="23" t="s">
        <v>7580</v>
      </c>
      <c r="N287" s="26" t="s">
        <v>7581</v>
      </c>
      <c r="O287" s="27" t="s">
        <v>7582</v>
      </c>
      <c r="P287" s="28" t="s">
        <v>7583</v>
      </c>
      <c r="Q287" s="29" t="s">
        <v>7584</v>
      </c>
      <c r="R287" s="30" t="s">
        <v>7585</v>
      </c>
      <c r="S287" s="23" t="s">
        <v>7586</v>
      </c>
      <c r="T287" s="23" t="s">
        <v>7587</v>
      </c>
      <c r="U287" s="23" t="s">
        <v>7588</v>
      </c>
      <c r="V287" s="23" t="s">
        <v>7589</v>
      </c>
      <c r="W287" s="23" t="s">
        <v>7590</v>
      </c>
      <c r="X287" s="23" t="s">
        <v>7591</v>
      </c>
      <c r="Y287" s="31" t="s">
        <v>7592</v>
      </c>
      <c r="Z287" s="23" t="s">
        <v>7593</v>
      </c>
      <c r="AA287" s="23" t="s">
        <v>7594</v>
      </c>
      <c r="AB287" s="26" t="s">
        <v>7595</v>
      </c>
      <c r="AC287" s="23" t="s">
        <v>7596</v>
      </c>
      <c r="AD287" s="19"/>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1"/>
      <c r="BK287" s="21"/>
      <c r="BL287" s="21"/>
    </row>
    <row r="288">
      <c r="A288" s="22" t="s">
        <v>7597</v>
      </c>
      <c r="B288" s="23" t="s">
        <v>7598</v>
      </c>
      <c r="C288" s="24" t="s">
        <v>7599</v>
      </c>
      <c r="D288" s="23" t="s">
        <v>7600</v>
      </c>
      <c r="E288" s="23" t="s">
        <v>7601</v>
      </c>
      <c r="F288" s="23" t="s">
        <v>7602</v>
      </c>
      <c r="G288" s="23" t="s">
        <v>7603</v>
      </c>
      <c r="H288" s="23" t="s">
        <v>7604</v>
      </c>
      <c r="I288" s="23" t="s">
        <v>7605</v>
      </c>
      <c r="J288" s="23" t="s">
        <v>7606</v>
      </c>
      <c r="K288" s="25" t="s">
        <v>7607</v>
      </c>
      <c r="L288" s="23" t="s">
        <v>7608</v>
      </c>
      <c r="M288" s="23" t="s">
        <v>7609</v>
      </c>
      <c r="N288" s="26" t="s">
        <v>7610</v>
      </c>
      <c r="O288" s="27" t="s">
        <v>7611</v>
      </c>
      <c r="P288" s="28" t="s">
        <v>7612</v>
      </c>
      <c r="Q288" s="29" t="s">
        <v>7613</v>
      </c>
      <c r="R288" s="30" t="s">
        <v>7614</v>
      </c>
      <c r="S288" s="23" t="s">
        <v>7615</v>
      </c>
      <c r="T288" s="23" t="s">
        <v>7598</v>
      </c>
      <c r="U288" s="23" t="s">
        <v>7616</v>
      </c>
      <c r="V288" s="23" t="s">
        <v>7617</v>
      </c>
      <c r="W288" s="23" t="s">
        <v>7618</v>
      </c>
      <c r="X288" s="23" t="s">
        <v>7619</v>
      </c>
      <c r="Y288" s="31" t="s">
        <v>7620</v>
      </c>
      <c r="Z288" s="23" t="s">
        <v>7621</v>
      </c>
      <c r="AA288" s="23" t="s">
        <v>7622</v>
      </c>
      <c r="AB288" s="26" t="s">
        <v>7623</v>
      </c>
      <c r="AC288" s="23" t="s">
        <v>7624</v>
      </c>
      <c r="AD288" s="19"/>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1"/>
      <c r="BK288" s="21"/>
      <c r="BL288" s="21"/>
    </row>
    <row r="289">
      <c r="A289" s="22" t="s">
        <v>7625</v>
      </c>
      <c r="B289" s="23" t="s">
        <v>7626</v>
      </c>
      <c r="C289" s="24" t="s">
        <v>7627</v>
      </c>
      <c r="D289" s="23" t="s">
        <v>7626</v>
      </c>
      <c r="E289" s="23" t="s">
        <v>7626</v>
      </c>
      <c r="F289" s="23" t="s">
        <v>7628</v>
      </c>
      <c r="G289" s="23" t="s">
        <v>7626</v>
      </c>
      <c r="H289" s="23" t="s">
        <v>7626</v>
      </c>
      <c r="I289" s="23" t="s">
        <v>7626</v>
      </c>
      <c r="J289" s="23" t="s">
        <v>7626</v>
      </c>
      <c r="K289" s="25" t="s">
        <v>7629</v>
      </c>
      <c r="L289" s="23" t="s">
        <v>7626</v>
      </c>
      <c r="M289" s="23" t="s">
        <v>7626</v>
      </c>
      <c r="N289" s="26" t="s">
        <v>7630</v>
      </c>
      <c r="O289" s="27" t="s">
        <v>7631</v>
      </c>
      <c r="P289" s="28" t="s">
        <v>7632</v>
      </c>
      <c r="Q289" s="29" t="s">
        <v>7633</v>
      </c>
      <c r="R289" s="30" t="s">
        <v>7634</v>
      </c>
      <c r="S289" s="23" t="s">
        <v>7626</v>
      </c>
      <c r="T289" s="23" t="s">
        <v>7626</v>
      </c>
      <c r="U289" s="23" t="s">
        <v>7626</v>
      </c>
      <c r="V289" s="23" t="s">
        <v>7626</v>
      </c>
      <c r="W289" s="23" t="s">
        <v>7635</v>
      </c>
      <c r="X289" s="23" t="s">
        <v>7636</v>
      </c>
      <c r="Y289" s="31" t="s">
        <v>7637</v>
      </c>
      <c r="Z289" s="23" t="s">
        <v>7626</v>
      </c>
      <c r="AA289" s="23" t="s">
        <v>7638</v>
      </c>
      <c r="AB289" s="26" t="s">
        <v>7639</v>
      </c>
      <c r="AC289" s="23" t="s">
        <v>7640</v>
      </c>
      <c r="AD289" s="19"/>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1"/>
      <c r="BK289" s="21"/>
      <c r="BL289" s="21"/>
    </row>
    <row r="290">
      <c r="A290" s="22" t="s">
        <v>7641</v>
      </c>
      <c r="B290" s="23" t="s">
        <v>7642</v>
      </c>
      <c r="C290" s="24" t="s">
        <v>7643</v>
      </c>
      <c r="D290" s="23" t="s">
        <v>7642</v>
      </c>
      <c r="E290" s="23" t="s">
        <v>7644</v>
      </c>
      <c r="F290" s="23" t="s">
        <v>7645</v>
      </c>
      <c r="G290" s="23" t="s">
        <v>7646</v>
      </c>
      <c r="H290" s="23" t="s">
        <v>7647</v>
      </c>
      <c r="I290" s="23" t="s">
        <v>7648</v>
      </c>
      <c r="J290" s="23" t="s">
        <v>7649</v>
      </c>
      <c r="K290" s="25" t="s">
        <v>7650</v>
      </c>
      <c r="L290" s="23" t="s">
        <v>7651</v>
      </c>
      <c r="M290" s="23" t="s">
        <v>7652</v>
      </c>
      <c r="N290" s="26" t="s">
        <v>7653</v>
      </c>
      <c r="O290" s="27" t="s">
        <v>7654</v>
      </c>
      <c r="P290" s="28" t="s">
        <v>7655</v>
      </c>
      <c r="Q290" s="29" t="s">
        <v>7656</v>
      </c>
      <c r="R290" s="30" t="s">
        <v>7657</v>
      </c>
      <c r="S290" s="23" t="s">
        <v>7658</v>
      </c>
      <c r="T290" s="23" t="s">
        <v>7651</v>
      </c>
      <c r="U290" s="23" t="s">
        <v>7659</v>
      </c>
      <c r="V290" s="23" t="s">
        <v>7660</v>
      </c>
      <c r="W290" s="23" t="s">
        <v>7661</v>
      </c>
      <c r="X290" s="23" t="s">
        <v>7662</v>
      </c>
      <c r="Y290" s="31" t="s">
        <v>7663</v>
      </c>
      <c r="Z290" s="23" t="s">
        <v>7642</v>
      </c>
      <c r="AA290" s="23" t="s">
        <v>7664</v>
      </c>
      <c r="AB290" s="26" t="s">
        <v>7665</v>
      </c>
      <c r="AC290" s="23" t="s">
        <v>7666</v>
      </c>
      <c r="AD290" s="19"/>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1"/>
      <c r="BK290" s="21"/>
      <c r="BL290" s="21"/>
    </row>
    <row r="291">
      <c r="A291" s="22" t="s">
        <v>7667</v>
      </c>
      <c r="B291" s="23" t="s">
        <v>7668</v>
      </c>
      <c r="C291" s="24" t="s">
        <v>7669</v>
      </c>
      <c r="D291" s="23" t="s">
        <v>7670</v>
      </c>
      <c r="E291" s="23" t="s">
        <v>7671</v>
      </c>
      <c r="F291" s="23" t="s">
        <v>7672</v>
      </c>
      <c r="G291" s="23" t="s">
        <v>7673</v>
      </c>
      <c r="H291" s="23" t="s">
        <v>7674</v>
      </c>
      <c r="I291" s="23" t="s">
        <v>7675</v>
      </c>
      <c r="J291" s="23" t="s">
        <v>7676</v>
      </c>
      <c r="K291" s="25" t="s">
        <v>7677</v>
      </c>
      <c r="L291" s="23" t="s">
        <v>7674</v>
      </c>
      <c r="M291" s="23" t="s">
        <v>7673</v>
      </c>
      <c r="N291" s="26" t="s">
        <v>7678</v>
      </c>
      <c r="O291" s="27" t="s">
        <v>7679</v>
      </c>
      <c r="P291" s="28" t="s">
        <v>7680</v>
      </c>
      <c r="Q291" s="29" t="s">
        <v>7681</v>
      </c>
      <c r="R291" s="30" t="s">
        <v>7682</v>
      </c>
      <c r="S291" s="23" t="s">
        <v>7683</v>
      </c>
      <c r="T291" s="23" t="s">
        <v>7674</v>
      </c>
      <c r="U291" s="23" t="s">
        <v>7684</v>
      </c>
      <c r="V291" s="23" t="s">
        <v>7685</v>
      </c>
      <c r="W291" s="23" t="s">
        <v>7673</v>
      </c>
      <c r="X291" s="23" t="s">
        <v>7686</v>
      </c>
      <c r="Y291" s="31" t="s">
        <v>7687</v>
      </c>
      <c r="Z291" s="23" t="s">
        <v>7688</v>
      </c>
      <c r="AA291" s="23" t="s">
        <v>7689</v>
      </c>
      <c r="AB291" s="26" t="s">
        <v>7690</v>
      </c>
      <c r="AC291" s="23" t="s">
        <v>7691</v>
      </c>
      <c r="AD291" s="19"/>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1"/>
      <c r="BK291" s="21"/>
      <c r="BL291" s="21"/>
    </row>
    <row r="292">
      <c r="A292" s="22" t="s">
        <v>7692</v>
      </c>
      <c r="B292" s="23" t="s">
        <v>7693</v>
      </c>
      <c r="C292" s="24" t="s">
        <v>7694</v>
      </c>
      <c r="D292" s="23" t="s">
        <v>7693</v>
      </c>
      <c r="E292" s="23" t="s">
        <v>7693</v>
      </c>
      <c r="F292" s="23" t="s">
        <v>7695</v>
      </c>
      <c r="G292" s="23" t="s">
        <v>7696</v>
      </c>
      <c r="H292" s="23" t="s">
        <v>7697</v>
      </c>
      <c r="I292" s="23" t="s">
        <v>7693</v>
      </c>
      <c r="J292" s="23" t="s">
        <v>7693</v>
      </c>
      <c r="K292" s="25" t="s">
        <v>7698</v>
      </c>
      <c r="L292" s="23" t="s">
        <v>7693</v>
      </c>
      <c r="M292" s="23" t="s">
        <v>7693</v>
      </c>
      <c r="N292" s="26" t="s">
        <v>7699</v>
      </c>
      <c r="O292" s="27" t="s">
        <v>7700</v>
      </c>
      <c r="P292" s="28" t="s">
        <v>7701</v>
      </c>
      <c r="Q292" s="29" t="s">
        <v>7702</v>
      </c>
      <c r="R292" s="30" t="s">
        <v>7703</v>
      </c>
      <c r="S292" s="23" t="s">
        <v>7704</v>
      </c>
      <c r="T292" s="23" t="s">
        <v>7693</v>
      </c>
      <c r="U292" s="23" t="s">
        <v>7693</v>
      </c>
      <c r="V292" s="23" t="s">
        <v>7693</v>
      </c>
      <c r="W292" s="23" t="s">
        <v>7693</v>
      </c>
      <c r="X292" s="23" t="s">
        <v>7705</v>
      </c>
      <c r="Y292" s="31" t="s">
        <v>7706</v>
      </c>
      <c r="Z292" s="23" t="s">
        <v>7693</v>
      </c>
      <c r="AA292" s="23" t="s">
        <v>7705</v>
      </c>
      <c r="AB292" s="26" t="s">
        <v>7707</v>
      </c>
      <c r="AC292" s="23" t="s">
        <v>7708</v>
      </c>
      <c r="AD292" s="19"/>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1"/>
      <c r="BK292" s="21"/>
      <c r="BL292" s="21"/>
    </row>
    <row r="293">
      <c r="A293" s="22" t="s">
        <v>7709</v>
      </c>
      <c r="B293" s="23" t="s">
        <v>7710</v>
      </c>
      <c r="C293" s="24" t="s">
        <v>7711</v>
      </c>
      <c r="D293" s="23" t="s">
        <v>7710</v>
      </c>
      <c r="E293" s="23" t="s">
        <v>7710</v>
      </c>
      <c r="F293" s="23" t="s">
        <v>7712</v>
      </c>
      <c r="G293" s="23" t="s">
        <v>7710</v>
      </c>
      <c r="H293" s="23" t="s">
        <v>7710</v>
      </c>
      <c r="I293" s="23" t="s">
        <v>7710</v>
      </c>
      <c r="J293" s="23" t="s">
        <v>7710</v>
      </c>
      <c r="K293" s="25" t="s">
        <v>7713</v>
      </c>
      <c r="L293" s="23" t="s">
        <v>7710</v>
      </c>
      <c r="M293" s="23" t="s">
        <v>7710</v>
      </c>
      <c r="N293" s="26" t="s">
        <v>7714</v>
      </c>
      <c r="O293" s="23" t="s">
        <v>7710</v>
      </c>
      <c r="P293" s="28" t="s">
        <v>7715</v>
      </c>
      <c r="Q293" s="29" t="s">
        <v>7716</v>
      </c>
      <c r="R293" s="23" t="s">
        <v>7710</v>
      </c>
      <c r="S293" s="23" t="s">
        <v>7717</v>
      </c>
      <c r="T293" s="23" t="s">
        <v>7710</v>
      </c>
      <c r="U293" s="23" t="s">
        <v>7710</v>
      </c>
      <c r="V293" s="23" t="s">
        <v>7710</v>
      </c>
      <c r="W293" s="23" t="s">
        <v>7710</v>
      </c>
      <c r="X293" s="23" t="s">
        <v>7718</v>
      </c>
      <c r="Y293" s="31" t="s">
        <v>7719</v>
      </c>
      <c r="Z293" s="23" t="s">
        <v>7710</v>
      </c>
      <c r="AA293" s="23" t="s">
        <v>7720</v>
      </c>
      <c r="AB293" s="26" t="s">
        <v>7721</v>
      </c>
      <c r="AC293" s="23" t="s">
        <v>7722</v>
      </c>
      <c r="AD293" s="19"/>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1"/>
      <c r="BK293" s="21"/>
      <c r="BL293" s="21"/>
    </row>
    <row r="294">
      <c r="A294" s="22" t="s">
        <v>7723</v>
      </c>
      <c r="B294" s="23" t="s">
        <v>7724</v>
      </c>
      <c r="C294" s="24" t="s">
        <v>7725</v>
      </c>
      <c r="D294" s="23" t="s">
        <v>7726</v>
      </c>
      <c r="E294" s="23" t="s">
        <v>7727</v>
      </c>
      <c r="F294" s="23" t="s">
        <v>7728</v>
      </c>
      <c r="G294" s="23" t="s">
        <v>7729</v>
      </c>
      <c r="H294" s="23" t="s">
        <v>7730</v>
      </c>
      <c r="I294" s="23" t="s">
        <v>7731</v>
      </c>
      <c r="J294" s="23" t="s">
        <v>7732</v>
      </c>
      <c r="K294" s="25" t="s">
        <v>7733</v>
      </c>
      <c r="L294" s="23" t="s">
        <v>7734</v>
      </c>
      <c r="M294" s="23" t="s">
        <v>7735</v>
      </c>
      <c r="N294" s="26" t="s">
        <v>7736</v>
      </c>
      <c r="O294" s="27" t="s">
        <v>7737</v>
      </c>
      <c r="P294" s="28" t="s">
        <v>7738</v>
      </c>
      <c r="Q294" s="29" t="s">
        <v>7739</v>
      </c>
      <c r="R294" s="30" t="s">
        <v>7740</v>
      </c>
      <c r="S294" s="23" t="s">
        <v>7741</v>
      </c>
      <c r="T294" s="23" t="s">
        <v>7742</v>
      </c>
      <c r="U294" s="23" t="s">
        <v>7743</v>
      </c>
      <c r="V294" s="23" t="s">
        <v>7744</v>
      </c>
      <c r="W294" s="23" t="s">
        <v>7745</v>
      </c>
      <c r="X294" s="23" t="s">
        <v>7746</v>
      </c>
      <c r="Y294" s="31" t="s">
        <v>7747</v>
      </c>
      <c r="Z294" s="23" t="s">
        <v>7748</v>
      </c>
      <c r="AA294" s="23" t="s">
        <v>7749</v>
      </c>
      <c r="AB294" s="26" t="s">
        <v>7750</v>
      </c>
      <c r="AC294" s="23" t="s">
        <v>7751</v>
      </c>
      <c r="AD294" s="19"/>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1"/>
      <c r="BK294" s="21"/>
      <c r="BL294" s="21"/>
    </row>
    <row r="295">
      <c r="A295" s="22" t="s">
        <v>7752</v>
      </c>
      <c r="B295" s="23" t="s">
        <v>7753</v>
      </c>
      <c r="C295" s="24" t="s">
        <v>7754</v>
      </c>
      <c r="D295" s="23" t="s">
        <v>7755</v>
      </c>
      <c r="E295" s="23" t="s">
        <v>7756</v>
      </c>
      <c r="F295" s="23" t="s">
        <v>7757</v>
      </c>
      <c r="G295" s="23" t="s">
        <v>7758</v>
      </c>
      <c r="H295" s="23" t="s">
        <v>7759</v>
      </c>
      <c r="I295" s="23" t="s">
        <v>7760</v>
      </c>
      <c r="J295" s="23" t="s">
        <v>7761</v>
      </c>
      <c r="K295" s="25" t="s">
        <v>7762</v>
      </c>
      <c r="L295" s="23" t="s">
        <v>7763</v>
      </c>
      <c r="M295" s="23" t="s">
        <v>7764</v>
      </c>
      <c r="N295" s="26" t="s">
        <v>7765</v>
      </c>
      <c r="O295" s="27" t="s">
        <v>7766</v>
      </c>
      <c r="P295" s="28" t="s">
        <v>7767</v>
      </c>
      <c r="Q295" s="29" t="s">
        <v>7768</v>
      </c>
      <c r="R295" s="30" t="s">
        <v>7769</v>
      </c>
      <c r="S295" s="23" t="s">
        <v>7770</v>
      </c>
      <c r="T295" s="23" t="s">
        <v>7771</v>
      </c>
      <c r="U295" s="23" t="s">
        <v>7772</v>
      </c>
      <c r="V295" s="23" t="s">
        <v>7773</v>
      </c>
      <c r="W295" s="23" t="s">
        <v>7758</v>
      </c>
      <c r="X295" s="23" t="s">
        <v>7774</v>
      </c>
      <c r="Y295" s="31" t="s">
        <v>7775</v>
      </c>
      <c r="Z295" s="23" t="s">
        <v>7776</v>
      </c>
      <c r="AA295" s="23" t="s">
        <v>7777</v>
      </c>
      <c r="AB295" s="26" t="s">
        <v>7778</v>
      </c>
      <c r="AC295" s="23" t="s">
        <v>7779</v>
      </c>
      <c r="AD295" s="19"/>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1"/>
      <c r="BK295" s="21"/>
      <c r="BL295" s="21"/>
    </row>
    <row r="296">
      <c r="A296" s="22" t="s">
        <v>7780</v>
      </c>
      <c r="B296" s="23" t="s">
        <v>7781</v>
      </c>
      <c r="C296" s="24" t="s">
        <v>7782</v>
      </c>
      <c r="D296" s="23" t="s">
        <v>7783</v>
      </c>
      <c r="E296" s="23" t="s">
        <v>7784</v>
      </c>
      <c r="F296" s="23" t="s">
        <v>7785</v>
      </c>
      <c r="G296" s="23" t="s">
        <v>7786</v>
      </c>
      <c r="H296" s="23" t="s">
        <v>7787</v>
      </c>
      <c r="I296" s="23" t="s">
        <v>7788</v>
      </c>
      <c r="J296" s="23" t="s">
        <v>7789</v>
      </c>
      <c r="K296" s="25" t="s">
        <v>7790</v>
      </c>
      <c r="L296" s="23" t="s">
        <v>7791</v>
      </c>
      <c r="M296" s="23" t="s">
        <v>7792</v>
      </c>
      <c r="N296" s="26" t="s">
        <v>7793</v>
      </c>
      <c r="O296" s="27" t="s">
        <v>7794</v>
      </c>
      <c r="P296" s="28" t="s">
        <v>7795</v>
      </c>
      <c r="Q296" s="29" t="s">
        <v>7796</v>
      </c>
      <c r="R296" s="30" t="s">
        <v>7797</v>
      </c>
      <c r="S296" s="23" t="s">
        <v>7798</v>
      </c>
      <c r="T296" s="23" t="s">
        <v>7799</v>
      </c>
      <c r="U296" s="23" t="s">
        <v>7784</v>
      </c>
      <c r="V296" s="23" t="s">
        <v>7800</v>
      </c>
      <c r="W296" s="23" t="s">
        <v>7801</v>
      </c>
      <c r="X296" s="23" t="s">
        <v>7802</v>
      </c>
      <c r="Y296" s="31" t="s">
        <v>7803</v>
      </c>
      <c r="Z296" s="23" t="s">
        <v>7804</v>
      </c>
      <c r="AA296" s="23" t="s">
        <v>7805</v>
      </c>
      <c r="AB296" s="26" t="s">
        <v>7806</v>
      </c>
      <c r="AC296" s="23" t="s">
        <v>7807</v>
      </c>
      <c r="AD296" s="19"/>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1"/>
      <c r="BK296" s="21"/>
      <c r="BL296" s="21"/>
    </row>
    <row r="297">
      <c r="A297" s="22" t="s">
        <v>7808</v>
      </c>
      <c r="B297" s="23" t="s">
        <v>7809</v>
      </c>
      <c r="C297" s="24" t="s">
        <v>7810</v>
      </c>
      <c r="D297" s="23" t="s">
        <v>7811</v>
      </c>
      <c r="E297" s="23" t="s">
        <v>7809</v>
      </c>
      <c r="F297" s="23" t="s">
        <v>7812</v>
      </c>
      <c r="G297" s="23" t="s">
        <v>7808</v>
      </c>
      <c r="H297" s="23" t="s">
        <v>7813</v>
      </c>
      <c r="I297" s="23" t="s">
        <v>7809</v>
      </c>
      <c r="J297" s="23" t="s">
        <v>7808</v>
      </c>
      <c r="K297" s="25" t="s">
        <v>7814</v>
      </c>
      <c r="L297" s="23" t="s">
        <v>7809</v>
      </c>
      <c r="M297" s="23" t="s">
        <v>7808</v>
      </c>
      <c r="N297" s="26" t="s">
        <v>7815</v>
      </c>
      <c r="O297" s="27" t="s">
        <v>7816</v>
      </c>
      <c r="P297" s="28" t="s">
        <v>7817</v>
      </c>
      <c r="Q297" s="29" t="s">
        <v>7818</v>
      </c>
      <c r="R297" s="30" t="s">
        <v>7819</v>
      </c>
      <c r="S297" s="23" t="s">
        <v>7820</v>
      </c>
      <c r="T297" s="23" t="s">
        <v>7809</v>
      </c>
      <c r="U297" s="23" t="s">
        <v>7809</v>
      </c>
      <c r="V297" s="23" t="s">
        <v>7821</v>
      </c>
      <c r="W297" s="23" t="s">
        <v>7808</v>
      </c>
      <c r="X297" s="23" t="s">
        <v>7822</v>
      </c>
      <c r="Y297" s="31" t="s">
        <v>7823</v>
      </c>
      <c r="Z297" s="23" t="s">
        <v>7824</v>
      </c>
      <c r="AA297" s="23" t="s">
        <v>7825</v>
      </c>
      <c r="AB297" s="26" t="s">
        <v>7826</v>
      </c>
      <c r="AC297" s="23" t="s">
        <v>7827</v>
      </c>
      <c r="AD297" s="19"/>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1"/>
      <c r="BK297" s="21"/>
      <c r="BL297" s="21"/>
    </row>
    <row r="298">
      <c r="A298" s="22" t="s">
        <v>7828</v>
      </c>
      <c r="B298" s="23" t="s">
        <v>7829</v>
      </c>
      <c r="C298" s="24" t="s">
        <v>7830</v>
      </c>
      <c r="D298" s="23" t="s">
        <v>7831</v>
      </c>
      <c r="E298" s="23" t="s">
        <v>7832</v>
      </c>
      <c r="F298" s="23" t="s">
        <v>7833</v>
      </c>
      <c r="G298" s="23" t="s">
        <v>7834</v>
      </c>
      <c r="H298" s="23" t="s">
        <v>7835</v>
      </c>
      <c r="I298" s="23" t="s">
        <v>7836</v>
      </c>
      <c r="J298" s="23" t="s">
        <v>7837</v>
      </c>
      <c r="K298" s="25" t="s">
        <v>7838</v>
      </c>
      <c r="L298" s="23" t="s">
        <v>7839</v>
      </c>
      <c r="M298" s="23" t="s">
        <v>7840</v>
      </c>
      <c r="N298" s="26" t="s">
        <v>7841</v>
      </c>
      <c r="O298" s="27" t="s">
        <v>7842</v>
      </c>
      <c r="P298" s="28" t="s">
        <v>7843</v>
      </c>
      <c r="Q298" s="29" t="s">
        <v>7844</v>
      </c>
      <c r="R298" s="30" t="s">
        <v>7845</v>
      </c>
      <c r="S298" s="23" t="s">
        <v>7846</v>
      </c>
      <c r="T298" s="23" t="s">
        <v>7829</v>
      </c>
      <c r="U298" s="23" t="s">
        <v>7847</v>
      </c>
      <c r="V298" s="23" t="s">
        <v>7848</v>
      </c>
      <c r="W298" s="23" t="s">
        <v>7849</v>
      </c>
      <c r="X298" s="23" t="s">
        <v>7850</v>
      </c>
      <c r="Y298" s="31" t="s">
        <v>7851</v>
      </c>
      <c r="Z298" s="23" t="s">
        <v>7852</v>
      </c>
      <c r="AA298" s="23" t="s">
        <v>7853</v>
      </c>
      <c r="AB298" s="26" t="s">
        <v>7854</v>
      </c>
      <c r="AC298" s="23" t="s">
        <v>7855</v>
      </c>
      <c r="AD298" s="19"/>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1"/>
      <c r="BK298" s="21"/>
      <c r="BL298" s="21"/>
    </row>
    <row r="299">
      <c r="A299" s="22" t="s">
        <v>7856</v>
      </c>
      <c r="B299" s="23" t="s">
        <v>7857</v>
      </c>
      <c r="C299" s="24" t="s">
        <v>7858</v>
      </c>
      <c r="D299" s="23" t="s">
        <v>7859</v>
      </c>
      <c r="E299" s="23" t="s">
        <v>7860</v>
      </c>
      <c r="F299" s="23" t="s">
        <v>7861</v>
      </c>
      <c r="G299" s="23" t="s">
        <v>7862</v>
      </c>
      <c r="H299" s="23" t="s">
        <v>7863</v>
      </c>
      <c r="I299" s="23" t="s">
        <v>7864</v>
      </c>
      <c r="J299" s="23" t="s">
        <v>7865</v>
      </c>
      <c r="K299" s="25" t="s">
        <v>7866</v>
      </c>
      <c r="L299" s="23" t="s">
        <v>7867</v>
      </c>
      <c r="M299" s="23" t="s">
        <v>7868</v>
      </c>
      <c r="N299" s="26" t="s">
        <v>7869</v>
      </c>
      <c r="O299" s="27" t="s">
        <v>7870</v>
      </c>
      <c r="P299" s="28" t="s">
        <v>7871</v>
      </c>
      <c r="Q299" s="29" t="s">
        <v>7872</v>
      </c>
      <c r="R299" s="30" t="s">
        <v>7873</v>
      </c>
      <c r="S299" s="23" t="s">
        <v>7874</v>
      </c>
      <c r="T299" s="23" t="s">
        <v>7867</v>
      </c>
      <c r="U299" s="23" t="s">
        <v>7875</v>
      </c>
      <c r="V299" s="23" t="s">
        <v>7876</v>
      </c>
      <c r="W299" s="23" t="s">
        <v>7877</v>
      </c>
      <c r="X299" s="23" t="s">
        <v>7878</v>
      </c>
      <c r="Y299" s="31" t="s">
        <v>7879</v>
      </c>
      <c r="Z299" s="23" t="s">
        <v>7880</v>
      </c>
      <c r="AA299" s="23" t="s">
        <v>7881</v>
      </c>
      <c r="AB299" s="26" t="s">
        <v>7882</v>
      </c>
      <c r="AC299" s="23" t="s">
        <v>7883</v>
      </c>
      <c r="AD299" s="19"/>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1"/>
      <c r="BK299" s="21"/>
      <c r="BL299" s="21"/>
    </row>
    <row r="300">
      <c r="A300" s="22" t="s">
        <v>7884</v>
      </c>
      <c r="B300" s="23" t="s">
        <v>7885</v>
      </c>
      <c r="C300" s="24" t="s">
        <v>7886</v>
      </c>
      <c r="D300" s="23" t="s">
        <v>7887</v>
      </c>
      <c r="E300" s="23" t="s">
        <v>7888</v>
      </c>
      <c r="F300" s="23" t="s">
        <v>7889</v>
      </c>
      <c r="G300" s="23" t="s">
        <v>7890</v>
      </c>
      <c r="H300" s="23" t="s">
        <v>7891</v>
      </c>
      <c r="I300" s="23" t="s">
        <v>7892</v>
      </c>
      <c r="J300" s="23" t="s">
        <v>7893</v>
      </c>
      <c r="K300" s="25" t="s">
        <v>7894</v>
      </c>
      <c r="L300" s="23" t="s">
        <v>7895</v>
      </c>
      <c r="M300" s="23" t="s">
        <v>7896</v>
      </c>
      <c r="N300" s="26" t="s">
        <v>7897</v>
      </c>
      <c r="O300" s="27" t="s">
        <v>7898</v>
      </c>
      <c r="P300" s="28" t="s">
        <v>7899</v>
      </c>
      <c r="Q300" s="29" t="s">
        <v>7900</v>
      </c>
      <c r="R300" s="30" t="s">
        <v>7901</v>
      </c>
      <c r="S300" s="23" t="s">
        <v>7902</v>
      </c>
      <c r="T300" s="23" t="s">
        <v>7895</v>
      </c>
      <c r="U300" s="23" t="s">
        <v>7903</v>
      </c>
      <c r="V300" s="23" t="s">
        <v>7904</v>
      </c>
      <c r="W300" s="23" t="s">
        <v>7905</v>
      </c>
      <c r="X300" s="23" t="s">
        <v>7906</v>
      </c>
      <c r="Y300" s="31" t="s">
        <v>7907</v>
      </c>
      <c r="Z300" s="23" t="s">
        <v>7908</v>
      </c>
      <c r="AA300" s="23" t="s">
        <v>7909</v>
      </c>
      <c r="AB300" s="26" t="s">
        <v>7910</v>
      </c>
      <c r="AC300" s="23" t="s">
        <v>7911</v>
      </c>
      <c r="AD300" s="19"/>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1"/>
      <c r="BK300" s="21"/>
      <c r="BL300" s="21"/>
    </row>
    <row r="301">
      <c r="A301" s="22" t="s">
        <v>7912</v>
      </c>
      <c r="B301" s="23" t="s">
        <v>7913</v>
      </c>
      <c r="C301" s="24" t="s">
        <v>7914</v>
      </c>
      <c r="D301" s="23" t="s">
        <v>7915</v>
      </c>
      <c r="E301" s="23" t="s">
        <v>7916</v>
      </c>
      <c r="F301" s="23" t="s">
        <v>7917</v>
      </c>
      <c r="G301" s="23" t="s">
        <v>7918</v>
      </c>
      <c r="H301" s="23" t="s">
        <v>7919</v>
      </c>
      <c r="I301" s="23" t="s">
        <v>7920</v>
      </c>
      <c r="J301" s="23" t="s">
        <v>7921</v>
      </c>
      <c r="K301" s="25" t="s">
        <v>7922</v>
      </c>
      <c r="L301" s="23" t="s">
        <v>7923</v>
      </c>
      <c r="M301" s="23" t="s">
        <v>7924</v>
      </c>
      <c r="N301" s="26" t="s">
        <v>7925</v>
      </c>
      <c r="O301" s="27" t="s">
        <v>7926</v>
      </c>
      <c r="P301" s="28" t="s">
        <v>7927</v>
      </c>
      <c r="Q301" s="29" t="s">
        <v>7928</v>
      </c>
      <c r="R301" s="30" t="s">
        <v>7929</v>
      </c>
      <c r="S301" s="23" t="s">
        <v>7930</v>
      </c>
      <c r="T301" s="23" t="s">
        <v>7931</v>
      </c>
      <c r="U301" s="23" t="s">
        <v>7932</v>
      </c>
      <c r="V301" s="23" t="s">
        <v>7933</v>
      </c>
      <c r="W301" s="23" t="s">
        <v>7934</v>
      </c>
      <c r="X301" s="23" t="s">
        <v>7935</v>
      </c>
      <c r="Y301" s="31" t="s">
        <v>7936</v>
      </c>
      <c r="Z301" s="23" t="s">
        <v>7937</v>
      </c>
      <c r="AA301" s="23" t="s">
        <v>7938</v>
      </c>
      <c r="AB301" s="26" t="s">
        <v>7939</v>
      </c>
      <c r="AC301" s="23" t="s">
        <v>7940</v>
      </c>
      <c r="AD301" s="19"/>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1"/>
      <c r="BK301" s="21"/>
      <c r="BL301" s="21"/>
    </row>
    <row r="302">
      <c r="A302" s="22" t="s">
        <v>7941</v>
      </c>
      <c r="B302" s="23" t="s">
        <v>7942</v>
      </c>
      <c r="C302" s="24" t="s">
        <v>7943</v>
      </c>
      <c r="D302" s="23" t="s">
        <v>7944</v>
      </c>
      <c r="E302" s="23" t="s">
        <v>7945</v>
      </c>
      <c r="F302" s="23" t="s">
        <v>7946</v>
      </c>
      <c r="G302" s="23" t="s">
        <v>7947</v>
      </c>
      <c r="H302" s="23" t="s">
        <v>7948</v>
      </c>
      <c r="I302" s="23" t="s">
        <v>7949</v>
      </c>
      <c r="J302" s="23" t="s">
        <v>7950</v>
      </c>
      <c r="K302" s="25" t="s">
        <v>7951</v>
      </c>
      <c r="L302" s="23" t="s">
        <v>7952</v>
      </c>
      <c r="M302" s="23" t="s">
        <v>7953</v>
      </c>
      <c r="N302" s="26" t="s">
        <v>7954</v>
      </c>
      <c r="O302" s="27" t="s">
        <v>7955</v>
      </c>
      <c r="P302" s="28" t="s">
        <v>7956</v>
      </c>
      <c r="Q302" s="29" t="s">
        <v>7957</v>
      </c>
      <c r="R302" s="23" t="s">
        <v>7941</v>
      </c>
      <c r="S302" s="23" t="s">
        <v>7958</v>
      </c>
      <c r="T302" s="23" t="s">
        <v>7952</v>
      </c>
      <c r="U302" s="23" t="s">
        <v>7959</v>
      </c>
      <c r="V302" s="23" t="s">
        <v>7960</v>
      </c>
      <c r="W302" s="23" t="s">
        <v>7961</v>
      </c>
      <c r="X302" s="23" t="s">
        <v>7962</v>
      </c>
      <c r="Y302" s="31" t="s">
        <v>7963</v>
      </c>
      <c r="Z302" s="23" t="s">
        <v>7964</v>
      </c>
      <c r="AA302" s="23" t="s">
        <v>7965</v>
      </c>
      <c r="AB302" s="26" t="s">
        <v>7966</v>
      </c>
      <c r="AC302" s="23" t="s">
        <v>7967</v>
      </c>
      <c r="AD302" s="19"/>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1"/>
      <c r="BK302" s="21"/>
      <c r="BL302" s="21"/>
    </row>
    <row r="303">
      <c r="A303" s="22" t="s">
        <v>7968</v>
      </c>
      <c r="B303" s="23" t="s">
        <v>7969</v>
      </c>
      <c r="C303" s="24" t="s">
        <v>7970</v>
      </c>
      <c r="D303" s="23" t="s">
        <v>7971</v>
      </c>
      <c r="E303" s="23" t="s">
        <v>7972</v>
      </c>
      <c r="F303" s="23" t="s">
        <v>7973</v>
      </c>
      <c r="G303" s="23" t="s">
        <v>7974</v>
      </c>
      <c r="H303" s="23" t="s">
        <v>7975</v>
      </c>
      <c r="I303" s="23" t="s">
        <v>7976</v>
      </c>
      <c r="J303" s="23" t="s">
        <v>7977</v>
      </c>
      <c r="K303" s="25" t="s">
        <v>7978</v>
      </c>
      <c r="L303" s="23" t="s">
        <v>7979</v>
      </c>
      <c r="M303" s="23" t="s">
        <v>7980</v>
      </c>
      <c r="N303" s="26" t="s">
        <v>7981</v>
      </c>
      <c r="O303" s="27" t="s">
        <v>7982</v>
      </c>
      <c r="P303" s="28" t="s">
        <v>7983</v>
      </c>
      <c r="Q303" s="29" t="s">
        <v>7984</v>
      </c>
      <c r="R303" s="30" t="s">
        <v>7985</v>
      </c>
      <c r="S303" s="23" t="s">
        <v>7986</v>
      </c>
      <c r="T303" s="23" t="s">
        <v>7979</v>
      </c>
      <c r="U303" s="23" t="s">
        <v>7987</v>
      </c>
      <c r="V303" s="23" t="s">
        <v>7988</v>
      </c>
      <c r="W303" s="23" t="s">
        <v>7989</v>
      </c>
      <c r="X303" s="23" t="s">
        <v>7990</v>
      </c>
      <c r="Y303" s="31" t="s">
        <v>7991</v>
      </c>
      <c r="Z303" s="23" t="s">
        <v>7992</v>
      </c>
      <c r="AA303" s="23" t="s">
        <v>7993</v>
      </c>
      <c r="AB303" s="26" t="s">
        <v>7994</v>
      </c>
      <c r="AC303" s="23" t="s">
        <v>7995</v>
      </c>
      <c r="AD303" s="19"/>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1"/>
      <c r="BK303" s="21"/>
      <c r="BL303" s="21"/>
    </row>
    <row r="304">
      <c r="A304" s="22" t="s">
        <v>7996</v>
      </c>
      <c r="B304" s="23" t="s">
        <v>7997</v>
      </c>
      <c r="C304" s="24" t="s">
        <v>7998</v>
      </c>
      <c r="D304" s="23" t="s">
        <v>7999</v>
      </c>
      <c r="E304" s="23" t="s">
        <v>8000</v>
      </c>
      <c r="F304" s="23" t="s">
        <v>8001</v>
      </c>
      <c r="G304" s="23" t="s">
        <v>8002</v>
      </c>
      <c r="H304" s="23" t="s">
        <v>8003</v>
      </c>
      <c r="I304" s="23" t="s">
        <v>8004</v>
      </c>
      <c r="J304" s="23" t="s">
        <v>8005</v>
      </c>
      <c r="K304" s="25" t="s">
        <v>8006</v>
      </c>
      <c r="L304" s="23" t="s">
        <v>8007</v>
      </c>
      <c r="M304" s="23" t="s">
        <v>8008</v>
      </c>
      <c r="N304" s="26" t="s">
        <v>8009</v>
      </c>
      <c r="O304" s="27" t="s">
        <v>8010</v>
      </c>
      <c r="P304" s="28" t="s">
        <v>8011</v>
      </c>
      <c r="Q304" s="29" t="s">
        <v>8012</v>
      </c>
      <c r="R304" s="30" t="s">
        <v>8013</v>
      </c>
      <c r="S304" s="23" t="s">
        <v>8014</v>
      </c>
      <c r="T304" s="23" t="s">
        <v>7997</v>
      </c>
      <c r="U304" s="23" t="s">
        <v>8015</v>
      </c>
      <c r="V304" s="23" t="s">
        <v>7997</v>
      </c>
      <c r="W304" s="23" t="s">
        <v>8016</v>
      </c>
      <c r="X304" s="23" t="s">
        <v>8017</v>
      </c>
      <c r="Y304" s="31" t="s">
        <v>8018</v>
      </c>
      <c r="Z304" s="23" t="s">
        <v>8019</v>
      </c>
      <c r="AA304" s="23" t="s">
        <v>8020</v>
      </c>
      <c r="AB304" s="26" t="s">
        <v>8021</v>
      </c>
      <c r="AC304" s="23" t="s">
        <v>8022</v>
      </c>
      <c r="AD304" s="19"/>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1"/>
      <c r="BK304" s="21"/>
      <c r="BL304" s="21"/>
    </row>
    <row r="305">
      <c r="A305" s="22" t="s">
        <v>8023</v>
      </c>
      <c r="B305" s="23" t="s">
        <v>8024</v>
      </c>
      <c r="C305" s="24" t="s">
        <v>8025</v>
      </c>
      <c r="D305" s="23" t="s">
        <v>8026</v>
      </c>
      <c r="E305" s="23" t="s">
        <v>8027</v>
      </c>
      <c r="F305" s="23" t="s">
        <v>8028</v>
      </c>
      <c r="G305" s="23" t="s">
        <v>8029</v>
      </c>
      <c r="H305" s="23" t="s">
        <v>8030</v>
      </c>
      <c r="I305" s="23" t="s">
        <v>8031</v>
      </c>
      <c r="J305" s="23" t="s">
        <v>8032</v>
      </c>
      <c r="K305" s="25" t="s">
        <v>8033</v>
      </c>
      <c r="L305" s="23" t="s">
        <v>8034</v>
      </c>
      <c r="M305" s="23" t="s">
        <v>8035</v>
      </c>
      <c r="N305" s="26" t="s">
        <v>8036</v>
      </c>
      <c r="O305" s="27" t="s">
        <v>8037</v>
      </c>
      <c r="P305" s="28" t="s">
        <v>8038</v>
      </c>
      <c r="Q305" s="29" t="s">
        <v>8039</v>
      </c>
      <c r="R305" s="30" t="s">
        <v>8040</v>
      </c>
      <c r="S305" s="23" t="s">
        <v>8041</v>
      </c>
      <c r="T305" s="23" t="s">
        <v>8034</v>
      </c>
      <c r="U305" s="23" t="s">
        <v>8024</v>
      </c>
      <c r="V305" s="23" t="s">
        <v>8042</v>
      </c>
      <c r="W305" s="23" t="s">
        <v>8043</v>
      </c>
      <c r="X305" s="23" t="s">
        <v>8044</v>
      </c>
      <c r="Y305" s="31" t="s">
        <v>8045</v>
      </c>
      <c r="Z305" s="23" t="s">
        <v>8046</v>
      </c>
      <c r="AA305" s="23" t="s">
        <v>8047</v>
      </c>
      <c r="AB305" s="26" t="s">
        <v>8048</v>
      </c>
      <c r="AC305" s="23" t="s">
        <v>8049</v>
      </c>
      <c r="AD305" s="19"/>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1"/>
      <c r="BK305" s="21"/>
      <c r="BL305" s="21"/>
    </row>
    <row r="306">
      <c r="A306" s="22" t="s">
        <v>8050</v>
      </c>
      <c r="B306" s="23" t="s">
        <v>8051</v>
      </c>
      <c r="C306" s="24" t="s">
        <v>8052</v>
      </c>
      <c r="D306" s="23" t="s">
        <v>8053</v>
      </c>
      <c r="E306" s="23" t="s">
        <v>8054</v>
      </c>
      <c r="F306" s="23" t="s">
        <v>8055</v>
      </c>
      <c r="G306" s="23" t="s">
        <v>8056</v>
      </c>
      <c r="H306" s="23" t="s">
        <v>8057</v>
      </c>
      <c r="I306" s="23" t="s">
        <v>8058</v>
      </c>
      <c r="J306" s="23" t="s">
        <v>8059</v>
      </c>
      <c r="K306" s="25" t="s">
        <v>8060</v>
      </c>
      <c r="L306" s="23" t="s">
        <v>8061</v>
      </c>
      <c r="M306" s="23" t="s">
        <v>8062</v>
      </c>
      <c r="N306" s="26" t="s">
        <v>8063</v>
      </c>
      <c r="O306" s="27" t="s">
        <v>8064</v>
      </c>
      <c r="P306" s="28" t="s">
        <v>8065</v>
      </c>
      <c r="Q306" s="29" t="s">
        <v>8066</v>
      </c>
      <c r="R306" s="30" t="s">
        <v>8067</v>
      </c>
      <c r="S306" s="23" t="s">
        <v>8068</v>
      </c>
      <c r="T306" s="23" t="s">
        <v>8069</v>
      </c>
      <c r="U306" s="23" t="s">
        <v>8070</v>
      </c>
      <c r="V306" s="23" t="s">
        <v>8071</v>
      </c>
      <c r="W306" s="23" t="s">
        <v>8072</v>
      </c>
      <c r="X306" s="23" t="s">
        <v>8073</v>
      </c>
      <c r="Y306" s="31" t="s">
        <v>8074</v>
      </c>
      <c r="Z306" s="23" t="s">
        <v>8075</v>
      </c>
      <c r="AA306" s="23" t="s">
        <v>8076</v>
      </c>
      <c r="AB306" s="26" t="s">
        <v>8077</v>
      </c>
      <c r="AC306" s="23" t="s">
        <v>8078</v>
      </c>
      <c r="AD306" s="19"/>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1"/>
      <c r="BK306" s="21"/>
      <c r="BL306" s="21"/>
    </row>
    <row r="307">
      <c r="A307" s="22" t="s">
        <v>8079</v>
      </c>
      <c r="B307" s="23" t="s">
        <v>8080</v>
      </c>
      <c r="C307" s="24" t="s">
        <v>8081</v>
      </c>
      <c r="D307" s="23" t="s">
        <v>8082</v>
      </c>
      <c r="E307" s="23" t="s">
        <v>8083</v>
      </c>
      <c r="F307" s="23" t="s">
        <v>8084</v>
      </c>
      <c r="G307" s="23" t="s">
        <v>8085</v>
      </c>
      <c r="H307" s="23" t="s">
        <v>8086</v>
      </c>
      <c r="I307" s="23" t="s">
        <v>8087</v>
      </c>
      <c r="J307" s="23" t="s">
        <v>8088</v>
      </c>
      <c r="K307" s="25" t="s">
        <v>8089</v>
      </c>
      <c r="L307" s="23" t="s">
        <v>8090</v>
      </c>
      <c r="M307" s="23" t="s">
        <v>8091</v>
      </c>
      <c r="N307" s="26" t="s">
        <v>8092</v>
      </c>
      <c r="O307" s="27" t="s">
        <v>8093</v>
      </c>
      <c r="P307" s="28" t="s">
        <v>8094</v>
      </c>
      <c r="Q307" s="29" t="s">
        <v>8095</v>
      </c>
      <c r="R307" s="30" t="s">
        <v>8096</v>
      </c>
      <c r="S307" s="23" t="s">
        <v>8097</v>
      </c>
      <c r="T307" s="23" t="s">
        <v>8098</v>
      </c>
      <c r="U307" s="23" t="s">
        <v>8099</v>
      </c>
      <c r="V307" s="23" t="s">
        <v>8100</v>
      </c>
      <c r="W307" s="23" t="s">
        <v>8101</v>
      </c>
      <c r="X307" s="23" t="s">
        <v>8102</v>
      </c>
      <c r="Y307" s="31" t="s">
        <v>8103</v>
      </c>
      <c r="Z307" s="23" t="s">
        <v>8104</v>
      </c>
      <c r="AA307" s="23" t="s">
        <v>8105</v>
      </c>
      <c r="AB307" s="26" t="s">
        <v>8106</v>
      </c>
      <c r="AC307" s="23" t="s">
        <v>8107</v>
      </c>
      <c r="AD307" s="19"/>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1"/>
      <c r="BK307" s="21"/>
      <c r="BL307" s="21"/>
    </row>
    <row r="308">
      <c r="A308" s="22" t="s">
        <v>8108</v>
      </c>
      <c r="B308" s="23" t="s">
        <v>8109</v>
      </c>
      <c r="C308" s="24" t="s">
        <v>8110</v>
      </c>
      <c r="D308" s="23" t="s">
        <v>8111</v>
      </c>
      <c r="E308" s="23" t="s">
        <v>8112</v>
      </c>
      <c r="F308" s="23" t="s">
        <v>8113</v>
      </c>
      <c r="G308" s="23" t="s">
        <v>8114</v>
      </c>
      <c r="H308" s="23" t="s">
        <v>8115</v>
      </c>
      <c r="I308" s="23" t="s">
        <v>8116</v>
      </c>
      <c r="J308" s="23" t="s">
        <v>8117</v>
      </c>
      <c r="K308" s="25" t="s">
        <v>8118</v>
      </c>
      <c r="L308" s="23" t="s">
        <v>8119</v>
      </c>
      <c r="M308" s="23" t="s">
        <v>8120</v>
      </c>
      <c r="N308" s="26" t="s">
        <v>8121</v>
      </c>
      <c r="O308" s="27" t="s">
        <v>8122</v>
      </c>
      <c r="P308" s="28" t="s">
        <v>8123</v>
      </c>
      <c r="Q308" s="29" t="s">
        <v>8124</v>
      </c>
      <c r="R308" s="30" t="s">
        <v>8125</v>
      </c>
      <c r="S308" s="23" t="s">
        <v>8126</v>
      </c>
      <c r="T308" s="23" t="s">
        <v>8127</v>
      </c>
      <c r="U308" s="23" t="s">
        <v>8128</v>
      </c>
      <c r="V308" s="23" t="s">
        <v>8129</v>
      </c>
      <c r="W308" s="23" t="s">
        <v>8130</v>
      </c>
      <c r="X308" s="23" t="s">
        <v>8131</v>
      </c>
      <c r="Y308" s="31" t="s">
        <v>8132</v>
      </c>
      <c r="Z308" s="23" t="s">
        <v>8133</v>
      </c>
      <c r="AA308" s="23" t="s">
        <v>8134</v>
      </c>
      <c r="AB308" s="26" t="s">
        <v>8135</v>
      </c>
      <c r="AC308" s="23" t="s">
        <v>8136</v>
      </c>
      <c r="AD308" s="19"/>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1"/>
      <c r="BK308" s="21"/>
      <c r="BL308" s="21"/>
    </row>
    <row r="309">
      <c r="A309" s="22" t="s">
        <v>8137</v>
      </c>
      <c r="B309" s="23" t="s">
        <v>8138</v>
      </c>
      <c r="C309" s="24" t="s">
        <v>8139</v>
      </c>
      <c r="D309" s="23" t="s">
        <v>8140</v>
      </c>
      <c r="E309" s="23" t="s">
        <v>8141</v>
      </c>
      <c r="F309" s="23" t="s">
        <v>8142</v>
      </c>
      <c r="G309" s="23" t="s">
        <v>8143</v>
      </c>
      <c r="H309" s="23" t="s">
        <v>8144</v>
      </c>
      <c r="I309" s="23" t="s">
        <v>8145</v>
      </c>
      <c r="J309" s="23" t="s">
        <v>8146</v>
      </c>
      <c r="K309" s="25" t="s">
        <v>8147</v>
      </c>
      <c r="L309" s="23" t="s">
        <v>8148</v>
      </c>
      <c r="M309" s="23" t="s">
        <v>8149</v>
      </c>
      <c r="N309" s="26" t="s">
        <v>8150</v>
      </c>
      <c r="O309" s="27" t="s">
        <v>8151</v>
      </c>
      <c r="P309" s="28" t="s">
        <v>8152</v>
      </c>
      <c r="Q309" s="29" t="s">
        <v>8153</v>
      </c>
      <c r="R309" s="30" t="s">
        <v>8154</v>
      </c>
      <c r="S309" s="23" t="s">
        <v>8155</v>
      </c>
      <c r="T309" s="23" t="s">
        <v>8148</v>
      </c>
      <c r="U309" s="23" t="s">
        <v>8156</v>
      </c>
      <c r="V309" s="23" t="s">
        <v>8157</v>
      </c>
      <c r="W309" s="23" t="s">
        <v>8158</v>
      </c>
      <c r="X309" s="23" t="s">
        <v>8159</v>
      </c>
      <c r="Y309" s="31" t="s">
        <v>8160</v>
      </c>
      <c r="Z309" s="23" t="s">
        <v>8161</v>
      </c>
      <c r="AA309" s="23" t="s">
        <v>8162</v>
      </c>
      <c r="AB309" s="26" t="s">
        <v>8163</v>
      </c>
      <c r="AC309" s="23" t="s">
        <v>8164</v>
      </c>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row>
    <row r="310">
      <c r="A310" s="22" t="s">
        <v>8165</v>
      </c>
      <c r="B310" s="23" t="s">
        <v>8166</v>
      </c>
      <c r="C310" s="24" t="s">
        <v>8167</v>
      </c>
      <c r="D310" s="23" t="s">
        <v>8168</v>
      </c>
      <c r="E310" s="23" t="s">
        <v>8169</v>
      </c>
      <c r="F310" s="23" t="s">
        <v>8170</v>
      </c>
      <c r="G310" s="23" t="s">
        <v>8171</v>
      </c>
      <c r="H310" s="23" t="s">
        <v>8172</v>
      </c>
      <c r="I310" s="23" t="s">
        <v>8173</v>
      </c>
      <c r="J310" s="23" t="s">
        <v>8174</v>
      </c>
      <c r="K310" s="25" t="s">
        <v>8175</v>
      </c>
      <c r="L310" s="23" t="s">
        <v>8176</v>
      </c>
      <c r="M310" s="23" t="s">
        <v>8177</v>
      </c>
      <c r="N310" s="23" t="s">
        <v>8178</v>
      </c>
      <c r="O310" s="27" t="s">
        <v>8179</v>
      </c>
      <c r="P310" s="28" t="s">
        <v>8180</v>
      </c>
      <c r="Q310" s="23" t="s">
        <v>8181</v>
      </c>
      <c r="R310" s="30" t="s">
        <v>8182</v>
      </c>
      <c r="S310" s="23" t="s">
        <v>8183</v>
      </c>
      <c r="T310" s="23" t="s">
        <v>8184</v>
      </c>
      <c r="U310" s="23" t="s">
        <v>8185</v>
      </c>
      <c r="V310" s="23" t="s">
        <v>8186</v>
      </c>
      <c r="W310" s="23" t="s">
        <v>8187</v>
      </c>
      <c r="X310" s="23" t="s">
        <v>8188</v>
      </c>
      <c r="Y310" s="31" t="s">
        <v>8189</v>
      </c>
      <c r="Z310" s="23" t="s">
        <v>8190</v>
      </c>
      <c r="AA310" s="23" t="s">
        <v>8191</v>
      </c>
      <c r="AB310" s="26" t="s">
        <v>8192</v>
      </c>
      <c r="AC310" s="23" t="s">
        <v>8193</v>
      </c>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row>
    <row r="311">
      <c r="A311" s="22" t="s">
        <v>8194</v>
      </c>
      <c r="B311" s="23" t="s">
        <v>8195</v>
      </c>
      <c r="C311" s="24" t="s">
        <v>8196</v>
      </c>
      <c r="D311" s="23" t="s">
        <v>8197</v>
      </c>
      <c r="E311" s="23" t="s">
        <v>8195</v>
      </c>
      <c r="F311" s="23" t="s">
        <v>8198</v>
      </c>
      <c r="G311" s="23" t="s">
        <v>8199</v>
      </c>
      <c r="H311" s="23" t="s">
        <v>8200</v>
      </c>
      <c r="I311" s="23" t="s">
        <v>8201</v>
      </c>
      <c r="J311" s="23" t="s">
        <v>8202</v>
      </c>
      <c r="K311" s="25" t="s">
        <v>8203</v>
      </c>
      <c r="L311" s="23" t="s">
        <v>8204</v>
      </c>
      <c r="M311" s="23" t="s">
        <v>8205</v>
      </c>
      <c r="N311" s="26" t="s">
        <v>8206</v>
      </c>
      <c r="O311" s="27" t="s">
        <v>8207</v>
      </c>
      <c r="P311" s="28" t="s">
        <v>8208</v>
      </c>
      <c r="Q311" s="29" t="s">
        <v>8209</v>
      </c>
      <c r="R311" s="30" t="s">
        <v>8210</v>
      </c>
      <c r="S311" s="23" t="s">
        <v>8211</v>
      </c>
      <c r="T311" s="23" t="s">
        <v>8212</v>
      </c>
      <c r="U311" s="23" t="s">
        <v>8213</v>
      </c>
      <c r="V311" s="23" t="s">
        <v>8214</v>
      </c>
      <c r="W311" s="23" t="s">
        <v>8215</v>
      </c>
      <c r="X311" s="23" t="s">
        <v>8216</v>
      </c>
      <c r="Y311" s="31" t="s">
        <v>8217</v>
      </c>
      <c r="Z311" s="23" t="s">
        <v>8218</v>
      </c>
      <c r="AA311" s="23" t="s">
        <v>8219</v>
      </c>
      <c r="AB311" s="26" t="s">
        <v>8220</v>
      </c>
      <c r="AC311" s="23" t="s">
        <v>8221</v>
      </c>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row>
    <row r="312">
      <c r="A312" s="22" t="s">
        <v>8222</v>
      </c>
      <c r="B312" s="23" t="s">
        <v>8223</v>
      </c>
      <c r="C312" s="24" t="s">
        <v>8224</v>
      </c>
      <c r="D312" s="23" t="s">
        <v>8225</v>
      </c>
      <c r="E312" s="23" t="s">
        <v>8226</v>
      </c>
      <c r="F312" s="23" t="s">
        <v>8227</v>
      </c>
      <c r="G312" s="23" t="s">
        <v>8228</v>
      </c>
      <c r="H312" s="23" t="s">
        <v>8229</v>
      </c>
      <c r="I312" s="23" t="s">
        <v>8230</v>
      </c>
      <c r="J312" s="23" t="s">
        <v>8231</v>
      </c>
      <c r="K312" s="25" t="s">
        <v>8232</v>
      </c>
      <c r="L312" s="23" t="s">
        <v>8233</v>
      </c>
      <c r="M312" s="23" t="s">
        <v>8234</v>
      </c>
      <c r="N312" s="23" t="s">
        <v>8235</v>
      </c>
      <c r="O312" s="27" t="s">
        <v>8236</v>
      </c>
      <c r="P312" s="28" t="s">
        <v>8237</v>
      </c>
      <c r="Q312" s="29" t="s">
        <v>8238</v>
      </c>
      <c r="R312" s="30" t="s">
        <v>8239</v>
      </c>
      <c r="S312" s="23" t="s">
        <v>8240</v>
      </c>
      <c r="T312" s="23" t="s">
        <v>8233</v>
      </c>
      <c r="U312" s="23" t="s">
        <v>8241</v>
      </c>
      <c r="V312" s="23" t="s">
        <v>8242</v>
      </c>
      <c r="W312" s="23" t="s">
        <v>8243</v>
      </c>
      <c r="X312" s="23" t="s">
        <v>8244</v>
      </c>
      <c r="Y312" s="31" t="s">
        <v>8245</v>
      </c>
      <c r="Z312" s="23" t="s">
        <v>8246</v>
      </c>
      <c r="AA312" s="23" t="s">
        <v>8247</v>
      </c>
      <c r="AB312" s="26" t="s">
        <v>8248</v>
      </c>
      <c r="AC312" s="23" t="s">
        <v>8249</v>
      </c>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row>
    <row r="313">
      <c r="A313" s="22" t="s">
        <v>8250</v>
      </c>
      <c r="B313" s="23" t="s">
        <v>8251</v>
      </c>
      <c r="C313" s="24" t="s">
        <v>8252</v>
      </c>
      <c r="D313" s="23" t="s">
        <v>8253</v>
      </c>
      <c r="E313" s="23" t="s">
        <v>8254</v>
      </c>
      <c r="F313" s="23" t="s">
        <v>8255</v>
      </c>
      <c r="G313" s="23" t="s">
        <v>8256</v>
      </c>
      <c r="H313" s="23" t="s">
        <v>8257</v>
      </c>
      <c r="I313" s="23" t="s">
        <v>8258</v>
      </c>
      <c r="J313" s="23" t="s">
        <v>8259</v>
      </c>
      <c r="K313" s="25" t="s">
        <v>8260</v>
      </c>
      <c r="L313" s="23" t="s">
        <v>8261</v>
      </c>
      <c r="M313" s="23" t="s">
        <v>8262</v>
      </c>
      <c r="N313" s="26" t="s">
        <v>8263</v>
      </c>
      <c r="O313" s="27" t="s">
        <v>8264</v>
      </c>
      <c r="P313" s="28" t="s">
        <v>8265</v>
      </c>
      <c r="Q313" s="29" t="s">
        <v>8266</v>
      </c>
      <c r="R313" s="30" t="s">
        <v>8267</v>
      </c>
      <c r="S313" s="23" t="s">
        <v>8268</v>
      </c>
      <c r="T313" s="23" t="s">
        <v>8269</v>
      </c>
      <c r="U313" s="23" t="s">
        <v>8270</v>
      </c>
      <c r="V313" s="23" t="s">
        <v>8271</v>
      </c>
      <c r="W313" s="23" t="s">
        <v>8272</v>
      </c>
      <c r="X313" s="23" t="s">
        <v>8273</v>
      </c>
      <c r="Y313" s="31" t="s">
        <v>8274</v>
      </c>
      <c r="Z313" s="23" t="s">
        <v>8275</v>
      </c>
      <c r="AA313" s="23" t="s">
        <v>8276</v>
      </c>
      <c r="AB313" s="26" t="s">
        <v>8277</v>
      </c>
      <c r="AC313" s="23" t="s">
        <v>8278</v>
      </c>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row>
    <row r="314">
      <c r="A314" s="22" t="s">
        <v>8279</v>
      </c>
      <c r="B314" s="23" t="s">
        <v>8280</v>
      </c>
      <c r="C314" s="24" t="s">
        <v>8281</v>
      </c>
      <c r="D314" s="23" t="s">
        <v>8282</v>
      </c>
      <c r="E314" s="23" t="s">
        <v>8283</v>
      </c>
      <c r="F314" s="23" t="s">
        <v>8284</v>
      </c>
      <c r="G314" s="23" t="s">
        <v>8285</v>
      </c>
      <c r="H314" s="23" t="s">
        <v>8286</v>
      </c>
      <c r="I314" s="23" t="s">
        <v>8287</v>
      </c>
      <c r="J314" s="23" t="s">
        <v>8288</v>
      </c>
      <c r="K314" s="25" t="s">
        <v>8289</v>
      </c>
      <c r="L314" s="23" t="s">
        <v>8290</v>
      </c>
      <c r="M314" s="23" t="s">
        <v>8291</v>
      </c>
      <c r="N314" s="26" t="s">
        <v>8292</v>
      </c>
      <c r="O314" s="27" t="s">
        <v>8293</v>
      </c>
      <c r="P314" s="28" t="s">
        <v>8294</v>
      </c>
      <c r="Q314" s="29" t="s">
        <v>8295</v>
      </c>
      <c r="R314" s="30" t="s">
        <v>8296</v>
      </c>
      <c r="S314" s="23" t="s">
        <v>8297</v>
      </c>
      <c r="T314" s="23" t="s">
        <v>8298</v>
      </c>
      <c r="U314" s="23" t="s">
        <v>8299</v>
      </c>
      <c r="V314" s="23" t="s">
        <v>8300</v>
      </c>
      <c r="W314" s="23" t="s">
        <v>8301</v>
      </c>
      <c r="X314" s="23" t="s">
        <v>8302</v>
      </c>
      <c r="Y314" s="31" t="s">
        <v>8303</v>
      </c>
      <c r="Z314" s="23" t="s">
        <v>8304</v>
      </c>
      <c r="AA314" s="23" t="s">
        <v>8305</v>
      </c>
      <c r="AB314" s="26" t="s">
        <v>8306</v>
      </c>
      <c r="AC314" s="23" t="s">
        <v>8307</v>
      </c>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row>
    <row r="315">
      <c r="A315" s="22" t="s">
        <v>8308</v>
      </c>
      <c r="B315" s="23" t="s">
        <v>8309</v>
      </c>
      <c r="C315" s="24" t="s">
        <v>8310</v>
      </c>
      <c r="D315" s="23" t="s">
        <v>8311</v>
      </c>
      <c r="E315" s="23" t="s">
        <v>8312</v>
      </c>
      <c r="F315" s="23" t="s">
        <v>8313</v>
      </c>
      <c r="G315" s="23" t="s">
        <v>8314</v>
      </c>
      <c r="H315" s="23" t="s">
        <v>8315</v>
      </c>
      <c r="I315" s="23" t="s">
        <v>8316</v>
      </c>
      <c r="J315" s="23" t="s">
        <v>8317</v>
      </c>
      <c r="K315" s="25" t="s">
        <v>8318</v>
      </c>
      <c r="L315" s="23" t="s">
        <v>8319</v>
      </c>
      <c r="M315" s="23" t="s">
        <v>8320</v>
      </c>
      <c r="N315" s="26" t="s">
        <v>8321</v>
      </c>
      <c r="O315" s="27" t="s">
        <v>8322</v>
      </c>
      <c r="P315" s="28" t="s">
        <v>8323</v>
      </c>
      <c r="Q315" s="29" t="s">
        <v>8324</v>
      </c>
      <c r="R315" s="30" t="s">
        <v>8325</v>
      </c>
      <c r="S315" s="23" t="s">
        <v>8326</v>
      </c>
      <c r="T315" s="23" t="s">
        <v>8327</v>
      </c>
      <c r="U315" s="23" t="s">
        <v>8328</v>
      </c>
      <c r="V315" s="23" t="s">
        <v>8329</v>
      </c>
      <c r="W315" s="23" t="s">
        <v>8330</v>
      </c>
      <c r="X315" s="23" t="s">
        <v>8331</v>
      </c>
      <c r="Y315" s="31" t="s">
        <v>8332</v>
      </c>
      <c r="Z315" s="23" t="s">
        <v>8333</v>
      </c>
      <c r="AA315" s="23" t="s">
        <v>8334</v>
      </c>
      <c r="AB315" s="26" t="s">
        <v>8335</v>
      </c>
      <c r="AC315" s="23" t="s">
        <v>8336</v>
      </c>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row>
    <row r="316">
      <c r="A316" s="22" t="s">
        <v>8337</v>
      </c>
      <c r="B316" s="23" t="s">
        <v>8338</v>
      </c>
      <c r="C316" s="24" t="s">
        <v>8339</v>
      </c>
      <c r="D316" s="23" t="s">
        <v>8340</v>
      </c>
      <c r="E316" s="23" t="s">
        <v>8341</v>
      </c>
      <c r="F316" s="23" t="s">
        <v>8342</v>
      </c>
      <c r="G316" s="23" t="s">
        <v>8343</v>
      </c>
      <c r="H316" s="23" t="s">
        <v>8344</v>
      </c>
      <c r="I316" s="23" t="s">
        <v>8345</v>
      </c>
      <c r="J316" s="23" t="s">
        <v>8346</v>
      </c>
      <c r="K316" s="25" t="s">
        <v>8347</v>
      </c>
      <c r="L316" s="23" t="s">
        <v>8348</v>
      </c>
      <c r="M316" s="23" t="s">
        <v>8349</v>
      </c>
      <c r="N316" s="26" t="s">
        <v>8350</v>
      </c>
      <c r="O316" s="27" t="s">
        <v>8351</v>
      </c>
      <c r="P316" s="28" t="s">
        <v>8352</v>
      </c>
      <c r="Q316" s="29" t="s">
        <v>8353</v>
      </c>
      <c r="R316" s="30" t="s">
        <v>8354</v>
      </c>
      <c r="S316" s="23" t="s">
        <v>8355</v>
      </c>
      <c r="T316" s="23" t="s">
        <v>8356</v>
      </c>
      <c r="U316" s="23" t="s">
        <v>8357</v>
      </c>
      <c r="V316" s="23" t="s">
        <v>8358</v>
      </c>
      <c r="W316" s="23" t="s">
        <v>8359</v>
      </c>
      <c r="X316" s="23" t="s">
        <v>8360</v>
      </c>
      <c r="Y316" s="31" t="s">
        <v>8361</v>
      </c>
      <c r="Z316" s="23" t="s">
        <v>8362</v>
      </c>
      <c r="AA316" s="23" t="s">
        <v>8363</v>
      </c>
      <c r="AB316" s="26" t="s">
        <v>8364</v>
      </c>
      <c r="AC316" s="23" t="s">
        <v>8365</v>
      </c>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row>
    <row r="317">
      <c r="A317" s="22" t="s">
        <v>8366</v>
      </c>
      <c r="B317" s="23" t="s">
        <v>8367</v>
      </c>
      <c r="C317" s="24" t="s">
        <v>8368</v>
      </c>
      <c r="D317" s="23" t="s">
        <v>8369</v>
      </c>
      <c r="E317" s="23" t="s">
        <v>8370</v>
      </c>
      <c r="F317" s="23" t="s">
        <v>8371</v>
      </c>
      <c r="G317" s="23" t="s">
        <v>8372</v>
      </c>
      <c r="H317" s="23" t="s">
        <v>8373</v>
      </c>
      <c r="I317" s="23" t="s">
        <v>8374</v>
      </c>
      <c r="J317" s="23" t="s">
        <v>8375</v>
      </c>
      <c r="K317" s="25" t="s">
        <v>8376</v>
      </c>
      <c r="L317" s="23" t="s">
        <v>8377</v>
      </c>
      <c r="M317" s="23" t="s">
        <v>8378</v>
      </c>
      <c r="N317" s="26" t="s">
        <v>8379</v>
      </c>
      <c r="O317" s="27" t="s">
        <v>8380</v>
      </c>
      <c r="P317" s="28" t="s">
        <v>8381</v>
      </c>
      <c r="Q317" s="29" t="s">
        <v>8382</v>
      </c>
      <c r="R317" s="30" t="s">
        <v>8383</v>
      </c>
      <c r="S317" s="23" t="s">
        <v>8384</v>
      </c>
      <c r="T317" s="23" t="s">
        <v>8377</v>
      </c>
      <c r="U317" s="23" t="s">
        <v>8385</v>
      </c>
      <c r="V317" s="23" t="s">
        <v>8386</v>
      </c>
      <c r="W317" s="23" t="s">
        <v>8387</v>
      </c>
      <c r="X317" s="23" t="s">
        <v>8388</v>
      </c>
      <c r="Y317" s="31" t="s">
        <v>8389</v>
      </c>
      <c r="Z317" s="23" t="s">
        <v>8390</v>
      </c>
      <c r="AA317" s="23" t="s">
        <v>8391</v>
      </c>
      <c r="AB317" s="26" t="s">
        <v>8392</v>
      </c>
      <c r="AC317" s="23" t="s">
        <v>8393</v>
      </c>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row>
    <row r="318">
      <c r="A318" s="22" t="s">
        <v>8394</v>
      </c>
      <c r="B318" s="23" t="s">
        <v>8395</v>
      </c>
      <c r="C318" s="24" t="s">
        <v>8396</v>
      </c>
      <c r="D318" s="23" t="s">
        <v>8397</v>
      </c>
      <c r="E318" s="23" t="s">
        <v>8398</v>
      </c>
      <c r="F318" s="23" t="s">
        <v>8399</v>
      </c>
      <c r="G318" s="23" t="s">
        <v>8400</v>
      </c>
      <c r="H318" s="23" t="s">
        <v>8401</v>
      </c>
      <c r="I318" s="23" t="s">
        <v>8402</v>
      </c>
      <c r="J318" s="23" t="s">
        <v>8403</v>
      </c>
      <c r="K318" s="25" t="s">
        <v>8404</v>
      </c>
      <c r="L318" s="23" t="s">
        <v>8405</v>
      </c>
      <c r="M318" s="23" t="s">
        <v>8406</v>
      </c>
      <c r="N318" s="26" t="s">
        <v>8407</v>
      </c>
      <c r="O318" s="27" t="s">
        <v>8408</v>
      </c>
      <c r="P318" s="28" t="s">
        <v>8409</v>
      </c>
      <c r="Q318" s="29" t="s">
        <v>8410</v>
      </c>
      <c r="R318" s="23" t="s">
        <v>8411</v>
      </c>
      <c r="S318" s="23" t="s">
        <v>8412</v>
      </c>
      <c r="T318" s="23" t="s">
        <v>8413</v>
      </c>
      <c r="U318" s="23" t="s">
        <v>8414</v>
      </c>
      <c r="V318" s="23" t="s">
        <v>8415</v>
      </c>
      <c r="W318" s="23" t="s">
        <v>8416</v>
      </c>
      <c r="X318" s="23" t="s">
        <v>8417</v>
      </c>
      <c r="Y318" s="31" t="s">
        <v>8418</v>
      </c>
      <c r="Z318" s="23" t="s">
        <v>8419</v>
      </c>
      <c r="AA318" s="23" t="s">
        <v>8420</v>
      </c>
      <c r="AB318" s="26" t="s">
        <v>8421</v>
      </c>
      <c r="AC318" s="23" t="s">
        <v>8422</v>
      </c>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row>
    <row r="319">
      <c r="A319" s="22" t="s">
        <v>8423</v>
      </c>
      <c r="B319" s="23" t="s">
        <v>8424</v>
      </c>
      <c r="C319" s="24" t="s">
        <v>8425</v>
      </c>
      <c r="D319" s="23" t="s">
        <v>8426</v>
      </c>
      <c r="E319" s="23" t="s">
        <v>8427</v>
      </c>
      <c r="F319" s="23" t="s">
        <v>8428</v>
      </c>
      <c r="G319" s="23" t="s">
        <v>8429</v>
      </c>
      <c r="H319" s="23" t="s">
        <v>8430</v>
      </c>
      <c r="I319" s="23" t="s">
        <v>8431</v>
      </c>
      <c r="J319" s="23" t="s">
        <v>8432</v>
      </c>
      <c r="K319" s="25" t="s">
        <v>8433</v>
      </c>
      <c r="L319" s="23" t="s">
        <v>8434</v>
      </c>
      <c r="M319" s="23" t="s">
        <v>8435</v>
      </c>
      <c r="N319" s="26" t="s">
        <v>8436</v>
      </c>
      <c r="O319" s="27" t="s">
        <v>8437</v>
      </c>
      <c r="P319" s="28" t="s">
        <v>8438</v>
      </c>
      <c r="Q319" s="29" t="s">
        <v>8439</v>
      </c>
      <c r="R319" s="30" t="s">
        <v>8440</v>
      </c>
      <c r="S319" s="23" t="s">
        <v>8441</v>
      </c>
      <c r="T319" s="23" t="s">
        <v>8434</v>
      </c>
      <c r="U319" s="23" t="s">
        <v>8442</v>
      </c>
      <c r="V319" s="23" t="s">
        <v>8443</v>
      </c>
      <c r="W319" s="23" t="s">
        <v>8444</v>
      </c>
      <c r="X319" s="23" t="s">
        <v>8445</v>
      </c>
      <c r="Y319" s="31" t="s">
        <v>8446</v>
      </c>
      <c r="Z319" s="23" t="s">
        <v>8447</v>
      </c>
      <c r="AA319" s="23" t="s">
        <v>8448</v>
      </c>
      <c r="AB319" s="26" t="s">
        <v>8449</v>
      </c>
      <c r="AC319" s="23" t="s">
        <v>8450</v>
      </c>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row>
    <row r="320">
      <c r="A320" s="22" t="s">
        <v>8451</v>
      </c>
      <c r="B320" s="23" t="s">
        <v>8452</v>
      </c>
      <c r="C320" s="24" t="s">
        <v>8453</v>
      </c>
      <c r="D320" s="23" t="s">
        <v>8454</v>
      </c>
      <c r="E320" s="23" t="s">
        <v>8455</v>
      </c>
      <c r="F320" s="23" t="s">
        <v>8456</v>
      </c>
      <c r="G320" s="23" t="s">
        <v>8457</v>
      </c>
      <c r="H320" s="23" t="s">
        <v>8458</v>
      </c>
      <c r="I320" s="23" t="s">
        <v>8459</v>
      </c>
      <c r="J320" s="23" t="s">
        <v>8460</v>
      </c>
      <c r="K320" s="25" t="s">
        <v>8461</v>
      </c>
      <c r="L320" s="23" t="s">
        <v>8462</v>
      </c>
      <c r="M320" s="23" t="s">
        <v>8463</v>
      </c>
      <c r="N320" s="26" t="s">
        <v>8464</v>
      </c>
      <c r="O320" s="27" t="s">
        <v>8465</v>
      </c>
      <c r="P320" s="28" t="s">
        <v>8438</v>
      </c>
      <c r="Q320" s="29" t="s">
        <v>8466</v>
      </c>
      <c r="R320" s="30" t="s">
        <v>8467</v>
      </c>
      <c r="S320" s="23" t="s">
        <v>8468</v>
      </c>
      <c r="T320" s="23" t="s">
        <v>8469</v>
      </c>
      <c r="U320" s="23" t="s">
        <v>8470</v>
      </c>
      <c r="V320" s="23" t="s">
        <v>8471</v>
      </c>
      <c r="W320" s="23" t="s">
        <v>8472</v>
      </c>
      <c r="X320" s="23" t="s">
        <v>8473</v>
      </c>
      <c r="Y320" s="31" t="s">
        <v>8474</v>
      </c>
      <c r="Z320" s="23" t="s">
        <v>8475</v>
      </c>
      <c r="AA320" s="23" t="s">
        <v>8476</v>
      </c>
      <c r="AB320" s="26" t="s">
        <v>8477</v>
      </c>
      <c r="AC320" s="23" t="s">
        <v>8478</v>
      </c>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row>
    <row r="321">
      <c r="A321" s="37" t="s">
        <v>8479</v>
      </c>
      <c r="B321" s="38" t="s">
        <v>8480</v>
      </c>
      <c r="C321" s="39" t="s">
        <v>8481</v>
      </c>
      <c r="D321" s="38" t="s">
        <v>8482</v>
      </c>
      <c r="E321" s="38" t="s">
        <v>8483</v>
      </c>
      <c r="F321" s="38" t="s">
        <v>8484</v>
      </c>
      <c r="G321" s="38" t="s">
        <v>8485</v>
      </c>
      <c r="H321" s="38" t="s">
        <v>8486</v>
      </c>
      <c r="I321" s="38" t="s">
        <v>8487</v>
      </c>
      <c r="J321" s="38" t="s">
        <v>8488</v>
      </c>
      <c r="K321" s="40" t="s">
        <v>8489</v>
      </c>
      <c r="L321" s="38" t="s">
        <v>8490</v>
      </c>
      <c r="M321" s="38" t="s">
        <v>8491</v>
      </c>
      <c r="N321" s="41" t="s">
        <v>8492</v>
      </c>
      <c r="O321" s="42" t="s">
        <v>8493</v>
      </c>
      <c r="P321" s="43" t="s">
        <v>8494</v>
      </c>
      <c r="Q321" s="44" t="s">
        <v>8495</v>
      </c>
      <c r="R321" s="45" t="s">
        <v>8496</v>
      </c>
      <c r="S321" s="38" t="s">
        <v>8497</v>
      </c>
      <c r="T321" s="38" t="s">
        <v>8498</v>
      </c>
      <c r="U321" s="38" t="s">
        <v>8499</v>
      </c>
      <c r="V321" s="38" t="s">
        <v>8500</v>
      </c>
      <c r="W321" s="38" t="s">
        <v>8501</v>
      </c>
      <c r="X321" s="38" t="s">
        <v>8502</v>
      </c>
      <c r="Y321" s="46" t="s">
        <v>8503</v>
      </c>
      <c r="Z321" s="38" t="s">
        <v>8504</v>
      </c>
      <c r="AA321" s="38" t="s">
        <v>8505</v>
      </c>
      <c r="AB321" s="41" t="s">
        <v>8506</v>
      </c>
      <c r="AC321" s="38" t="s">
        <v>8507</v>
      </c>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row>
    <row r="322">
      <c r="A322" s="37" t="s">
        <v>8508</v>
      </c>
      <c r="B322" s="38" t="s">
        <v>8509</v>
      </c>
      <c r="C322" s="39" t="s">
        <v>8510</v>
      </c>
      <c r="D322" s="38" t="s">
        <v>8511</v>
      </c>
      <c r="E322" s="38" t="s">
        <v>8512</v>
      </c>
      <c r="F322" s="38" t="s">
        <v>8513</v>
      </c>
      <c r="G322" s="38" t="s">
        <v>8514</v>
      </c>
      <c r="H322" s="38" t="s">
        <v>8515</v>
      </c>
      <c r="I322" s="38" t="s">
        <v>8516</v>
      </c>
      <c r="J322" s="38" t="s">
        <v>8517</v>
      </c>
      <c r="K322" s="40" t="s">
        <v>8518</v>
      </c>
      <c r="L322" s="38" t="s">
        <v>8519</v>
      </c>
      <c r="M322" s="38" t="s">
        <v>8520</v>
      </c>
      <c r="N322" s="41" t="s">
        <v>8521</v>
      </c>
      <c r="O322" s="42" t="s">
        <v>8522</v>
      </c>
      <c r="P322" s="43" t="s">
        <v>8523</v>
      </c>
      <c r="Q322" s="44" t="s">
        <v>8524</v>
      </c>
      <c r="R322" s="45" t="s">
        <v>8525</v>
      </c>
      <c r="S322" s="38" t="s">
        <v>8526</v>
      </c>
      <c r="T322" s="38" t="s">
        <v>8527</v>
      </c>
      <c r="U322" s="38" t="s">
        <v>8528</v>
      </c>
      <c r="V322" s="38" t="s">
        <v>8529</v>
      </c>
      <c r="W322" s="38" t="s">
        <v>8530</v>
      </c>
      <c r="X322" s="38" t="s">
        <v>8531</v>
      </c>
      <c r="Y322" s="46" t="s">
        <v>8532</v>
      </c>
      <c r="Z322" s="38" t="s">
        <v>8533</v>
      </c>
      <c r="AA322" s="38" t="s">
        <v>8534</v>
      </c>
      <c r="AB322" s="41" t="s">
        <v>8535</v>
      </c>
      <c r="AC322" s="38" t="s">
        <v>8536</v>
      </c>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row>
    <row r="323">
      <c r="A323" s="37" t="s">
        <v>8537</v>
      </c>
      <c r="B323" s="38" t="s">
        <v>8538</v>
      </c>
      <c r="C323" s="39" t="s">
        <v>8539</v>
      </c>
      <c r="D323" s="38" t="s">
        <v>8540</v>
      </c>
      <c r="E323" s="38" t="s">
        <v>8541</v>
      </c>
      <c r="F323" s="38" t="s">
        <v>8542</v>
      </c>
      <c r="G323" s="38" t="s">
        <v>8543</v>
      </c>
      <c r="H323" s="38" t="s">
        <v>8544</v>
      </c>
      <c r="I323" s="38" t="s">
        <v>8545</v>
      </c>
      <c r="J323" s="38" t="s">
        <v>8546</v>
      </c>
      <c r="K323" s="40" t="s">
        <v>8547</v>
      </c>
      <c r="L323" s="38" t="s">
        <v>8548</v>
      </c>
      <c r="M323" s="38" t="s">
        <v>8549</v>
      </c>
      <c r="N323" s="41" t="s">
        <v>8550</v>
      </c>
      <c r="O323" s="42" t="s">
        <v>8551</v>
      </c>
      <c r="P323" s="43" t="s">
        <v>8552</v>
      </c>
      <c r="Q323" s="44" t="s">
        <v>8553</v>
      </c>
      <c r="R323" s="45" t="s">
        <v>8554</v>
      </c>
      <c r="S323" s="38" t="s">
        <v>8555</v>
      </c>
      <c r="T323" s="38" t="s">
        <v>8556</v>
      </c>
      <c r="U323" s="38" t="s">
        <v>8557</v>
      </c>
      <c r="V323" s="38" t="s">
        <v>8558</v>
      </c>
      <c r="W323" s="38" t="s">
        <v>8559</v>
      </c>
      <c r="X323" s="38" t="s">
        <v>8560</v>
      </c>
      <c r="Y323" s="46" t="s">
        <v>8561</v>
      </c>
      <c r="Z323" s="38" t="s">
        <v>8562</v>
      </c>
      <c r="AA323" s="38" t="s">
        <v>8563</v>
      </c>
      <c r="AB323" s="41" t="s">
        <v>8564</v>
      </c>
      <c r="AC323" s="38" t="s">
        <v>8565</v>
      </c>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row>
    <row r="324">
      <c r="A324" s="37" t="s">
        <v>8566</v>
      </c>
      <c r="B324" s="38" t="s">
        <v>8567</v>
      </c>
      <c r="C324" s="39" t="s">
        <v>8568</v>
      </c>
      <c r="D324" s="38" t="s">
        <v>8569</v>
      </c>
      <c r="E324" s="38" t="s">
        <v>8570</v>
      </c>
      <c r="F324" s="38" t="s">
        <v>8571</v>
      </c>
      <c r="G324" s="38" t="s">
        <v>8572</v>
      </c>
      <c r="H324" s="38" t="s">
        <v>8573</v>
      </c>
      <c r="I324" s="38" t="s">
        <v>8574</v>
      </c>
      <c r="J324" s="38" t="s">
        <v>8575</v>
      </c>
      <c r="K324" s="40" t="s">
        <v>8576</v>
      </c>
      <c r="L324" s="38" t="s">
        <v>8577</v>
      </c>
      <c r="M324" s="38" t="s">
        <v>8578</v>
      </c>
      <c r="N324" s="41" t="s">
        <v>8579</v>
      </c>
      <c r="O324" s="42" t="s">
        <v>8580</v>
      </c>
      <c r="P324" s="43" t="s">
        <v>8581</v>
      </c>
      <c r="Q324" s="44" t="s">
        <v>8582</v>
      </c>
      <c r="R324" s="45" t="s">
        <v>8583</v>
      </c>
      <c r="S324" s="38" t="s">
        <v>8584</v>
      </c>
      <c r="T324" s="38" t="s">
        <v>8585</v>
      </c>
      <c r="U324" s="38" t="s">
        <v>8586</v>
      </c>
      <c r="V324" s="38" t="s">
        <v>8587</v>
      </c>
      <c r="W324" s="38" t="s">
        <v>8588</v>
      </c>
      <c r="X324" s="38" t="s">
        <v>8589</v>
      </c>
      <c r="Y324" s="46" t="s">
        <v>8590</v>
      </c>
      <c r="Z324" s="38" t="s">
        <v>8591</v>
      </c>
      <c r="AA324" s="38" t="s">
        <v>8592</v>
      </c>
      <c r="AB324" s="41" t="s">
        <v>8593</v>
      </c>
      <c r="AC324" s="38" t="s">
        <v>8594</v>
      </c>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row>
    <row r="325">
      <c r="A325" s="37" t="s">
        <v>8595</v>
      </c>
      <c r="B325" s="38" t="s">
        <v>8596</v>
      </c>
      <c r="C325" s="39" t="s">
        <v>8597</v>
      </c>
      <c r="D325" s="38" t="s">
        <v>8598</v>
      </c>
      <c r="E325" s="38" t="s">
        <v>8599</v>
      </c>
      <c r="F325" s="38" t="s">
        <v>8600</v>
      </c>
      <c r="G325" s="38" t="s">
        <v>8601</v>
      </c>
      <c r="H325" s="38" t="s">
        <v>8602</v>
      </c>
      <c r="I325" s="38" t="s">
        <v>8603</v>
      </c>
      <c r="J325" s="38" t="s">
        <v>8604</v>
      </c>
      <c r="K325" s="40" t="s">
        <v>8605</v>
      </c>
      <c r="L325" s="38" t="s">
        <v>8606</v>
      </c>
      <c r="M325" s="38" t="s">
        <v>8607</v>
      </c>
      <c r="N325" s="41" t="s">
        <v>8608</v>
      </c>
      <c r="O325" s="42" t="s">
        <v>8609</v>
      </c>
      <c r="P325" s="43" t="s">
        <v>8610</v>
      </c>
      <c r="Q325" s="44" t="s">
        <v>8611</v>
      </c>
      <c r="R325" s="45" t="s">
        <v>8612</v>
      </c>
      <c r="S325" s="38" t="s">
        <v>8613</v>
      </c>
      <c r="T325" s="38" t="s">
        <v>8614</v>
      </c>
      <c r="U325" s="38" t="s">
        <v>8615</v>
      </c>
      <c r="V325" s="38" t="s">
        <v>8616</v>
      </c>
      <c r="W325" s="38" t="s">
        <v>8617</v>
      </c>
      <c r="X325" s="38" t="s">
        <v>8618</v>
      </c>
      <c r="Y325" s="46" t="s">
        <v>8619</v>
      </c>
      <c r="Z325" s="38" t="s">
        <v>8620</v>
      </c>
      <c r="AA325" s="38" t="s">
        <v>8621</v>
      </c>
      <c r="AB325" s="41" t="s">
        <v>8622</v>
      </c>
      <c r="AC325" s="38" t="s">
        <v>8623</v>
      </c>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row>
    <row r="326">
      <c r="A326" s="37" t="s">
        <v>8624</v>
      </c>
      <c r="B326" s="38" t="s">
        <v>8625</v>
      </c>
      <c r="C326" s="39" t="s">
        <v>8626</v>
      </c>
      <c r="D326" s="38" t="s">
        <v>8627</v>
      </c>
      <c r="E326" s="38" t="s">
        <v>8628</v>
      </c>
      <c r="F326" s="38" t="s">
        <v>8629</v>
      </c>
      <c r="G326" s="38" t="s">
        <v>8630</v>
      </c>
      <c r="H326" s="38" t="s">
        <v>8631</v>
      </c>
      <c r="I326" s="38" t="s">
        <v>8632</v>
      </c>
      <c r="J326" s="38" t="s">
        <v>8633</v>
      </c>
      <c r="K326" s="40" t="s">
        <v>8634</v>
      </c>
      <c r="L326" s="38" t="s">
        <v>8635</v>
      </c>
      <c r="M326" s="38" t="s">
        <v>8636</v>
      </c>
      <c r="N326" s="41" t="s">
        <v>8637</v>
      </c>
      <c r="O326" s="42" t="s">
        <v>8638</v>
      </c>
      <c r="P326" s="43" t="s">
        <v>8639</v>
      </c>
      <c r="Q326" s="44" t="s">
        <v>8640</v>
      </c>
      <c r="R326" s="45" t="s">
        <v>8641</v>
      </c>
      <c r="S326" s="38" t="s">
        <v>8642</v>
      </c>
      <c r="T326" s="38" t="s">
        <v>8643</v>
      </c>
      <c r="U326" s="38" t="s">
        <v>8644</v>
      </c>
      <c r="V326" s="38" t="s">
        <v>8645</v>
      </c>
      <c r="W326" s="38" t="s">
        <v>8646</v>
      </c>
      <c r="X326" s="38" t="s">
        <v>8647</v>
      </c>
      <c r="Y326" s="46" t="s">
        <v>8648</v>
      </c>
      <c r="Z326" s="38" t="s">
        <v>8649</v>
      </c>
      <c r="AA326" s="38" t="s">
        <v>8650</v>
      </c>
      <c r="AB326" s="41" t="s">
        <v>8651</v>
      </c>
      <c r="AC326" s="38" t="s">
        <v>8652</v>
      </c>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row>
    <row r="327">
      <c r="A327" s="47" t="s">
        <v>8653</v>
      </c>
      <c r="B327" s="48" t="s">
        <v>8654</v>
      </c>
      <c r="C327" s="49" t="s">
        <v>8655</v>
      </c>
      <c r="D327" s="48" t="s">
        <v>8656</v>
      </c>
      <c r="E327" s="48" t="s">
        <v>8657</v>
      </c>
      <c r="F327" s="48" t="s">
        <v>8658</v>
      </c>
      <c r="G327" s="48" t="s">
        <v>8659</v>
      </c>
      <c r="H327" s="48" t="s">
        <v>8660</v>
      </c>
      <c r="I327" s="48" t="s">
        <v>8661</v>
      </c>
      <c r="J327" s="48" t="s">
        <v>8662</v>
      </c>
      <c r="K327" s="48" t="s">
        <v>8663</v>
      </c>
      <c r="L327" s="48" t="s">
        <v>8664</v>
      </c>
      <c r="M327" s="48" t="s">
        <v>8665</v>
      </c>
      <c r="N327" s="48" t="s">
        <v>8666</v>
      </c>
      <c r="O327" s="50" t="s">
        <v>8667</v>
      </c>
      <c r="P327" s="48" t="s">
        <v>8668</v>
      </c>
      <c r="Q327" s="48" t="s">
        <v>8669</v>
      </c>
      <c r="R327" s="51" t="s">
        <v>8670</v>
      </c>
      <c r="S327" s="48" t="s">
        <v>8671</v>
      </c>
      <c r="T327" s="48" t="s">
        <v>8672</v>
      </c>
      <c r="U327" s="48" t="s">
        <v>8673</v>
      </c>
      <c r="V327" s="48" t="s">
        <v>8674</v>
      </c>
      <c r="W327" s="48" t="s">
        <v>8675</v>
      </c>
      <c r="X327" s="48" t="s">
        <v>8676</v>
      </c>
      <c r="Y327" s="52" t="s">
        <v>8677</v>
      </c>
      <c r="Z327" s="48" t="s">
        <v>8678</v>
      </c>
      <c r="AA327" s="48" t="s">
        <v>8679</v>
      </c>
      <c r="AB327" s="53" t="s">
        <v>8680</v>
      </c>
      <c r="AC327" s="48" t="s">
        <v>8681</v>
      </c>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row>
    <row r="328">
      <c r="A328" s="47" t="s">
        <v>8682</v>
      </c>
      <c r="B328" s="48" t="s">
        <v>8683</v>
      </c>
      <c r="C328" s="49" t="s">
        <v>8684</v>
      </c>
      <c r="D328" s="48" t="s">
        <v>8685</v>
      </c>
      <c r="E328" s="48" t="s">
        <v>8686</v>
      </c>
      <c r="F328" s="48" t="s">
        <v>8687</v>
      </c>
      <c r="G328" s="48" t="s">
        <v>8688</v>
      </c>
      <c r="H328" s="48" t="s">
        <v>8689</v>
      </c>
      <c r="I328" s="48" t="s">
        <v>8690</v>
      </c>
      <c r="J328" s="48" t="s">
        <v>8683</v>
      </c>
      <c r="K328" s="54" t="s">
        <v>8691</v>
      </c>
      <c r="L328" s="48" t="s">
        <v>8692</v>
      </c>
      <c r="M328" s="48" t="s">
        <v>8693</v>
      </c>
      <c r="N328" s="53" t="s">
        <v>8694</v>
      </c>
      <c r="O328" s="50" t="s">
        <v>8695</v>
      </c>
      <c r="P328" s="55" t="s">
        <v>8696</v>
      </c>
      <c r="Q328" s="56" t="s">
        <v>8697</v>
      </c>
      <c r="R328" s="51" t="s">
        <v>8698</v>
      </c>
      <c r="S328" s="48" t="s">
        <v>8699</v>
      </c>
      <c r="T328" s="48" t="s">
        <v>8700</v>
      </c>
      <c r="U328" s="48" t="s">
        <v>8701</v>
      </c>
      <c r="V328" s="48" t="s">
        <v>8702</v>
      </c>
      <c r="W328" s="48" t="s">
        <v>8703</v>
      </c>
      <c r="X328" s="48" t="s">
        <v>8704</v>
      </c>
      <c r="Y328" s="52" t="s">
        <v>8705</v>
      </c>
      <c r="Z328" s="48" t="s">
        <v>8706</v>
      </c>
      <c r="AA328" s="48" t="s">
        <v>8707</v>
      </c>
      <c r="AB328" s="53" t="s">
        <v>8708</v>
      </c>
      <c r="AC328" s="48" t="s">
        <v>8709</v>
      </c>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row>
    <row r="329">
      <c r="A329" s="47" t="s">
        <v>8710</v>
      </c>
      <c r="B329" s="48" t="s">
        <v>8711</v>
      </c>
      <c r="C329" s="49" t="s">
        <v>8712</v>
      </c>
      <c r="D329" s="48" t="s">
        <v>8713</v>
      </c>
      <c r="E329" s="48" t="s">
        <v>8714</v>
      </c>
      <c r="F329" s="48" t="s">
        <v>8715</v>
      </c>
      <c r="G329" s="48" t="s">
        <v>8716</v>
      </c>
      <c r="H329" s="48" t="s">
        <v>8717</v>
      </c>
      <c r="I329" s="48" t="s">
        <v>8718</v>
      </c>
      <c r="J329" s="48" t="s">
        <v>8719</v>
      </c>
      <c r="K329" s="48" t="s">
        <v>8720</v>
      </c>
      <c r="L329" s="48" t="s">
        <v>8721</v>
      </c>
      <c r="M329" s="48" t="s">
        <v>8722</v>
      </c>
      <c r="N329" s="48" t="s">
        <v>8723</v>
      </c>
      <c r="O329" s="50" t="s">
        <v>8724</v>
      </c>
      <c r="P329" s="48" t="s">
        <v>8725</v>
      </c>
      <c r="Q329" s="48" t="s">
        <v>8726</v>
      </c>
      <c r="R329" s="51" t="s">
        <v>8727</v>
      </c>
      <c r="S329" s="48" t="s">
        <v>8728</v>
      </c>
      <c r="T329" s="48" t="s">
        <v>8729</v>
      </c>
      <c r="U329" s="48" t="s">
        <v>8730</v>
      </c>
      <c r="V329" s="48" t="s">
        <v>8731</v>
      </c>
      <c r="W329" s="48" t="s">
        <v>8732</v>
      </c>
      <c r="X329" s="48" t="s">
        <v>8733</v>
      </c>
      <c r="Y329" s="52" t="s">
        <v>8734</v>
      </c>
      <c r="Z329" s="48" t="s">
        <v>8735</v>
      </c>
      <c r="AA329" s="48" t="s">
        <v>8736</v>
      </c>
      <c r="AB329" s="53" t="s">
        <v>8737</v>
      </c>
      <c r="AC329" s="48" t="s">
        <v>8738</v>
      </c>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row>
    <row r="330">
      <c r="A330" s="47" t="s">
        <v>8739</v>
      </c>
      <c r="B330" s="48" t="s">
        <v>8740</v>
      </c>
      <c r="C330" s="49" t="s">
        <v>8741</v>
      </c>
      <c r="D330" s="48" t="s">
        <v>8742</v>
      </c>
      <c r="E330" s="48" t="s">
        <v>8743</v>
      </c>
      <c r="F330" s="48" t="s">
        <v>8744</v>
      </c>
      <c r="G330" s="48" t="s">
        <v>8745</v>
      </c>
      <c r="H330" s="48" t="s">
        <v>8746</v>
      </c>
      <c r="I330" s="48" t="s">
        <v>8747</v>
      </c>
      <c r="J330" s="48" t="s">
        <v>8748</v>
      </c>
      <c r="K330" s="54" t="s">
        <v>8749</v>
      </c>
      <c r="L330" s="48" t="s">
        <v>8750</v>
      </c>
      <c r="M330" s="48" t="s">
        <v>8751</v>
      </c>
      <c r="N330" s="53" t="s">
        <v>8752</v>
      </c>
      <c r="O330" s="50" t="s">
        <v>8753</v>
      </c>
      <c r="P330" s="55" t="s">
        <v>8754</v>
      </c>
      <c r="Q330" s="56" t="s">
        <v>8755</v>
      </c>
      <c r="R330" s="51" t="s">
        <v>8756</v>
      </c>
      <c r="S330" s="48" t="s">
        <v>8757</v>
      </c>
      <c r="T330" s="48" t="s">
        <v>8758</v>
      </c>
      <c r="U330" s="48" t="s">
        <v>8759</v>
      </c>
      <c r="V330" s="48" t="s">
        <v>8760</v>
      </c>
      <c r="W330" s="48" t="s">
        <v>8745</v>
      </c>
      <c r="X330" s="48" t="s">
        <v>8761</v>
      </c>
      <c r="Y330" s="52" t="s">
        <v>8762</v>
      </c>
      <c r="Z330" s="48" t="s">
        <v>8763</v>
      </c>
      <c r="AA330" s="48" t="s">
        <v>8764</v>
      </c>
      <c r="AB330" s="53" t="s">
        <v>8765</v>
      </c>
      <c r="AC330" s="48" t="s">
        <v>8766</v>
      </c>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row>
    <row r="331">
      <c r="A331" s="47" t="s">
        <v>8767</v>
      </c>
      <c r="B331" s="48" t="s">
        <v>8768</v>
      </c>
      <c r="C331" s="49" t="s">
        <v>8769</v>
      </c>
      <c r="D331" s="48" t="s">
        <v>8770</v>
      </c>
      <c r="E331" s="48" t="s">
        <v>8771</v>
      </c>
      <c r="F331" s="48" t="s">
        <v>8772</v>
      </c>
      <c r="G331" s="48" t="s">
        <v>8773</v>
      </c>
      <c r="H331" s="48" t="s">
        <v>8774</v>
      </c>
      <c r="I331" s="48" t="s">
        <v>8775</v>
      </c>
      <c r="J331" s="48" t="s">
        <v>8776</v>
      </c>
      <c r="K331" s="54" t="s">
        <v>8777</v>
      </c>
      <c r="L331" s="48" t="s">
        <v>8778</v>
      </c>
      <c r="M331" s="48" t="s">
        <v>8779</v>
      </c>
      <c r="N331" s="53" t="s">
        <v>8780</v>
      </c>
      <c r="O331" s="50" t="s">
        <v>8781</v>
      </c>
      <c r="P331" s="55" t="s">
        <v>8782</v>
      </c>
      <c r="Q331" s="56" t="s">
        <v>8783</v>
      </c>
      <c r="R331" s="51" t="s">
        <v>8784</v>
      </c>
      <c r="S331" s="48" t="s">
        <v>8785</v>
      </c>
      <c r="T331" s="48" t="s">
        <v>8778</v>
      </c>
      <c r="U331" s="48" t="s">
        <v>8786</v>
      </c>
      <c r="V331" s="48" t="s">
        <v>8787</v>
      </c>
      <c r="W331" s="48" t="s">
        <v>8788</v>
      </c>
      <c r="X331" s="48" t="s">
        <v>8789</v>
      </c>
      <c r="Y331" s="52" t="s">
        <v>8790</v>
      </c>
      <c r="Z331" s="48" t="s">
        <v>8791</v>
      </c>
      <c r="AA331" s="48" t="s">
        <v>8792</v>
      </c>
      <c r="AB331" s="53" t="s">
        <v>8793</v>
      </c>
      <c r="AC331" s="48" t="s">
        <v>8794</v>
      </c>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row>
    <row r="332">
      <c r="A332" s="47" t="s">
        <v>8795</v>
      </c>
      <c r="B332" s="48" t="s">
        <v>8796</v>
      </c>
      <c r="C332" s="49" t="s">
        <v>8797</v>
      </c>
      <c r="D332" s="48" t="s">
        <v>8798</v>
      </c>
      <c r="E332" s="48" t="s">
        <v>8799</v>
      </c>
      <c r="F332" s="48" t="s">
        <v>8800</v>
      </c>
      <c r="G332" s="48" t="s">
        <v>8801</v>
      </c>
      <c r="H332" s="48" t="s">
        <v>8802</v>
      </c>
      <c r="I332" s="48" t="s">
        <v>8803</v>
      </c>
      <c r="J332" s="48" t="s">
        <v>8804</v>
      </c>
      <c r="K332" s="54" t="s">
        <v>8805</v>
      </c>
      <c r="L332" s="48" t="s">
        <v>8806</v>
      </c>
      <c r="M332" s="48" t="s">
        <v>8807</v>
      </c>
      <c r="N332" s="53" t="s">
        <v>8808</v>
      </c>
      <c r="O332" s="50" t="s">
        <v>8809</v>
      </c>
      <c r="P332" s="55" t="s">
        <v>8810</v>
      </c>
      <c r="Q332" s="56" t="s">
        <v>8811</v>
      </c>
      <c r="R332" s="51" t="s">
        <v>8812</v>
      </c>
      <c r="S332" s="48" t="s">
        <v>8813</v>
      </c>
      <c r="T332" s="48" t="s">
        <v>8814</v>
      </c>
      <c r="U332" s="48" t="s">
        <v>8815</v>
      </c>
      <c r="V332" s="48" t="s">
        <v>8816</v>
      </c>
      <c r="W332" s="48" t="s">
        <v>8801</v>
      </c>
      <c r="X332" s="48" t="s">
        <v>8817</v>
      </c>
      <c r="Y332" s="52" t="s">
        <v>8818</v>
      </c>
      <c r="Z332" s="48" t="s">
        <v>8819</v>
      </c>
      <c r="AA332" s="48" t="s">
        <v>8820</v>
      </c>
      <c r="AB332" s="53" t="s">
        <v>8821</v>
      </c>
      <c r="AC332" s="48" t="s">
        <v>8822</v>
      </c>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row>
    <row r="333">
      <c r="A333" s="47" t="s">
        <v>8823</v>
      </c>
      <c r="B333" s="48" t="s">
        <v>8824</v>
      </c>
      <c r="C333" s="49" t="s">
        <v>8825</v>
      </c>
      <c r="D333" s="48" t="s">
        <v>8826</v>
      </c>
      <c r="E333" s="48" t="s">
        <v>8827</v>
      </c>
      <c r="F333" s="48" t="s">
        <v>8828</v>
      </c>
      <c r="G333" s="48" t="s">
        <v>8829</v>
      </c>
      <c r="H333" s="48" t="s">
        <v>8830</v>
      </c>
      <c r="I333" s="48" t="s">
        <v>8831</v>
      </c>
      <c r="J333" s="48" t="s">
        <v>8832</v>
      </c>
      <c r="K333" s="54" t="s">
        <v>8833</v>
      </c>
      <c r="L333" s="48" t="s">
        <v>8834</v>
      </c>
      <c r="M333" s="48" t="s">
        <v>8835</v>
      </c>
      <c r="N333" s="53" t="s">
        <v>8836</v>
      </c>
      <c r="O333" s="50" t="s">
        <v>8837</v>
      </c>
      <c r="P333" s="48" t="s">
        <v>8838</v>
      </c>
      <c r="Q333" s="56" t="s">
        <v>8839</v>
      </c>
      <c r="R333" s="51" t="s">
        <v>8840</v>
      </c>
      <c r="S333" s="48" t="s">
        <v>8841</v>
      </c>
      <c r="T333" s="48" t="s">
        <v>8842</v>
      </c>
      <c r="U333" s="48" t="s">
        <v>8843</v>
      </c>
      <c r="V333" s="48" t="s">
        <v>8844</v>
      </c>
      <c r="W333" s="48" t="s">
        <v>8845</v>
      </c>
      <c r="X333" s="48" t="s">
        <v>8846</v>
      </c>
      <c r="Y333" s="52" t="s">
        <v>8847</v>
      </c>
      <c r="Z333" s="48" t="s">
        <v>8848</v>
      </c>
      <c r="AA333" s="48" t="s">
        <v>8849</v>
      </c>
      <c r="AB333" s="53" t="s">
        <v>8850</v>
      </c>
      <c r="AC333" s="48" t="s">
        <v>8851</v>
      </c>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row>
    <row r="411">
      <c r="A411" s="21"/>
      <c r="B411" s="21"/>
      <c r="C411" s="57"/>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row>
    <row r="100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row>
    <row r="1002">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row>
    <row r="1003">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row>
    <row r="1004">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row>
    <row r="1005">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row>
    <row r="1006">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row>
    <row r="1007">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row>
    <row r="1008">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row>
    <row r="1009">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row>
    <row r="1010">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row>
    <row r="101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row>
    <row r="1012">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row>
    <row r="1013">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row>
    <row r="1014">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row>
    <row r="1015">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row>
    <row r="1016">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row>
    <row r="1017">
      <c r="A1017" s="21"/>
      <c r="B1017" s="21"/>
      <c r="C1017" s="21"/>
      <c r="D1017" s="21"/>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row>
    <row r="1018">
      <c r="A1018" s="21"/>
      <c r="B1018" s="21"/>
      <c r="C1018" s="21"/>
      <c r="D1018" s="21"/>
      <c r="E1018" s="21"/>
      <c r="F1018" s="21"/>
      <c r="G1018" s="21"/>
      <c r="H1018" s="21"/>
      <c r="I1018" s="21"/>
      <c r="J1018" s="21"/>
      <c r="K1018" s="21"/>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row>
    <row r="1019">
      <c r="A1019" s="21"/>
      <c r="B1019" s="21"/>
      <c r="C1019" s="21"/>
      <c r="D1019" s="21"/>
      <c r="E1019" s="21"/>
      <c r="F1019" s="21"/>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row>
    <row r="1020">
      <c r="A1020" s="21"/>
      <c r="B1020" s="21"/>
      <c r="C1020" s="21"/>
      <c r="D1020" s="21"/>
      <c r="E1020" s="21"/>
      <c r="F1020" s="21"/>
      <c r="G1020" s="21"/>
      <c r="H1020" s="21"/>
      <c r="I1020" s="21"/>
      <c r="J1020" s="21"/>
      <c r="K1020" s="21"/>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row>
    <row r="1021">
      <c r="A1021" s="21"/>
      <c r="B1021" s="21"/>
      <c r="C1021" s="21"/>
      <c r="D1021" s="21"/>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row>
    <row r="1022">
      <c r="A1022" s="21"/>
      <c r="B1022" s="21"/>
      <c r="C1022" s="21"/>
      <c r="D1022" s="21"/>
      <c r="E1022" s="21"/>
      <c r="F1022" s="21"/>
      <c r="G1022" s="21"/>
      <c r="H1022" s="21"/>
      <c r="I1022" s="21"/>
      <c r="J1022" s="21"/>
      <c r="K1022" s="21"/>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row>
    <row r="1023">
      <c r="A1023" s="21"/>
      <c r="B1023" s="21"/>
      <c r="C1023" s="21"/>
      <c r="D1023" s="21"/>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row>
    <row r="1024">
      <c r="A1024" s="21"/>
      <c r="B1024" s="21"/>
      <c r="C1024" s="21"/>
      <c r="D1024" s="21"/>
      <c r="E1024" s="21"/>
      <c r="F1024" s="21"/>
      <c r="G1024" s="21"/>
      <c r="H1024" s="21"/>
      <c r="I1024" s="21"/>
      <c r="J1024" s="21"/>
      <c r="K1024" s="21"/>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row>
    <row r="1025">
      <c r="A1025" s="21"/>
      <c r="B1025" s="21"/>
      <c r="C1025" s="21"/>
      <c r="D1025" s="21"/>
      <c r="E1025" s="21"/>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row>
    <row r="1026">
      <c r="A1026" s="21"/>
      <c r="B1026" s="21"/>
      <c r="C1026" s="21"/>
      <c r="D1026" s="21"/>
      <c r="E1026" s="21"/>
      <c r="F1026" s="21"/>
      <c r="G1026" s="21"/>
      <c r="H1026" s="21"/>
      <c r="I1026" s="21"/>
      <c r="J1026" s="21"/>
      <c r="K1026" s="21"/>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row>
    <row r="1027">
      <c r="A1027" s="21"/>
      <c r="B1027" s="21"/>
      <c r="C1027" s="21"/>
      <c r="D1027" s="21"/>
      <c r="E1027" s="21"/>
      <c r="F1027" s="21"/>
      <c r="G1027" s="21"/>
      <c r="H1027" s="21"/>
      <c r="I1027" s="21"/>
      <c r="J1027" s="21"/>
      <c r="K1027" s="21"/>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row>
    <row r="1028">
      <c r="A1028" s="21"/>
      <c r="B1028" s="21"/>
      <c r="C1028" s="21"/>
      <c r="D1028" s="21"/>
      <c r="E1028" s="21"/>
      <c r="F1028" s="21"/>
      <c r="G1028" s="21"/>
      <c r="H1028" s="21"/>
      <c r="I1028" s="21"/>
      <c r="J1028" s="21"/>
      <c r="K1028" s="21"/>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row>
    <row r="1029">
      <c r="A1029" s="21"/>
      <c r="B1029" s="21"/>
      <c r="C1029" s="21"/>
      <c r="D1029" s="21"/>
      <c r="E1029" s="21"/>
      <c r="F1029" s="21"/>
      <c r="G1029" s="21"/>
      <c r="H1029" s="21"/>
      <c r="I1029" s="21"/>
      <c r="J1029" s="21"/>
      <c r="K1029" s="21"/>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row>
    <row r="1030">
      <c r="A1030" s="21"/>
      <c r="B1030" s="21"/>
      <c r="C1030" s="21"/>
      <c r="D1030" s="21"/>
      <c r="E1030" s="21"/>
      <c r="F1030" s="21"/>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row>
    <row r="1031">
      <c r="A1031" s="21"/>
      <c r="B1031" s="21"/>
      <c r="C1031" s="21"/>
      <c r="D1031" s="21"/>
      <c r="E1031" s="21"/>
      <c r="F1031" s="21"/>
      <c r="G1031" s="21"/>
      <c r="H1031" s="21"/>
      <c r="I1031" s="21"/>
      <c r="J1031" s="21"/>
      <c r="K1031" s="21"/>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row>
    <row r="1032">
      <c r="A1032" s="21"/>
      <c r="B1032" s="21"/>
      <c r="C1032" s="21"/>
      <c r="D1032" s="21"/>
      <c r="E1032" s="21"/>
      <c r="F1032" s="21"/>
      <c r="G1032" s="21"/>
      <c r="H1032" s="21"/>
      <c r="I1032" s="21"/>
      <c r="J1032" s="21"/>
      <c r="K1032" s="21"/>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row>
    <row r="1033">
      <c r="A1033" s="21"/>
      <c r="B1033" s="21"/>
      <c r="C1033" s="21"/>
      <c r="D1033" s="21"/>
      <c r="E1033" s="21"/>
      <c r="F1033" s="21"/>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row>
    <row r="1034">
      <c r="A1034" s="21"/>
      <c r="B1034" s="21"/>
      <c r="C1034" s="21"/>
      <c r="D1034" s="21"/>
      <c r="E1034" s="21"/>
      <c r="F1034" s="21"/>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row>
    <row r="1035">
      <c r="A1035" s="21"/>
      <c r="B1035" s="21"/>
      <c r="C1035" s="21"/>
      <c r="D1035" s="21"/>
      <c r="E1035" s="21"/>
      <c r="F1035" s="21"/>
      <c r="G1035" s="21"/>
      <c r="H1035" s="21"/>
      <c r="I1035" s="21"/>
      <c r="J1035" s="21"/>
      <c r="K1035" s="21"/>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row>
    <row r="1036">
      <c r="A1036" s="21"/>
      <c r="B1036" s="21"/>
      <c r="C1036" s="21"/>
      <c r="D1036" s="21"/>
      <c r="E1036" s="21"/>
      <c r="F1036" s="21"/>
      <c r="G1036" s="21"/>
      <c r="H1036" s="21"/>
      <c r="I1036" s="21"/>
      <c r="J1036" s="21"/>
      <c r="K1036" s="21"/>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row>
    <row r="1037">
      <c r="A1037" s="21"/>
      <c r="B1037" s="21"/>
      <c r="C1037" s="21"/>
      <c r="D1037" s="21"/>
      <c r="E1037" s="21"/>
      <c r="F1037" s="21"/>
      <c r="G1037" s="21"/>
      <c r="H1037" s="21"/>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row>
    <row r="1038">
      <c r="A1038" s="21"/>
      <c r="B1038" s="21"/>
      <c r="C1038" s="21"/>
      <c r="D1038" s="21"/>
      <c r="E1038" s="21"/>
      <c r="F1038" s="21"/>
      <c r="G1038" s="21"/>
      <c r="H1038" s="21"/>
      <c r="I1038" s="21"/>
      <c r="J1038" s="21"/>
      <c r="K1038" s="21"/>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row>
    <row r="1039">
      <c r="A1039" s="21"/>
      <c r="B1039" s="21"/>
      <c r="C1039" s="21"/>
      <c r="D1039" s="21"/>
      <c r="E1039" s="21"/>
      <c r="F1039" s="21"/>
      <c r="G1039" s="21"/>
      <c r="H1039" s="21"/>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row>
    <row r="1040">
      <c r="A1040" s="21"/>
      <c r="B1040" s="21"/>
      <c r="C1040" s="21"/>
      <c r="D1040" s="21"/>
      <c r="E1040" s="21"/>
      <c r="F1040" s="21"/>
      <c r="G1040" s="21"/>
      <c r="H1040" s="21"/>
      <c r="I1040" s="21"/>
      <c r="J1040" s="21"/>
      <c r="K1040" s="21"/>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row>
    <row r="1041">
      <c r="A1041" s="21"/>
      <c r="B1041" s="21"/>
      <c r="C1041" s="21"/>
      <c r="D1041" s="21"/>
      <c r="E1041" s="21"/>
      <c r="F1041" s="21"/>
      <c r="G1041" s="21"/>
      <c r="H1041" s="21"/>
      <c r="I1041" s="21"/>
      <c r="J1041" s="21"/>
      <c r="K1041" s="21"/>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row>
    <row r="1042">
      <c r="A1042" s="21"/>
      <c r="B1042" s="21"/>
      <c r="C1042" s="21"/>
      <c r="D1042" s="21"/>
      <c r="E1042" s="21"/>
      <c r="F1042" s="21"/>
      <c r="G1042" s="21"/>
      <c r="H1042" s="21"/>
      <c r="I1042" s="21"/>
      <c r="J1042" s="21"/>
      <c r="K1042" s="21"/>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row>
    <row r="1043">
      <c r="A1043" s="21"/>
      <c r="B1043" s="21"/>
      <c r="C1043" s="21"/>
      <c r="D1043" s="21"/>
      <c r="E1043" s="21"/>
      <c r="F1043" s="21"/>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row>
    <row r="1044">
      <c r="A1044" s="21"/>
      <c r="B1044" s="21"/>
      <c r="C1044" s="21"/>
      <c r="D1044" s="21"/>
      <c r="E1044" s="21"/>
      <c r="F1044" s="21"/>
      <c r="G1044" s="21"/>
      <c r="H1044" s="21"/>
      <c r="I1044" s="21"/>
      <c r="J1044" s="21"/>
      <c r="K1044" s="21"/>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row>
    <row r="1045">
      <c r="A1045" s="21"/>
      <c r="B1045" s="21"/>
      <c r="C1045" s="21"/>
      <c r="D1045" s="21"/>
      <c r="E1045" s="21"/>
      <c r="F1045" s="21"/>
      <c r="G1045" s="21"/>
      <c r="H1045" s="21"/>
      <c r="I1045" s="21"/>
      <c r="J1045" s="21"/>
      <c r="K1045" s="21"/>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row>
    <row r="1046">
      <c r="A1046" s="21"/>
      <c r="B1046" s="21"/>
      <c r="C1046" s="21"/>
      <c r="D1046" s="21"/>
      <c r="E1046" s="21"/>
      <c r="F1046" s="21"/>
      <c r="G1046" s="21"/>
      <c r="H1046" s="21"/>
      <c r="I1046" s="21"/>
      <c r="J1046" s="21"/>
      <c r="K1046" s="21"/>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row>
    <row r="1047">
      <c r="A1047" s="21"/>
      <c r="B1047" s="21"/>
      <c r="C1047" s="21"/>
      <c r="D1047" s="21"/>
      <c r="E1047" s="21"/>
      <c r="F1047" s="21"/>
      <c r="G1047" s="21"/>
      <c r="H1047" s="21"/>
      <c r="I1047" s="21"/>
      <c r="J1047" s="21"/>
      <c r="K1047" s="21"/>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row>
    <row r="1048">
      <c r="A1048" s="21"/>
      <c r="B1048" s="21"/>
      <c r="C1048" s="21"/>
      <c r="D1048" s="21"/>
      <c r="E1048" s="21"/>
      <c r="F1048" s="21"/>
      <c r="G1048" s="21"/>
      <c r="H1048" s="21"/>
      <c r="I1048" s="21"/>
      <c r="J1048" s="21"/>
      <c r="K1048" s="21"/>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row>
    <row r="1049">
      <c r="A1049" s="21"/>
      <c r="B1049" s="21"/>
      <c r="C1049" s="21"/>
      <c r="D1049" s="21"/>
      <c r="E1049" s="21"/>
      <c r="F1049" s="21"/>
      <c r="G1049" s="21"/>
      <c r="H1049" s="21"/>
      <c r="I1049" s="21"/>
      <c r="J1049" s="21"/>
      <c r="K1049" s="21"/>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row>
    <row r="1050">
      <c r="A1050" s="21"/>
      <c r="B1050" s="21"/>
      <c r="C1050" s="21"/>
      <c r="D1050" s="21"/>
      <c r="E1050" s="21"/>
      <c r="F1050" s="21"/>
      <c r="G1050" s="21"/>
      <c r="H1050" s="21"/>
      <c r="I1050" s="21"/>
      <c r="J1050" s="21"/>
      <c r="K1050" s="21"/>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row>
    <row r="1051">
      <c r="A1051" s="21"/>
      <c r="B1051" s="21"/>
      <c r="C1051" s="21"/>
      <c r="D1051" s="21"/>
      <c r="E1051" s="21"/>
      <c r="F1051" s="21"/>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row>
    <row r="1052">
      <c r="A1052" s="21"/>
      <c r="B1052" s="21"/>
      <c r="C1052" s="21"/>
      <c r="D1052" s="21"/>
      <c r="E1052" s="21"/>
      <c r="F1052" s="21"/>
      <c r="G1052" s="21"/>
      <c r="H1052" s="21"/>
      <c r="I1052" s="21"/>
      <c r="J1052" s="21"/>
      <c r="K1052" s="21"/>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row>
    <row r="1053">
      <c r="A1053" s="21"/>
      <c r="B1053" s="21"/>
      <c r="C1053" s="21"/>
      <c r="D1053" s="21"/>
      <c r="E1053" s="21"/>
      <c r="F1053" s="21"/>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row>
    <row r="1054">
      <c r="A1054" s="21"/>
      <c r="B1054" s="21"/>
      <c r="C1054" s="21"/>
      <c r="D1054" s="21"/>
      <c r="E1054" s="21"/>
      <c r="F1054" s="21"/>
      <c r="G1054" s="21"/>
      <c r="H1054" s="21"/>
      <c r="I1054" s="21"/>
      <c r="J1054" s="21"/>
      <c r="K1054" s="21"/>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row>
    <row r="1055">
      <c r="A1055" s="21"/>
      <c r="B1055" s="21"/>
      <c r="C1055" s="21"/>
      <c r="D1055" s="21"/>
      <c r="E1055" s="21"/>
      <c r="F1055" s="21"/>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row>
    <row r="1056">
      <c r="A1056" s="21"/>
      <c r="B1056" s="21"/>
      <c r="C1056" s="21"/>
      <c r="D1056" s="21"/>
      <c r="E1056" s="21"/>
      <c r="F1056" s="21"/>
      <c r="G1056" s="21"/>
      <c r="H1056" s="21"/>
      <c r="I1056" s="21"/>
      <c r="J1056" s="21"/>
      <c r="K1056" s="21"/>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row>
    <row r="1057">
      <c r="A1057" s="21"/>
      <c r="B1057" s="21"/>
      <c r="C1057" s="21"/>
      <c r="D1057" s="21"/>
      <c r="E1057" s="21"/>
      <c r="F1057" s="21"/>
      <c r="G1057" s="21"/>
      <c r="H1057" s="21"/>
      <c r="I1057" s="21"/>
      <c r="J1057" s="21"/>
      <c r="K1057" s="21"/>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row>
    <row r="1058">
      <c r="A1058" s="21"/>
      <c r="B1058" s="21"/>
      <c r="C1058" s="21"/>
      <c r="D1058" s="21"/>
      <c r="E1058" s="21"/>
      <c r="F1058" s="21"/>
      <c r="G1058" s="21"/>
      <c r="H1058" s="21"/>
      <c r="I1058" s="21"/>
      <c r="J1058" s="21"/>
      <c r="K1058" s="21"/>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row>
    <row r="1059">
      <c r="A1059" s="21"/>
      <c r="B1059" s="21"/>
      <c r="C1059" s="21"/>
      <c r="D1059" s="21"/>
      <c r="E1059" s="21"/>
      <c r="F1059" s="21"/>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row>
    <row r="1060">
      <c r="A1060" s="21"/>
      <c r="B1060" s="21"/>
      <c r="C1060" s="21"/>
      <c r="D1060" s="21"/>
      <c r="E1060" s="21"/>
      <c r="F1060" s="21"/>
      <c r="G1060" s="21"/>
      <c r="H1060" s="21"/>
      <c r="I1060" s="21"/>
      <c r="J1060" s="21"/>
      <c r="K1060" s="21"/>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row>
    <row r="1061">
      <c r="A1061" s="21"/>
      <c r="B1061" s="21"/>
      <c r="C1061" s="21"/>
      <c r="D1061" s="21"/>
      <c r="E1061" s="21"/>
      <c r="F1061" s="21"/>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row>
    <row r="1062">
      <c r="A1062" s="21"/>
      <c r="B1062" s="21"/>
      <c r="C1062" s="21"/>
      <c r="D1062" s="21"/>
      <c r="E1062" s="21"/>
      <c r="F1062" s="21"/>
      <c r="G1062" s="21"/>
      <c r="H1062" s="21"/>
      <c r="I1062" s="21"/>
      <c r="J1062" s="21"/>
      <c r="K1062" s="21"/>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row>
    <row r="1063">
      <c r="A1063" s="21"/>
      <c r="B1063" s="21"/>
      <c r="C1063" s="21"/>
      <c r="D1063" s="21"/>
      <c r="E1063" s="21"/>
      <c r="F1063" s="21"/>
      <c r="G1063" s="21"/>
      <c r="H1063" s="21"/>
      <c r="I1063" s="21"/>
      <c r="J1063" s="21"/>
      <c r="K1063" s="21"/>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row>
    <row r="1064">
      <c r="A1064" s="21"/>
      <c r="B1064" s="21"/>
      <c r="C1064" s="21"/>
      <c r="D1064" s="21"/>
      <c r="E1064" s="21"/>
      <c r="F1064" s="21"/>
      <c r="G1064" s="21"/>
      <c r="H1064" s="21"/>
      <c r="I1064" s="21"/>
      <c r="J1064" s="21"/>
      <c r="K1064" s="21"/>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row>
    <row r="1065">
      <c r="A1065" s="21"/>
      <c r="B1065" s="21"/>
      <c r="C1065" s="21"/>
      <c r="D1065" s="21"/>
      <c r="E1065" s="21"/>
      <c r="F1065" s="21"/>
      <c r="G1065" s="21"/>
      <c r="H1065" s="21"/>
      <c r="I1065" s="21"/>
      <c r="J1065" s="21"/>
      <c r="K1065" s="21"/>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row>
    <row r="1066">
      <c r="A1066" s="21"/>
      <c r="B1066" s="21"/>
      <c r="C1066" s="21"/>
      <c r="D1066" s="21"/>
      <c r="E1066" s="21"/>
      <c r="F1066" s="21"/>
      <c r="G1066" s="21"/>
      <c r="H1066" s="21"/>
      <c r="I1066" s="21"/>
      <c r="J1066" s="21"/>
      <c r="K1066" s="21"/>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row>
    <row r="1067">
      <c r="A1067" s="21"/>
      <c r="B1067" s="21"/>
      <c r="C1067" s="21"/>
      <c r="D1067" s="21"/>
      <c r="E1067" s="21"/>
      <c r="F1067" s="21"/>
      <c r="G1067" s="21"/>
      <c r="H1067" s="21"/>
      <c r="I1067" s="21"/>
      <c r="J1067" s="21"/>
      <c r="K1067" s="21"/>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row>
    <row r="1068">
      <c r="A1068" s="21"/>
      <c r="B1068" s="21"/>
      <c r="C1068" s="21"/>
      <c r="D1068" s="21"/>
      <c r="E1068" s="21"/>
      <c r="F1068" s="21"/>
      <c r="G1068" s="21"/>
      <c r="H1068" s="21"/>
      <c r="I1068" s="21"/>
      <c r="J1068" s="21"/>
      <c r="K1068" s="21"/>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row>
    <row r="1069">
      <c r="A1069" s="21"/>
      <c r="B1069" s="21"/>
      <c r="C1069" s="21"/>
      <c r="D1069" s="21"/>
      <c r="E1069" s="21"/>
      <c r="F1069" s="21"/>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row>
    <row r="1070">
      <c r="A1070" s="21"/>
      <c r="B1070" s="21"/>
      <c r="C1070" s="21"/>
      <c r="D1070" s="21"/>
      <c r="E1070" s="21"/>
      <c r="F1070" s="21"/>
      <c r="G1070" s="21"/>
      <c r="H1070" s="21"/>
      <c r="I1070" s="21"/>
      <c r="J1070" s="21"/>
      <c r="K1070" s="21"/>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row>
    <row r="1071">
      <c r="A1071" s="21"/>
      <c r="B1071" s="21"/>
      <c r="C1071" s="21"/>
      <c r="D1071" s="21"/>
      <c r="E1071" s="21"/>
      <c r="F1071" s="21"/>
      <c r="G1071" s="21"/>
      <c r="H1071" s="21"/>
      <c r="I1071" s="21"/>
      <c r="J1071" s="21"/>
      <c r="K1071" s="21"/>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row>
    <row r="1072">
      <c r="A1072" s="21"/>
      <c r="B1072" s="21"/>
      <c r="C1072" s="21"/>
      <c r="D1072" s="21"/>
      <c r="E1072" s="21"/>
      <c r="F1072" s="21"/>
      <c r="G1072" s="21"/>
      <c r="H1072" s="21"/>
      <c r="I1072" s="21"/>
      <c r="J1072" s="21"/>
      <c r="K1072" s="21"/>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row>
    <row r="1073">
      <c r="A1073" s="21"/>
      <c r="B1073" s="21"/>
      <c r="C1073" s="21"/>
      <c r="D1073" s="21"/>
      <c r="E1073" s="21"/>
      <c r="F1073" s="21"/>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row>
    <row r="1074">
      <c r="A1074" s="21"/>
      <c r="B1074" s="21"/>
      <c r="C1074" s="21"/>
      <c r="D1074" s="21"/>
      <c r="E1074" s="21"/>
      <c r="F1074" s="21"/>
      <c r="G1074" s="21"/>
      <c r="H1074" s="21"/>
      <c r="I1074" s="21"/>
      <c r="J1074" s="21"/>
      <c r="K1074" s="21"/>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row>
    <row r="1075">
      <c r="A1075" s="21"/>
      <c r="B1075" s="21"/>
      <c r="C1075" s="21"/>
      <c r="D1075" s="21"/>
      <c r="E1075" s="21"/>
      <c r="F1075" s="21"/>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row>
    <row r="1076">
      <c r="A1076" s="21"/>
      <c r="B1076" s="21"/>
      <c r="C1076" s="21"/>
      <c r="D1076" s="21"/>
      <c r="E1076" s="21"/>
      <c r="F1076" s="21"/>
      <c r="G1076" s="21"/>
      <c r="H1076" s="21"/>
      <c r="I1076" s="21"/>
      <c r="J1076" s="21"/>
      <c r="K1076" s="21"/>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row>
    <row r="1077">
      <c r="A1077" s="21"/>
      <c r="B1077" s="21"/>
      <c r="C1077" s="21"/>
      <c r="D1077" s="21"/>
      <c r="E1077" s="21"/>
      <c r="F1077" s="21"/>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row>
    <row r="1078">
      <c r="A1078" s="21"/>
      <c r="B1078" s="21"/>
      <c r="C1078" s="21"/>
      <c r="D1078" s="21"/>
      <c r="E1078" s="21"/>
      <c r="F1078" s="21"/>
      <c r="G1078" s="21"/>
      <c r="H1078" s="21"/>
      <c r="I1078" s="21"/>
      <c r="J1078" s="21"/>
      <c r="K1078" s="21"/>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row>
    <row r="1079">
      <c r="A1079" s="21"/>
      <c r="B1079" s="21"/>
      <c r="C1079" s="21"/>
      <c r="D1079" s="21"/>
      <c r="E1079" s="21"/>
      <c r="F1079" s="21"/>
      <c r="G1079" s="21"/>
      <c r="H1079" s="21"/>
      <c r="I1079" s="21"/>
      <c r="J1079" s="21"/>
      <c r="K1079" s="21"/>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row>
    <row r="1080">
      <c r="A1080" s="21"/>
      <c r="B1080" s="21"/>
      <c r="C1080" s="21"/>
      <c r="D1080" s="21"/>
      <c r="E1080" s="21"/>
      <c r="F1080" s="21"/>
      <c r="G1080" s="21"/>
      <c r="H1080" s="21"/>
      <c r="I1080" s="21"/>
      <c r="J1080" s="21"/>
      <c r="K1080" s="21"/>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row>
    <row r="1081">
      <c r="A1081" s="21"/>
      <c r="B1081" s="21"/>
      <c r="C1081" s="21"/>
      <c r="D1081" s="21"/>
      <c r="E1081" s="21"/>
      <c r="F1081" s="21"/>
      <c r="G1081" s="21"/>
      <c r="H1081" s="21"/>
      <c r="I1081" s="21"/>
      <c r="J1081" s="21"/>
      <c r="K1081" s="21"/>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row>
    <row r="1082">
      <c r="A1082" s="21"/>
      <c r="B1082" s="21"/>
      <c r="C1082" s="21"/>
      <c r="D1082" s="21"/>
      <c r="E1082" s="21"/>
      <c r="F1082" s="21"/>
      <c r="G1082" s="21"/>
      <c r="H1082" s="21"/>
      <c r="I1082" s="21"/>
      <c r="J1082" s="21"/>
      <c r="K1082" s="21"/>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row>
    <row r="1083">
      <c r="A1083" s="21"/>
      <c r="B1083" s="21"/>
      <c r="C1083" s="21"/>
      <c r="D1083" s="21"/>
      <c r="E1083" s="21"/>
      <c r="F1083" s="21"/>
      <c r="G1083" s="21"/>
      <c r="H1083" s="21"/>
      <c r="I1083" s="21"/>
      <c r="J1083" s="21"/>
      <c r="K1083" s="21"/>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row>
    <row r="1084">
      <c r="A1084" s="21"/>
      <c r="B1084" s="21"/>
      <c r="C1084" s="21"/>
      <c r="D1084" s="21"/>
      <c r="E1084" s="21"/>
      <c r="F1084" s="21"/>
      <c r="G1084" s="21"/>
      <c r="H1084" s="21"/>
      <c r="I1084" s="21"/>
      <c r="J1084" s="21"/>
      <c r="K1084" s="21"/>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row>
    <row r="1085">
      <c r="A1085" s="21"/>
      <c r="B1085" s="21"/>
      <c r="C1085" s="21"/>
      <c r="D1085" s="21"/>
      <c r="E1085" s="21"/>
      <c r="F1085" s="21"/>
      <c r="G1085" s="21"/>
      <c r="H1085" s="21"/>
      <c r="I1085" s="21"/>
      <c r="J1085" s="21"/>
      <c r="K1085" s="21"/>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row>
    <row r="1086">
      <c r="A1086" s="21"/>
      <c r="B1086" s="21"/>
      <c r="C1086" s="21"/>
      <c r="D1086" s="21"/>
      <c r="E1086" s="21"/>
      <c r="F1086" s="21"/>
      <c r="G1086" s="21"/>
      <c r="H1086" s="21"/>
      <c r="I1086" s="21"/>
      <c r="J1086" s="21"/>
      <c r="K1086" s="21"/>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row>
    <row r="1087">
      <c r="A1087" s="21"/>
      <c r="B1087" s="21"/>
      <c r="C1087" s="21"/>
      <c r="D1087" s="21"/>
      <c r="E1087" s="21"/>
      <c r="F1087" s="21"/>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row>
    <row r="1088">
      <c r="A1088" s="21"/>
      <c r="B1088" s="21"/>
      <c r="C1088" s="21"/>
      <c r="D1088" s="21"/>
      <c r="E1088" s="21"/>
      <c r="F1088" s="21"/>
      <c r="G1088" s="21"/>
      <c r="H1088" s="21"/>
      <c r="I1088" s="21"/>
      <c r="J1088" s="21"/>
      <c r="K1088" s="21"/>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row>
    <row r="1089">
      <c r="A1089" s="21"/>
      <c r="B1089" s="21"/>
      <c r="C1089" s="21"/>
      <c r="D1089" s="21"/>
      <c r="E1089" s="21"/>
      <c r="F1089" s="21"/>
      <c r="G1089" s="21"/>
      <c r="H1089" s="21"/>
      <c r="I1089" s="21"/>
      <c r="J1089" s="21"/>
      <c r="K1089" s="21"/>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row>
    <row r="1090">
      <c r="A1090" s="21"/>
      <c r="B1090" s="21"/>
      <c r="C1090" s="21"/>
      <c r="D1090" s="21"/>
      <c r="E1090" s="21"/>
      <c r="F1090" s="21"/>
      <c r="G1090" s="21"/>
      <c r="H1090" s="21"/>
      <c r="I1090" s="21"/>
      <c r="J1090" s="21"/>
      <c r="K1090" s="21"/>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row>
    <row r="1091">
      <c r="A1091" s="21"/>
      <c r="B1091" s="21"/>
      <c r="C1091" s="21"/>
      <c r="D1091" s="21"/>
      <c r="E1091" s="21"/>
      <c r="F1091" s="21"/>
      <c r="G1091" s="21"/>
      <c r="H1091" s="21"/>
      <c r="I1091" s="21"/>
      <c r="J1091" s="21"/>
      <c r="K1091" s="21"/>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row>
    <row r="1092">
      <c r="A1092" s="21"/>
      <c r="B1092" s="21"/>
      <c r="C1092" s="21"/>
      <c r="D1092" s="21"/>
      <c r="E1092" s="21"/>
      <c r="F1092" s="21"/>
      <c r="G1092" s="21"/>
      <c r="H1092" s="21"/>
      <c r="I1092" s="21"/>
      <c r="J1092" s="21"/>
      <c r="K1092" s="21"/>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row>
    <row r="1093">
      <c r="A1093" s="21"/>
      <c r="B1093" s="21"/>
      <c r="C1093" s="21"/>
      <c r="D1093" s="21"/>
      <c r="E1093" s="21"/>
      <c r="F1093" s="21"/>
      <c r="G1093" s="21"/>
      <c r="H1093" s="21"/>
      <c r="I1093" s="21"/>
      <c r="J1093" s="21"/>
      <c r="K1093" s="21"/>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row>
    <row r="1094">
      <c r="A1094" s="21"/>
      <c r="B1094" s="21"/>
      <c r="C1094" s="21"/>
      <c r="D1094" s="21"/>
      <c r="E1094" s="21"/>
      <c r="F1094" s="21"/>
      <c r="G1094" s="21"/>
      <c r="H1094" s="21"/>
      <c r="I1094" s="21"/>
      <c r="J1094" s="21"/>
      <c r="K1094" s="21"/>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row>
    <row r="1095">
      <c r="A1095" s="21"/>
      <c r="B1095" s="21"/>
      <c r="C1095" s="21"/>
      <c r="D1095" s="21"/>
      <c r="E1095" s="21"/>
      <c r="F1095" s="21"/>
      <c r="G1095" s="21"/>
      <c r="H1095" s="21"/>
      <c r="I1095" s="21"/>
      <c r="J1095" s="21"/>
      <c r="K1095" s="21"/>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row>
    <row r="1096">
      <c r="A1096" s="21"/>
      <c r="B1096" s="21"/>
      <c r="C1096" s="21"/>
      <c r="D1096" s="21"/>
      <c r="E1096" s="21"/>
      <c r="F1096" s="21"/>
      <c r="G1096" s="21"/>
      <c r="H1096" s="21"/>
      <c r="I1096" s="21"/>
      <c r="J1096" s="21"/>
      <c r="K1096" s="21"/>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row>
    <row r="1097">
      <c r="A1097" s="21"/>
      <c r="B1097" s="21"/>
      <c r="C1097" s="21"/>
      <c r="D1097" s="21"/>
      <c r="E1097" s="21"/>
      <c r="F1097" s="21"/>
      <c r="G1097" s="21"/>
      <c r="H1097" s="21"/>
      <c r="I1097" s="21"/>
      <c r="J1097" s="21"/>
      <c r="K1097" s="21"/>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row>
    <row r="1098">
      <c r="A1098" s="21"/>
      <c r="B1098" s="21"/>
      <c r="C1098" s="21"/>
      <c r="D1098" s="21"/>
      <c r="E1098" s="21"/>
      <c r="F1098" s="21"/>
      <c r="G1098" s="21"/>
      <c r="H1098" s="21"/>
      <c r="I1098" s="21"/>
      <c r="J1098" s="21"/>
      <c r="K1098" s="21"/>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row>
    <row r="1099">
      <c r="A1099" s="21"/>
      <c r="B1099" s="21"/>
      <c r="C1099" s="21"/>
      <c r="D1099" s="21"/>
      <c r="E1099" s="21"/>
      <c r="F1099" s="21"/>
      <c r="G1099" s="21"/>
      <c r="H1099" s="21"/>
      <c r="I1099" s="21"/>
      <c r="J1099" s="21"/>
      <c r="K1099" s="21"/>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row>
    <row r="1100">
      <c r="A1100" s="21"/>
      <c r="B1100" s="21"/>
      <c r="C1100" s="21"/>
      <c r="D1100" s="21"/>
      <c r="E1100" s="21"/>
      <c r="F1100" s="21"/>
      <c r="G1100" s="21"/>
      <c r="H1100" s="21"/>
      <c r="I1100" s="21"/>
      <c r="J1100" s="21"/>
      <c r="K1100" s="21"/>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row>
    <row r="1101">
      <c r="A1101" s="21"/>
      <c r="B1101" s="21"/>
      <c r="C1101" s="21"/>
      <c r="D1101" s="21"/>
      <c r="E1101" s="21"/>
      <c r="F1101" s="21"/>
      <c r="G1101" s="21"/>
      <c r="H1101" s="21"/>
      <c r="I1101" s="21"/>
      <c r="J1101" s="21"/>
      <c r="K1101" s="21"/>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row>
    <row r="1102">
      <c r="A1102" s="21"/>
      <c r="B1102" s="21"/>
      <c r="C1102" s="21"/>
      <c r="D1102" s="21"/>
      <c r="E1102" s="21"/>
      <c r="F1102" s="21"/>
      <c r="G1102" s="21"/>
      <c r="H1102" s="21"/>
      <c r="I1102" s="21"/>
      <c r="J1102" s="21"/>
      <c r="K1102" s="21"/>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row>
    <row r="1103">
      <c r="A1103" s="21"/>
      <c r="B1103" s="21"/>
      <c r="C1103" s="21"/>
      <c r="D1103" s="21"/>
      <c r="E1103" s="21"/>
      <c r="F1103" s="21"/>
      <c r="G1103" s="21"/>
      <c r="H1103" s="21"/>
      <c r="I1103" s="21"/>
      <c r="J1103" s="21"/>
      <c r="K1103" s="21"/>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row>
    <row r="1104">
      <c r="A1104" s="21"/>
      <c r="B1104" s="21"/>
      <c r="C1104" s="21"/>
      <c r="D1104" s="21"/>
      <c r="E1104" s="21"/>
      <c r="F1104" s="21"/>
      <c r="G1104" s="21"/>
      <c r="H1104" s="21"/>
      <c r="I1104" s="21"/>
      <c r="J1104" s="21"/>
      <c r="K1104" s="21"/>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row>
    <row r="1105">
      <c r="A1105" s="21"/>
      <c r="B1105" s="21"/>
      <c r="C1105" s="21"/>
      <c r="D1105" s="21"/>
      <c r="E1105" s="21"/>
      <c r="F1105" s="21"/>
      <c r="G1105" s="21"/>
      <c r="H1105" s="21"/>
      <c r="I1105" s="21"/>
      <c r="J1105" s="21"/>
      <c r="K1105" s="21"/>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row>
    <row r="1106">
      <c r="A1106" s="21"/>
      <c r="B1106" s="21"/>
      <c r="C1106" s="21"/>
      <c r="D1106" s="21"/>
      <c r="E1106" s="21"/>
      <c r="F1106" s="21"/>
      <c r="G1106" s="21"/>
      <c r="H1106" s="21"/>
      <c r="I1106" s="21"/>
      <c r="J1106" s="21"/>
      <c r="K1106" s="21"/>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row>
    <row r="1107">
      <c r="A1107" s="21"/>
      <c r="B1107" s="21"/>
      <c r="C1107" s="21"/>
      <c r="D1107" s="21"/>
      <c r="E1107" s="21"/>
      <c r="F1107" s="21"/>
      <c r="G1107" s="21"/>
      <c r="H1107" s="21"/>
      <c r="I1107" s="21"/>
      <c r="J1107" s="21"/>
      <c r="K1107" s="21"/>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row>
    <row r="1108">
      <c r="A1108" s="21"/>
      <c r="B1108" s="21"/>
      <c r="C1108" s="21"/>
      <c r="D1108" s="21"/>
      <c r="E1108" s="21"/>
      <c r="F1108" s="21"/>
      <c r="G1108" s="21"/>
      <c r="H1108" s="21"/>
      <c r="I1108" s="21"/>
      <c r="J1108" s="21"/>
      <c r="K1108" s="21"/>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row>
    <row r="1109">
      <c r="A1109" s="21"/>
      <c r="B1109" s="21"/>
      <c r="C1109" s="21"/>
      <c r="D1109" s="21"/>
      <c r="E1109" s="21"/>
      <c r="F1109" s="21"/>
      <c r="G1109" s="21"/>
      <c r="H1109" s="21"/>
      <c r="I1109" s="21"/>
      <c r="J1109" s="21"/>
      <c r="K1109" s="21"/>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row>
    <row r="1110">
      <c r="A1110" s="21"/>
      <c r="B1110" s="21"/>
      <c r="C1110" s="21"/>
      <c r="D1110" s="21"/>
      <c r="E1110" s="21"/>
      <c r="F1110" s="21"/>
      <c r="G1110" s="21"/>
      <c r="H1110" s="21"/>
      <c r="I1110" s="21"/>
      <c r="J1110" s="21"/>
      <c r="K1110" s="21"/>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row>
    <row r="1111">
      <c r="A1111" s="21"/>
      <c r="B1111" s="21"/>
      <c r="C1111" s="21"/>
      <c r="D1111" s="21"/>
      <c r="E1111" s="21"/>
      <c r="F1111" s="21"/>
      <c r="G1111" s="21"/>
      <c r="H1111" s="21"/>
      <c r="I1111" s="21"/>
      <c r="J1111" s="21"/>
      <c r="K1111" s="21"/>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row>
    <row r="1112">
      <c r="A1112" s="21"/>
      <c r="B1112" s="21"/>
      <c r="C1112" s="21"/>
      <c r="D1112" s="21"/>
      <c r="E1112" s="21"/>
      <c r="F1112" s="21"/>
      <c r="G1112" s="21"/>
      <c r="H1112" s="21"/>
      <c r="I1112" s="21"/>
      <c r="J1112" s="21"/>
      <c r="K1112" s="21"/>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row>
    <row r="1113">
      <c r="A1113" s="21"/>
      <c r="B1113" s="21"/>
      <c r="C1113" s="21"/>
      <c r="D1113" s="21"/>
      <c r="E1113" s="21"/>
      <c r="F1113" s="21"/>
      <c r="G1113" s="21"/>
      <c r="H1113" s="21"/>
      <c r="I1113" s="21"/>
      <c r="J1113" s="21"/>
      <c r="K1113" s="21"/>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row>
    <row r="1114">
      <c r="A1114" s="21"/>
      <c r="B1114" s="21"/>
      <c r="C1114" s="21"/>
      <c r="D1114" s="21"/>
      <c r="E1114" s="21"/>
      <c r="F1114" s="21"/>
      <c r="G1114" s="21"/>
      <c r="H1114" s="21"/>
      <c r="I1114" s="21"/>
      <c r="J1114" s="21"/>
      <c r="K1114" s="21"/>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row>
    <row r="1115">
      <c r="A1115" s="21"/>
      <c r="B1115" s="21"/>
      <c r="C1115" s="21"/>
      <c r="D1115" s="21"/>
      <c r="E1115" s="21"/>
      <c r="F1115" s="21"/>
      <c r="G1115" s="21"/>
      <c r="H1115" s="21"/>
      <c r="I1115" s="21"/>
      <c r="J1115" s="21"/>
      <c r="K1115" s="21"/>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row>
    <row r="1116">
      <c r="A1116" s="21"/>
      <c r="B1116" s="21"/>
      <c r="C1116" s="21"/>
      <c r="D1116" s="21"/>
      <c r="E1116" s="21"/>
      <c r="F1116" s="21"/>
      <c r="G1116" s="21"/>
      <c r="H1116" s="21"/>
      <c r="I1116" s="21"/>
      <c r="J1116" s="21"/>
      <c r="K1116" s="21"/>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row>
    <row r="1117">
      <c r="A1117" s="21"/>
      <c r="B1117" s="21"/>
      <c r="C1117" s="21"/>
      <c r="D1117" s="21"/>
      <c r="E1117" s="21"/>
      <c r="F1117" s="21"/>
      <c r="G1117" s="21"/>
      <c r="H1117" s="21"/>
      <c r="I1117" s="21"/>
      <c r="J1117" s="21"/>
      <c r="K1117" s="21"/>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row>
    <row r="1118">
      <c r="A1118" s="21"/>
      <c r="B1118" s="21"/>
      <c r="C1118" s="21"/>
      <c r="D1118" s="21"/>
      <c r="E1118" s="21"/>
      <c r="F1118" s="21"/>
      <c r="G1118" s="21"/>
      <c r="H1118" s="21"/>
      <c r="I1118" s="21"/>
      <c r="J1118" s="21"/>
      <c r="K1118" s="21"/>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row>
    <row r="1119">
      <c r="A1119" s="21"/>
      <c r="B1119" s="21"/>
      <c r="C1119" s="21"/>
      <c r="D1119" s="21"/>
      <c r="E1119" s="21"/>
      <c r="F1119" s="21"/>
      <c r="G1119" s="21"/>
      <c r="H1119" s="21"/>
      <c r="I1119" s="21"/>
      <c r="J1119" s="21"/>
      <c r="K1119" s="21"/>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row>
    <row r="1120">
      <c r="A1120" s="21"/>
      <c r="B1120" s="21"/>
      <c r="C1120" s="21"/>
      <c r="D1120" s="21"/>
      <c r="E1120" s="21"/>
      <c r="F1120" s="21"/>
      <c r="G1120" s="21"/>
      <c r="H1120" s="21"/>
      <c r="I1120" s="21"/>
      <c r="J1120" s="21"/>
      <c r="K1120" s="21"/>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row>
    <row r="1121">
      <c r="A1121" s="21"/>
      <c r="B1121" s="21"/>
      <c r="C1121" s="21"/>
      <c r="D1121" s="21"/>
      <c r="E1121" s="21"/>
      <c r="F1121" s="21"/>
      <c r="G1121" s="21"/>
      <c r="H1121" s="21"/>
      <c r="I1121" s="21"/>
      <c r="J1121" s="21"/>
      <c r="K1121" s="21"/>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row>
    <row r="1122">
      <c r="A1122" s="21"/>
      <c r="B1122" s="21"/>
      <c r="C1122" s="21"/>
      <c r="D1122" s="21"/>
      <c r="E1122" s="21"/>
      <c r="F1122" s="21"/>
      <c r="G1122" s="21"/>
      <c r="H1122" s="21"/>
      <c r="I1122" s="21"/>
      <c r="J1122" s="21"/>
      <c r="K1122" s="21"/>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row>
    <row r="1123">
      <c r="A1123" s="21"/>
      <c r="B1123" s="21"/>
      <c r="C1123" s="21"/>
      <c r="D1123" s="21"/>
      <c r="E1123" s="21"/>
      <c r="F1123" s="21"/>
      <c r="G1123" s="21"/>
      <c r="H1123" s="21"/>
      <c r="I1123" s="21"/>
      <c r="J1123" s="21"/>
      <c r="K1123" s="21"/>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row>
    <row r="1124">
      <c r="A1124" s="21"/>
      <c r="B1124" s="21"/>
      <c r="C1124" s="21"/>
      <c r="D1124" s="21"/>
      <c r="E1124" s="21"/>
      <c r="F1124" s="21"/>
      <c r="G1124" s="21"/>
      <c r="H1124" s="21"/>
      <c r="I1124" s="21"/>
      <c r="J1124" s="21"/>
      <c r="K1124" s="21"/>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row>
    <row r="1125">
      <c r="A1125" s="21"/>
      <c r="B1125" s="21"/>
      <c r="C1125" s="21"/>
      <c r="D1125" s="21"/>
      <c r="E1125" s="21"/>
      <c r="F1125" s="21"/>
      <c r="G1125" s="21"/>
      <c r="H1125" s="21"/>
      <c r="I1125" s="21"/>
      <c r="J1125" s="21"/>
      <c r="K1125" s="21"/>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row>
    <row r="1126">
      <c r="A1126" s="21"/>
      <c r="B1126" s="21"/>
      <c r="C1126" s="21"/>
      <c r="D1126" s="21"/>
      <c r="E1126" s="21"/>
      <c r="F1126" s="21"/>
      <c r="G1126" s="21"/>
      <c r="H1126" s="21"/>
      <c r="I1126" s="21"/>
      <c r="J1126" s="21"/>
      <c r="K1126" s="21"/>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row>
    <row r="1127">
      <c r="A1127" s="21"/>
      <c r="B1127" s="21"/>
      <c r="C1127" s="21"/>
      <c r="D1127" s="21"/>
      <c r="E1127" s="21"/>
      <c r="F1127" s="21"/>
      <c r="G1127" s="21"/>
      <c r="H1127" s="21"/>
      <c r="I1127" s="21"/>
      <c r="J1127" s="21"/>
      <c r="K1127" s="21"/>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row>
    <row r="1128">
      <c r="A1128" s="21"/>
      <c r="B1128" s="21"/>
      <c r="C1128" s="21"/>
      <c r="D1128" s="21"/>
      <c r="E1128" s="21"/>
      <c r="F1128" s="21"/>
      <c r="G1128" s="21"/>
      <c r="H1128" s="21"/>
      <c r="I1128" s="21"/>
      <c r="J1128" s="21"/>
      <c r="K1128" s="21"/>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row>
    <row r="1129">
      <c r="A1129" s="21"/>
      <c r="B1129" s="21"/>
      <c r="C1129" s="21"/>
      <c r="D1129" s="21"/>
      <c r="E1129" s="21"/>
      <c r="F1129" s="21"/>
      <c r="G1129" s="21"/>
      <c r="H1129" s="21"/>
      <c r="I1129" s="21"/>
      <c r="J1129" s="21"/>
      <c r="K1129" s="21"/>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row>
    <row r="1130">
      <c r="A1130" s="21"/>
      <c r="B1130" s="21"/>
      <c r="C1130" s="21"/>
      <c r="D1130" s="21"/>
      <c r="E1130" s="21"/>
      <c r="F1130" s="21"/>
      <c r="G1130" s="21"/>
      <c r="H1130" s="21"/>
      <c r="I1130" s="21"/>
      <c r="J1130" s="21"/>
      <c r="K1130" s="21"/>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row>
    <row r="1131">
      <c r="A1131" s="21"/>
      <c r="B1131" s="21"/>
      <c r="C1131" s="21"/>
      <c r="D1131" s="21"/>
      <c r="E1131" s="21"/>
      <c r="F1131" s="21"/>
      <c r="G1131" s="21"/>
      <c r="H1131" s="21"/>
      <c r="I1131" s="21"/>
      <c r="J1131" s="21"/>
      <c r="K1131" s="21"/>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row>
    <row r="1132">
      <c r="A1132" s="21"/>
      <c r="B1132" s="21"/>
      <c r="C1132" s="21"/>
      <c r="D1132" s="21"/>
      <c r="E1132" s="21"/>
      <c r="F1132" s="21"/>
      <c r="G1132" s="21"/>
      <c r="H1132" s="21"/>
      <c r="I1132" s="21"/>
      <c r="J1132" s="21"/>
      <c r="K1132" s="21"/>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row>
    <row r="1133">
      <c r="A1133" s="21"/>
      <c r="B1133" s="21"/>
      <c r="C1133" s="21"/>
      <c r="D1133" s="21"/>
      <c r="E1133" s="21"/>
      <c r="F1133" s="21"/>
      <c r="G1133" s="21"/>
      <c r="H1133" s="21"/>
      <c r="I1133" s="21"/>
      <c r="J1133" s="21"/>
      <c r="K1133" s="21"/>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row>
    <row r="1134">
      <c r="A1134" s="21"/>
      <c r="B1134" s="21"/>
      <c r="C1134" s="21"/>
      <c r="D1134" s="21"/>
      <c r="E1134" s="21"/>
      <c r="F1134" s="21"/>
      <c r="G1134" s="21"/>
      <c r="H1134" s="21"/>
      <c r="I1134" s="21"/>
      <c r="J1134" s="21"/>
      <c r="K1134" s="21"/>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row>
    <row r="1135">
      <c r="A1135" s="21"/>
      <c r="B1135" s="21"/>
      <c r="C1135" s="21"/>
      <c r="D1135" s="21"/>
      <c r="E1135" s="21"/>
      <c r="F1135" s="21"/>
      <c r="G1135" s="21"/>
      <c r="H1135" s="21"/>
      <c r="I1135" s="21"/>
      <c r="J1135" s="21"/>
      <c r="K1135" s="21"/>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row>
    <row r="1136">
      <c r="A1136" s="21"/>
      <c r="B1136" s="21"/>
      <c r="C1136" s="21"/>
      <c r="D1136" s="21"/>
      <c r="E1136" s="21"/>
      <c r="F1136" s="21"/>
      <c r="G1136" s="21"/>
      <c r="H1136" s="21"/>
      <c r="I1136" s="21"/>
      <c r="J1136" s="21"/>
      <c r="K1136" s="21"/>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row>
    <row r="1137">
      <c r="A1137" s="21"/>
      <c r="B1137" s="21"/>
      <c r="C1137" s="21"/>
      <c r="D1137" s="21"/>
      <c r="E1137" s="21"/>
      <c r="F1137" s="21"/>
      <c r="G1137" s="21"/>
      <c r="H1137" s="21"/>
      <c r="I1137" s="21"/>
      <c r="J1137" s="21"/>
      <c r="K1137" s="21"/>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row>
    <row r="1138">
      <c r="A1138" s="21"/>
      <c r="B1138" s="21"/>
      <c r="C1138" s="21"/>
      <c r="D1138" s="21"/>
      <c r="E1138" s="21"/>
      <c r="F1138" s="21"/>
      <c r="G1138" s="21"/>
      <c r="H1138" s="21"/>
      <c r="I1138" s="21"/>
      <c r="J1138" s="21"/>
      <c r="K1138" s="21"/>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row>
    <row r="1139">
      <c r="A1139" s="21"/>
      <c r="B1139" s="21"/>
      <c r="C1139" s="21"/>
      <c r="D1139" s="21"/>
      <c r="E1139" s="21"/>
      <c r="F1139" s="21"/>
      <c r="G1139" s="21"/>
      <c r="H1139" s="21"/>
      <c r="I1139" s="21"/>
      <c r="J1139" s="21"/>
      <c r="K1139" s="21"/>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row>
    <row r="1140">
      <c r="A1140" s="21"/>
      <c r="B1140" s="21"/>
      <c r="C1140" s="21"/>
      <c r="D1140" s="21"/>
      <c r="E1140" s="21"/>
      <c r="F1140" s="21"/>
      <c r="G1140" s="21"/>
      <c r="H1140" s="21"/>
      <c r="I1140" s="21"/>
      <c r="J1140" s="21"/>
      <c r="K1140" s="21"/>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row>
    <row r="1141">
      <c r="A1141" s="21"/>
      <c r="B1141" s="21"/>
      <c r="C1141" s="21"/>
      <c r="D1141" s="21"/>
      <c r="E1141" s="21"/>
      <c r="F1141" s="21"/>
      <c r="G1141" s="21"/>
      <c r="H1141" s="21"/>
      <c r="I1141" s="21"/>
      <c r="J1141" s="21"/>
      <c r="K1141" s="21"/>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row>
    <row r="1142">
      <c r="A1142" s="21"/>
      <c r="B1142" s="21"/>
      <c r="C1142" s="21"/>
      <c r="D1142" s="21"/>
      <c r="E1142" s="21"/>
      <c r="F1142" s="21"/>
      <c r="G1142" s="21"/>
      <c r="H1142" s="21"/>
      <c r="I1142" s="21"/>
      <c r="J1142" s="21"/>
      <c r="K1142" s="21"/>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row>
    <row r="1143">
      <c r="A1143" s="21"/>
      <c r="B1143" s="21"/>
      <c r="C1143" s="21"/>
      <c r="D1143" s="21"/>
      <c r="E1143" s="21"/>
      <c r="F1143" s="21"/>
      <c r="G1143" s="21"/>
      <c r="H1143" s="21"/>
      <c r="I1143" s="21"/>
      <c r="J1143" s="21"/>
      <c r="K1143" s="21"/>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row>
    <row r="1144">
      <c r="A1144" s="21"/>
      <c r="B1144" s="21"/>
      <c r="C1144" s="21"/>
      <c r="D1144" s="21"/>
      <c r="E1144" s="21"/>
      <c r="F1144" s="21"/>
      <c r="G1144" s="21"/>
      <c r="H1144" s="21"/>
      <c r="I1144" s="21"/>
      <c r="J1144" s="21"/>
      <c r="K1144" s="21"/>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row>
    <row r="1145">
      <c r="A1145" s="21"/>
      <c r="B1145" s="21"/>
      <c r="C1145" s="21"/>
      <c r="D1145" s="21"/>
      <c r="E1145" s="21"/>
      <c r="F1145" s="21"/>
      <c r="G1145" s="21"/>
      <c r="H1145" s="21"/>
      <c r="I1145" s="21"/>
      <c r="J1145" s="21"/>
      <c r="K1145" s="21"/>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row>
    <row r="1146">
      <c r="A1146" s="21"/>
      <c r="B1146" s="21"/>
      <c r="C1146" s="21"/>
      <c r="D1146" s="21"/>
      <c r="E1146" s="21"/>
      <c r="F1146" s="21"/>
      <c r="G1146" s="21"/>
      <c r="H1146" s="21"/>
      <c r="I1146" s="21"/>
      <c r="J1146" s="21"/>
      <c r="K1146" s="21"/>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row>
    <row r="1147">
      <c r="A1147" s="21"/>
      <c r="B1147" s="21"/>
      <c r="C1147" s="21"/>
      <c r="D1147" s="21"/>
      <c r="E1147" s="21"/>
      <c r="F1147" s="21"/>
      <c r="G1147" s="21"/>
      <c r="H1147" s="21"/>
      <c r="I1147" s="21"/>
      <c r="J1147" s="21"/>
      <c r="K1147" s="21"/>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row>
    <row r="1148">
      <c r="A1148" s="21"/>
      <c r="B1148" s="21"/>
      <c r="C1148" s="21"/>
      <c r="D1148" s="21"/>
      <c r="E1148" s="21"/>
      <c r="F1148" s="21"/>
      <c r="G1148" s="21"/>
      <c r="H1148" s="21"/>
      <c r="I1148" s="21"/>
      <c r="J1148" s="21"/>
      <c r="K1148" s="21"/>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row>
    <row r="1149">
      <c r="A1149" s="21"/>
      <c r="B1149" s="21"/>
      <c r="C1149" s="21"/>
      <c r="D1149" s="21"/>
      <c r="E1149" s="21"/>
      <c r="F1149" s="21"/>
      <c r="G1149" s="21"/>
      <c r="H1149" s="21"/>
      <c r="I1149" s="21"/>
      <c r="J1149" s="21"/>
      <c r="K1149" s="21"/>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row>
    <row r="1150">
      <c r="A1150" s="21"/>
      <c r="B1150" s="21"/>
      <c r="C1150" s="21"/>
      <c r="D1150" s="21"/>
      <c r="E1150" s="21"/>
      <c r="F1150" s="21"/>
      <c r="G1150" s="21"/>
      <c r="H1150" s="21"/>
      <c r="I1150" s="21"/>
      <c r="J1150" s="21"/>
      <c r="K1150" s="21"/>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row>
    <row r="1151">
      <c r="A1151" s="21"/>
      <c r="B1151" s="21"/>
      <c r="C1151" s="21"/>
      <c r="D1151" s="21"/>
      <c r="E1151" s="21"/>
      <c r="F1151" s="21"/>
      <c r="G1151" s="21"/>
      <c r="H1151" s="21"/>
      <c r="I1151" s="21"/>
      <c r="J1151" s="21"/>
      <c r="K1151" s="21"/>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row>
    <row r="1152">
      <c r="A1152" s="21"/>
      <c r="B1152" s="21"/>
      <c r="C1152" s="21"/>
      <c r="D1152" s="21"/>
      <c r="E1152" s="21"/>
      <c r="F1152" s="21"/>
      <c r="G1152" s="21"/>
      <c r="H1152" s="21"/>
      <c r="I1152" s="21"/>
      <c r="J1152" s="21"/>
      <c r="K1152" s="21"/>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row>
    <row r="1153">
      <c r="A1153" s="21"/>
      <c r="B1153" s="21"/>
      <c r="C1153" s="21"/>
      <c r="D1153" s="21"/>
      <c r="E1153" s="21"/>
      <c r="F1153" s="21"/>
      <c r="G1153" s="21"/>
      <c r="H1153" s="21"/>
      <c r="I1153" s="21"/>
      <c r="J1153" s="21"/>
      <c r="K1153" s="21"/>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row>
    <row r="1154">
      <c r="A1154" s="21"/>
      <c r="B1154" s="21"/>
      <c r="C1154" s="21"/>
      <c r="D1154" s="21"/>
      <c r="E1154" s="21"/>
      <c r="F1154" s="21"/>
      <c r="G1154" s="21"/>
      <c r="H1154" s="21"/>
      <c r="I1154" s="21"/>
      <c r="J1154" s="21"/>
      <c r="K1154" s="21"/>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row>
    <row r="1155">
      <c r="A1155" s="21"/>
      <c r="B1155" s="21"/>
      <c r="C1155" s="21"/>
      <c r="D1155" s="21"/>
      <c r="E1155" s="21"/>
      <c r="F1155" s="21"/>
      <c r="G1155" s="21"/>
      <c r="H1155" s="21"/>
      <c r="I1155" s="21"/>
      <c r="J1155" s="21"/>
      <c r="K1155" s="21"/>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row>
    <row r="1156">
      <c r="A1156" s="21"/>
      <c r="B1156" s="21"/>
      <c r="C1156" s="21"/>
      <c r="D1156" s="21"/>
      <c r="E1156" s="21"/>
      <c r="F1156" s="21"/>
      <c r="G1156" s="21"/>
      <c r="H1156" s="21"/>
      <c r="I1156" s="21"/>
      <c r="J1156" s="21"/>
      <c r="K1156" s="21"/>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row>
    <row r="1157">
      <c r="A1157" s="21"/>
      <c r="B1157" s="21"/>
      <c r="C1157" s="21"/>
      <c r="D1157" s="21"/>
      <c r="E1157" s="21"/>
      <c r="F1157" s="21"/>
      <c r="G1157" s="21"/>
      <c r="H1157" s="21"/>
      <c r="I1157" s="21"/>
      <c r="J1157" s="21"/>
      <c r="K1157" s="21"/>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row>
    <row r="1158">
      <c r="A1158" s="21"/>
      <c r="B1158" s="21"/>
      <c r="C1158" s="21"/>
      <c r="D1158" s="21"/>
      <c r="E1158" s="21"/>
      <c r="F1158" s="21"/>
      <c r="G1158" s="21"/>
      <c r="H1158" s="21"/>
      <c r="I1158" s="21"/>
      <c r="J1158" s="21"/>
      <c r="K1158" s="21"/>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row>
    <row r="1159">
      <c r="A1159" s="21"/>
      <c r="B1159" s="21"/>
      <c r="C1159" s="21"/>
      <c r="D1159" s="21"/>
      <c r="E1159" s="21"/>
      <c r="F1159" s="21"/>
      <c r="G1159" s="21"/>
      <c r="H1159" s="21"/>
      <c r="I1159" s="21"/>
      <c r="J1159" s="21"/>
      <c r="K1159" s="21"/>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row>
    <row r="1160">
      <c r="A1160" s="21"/>
      <c r="B1160" s="21"/>
      <c r="C1160" s="21"/>
      <c r="D1160" s="21"/>
      <c r="E1160" s="21"/>
      <c r="F1160" s="21"/>
      <c r="G1160" s="21"/>
      <c r="H1160" s="21"/>
      <c r="I1160" s="21"/>
      <c r="J1160" s="21"/>
      <c r="K1160" s="21"/>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row>
    <row r="1161">
      <c r="A1161" s="21"/>
      <c r="B1161" s="21"/>
      <c r="C1161" s="21"/>
      <c r="D1161" s="21"/>
      <c r="E1161" s="21"/>
      <c r="F1161" s="21"/>
      <c r="G1161" s="21"/>
      <c r="H1161" s="21"/>
      <c r="I1161" s="21"/>
      <c r="J1161" s="21"/>
      <c r="K1161" s="21"/>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row>
    <row r="1162">
      <c r="A1162" s="21"/>
      <c r="B1162" s="21"/>
      <c r="C1162" s="21"/>
      <c r="D1162" s="21"/>
      <c r="E1162" s="21"/>
      <c r="F1162" s="21"/>
      <c r="G1162" s="21"/>
      <c r="H1162" s="21"/>
      <c r="I1162" s="21"/>
      <c r="J1162" s="21"/>
      <c r="K1162" s="21"/>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row>
    <row r="1163">
      <c r="A1163" s="21"/>
      <c r="B1163" s="21"/>
      <c r="C1163" s="21"/>
      <c r="D1163" s="21"/>
      <c r="E1163" s="21"/>
      <c r="F1163" s="21"/>
      <c r="G1163" s="21"/>
      <c r="H1163" s="21"/>
      <c r="I1163" s="21"/>
      <c r="J1163" s="21"/>
      <c r="K1163" s="21"/>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row>
    <row r="1164">
      <c r="A1164" s="21"/>
      <c r="B1164" s="21"/>
      <c r="C1164" s="21"/>
      <c r="D1164" s="21"/>
      <c r="E1164" s="21"/>
      <c r="F1164" s="21"/>
      <c r="G1164" s="21"/>
      <c r="H1164" s="21"/>
      <c r="I1164" s="21"/>
      <c r="J1164" s="21"/>
      <c r="K1164" s="21"/>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row>
    <row r="1165">
      <c r="A1165" s="21"/>
      <c r="B1165" s="21"/>
      <c r="C1165" s="21"/>
      <c r="D1165" s="21"/>
      <c r="E1165" s="21"/>
      <c r="F1165" s="21"/>
      <c r="G1165" s="21"/>
      <c r="H1165" s="21"/>
      <c r="I1165" s="21"/>
      <c r="J1165" s="21"/>
      <c r="K1165" s="21"/>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row>
    <row r="1166">
      <c r="A1166" s="21"/>
      <c r="B1166" s="21"/>
      <c r="C1166" s="21"/>
      <c r="D1166" s="21"/>
      <c r="E1166" s="21"/>
      <c r="F1166" s="21"/>
      <c r="G1166" s="21"/>
      <c r="H1166" s="21"/>
      <c r="I1166" s="21"/>
      <c r="J1166" s="21"/>
      <c r="K1166" s="21"/>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row>
    <row r="1167">
      <c r="A1167" s="21"/>
      <c r="B1167" s="21"/>
      <c r="C1167" s="21"/>
      <c r="D1167" s="21"/>
      <c r="E1167" s="21"/>
      <c r="F1167" s="21"/>
      <c r="G1167" s="21"/>
      <c r="H1167" s="21"/>
      <c r="I1167" s="21"/>
      <c r="J1167" s="21"/>
      <c r="K1167" s="21"/>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row>
    <row r="1168">
      <c r="A1168" s="21"/>
      <c r="B1168" s="21"/>
      <c r="C1168" s="21"/>
      <c r="D1168" s="21"/>
      <c r="E1168" s="21"/>
      <c r="F1168" s="21"/>
      <c r="G1168" s="21"/>
      <c r="H1168" s="21"/>
      <c r="I1168" s="21"/>
      <c r="J1168" s="21"/>
      <c r="K1168" s="21"/>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row>
    <row r="1169">
      <c r="A1169" s="21"/>
      <c r="B1169" s="21"/>
      <c r="C1169" s="21"/>
      <c r="D1169" s="21"/>
      <c r="E1169" s="21"/>
      <c r="F1169" s="21"/>
      <c r="G1169" s="21"/>
      <c r="H1169" s="21"/>
      <c r="I1169" s="21"/>
      <c r="J1169" s="21"/>
      <c r="K1169" s="21"/>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row>
    <row r="1170">
      <c r="A1170" s="21"/>
      <c r="B1170" s="21"/>
      <c r="C1170" s="21"/>
      <c r="D1170" s="21"/>
      <c r="E1170" s="21"/>
      <c r="F1170" s="21"/>
      <c r="G1170" s="21"/>
      <c r="H1170" s="21"/>
      <c r="I1170" s="21"/>
      <c r="J1170" s="21"/>
      <c r="K1170" s="21"/>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row>
    <row r="1171">
      <c r="A1171" s="21"/>
      <c r="B1171" s="21"/>
      <c r="C1171" s="21"/>
      <c r="D1171" s="21"/>
      <c r="E1171" s="21"/>
      <c r="F1171" s="21"/>
      <c r="G1171" s="21"/>
      <c r="H1171" s="21"/>
      <c r="I1171" s="21"/>
      <c r="J1171" s="21"/>
      <c r="K1171" s="21"/>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row>
    <row r="1172">
      <c r="A1172" s="21"/>
      <c r="B1172" s="21"/>
      <c r="C1172" s="21"/>
      <c r="D1172" s="21"/>
      <c r="E1172" s="21"/>
      <c r="F1172" s="21"/>
      <c r="G1172" s="21"/>
      <c r="H1172" s="21"/>
      <c r="I1172" s="21"/>
      <c r="J1172" s="21"/>
      <c r="K1172" s="21"/>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row>
    <row r="1173">
      <c r="A1173" s="21"/>
      <c r="B1173" s="21"/>
      <c r="C1173" s="21"/>
      <c r="D1173" s="21"/>
      <c r="E1173" s="21"/>
      <c r="F1173" s="21"/>
      <c r="G1173" s="21"/>
      <c r="H1173" s="21"/>
      <c r="I1173" s="21"/>
      <c r="J1173" s="21"/>
      <c r="K1173" s="21"/>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row>
    <row r="1174">
      <c r="A1174" s="21"/>
      <c r="B1174" s="21"/>
      <c r="C1174" s="21"/>
      <c r="D1174" s="21"/>
      <c r="E1174" s="21"/>
      <c r="F1174" s="21"/>
      <c r="G1174" s="21"/>
      <c r="H1174" s="21"/>
      <c r="I1174" s="21"/>
      <c r="J1174" s="21"/>
      <c r="K1174" s="21"/>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row>
    <row r="1175">
      <c r="A1175" s="21"/>
      <c r="B1175" s="21"/>
      <c r="C1175" s="21"/>
      <c r="D1175" s="21"/>
      <c r="E1175" s="21"/>
      <c r="F1175" s="21"/>
      <c r="G1175" s="21"/>
      <c r="H1175" s="21"/>
      <c r="I1175" s="21"/>
      <c r="J1175" s="21"/>
      <c r="K1175" s="21"/>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row>
    <row r="1176">
      <c r="A1176" s="21"/>
      <c r="B1176" s="21"/>
      <c r="C1176" s="21"/>
      <c r="D1176" s="21"/>
      <c r="E1176" s="21"/>
      <c r="F1176" s="21"/>
      <c r="G1176" s="21"/>
      <c r="H1176" s="21"/>
      <c r="I1176" s="21"/>
      <c r="J1176" s="21"/>
      <c r="K1176" s="21"/>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row>
    <row r="1177">
      <c r="A1177" s="21"/>
      <c r="B1177" s="21"/>
      <c r="C1177" s="21"/>
      <c r="D1177" s="21"/>
      <c r="E1177" s="21"/>
      <c r="F1177" s="21"/>
      <c r="G1177" s="21"/>
      <c r="H1177" s="21"/>
      <c r="I1177" s="21"/>
      <c r="J1177" s="21"/>
      <c r="K1177" s="21"/>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row>
    <row r="1178">
      <c r="A1178" s="21"/>
      <c r="B1178" s="21"/>
      <c r="C1178" s="21"/>
      <c r="D1178" s="21"/>
      <c r="E1178" s="21"/>
      <c r="F1178" s="21"/>
      <c r="G1178" s="21"/>
      <c r="H1178" s="21"/>
      <c r="I1178" s="21"/>
      <c r="J1178" s="21"/>
      <c r="K1178" s="21"/>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row>
    <row r="1179">
      <c r="A1179" s="21"/>
      <c r="B1179" s="21"/>
      <c r="C1179" s="21"/>
      <c r="D1179" s="21"/>
      <c r="E1179" s="21"/>
      <c r="F1179" s="21"/>
      <c r="G1179" s="21"/>
      <c r="H1179" s="21"/>
      <c r="I1179" s="21"/>
      <c r="J1179" s="21"/>
      <c r="K1179" s="21"/>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row>
    <row r="1180">
      <c r="A1180" s="21"/>
      <c r="B1180" s="21"/>
      <c r="C1180" s="21"/>
      <c r="D1180" s="21"/>
      <c r="E1180" s="21"/>
      <c r="F1180" s="21"/>
      <c r="G1180" s="21"/>
      <c r="H1180" s="21"/>
      <c r="I1180" s="21"/>
      <c r="J1180" s="21"/>
      <c r="K1180" s="21"/>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row>
    <row r="1181">
      <c r="A1181" s="21"/>
      <c r="B1181" s="21"/>
      <c r="C1181" s="21"/>
      <c r="D1181" s="21"/>
      <c r="E1181" s="21"/>
      <c r="F1181" s="21"/>
      <c r="G1181" s="21"/>
      <c r="H1181" s="21"/>
      <c r="I1181" s="21"/>
      <c r="J1181" s="21"/>
      <c r="K1181" s="21"/>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row>
    <row r="1182">
      <c r="A1182" s="21"/>
      <c r="B1182" s="21"/>
      <c r="C1182" s="21"/>
      <c r="D1182" s="21"/>
      <c r="E1182" s="21"/>
      <c r="F1182" s="21"/>
      <c r="G1182" s="21"/>
      <c r="H1182" s="21"/>
      <c r="I1182" s="21"/>
      <c r="J1182" s="21"/>
      <c r="K1182" s="21"/>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row>
    <row r="1183">
      <c r="A1183" s="21"/>
      <c r="B1183" s="21"/>
      <c r="C1183" s="21"/>
      <c r="D1183" s="21"/>
      <c r="E1183" s="21"/>
      <c r="F1183" s="21"/>
      <c r="G1183" s="21"/>
      <c r="H1183" s="21"/>
      <c r="I1183" s="21"/>
      <c r="J1183" s="21"/>
      <c r="K1183" s="21"/>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row>
    <row r="1184">
      <c r="A1184" s="21"/>
      <c r="B1184" s="21"/>
      <c r="C1184" s="21"/>
      <c r="D1184" s="21"/>
      <c r="E1184" s="21"/>
      <c r="F1184" s="21"/>
      <c r="G1184" s="21"/>
      <c r="H1184" s="21"/>
      <c r="I1184" s="21"/>
      <c r="J1184" s="21"/>
      <c r="K1184" s="21"/>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row>
    <row r="1185">
      <c r="A1185" s="21"/>
      <c r="B1185" s="21"/>
      <c r="C1185" s="21"/>
      <c r="D1185" s="21"/>
      <c r="E1185" s="21"/>
      <c r="F1185" s="21"/>
      <c r="G1185" s="21"/>
      <c r="H1185" s="21"/>
      <c r="I1185" s="21"/>
      <c r="J1185" s="21"/>
      <c r="K1185" s="21"/>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row>
    <row r="1186">
      <c r="A1186" s="21"/>
      <c r="B1186" s="21"/>
      <c r="C1186" s="21"/>
      <c r="D1186" s="21"/>
      <c r="E1186" s="21"/>
      <c r="F1186" s="21"/>
      <c r="G1186" s="21"/>
      <c r="H1186" s="21"/>
      <c r="I1186" s="21"/>
      <c r="J1186" s="21"/>
      <c r="K1186" s="21"/>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row>
    <row r="1187">
      <c r="A1187" s="21"/>
      <c r="B1187" s="21"/>
      <c r="C1187" s="21"/>
      <c r="D1187" s="21"/>
      <c r="E1187" s="21"/>
      <c r="F1187" s="21"/>
      <c r="G1187" s="21"/>
      <c r="H1187" s="21"/>
      <c r="I1187" s="21"/>
      <c r="J1187" s="21"/>
      <c r="K1187" s="21"/>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row>
    <row r="1188">
      <c r="A1188" s="21"/>
      <c r="B1188" s="21"/>
      <c r="C1188" s="21"/>
      <c r="D1188" s="21"/>
      <c r="E1188" s="21"/>
      <c r="F1188" s="21"/>
      <c r="G1188" s="21"/>
      <c r="H1188" s="21"/>
      <c r="I1188" s="21"/>
      <c r="J1188" s="21"/>
      <c r="K1188" s="21"/>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row>
    <row r="1189">
      <c r="A1189" s="21"/>
      <c r="B1189" s="21"/>
      <c r="C1189" s="21"/>
      <c r="D1189" s="21"/>
      <c r="E1189" s="21"/>
      <c r="F1189" s="21"/>
      <c r="G1189" s="21"/>
      <c r="H1189" s="21"/>
      <c r="I1189" s="21"/>
      <c r="J1189" s="21"/>
      <c r="K1189" s="21"/>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row>
    <row r="1190">
      <c r="A1190" s="21"/>
      <c r="B1190" s="21"/>
      <c r="C1190" s="21"/>
      <c r="D1190" s="21"/>
      <c r="E1190" s="21"/>
      <c r="F1190" s="21"/>
      <c r="G1190" s="21"/>
      <c r="H1190" s="21"/>
      <c r="I1190" s="21"/>
      <c r="J1190" s="21"/>
      <c r="K1190" s="21"/>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row>
    <row r="1191">
      <c r="A1191" s="21"/>
      <c r="B1191" s="21"/>
      <c r="C1191" s="21"/>
      <c r="D1191" s="21"/>
      <c r="E1191" s="21"/>
      <c r="F1191" s="21"/>
      <c r="G1191" s="21"/>
      <c r="H1191" s="21"/>
      <c r="I1191" s="21"/>
      <c r="J1191" s="21"/>
      <c r="K1191" s="21"/>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row>
    <row r="1192">
      <c r="A1192" s="21"/>
      <c r="B1192" s="21"/>
      <c r="C1192" s="21"/>
      <c r="D1192" s="21"/>
      <c r="E1192" s="21"/>
      <c r="F1192" s="21"/>
      <c r="G1192" s="21"/>
      <c r="H1192" s="21"/>
      <c r="I1192" s="21"/>
      <c r="J1192" s="21"/>
      <c r="K1192" s="21"/>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row>
    <row r="1193">
      <c r="A1193" s="21"/>
      <c r="B1193" s="21"/>
      <c r="C1193" s="21"/>
      <c r="D1193" s="21"/>
      <c r="E1193" s="21"/>
      <c r="F1193" s="21"/>
      <c r="G1193" s="21"/>
      <c r="H1193" s="21"/>
      <c r="I1193" s="21"/>
      <c r="J1193" s="21"/>
      <c r="K1193" s="21"/>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row>
    <row r="1194">
      <c r="A1194" s="21"/>
      <c r="B1194" s="21"/>
      <c r="C1194" s="21"/>
      <c r="D1194" s="21"/>
      <c r="E1194" s="21"/>
      <c r="F1194" s="21"/>
      <c r="G1194" s="21"/>
      <c r="H1194" s="21"/>
      <c r="I1194" s="21"/>
      <c r="J1194" s="21"/>
      <c r="K1194" s="21"/>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row>
    <row r="1195">
      <c r="A1195" s="21"/>
      <c r="B1195" s="21"/>
      <c r="C1195" s="21"/>
      <c r="D1195" s="21"/>
      <c r="E1195" s="21"/>
      <c r="F1195" s="21"/>
      <c r="G1195" s="21"/>
      <c r="H1195" s="21"/>
      <c r="I1195" s="21"/>
      <c r="J1195" s="21"/>
      <c r="K1195" s="21"/>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row>
    <row r="1196">
      <c r="A1196" s="21"/>
      <c r="B1196" s="21"/>
      <c r="C1196" s="21"/>
      <c r="D1196" s="21"/>
      <c r="E1196" s="21"/>
      <c r="F1196" s="21"/>
      <c r="G1196" s="21"/>
      <c r="H1196" s="21"/>
      <c r="I1196" s="21"/>
      <c r="J1196" s="21"/>
      <c r="K1196" s="21"/>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row>
    <row r="1197">
      <c r="A1197" s="21"/>
      <c r="B1197" s="21"/>
      <c r="C1197" s="21"/>
      <c r="D1197" s="21"/>
      <c r="E1197" s="21"/>
      <c r="F1197" s="21"/>
      <c r="G1197" s="21"/>
      <c r="H1197" s="21"/>
      <c r="I1197" s="21"/>
      <c r="J1197" s="21"/>
      <c r="K1197" s="21"/>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row>
    <row r="1198">
      <c r="A1198" s="21"/>
      <c r="B1198" s="21"/>
      <c r="C1198" s="21"/>
      <c r="D1198" s="21"/>
      <c r="E1198" s="21"/>
      <c r="F1198" s="21"/>
      <c r="G1198" s="21"/>
      <c r="H1198" s="21"/>
      <c r="I1198" s="21"/>
      <c r="J1198" s="21"/>
      <c r="K1198" s="21"/>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row>
    <row r="1199">
      <c r="A1199" s="21"/>
      <c r="B1199" s="21"/>
      <c r="C1199" s="21"/>
      <c r="D1199" s="21"/>
      <c r="E1199" s="21"/>
      <c r="F1199" s="21"/>
      <c r="G1199" s="21"/>
      <c r="H1199" s="21"/>
      <c r="I1199" s="21"/>
      <c r="J1199" s="21"/>
      <c r="K1199" s="21"/>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row>
    <row r="1200">
      <c r="A1200" s="21"/>
      <c r="B1200" s="21"/>
      <c r="C1200" s="21"/>
      <c r="D1200" s="21"/>
      <c r="E1200" s="21"/>
      <c r="F1200" s="21"/>
      <c r="G1200" s="21"/>
      <c r="H1200" s="21"/>
      <c r="I1200" s="21"/>
      <c r="J1200" s="21"/>
      <c r="K1200" s="21"/>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row>
    <row r="1201">
      <c r="A1201" s="21"/>
      <c r="B1201" s="21"/>
      <c r="C1201" s="21"/>
      <c r="D1201" s="21"/>
      <c r="E1201" s="21"/>
      <c r="F1201" s="21"/>
      <c r="G1201" s="21"/>
      <c r="H1201" s="21"/>
      <c r="I1201" s="21"/>
      <c r="J1201" s="21"/>
      <c r="K1201" s="21"/>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row>
    <row r="1202">
      <c r="A1202" s="21"/>
      <c r="B1202" s="21"/>
      <c r="C1202" s="21"/>
      <c r="D1202" s="21"/>
      <c r="E1202" s="21"/>
      <c r="F1202" s="21"/>
      <c r="G1202" s="21"/>
      <c r="H1202" s="21"/>
      <c r="I1202" s="21"/>
      <c r="J1202" s="21"/>
      <c r="K1202" s="21"/>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row>
    <row r="1203">
      <c r="A1203" s="21"/>
      <c r="B1203" s="21"/>
      <c r="C1203" s="21"/>
      <c r="D1203" s="21"/>
      <c r="E1203" s="21"/>
      <c r="F1203" s="21"/>
      <c r="G1203" s="21"/>
      <c r="H1203" s="21"/>
      <c r="I1203" s="21"/>
      <c r="J1203" s="21"/>
      <c r="K1203" s="21"/>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row>
    <row r="1204">
      <c r="A1204" s="21"/>
      <c r="B1204" s="21"/>
      <c r="C1204" s="21"/>
      <c r="D1204" s="21"/>
      <c r="E1204" s="21"/>
      <c r="F1204" s="21"/>
      <c r="G1204" s="21"/>
      <c r="H1204" s="21"/>
      <c r="I1204" s="21"/>
      <c r="J1204" s="21"/>
      <c r="K1204" s="21"/>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row>
    <row r="1205">
      <c r="A1205" s="21"/>
      <c r="B1205" s="21"/>
      <c r="C1205" s="21"/>
      <c r="D1205" s="21"/>
      <c r="E1205" s="21"/>
      <c r="F1205" s="21"/>
      <c r="G1205" s="21"/>
      <c r="H1205" s="21"/>
      <c r="I1205" s="21"/>
      <c r="J1205" s="21"/>
      <c r="K1205" s="21"/>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row>
    <row r="1206">
      <c r="A1206" s="21"/>
      <c r="B1206" s="21"/>
      <c r="C1206" s="21"/>
      <c r="D1206" s="21"/>
      <c r="E1206" s="21"/>
      <c r="F1206" s="21"/>
      <c r="G1206" s="21"/>
      <c r="H1206" s="21"/>
      <c r="I1206" s="21"/>
      <c r="J1206" s="21"/>
      <c r="K1206" s="21"/>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row>
    <row r="1207">
      <c r="A1207" s="21"/>
      <c r="B1207" s="21"/>
      <c r="C1207" s="21"/>
      <c r="D1207" s="21"/>
      <c r="E1207" s="21"/>
      <c r="F1207" s="21"/>
      <c r="G1207" s="21"/>
      <c r="H1207" s="21"/>
      <c r="I1207" s="21"/>
      <c r="J1207" s="21"/>
      <c r="K1207" s="21"/>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row>
    <row r="1208">
      <c r="A1208" s="21"/>
      <c r="B1208" s="21"/>
      <c r="C1208" s="21"/>
      <c r="D1208" s="21"/>
      <c r="E1208" s="21"/>
      <c r="F1208" s="21"/>
      <c r="G1208" s="21"/>
      <c r="H1208" s="21"/>
      <c r="I1208" s="21"/>
      <c r="J1208" s="21"/>
      <c r="K1208" s="21"/>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row>
    <row r="1209">
      <c r="A1209" s="21"/>
      <c r="B1209" s="21"/>
      <c r="C1209" s="21"/>
      <c r="D1209" s="21"/>
      <c r="E1209" s="21"/>
      <c r="F1209" s="21"/>
      <c r="G1209" s="21"/>
      <c r="H1209" s="21"/>
      <c r="I1209" s="21"/>
      <c r="J1209" s="21"/>
      <c r="K1209" s="21"/>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row>
    <row r="1210">
      <c r="A1210" s="21"/>
      <c r="B1210" s="21"/>
      <c r="C1210" s="21"/>
      <c r="D1210" s="21"/>
      <c r="E1210" s="21"/>
      <c r="F1210" s="21"/>
      <c r="G1210" s="21"/>
      <c r="H1210" s="21"/>
      <c r="I1210" s="21"/>
      <c r="J1210" s="21"/>
      <c r="K1210" s="21"/>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row>
    <row r="1211">
      <c r="A1211" s="21"/>
      <c r="B1211" s="21"/>
      <c r="C1211" s="21"/>
      <c r="D1211" s="21"/>
      <c r="E1211" s="21"/>
      <c r="F1211" s="21"/>
      <c r="G1211" s="21"/>
      <c r="H1211" s="21"/>
      <c r="I1211" s="21"/>
      <c r="J1211" s="21"/>
      <c r="K1211" s="21"/>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row>
    <row r="1212">
      <c r="A1212" s="21"/>
      <c r="B1212" s="21"/>
      <c r="C1212" s="21"/>
      <c r="D1212" s="21"/>
      <c r="E1212" s="21"/>
      <c r="F1212" s="21"/>
      <c r="G1212" s="21"/>
      <c r="H1212" s="21"/>
      <c r="I1212" s="21"/>
      <c r="J1212" s="21"/>
      <c r="K1212" s="21"/>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row>
    <row r="1213">
      <c r="A1213" s="21"/>
      <c r="B1213" s="21"/>
      <c r="C1213" s="21"/>
      <c r="D1213" s="21"/>
      <c r="E1213" s="21"/>
      <c r="F1213" s="21"/>
      <c r="G1213" s="21"/>
      <c r="H1213" s="21"/>
      <c r="I1213" s="21"/>
      <c r="J1213" s="21"/>
      <c r="K1213" s="21"/>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row>
    <row r="1214">
      <c r="A1214" s="21"/>
      <c r="B1214" s="21"/>
      <c r="C1214" s="21"/>
      <c r="D1214" s="21"/>
      <c r="E1214" s="21"/>
      <c r="F1214" s="21"/>
      <c r="G1214" s="21"/>
      <c r="H1214" s="21"/>
      <c r="I1214" s="21"/>
      <c r="J1214" s="21"/>
      <c r="K1214" s="21"/>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row>
    <row r="1215">
      <c r="A1215" s="21"/>
      <c r="B1215" s="21"/>
      <c r="C1215" s="21"/>
      <c r="D1215" s="21"/>
      <c r="E1215" s="21"/>
      <c r="F1215" s="21"/>
      <c r="G1215" s="21"/>
      <c r="H1215" s="21"/>
      <c r="I1215" s="21"/>
      <c r="J1215" s="21"/>
      <c r="K1215" s="21"/>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row>
    <row r="1216">
      <c r="A1216" s="21"/>
      <c r="B1216" s="21"/>
      <c r="C1216" s="21"/>
      <c r="D1216" s="21"/>
      <c r="E1216" s="21"/>
      <c r="F1216" s="21"/>
      <c r="G1216" s="21"/>
      <c r="H1216" s="21"/>
      <c r="I1216" s="21"/>
      <c r="J1216" s="21"/>
      <c r="K1216" s="21"/>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row>
    <row r="1217">
      <c r="A1217" s="21"/>
      <c r="B1217" s="21"/>
      <c r="C1217" s="21"/>
      <c r="D1217" s="21"/>
      <c r="E1217" s="21"/>
      <c r="F1217" s="21"/>
      <c r="G1217" s="21"/>
      <c r="H1217" s="21"/>
      <c r="I1217" s="21"/>
      <c r="J1217" s="21"/>
      <c r="K1217" s="21"/>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row>
    <row r="1218">
      <c r="A1218" s="21"/>
      <c r="B1218" s="21"/>
      <c r="C1218" s="21"/>
      <c r="D1218" s="21"/>
      <c r="E1218" s="21"/>
      <c r="F1218" s="21"/>
      <c r="G1218" s="21"/>
      <c r="H1218" s="21"/>
      <c r="I1218" s="21"/>
      <c r="J1218" s="21"/>
      <c r="K1218" s="21"/>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row>
    <row r="1219">
      <c r="A1219" s="21"/>
      <c r="B1219" s="21"/>
      <c r="C1219" s="21"/>
      <c r="D1219" s="21"/>
      <c r="E1219" s="21"/>
      <c r="F1219" s="21"/>
      <c r="G1219" s="21"/>
      <c r="H1219" s="21"/>
      <c r="I1219" s="21"/>
      <c r="J1219" s="21"/>
      <c r="K1219" s="21"/>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row>
    <row r="1220">
      <c r="A1220" s="21"/>
      <c r="B1220" s="21"/>
      <c r="C1220" s="21"/>
      <c r="D1220" s="21"/>
      <c r="E1220" s="21"/>
      <c r="F1220" s="21"/>
      <c r="G1220" s="21"/>
      <c r="H1220" s="21"/>
      <c r="I1220" s="21"/>
      <c r="J1220" s="21"/>
      <c r="K1220" s="21"/>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row>
    <row r="1221">
      <c r="A1221" s="21"/>
      <c r="B1221" s="21"/>
      <c r="C1221" s="21"/>
      <c r="D1221" s="21"/>
      <c r="E1221" s="21"/>
      <c r="F1221" s="21"/>
      <c r="G1221" s="21"/>
      <c r="H1221" s="21"/>
      <c r="I1221" s="21"/>
      <c r="J1221" s="21"/>
      <c r="K1221" s="21"/>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row>
    <row r="1222">
      <c r="A1222" s="21"/>
      <c r="B1222" s="21"/>
      <c r="C1222" s="21"/>
      <c r="D1222" s="21"/>
      <c r="E1222" s="21"/>
      <c r="F1222" s="21"/>
      <c r="G1222" s="21"/>
      <c r="H1222" s="21"/>
      <c r="I1222" s="21"/>
      <c r="J1222" s="21"/>
      <c r="K1222" s="21"/>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row>
    <row r="1223">
      <c r="A1223" s="21"/>
      <c r="B1223" s="21"/>
      <c r="C1223" s="21"/>
      <c r="D1223" s="21"/>
      <c r="E1223" s="21"/>
      <c r="F1223" s="21"/>
      <c r="G1223" s="21"/>
      <c r="H1223" s="21"/>
      <c r="I1223" s="21"/>
      <c r="J1223" s="21"/>
      <c r="K1223" s="21"/>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row>
    <row r="1224">
      <c r="A1224" s="21"/>
      <c r="B1224" s="21"/>
      <c r="C1224" s="21"/>
      <c r="D1224" s="21"/>
      <c r="E1224" s="21"/>
      <c r="F1224" s="21"/>
      <c r="G1224" s="21"/>
      <c r="H1224" s="21"/>
      <c r="I1224" s="21"/>
      <c r="J1224" s="21"/>
      <c r="K1224" s="21"/>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row>
    <row r="1225">
      <c r="A1225" s="21"/>
      <c r="B1225" s="21"/>
      <c r="C1225" s="21"/>
      <c r="D1225" s="21"/>
      <c r="E1225" s="21"/>
      <c r="F1225" s="21"/>
      <c r="G1225" s="21"/>
      <c r="H1225" s="21"/>
      <c r="I1225" s="21"/>
      <c r="J1225" s="21"/>
      <c r="K1225" s="21"/>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row>
    <row r="1226">
      <c r="A1226" s="21"/>
      <c r="B1226" s="21"/>
      <c r="C1226" s="21"/>
      <c r="D1226" s="21"/>
      <c r="E1226" s="21"/>
      <c r="F1226" s="21"/>
      <c r="G1226" s="21"/>
      <c r="H1226" s="21"/>
      <c r="I1226" s="21"/>
      <c r="J1226" s="21"/>
      <c r="K1226" s="21"/>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row>
    <row r="1227">
      <c r="A1227" s="21"/>
      <c r="B1227" s="21"/>
      <c r="C1227" s="21"/>
      <c r="D1227" s="21"/>
      <c r="E1227" s="21"/>
      <c r="F1227" s="21"/>
      <c r="G1227" s="21"/>
      <c r="H1227" s="21"/>
      <c r="I1227" s="21"/>
      <c r="J1227" s="21"/>
      <c r="K1227" s="21"/>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row>
    <row r="1228">
      <c r="A1228" s="21"/>
      <c r="B1228" s="21"/>
      <c r="C1228" s="21"/>
      <c r="D1228" s="21"/>
      <c r="E1228" s="21"/>
      <c r="F1228" s="21"/>
      <c r="G1228" s="21"/>
      <c r="H1228" s="21"/>
      <c r="I1228" s="21"/>
      <c r="J1228" s="21"/>
      <c r="K1228" s="21"/>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row>
    <row r="1229">
      <c r="A1229" s="21"/>
      <c r="B1229" s="21"/>
      <c r="C1229" s="21"/>
      <c r="D1229" s="21"/>
      <c r="E1229" s="21"/>
      <c r="F1229" s="21"/>
      <c r="G1229" s="21"/>
      <c r="H1229" s="21"/>
      <c r="I1229" s="21"/>
      <c r="J1229" s="21"/>
      <c r="K1229" s="21"/>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row>
    <row r="1230">
      <c r="A1230" s="21"/>
      <c r="B1230" s="21"/>
      <c r="C1230" s="21"/>
      <c r="D1230" s="21"/>
      <c r="E1230" s="21"/>
      <c r="F1230" s="21"/>
      <c r="G1230" s="21"/>
      <c r="H1230" s="21"/>
      <c r="I1230" s="21"/>
      <c r="J1230" s="21"/>
      <c r="K1230" s="21"/>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row>
    <row r="1231">
      <c r="A1231" s="21"/>
      <c r="B1231" s="21"/>
      <c r="C1231" s="21"/>
      <c r="D1231" s="21"/>
      <c r="E1231" s="21"/>
      <c r="F1231" s="21"/>
      <c r="G1231" s="21"/>
      <c r="H1231" s="21"/>
      <c r="I1231" s="21"/>
      <c r="J1231" s="21"/>
      <c r="K1231" s="21"/>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row>
    <row r="1232">
      <c r="A1232" s="21"/>
      <c r="B1232" s="21"/>
      <c r="C1232" s="21"/>
      <c r="D1232" s="21"/>
      <c r="E1232" s="21"/>
      <c r="F1232" s="21"/>
      <c r="G1232" s="21"/>
      <c r="H1232" s="21"/>
      <c r="I1232" s="21"/>
      <c r="J1232" s="21"/>
      <c r="K1232" s="21"/>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row>
    <row r="1233">
      <c r="A1233" s="21"/>
      <c r="B1233" s="21"/>
      <c r="C1233" s="21"/>
      <c r="D1233" s="21"/>
      <c r="E1233" s="21"/>
      <c r="F1233" s="21"/>
      <c r="G1233" s="21"/>
      <c r="H1233" s="21"/>
      <c r="I1233" s="21"/>
      <c r="J1233" s="21"/>
      <c r="K1233" s="21"/>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row>
    <row r="1234">
      <c r="A1234" s="21"/>
      <c r="B1234" s="21"/>
      <c r="C1234" s="21"/>
      <c r="D1234" s="21"/>
      <c r="E1234" s="21"/>
      <c r="F1234" s="21"/>
      <c r="G1234" s="21"/>
      <c r="H1234" s="21"/>
      <c r="I1234" s="21"/>
      <c r="J1234" s="21"/>
      <c r="K1234" s="21"/>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row>
    <row r="1235">
      <c r="A1235" s="21"/>
      <c r="B1235" s="21"/>
      <c r="C1235" s="21"/>
      <c r="D1235" s="21"/>
      <c r="E1235" s="21"/>
      <c r="F1235" s="21"/>
      <c r="G1235" s="21"/>
      <c r="H1235" s="21"/>
      <c r="I1235" s="21"/>
      <c r="J1235" s="21"/>
      <c r="K1235" s="21"/>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row>
    <row r="1236">
      <c r="A1236" s="21"/>
      <c r="B1236" s="21"/>
      <c r="C1236" s="21"/>
      <c r="D1236" s="21"/>
      <c r="E1236" s="21"/>
      <c r="F1236" s="21"/>
      <c r="G1236" s="21"/>
      <c r="H1236" s="21"/>
      <c r="I1236" s="21"/>
      <c r="J1236" s="21"/>
      <c r="K1236" s="21"/>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row>
    <row r="1237">
      <c r="A1237" s="21"/>
      <c r="B1237" s="21"/>
      <c r="C1237" s="21"/>
      <c r="D1237" s="21"/>
      <c r="E1237" s="21"/>
      <c r="F1237" s="21"/>
      <c r="G1237" s="21"/>
      <c r="H1237" s="21"/>
      <c r="I1237" s="21"/>
      <c r="J1237" s="21"/>
      <c r="K1237" s="21"/>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row>
    <row r="1238">
      <c r="A1238" s="21"/>
      <c r="B1238" s="21"/>
      <c r="C1238" s="21"/>
      <c r="D1238" s="21"/>
      <c r="E1238" s="21"/>
      <c r="F1238" s="21"/>
      <c r="G1238" s="21"/>
      <c r="H1238" s="21"/>
      <c r="I1238" s="21"/>
      <c r="J1238" s="21"/>
      <c r="K1238" s="21"/>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row>
    <row r="1239">
      <c r="A1239" s="21"/>
      <c r="B1239" s="21"/>
      <c r="C1239" s="21"/>
      <c r="D1239" s="21"/>
      <c r="E1239" s="21"/>
      <c r="F1239" s="21"/>
      <c r="G1239" s="21"/>
      <c r="H1239" s="21"/>
      <c r="I1239" s="21"/>
      <c r="J1239" s="21"/>
      <c r="K1239" s="21"/>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row>
    <row r="1240">
      <c r="A1240" s="21"/>
      <c r="B1240" s="21"/>
      <c r="C1240" s="21"/>
      <c r="D1240" s="21"/>
      <c r="E1240" s="21"/>
      <c r="F1240" s="21"/>
      <c r="G1240" s="21"/>
      <c r="H1240" s="21"/>
      <c r="I1240" s="21"/>
      <c r="J1240" s="21"/>
      <c r="K1240" s="21"/>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row>
    <row r="1241">
      <c r="A1241" s="21"/>
      <c r="B1241" s="21"/>
      <c r="C1241" s="21"/>
      <c r="D1241" s="21"/>
      <c r="E1241" s="21"/>
      <c r="F1241" s="21"/>
      <c r="G1241" s="21"/>
      <c r="H1241" s="21"/>
      <c r="I1241" s="21"/>
      <c r="J1241" s="21"/>
      <c r="K1241" s="21"/>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row>
    <row r="1242">
      <c r="A1242" s="21"/>
      <c r="B1242" s="21"/>
      <c r="C1242" s="21"/>
      <c r="D1242" s="21"/>
      <c r="E1242" s="21"/>
      <c r="F1242" s="21"/>
      <c r="G1242" s="21"/>
      <c r="H1242" s="21"/>
      <c r="I1242" s="21"/>
      <c r="J1242" s="21"/>
      <c r="K1242" s="21"/>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row>
    <row r="1243">
      <c r="A1243" s="21"/>
      <c r="B1243" s="21"/>
      <c r="C1243" s="21"/>
      <c r="D1243" s="21"/>
      <c r="E1243" s="21"/>
      <c r="F1243" s="21"/>
      <c r="G1243" s="21"/>
      <c r="H1243" s="21"/>
      <c r="I1243" s="21"/>
      <c r="J1243" s="21"/>
      <c r="K1243" s="21"/>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row>
    <row r="1244">
      <c r="A1244" s="21"/>
      <c r="B1244" s="21"/>
      <c r="C1244" s="21"/>
      <c r="D1244" s="21"/>
      <c r="E1244" s="21"/>
      <c r="F1244" s="21"/>
      <c r="G1244" s="21"/>
      <c r="H1244" s="21"/>
      <c r="I1244" s="21"/>
      <c r="J1244" s="21"/>
      <c r="K1244" s="21"/>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row>
    <row r="1245">
      <c r="A1245" s="21"/>
      <c r="B1245" s="21"/>
      <c r="C1245" s="21"/>
      <c r="D1245" s="21"/>
      <c r="E1245" s="21"/>
      <c r="F1245" s="21"/>
      <c r="G1245" s="21"/>
      <c r="H1245" s="21"/>
      <c r="I1245" s="21"/>
      <c r="J1245" s="21"/>
      <c r="K1245" s="21"/>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row>
    <row r="1246">
      <c r="A1246" s="21"/>
      <c r="B1246" s="21"/>
      <c r="C1246" s="21"/>
      <c r="D1246" s="21"/>
      <c r="E1246" s="21"/>
      <c r="F1246" s="21"/>
      <c r="G1246" s="21"/>
      <c r="H1246" s="21"/>
      <c r="I1246" s="21"/>
      <c r="J1246" s="21"/>
      <c r="K1246" s="21"/>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row>
    <row r="1247">
      <c r="A1247" s="21"/>
      <c r="B1247" s="21"/>
      <c r="C1247" s="21"/>
      <c r="D1247" s="21"/>
      <c r="E1247" s="21"/>
      <c r="F1247" s="21"/>
      <c r="G1247" s="21"/>
      <c r="H1247" s="21"/>
      <c r="I1247" s="21"/>
      <c r="J1247" s="21"/>
      <c r="K1247" s="21"/>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row>
    <row r="1248">
      <c r="A1248" s="21"/>
      <c r="B1248" s="21"/>
      <c r="C1248" s="21"/>
      <c r="D1248" s="21"/>
      <c r="E1248" s="21"/>
      <c r="F1248" s="21"/>
      <c r="G1248" s="21"/>
      <c r="H1248" s="21"/>
      <c r="I1248" s="21"/>
      <c r="J1248" s="21"/>
      <c r="K1248" s="21"/>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row>
    <row r="1249">
      <c r="A1249" s="21"/>
      <c r="B1249" s="21"/>
      <c r="C1249" s="21"/>
      <c r="D1249" s="21"/>
      <c r="E1249" s="21"/>
      <c r="F1249" s="21"/>
      <c r="G1249" s="21"/>
      <c r="H1249" s="21"/>
      <c r="I1249" s="21"/>
      <c r="J1249" s="21"/>
      <c r="K1249" s="21"/>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row>
    <row r="1250">
      <c r="A1250" s="21"/>
      <c r="B1250" s="21"/>
      <c r="C1250" s="21"/>
      <c r="D1250" s="21"/>
      <c r="E1250" s="21"/>
      <c r="F1250" s="21"/>
      <c r="G1250" s="21"/>
      <c r="H1250" s="21"/>
      <c r="I1250" s="21"/>
      <c r="J1250" s="21"/>
      <c r="K1250" s="21"/>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row>
    <row r="1251">
      <c r="A1251" s="21"/>
      <c r="B1251" s="21"/>
      <c r="C1251" s="21"/>
      <c r="D1251" s="21"/>
      <c r="E1251" s="21"/>
      <c r="F1251" s="21"/>
      <c r="G1251" s="21"/>
      <c r="H1251" s="21"/>
      <c r="I1251" s="21"/>
      <c r="J1251" s="21"/>
      <c r="K1251" s="21"/>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row>
    <row r="1252">
      <c r="A1252" s="21"/>
      <c r="B1252" s="21"/>
      <c r="C1252" s="21"/>
      <c r="D1252" s="21"/>
      <c r="E1252" s="21"/>
      <c r="F1252" s="21"/>
      <c r="G1252" s="21"/>
      <c r="H1252" s="21"/>
      <c r="I1252" s="21"/>
      <c r="J1252" s="21"/>
      <c r="K1252" s="21"/>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row>
    <row r="1253">
      <c r="A1253" s="21"/>
      <c r="B1253" s="21"/>
      <c r="C1253" s="21"/>
      <c r="D1253" s="21"/>
      <c r="E1253" s="21"/>
      <c r="F1253" s="21"/>
      <c r="G1253" s="21"/>
      <c r="H1253" s="21"/>
      <c r="I1253" s="21"/>
      <c r="J1253" s="21"/>
      <c r="K1253" s="21"/>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row>
    <row r="1254">
      <c r="A1254" s="21"/>
      <c r="B1254" s="21"/>
      <c r="C1254" s="21"/>
      <c r="D1254" s="21"/>
      <c r="E1254" s="21"/>
      <c r="F1254" s="21"/>
      <c r="G1254" s="21"/>
      <c r="H1254" s="21"/>
      <c r="I1254" s="21"/>
      <c r="J1254" s="21"/>
      <c r="K1254" s="21"/>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row>
    <row r="1255">
      <c r="A1255" s="21"/>
      <c r="B1255" s="21"/>
      <c r="C1255" s="21"/>
      <c r="D1255" s="21"/>
      <c r="E1255" s="21"/>
      <c r="F1255" s="21"/>
      <c r="G1255" s="21"/>
      <c r="H1255" s="21"/>
      <c r="I1255" s="21"/>
      <c r="J1255" s="21"/>
      <c r="K1255" s="21"/>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row>
    <row r="1256">
      <c r="A1256" s="21"/>
      <c r="B1256" s="21"/>
      <c r="C1256" s="21"/>
      <c r="D1256" s="21"/>
      <c r="E1256" s="21"/>
      <c r="F1256" s="21"/>
      <c r="G1256" s="21"/>
      <c r="H1256" s="21"/>
      <c r="I1256" s="21"/>
      <c r="J1256" s="21"/>
      <c r="K1256" s="21"/>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row>
    <row r="1257">
      <c r="A1257" s="21"/>
      <c r="B1257" s="21"/>
      <c r="C1257" s="21"/>
      <c r="D1257" s="21"/>
      <c r="E1257" s="21"/>
      <c r="F1257" s="21"/>
      <c r="G1257" s="21"/>
      <c r="H1257" s="21"/>
      <c r="I1257" s="21"/>
      <c r="J1257" s="21"/>
      <c r="K1257" s="21"/>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row>
    <row r="1258">
      <c r="A1258" s="21"/>
      <c r="B1258" s="21"/>
      <c r="C1258" s="21"/>
      <c r="D1258" s="21"/>
      <c r="E1258" s="21"/>
      <c r="F1258" s="21"/>
      <c r="G1258" s="21"/>
      <c r="H1258" s="21"/>
      <c r="I1258" s="21"/>
      <c r="J1258" s="21"/>
      <c r="K1258" s="21"/>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row>
    <row r="1259">
      <c r="A1259" s="21"/>
      <c r="B1259" s="21"/>
      <c r="C1259" s="21"/>
      <c r="D1259" s="21"/>
      <c r="E1259" s="21"/>
      <c r="F1259" s="21"/>
      <c r="G1259" s="21"/>
      <c r="H1259" s="21"/>
      <c r="I1259" s="21"/>
      <c r="J1259" s="21"/>
      <c r="K1259" s="21"/>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row>
    <row r="1260">
      <c r="A1260" s="21"/>
      <c r="B1260" s="21"/>
      <c r="C1260" s="21"/>
      <c r="D1260" s="21"/>
      <c r="E1260" s="21"/>
      <c r="F1260" s="21"/>
      <c r="G1260" s="21"/>
      <c r="H1260" s="21"/>
      <c r="I1260" s="21"/>
      <c r="J1260" s="21"/>
      <c r="K1260" s="21"/>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row>
    <row r="1261">
      <c r="A1261" s="21"/>
      <c r="B1261" s="21"/>
      <c r="C1261" s="21"/>
      <c r="D1261" s="21"/>
      <c r="E1261" s="21"/>
      <c r="F1261" s="21"/>
      <c r="G1261" s="21"/>
      <c r="H1261" s="21"/>
      <c r="I1261" s="21"/>
      <c r="J1261" s="21"/>
      <c r="K1261" s="21"/>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row>
    <row r="1262">
      <c r="A1262" s="21"/>
      <c r="B1262" s="21"/>
      <c r="C1262" s="21"/>
      <c r="D1262" s="21"/>
      <c r="E1262" s="21"/>
      <c r="F1262" s="21"/>
      <c r="G1262" s="21"/>
      <c r="H1262" s="21"/>
      <c r="I1262" s="21"/>
      <c r="J1262" s="21"/>
      <c r="K1262" s="21"/>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row>
    <row r="1263">
      <c r="A1263" s="21"/>
      <c r="B1263" s="21"/>
      <c r="C1263" s="21"/>
      <c r="D1263" s="21"/>
      <c r="E1263" s="21"/>
      <c r="F1263" s="21"/>
      <c r="G1263" s="21"/>
      <c r="H1263" s="21"/>
      <c r="I1263" s="21"/>
      <c r="J1263" s="21"/>
      <c r="K1263" s="21"/>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row>
    <row r="1264">
      <c r="A1264" s="21"/>
      <c r="B1264" s="21"/>
      <c r="C1264" s="21"/>
      <c r="D1264" s="21"/>
      <c r="E1264" s="21"/>
      <c r="F1264" s="21"/>
      <c r="G1264" s="21"/>
      <c r="H1264" s="21"/>
      <c r="I1264" s="21"/>
      <c r="J1264" s="21"/>
      <c r="K1264" s="21"/>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row>
    <row r="1265">
      <c r="A1265" s="21"/>
      <c r="B1265" s="21"/>
      <c r="C1265" s="21"/>
      <c r="D1265" s="21"/>
      <c r="E1265" s="21"/>
      <c r="F1265" s="21"/>
      <c r="G1265" s="21"/>
      <c r="H1265" s="21"/>
      <c r="I1265" s="21"/>
      <c r="J1265" s="21"/>
      <c r="K1265" s="21"/>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row>
    <row r="1266">
      <c r="A1266" s="21"/>
      <c r="B1266" s="21"/>
      <c r="C1266" s="21"/>
      <c r="D1266" s="21"/>
      <c r="E1266" s="21"/>
      <c r="F1266" s="21"/>
      <c r="G1266" s="21"/>
      <c r="H1266" s="21"/>
      <c r="I1266" s="21"/>
      <c r="J1266" s="21"/>
      <c r="K1266" s="21"/>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row>
    <row r="1267">
      <c r="A1267" s="21"/>
      <c r="B1267" s="21"/>
      <c r="C1267" s="21"/>
      <c r="D1267" s="21"/>
      <c r="E1267" s="21"/>
      <c r="F1267" s="21"/>
      <c r="G1267" s="21"/>
      <c r="H1267" s="21"/>
      <c r="I1267" s="21"/>
      <c r="J1267" s="21"/>
      <c r="K1267" s="21"/>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row>
    <row r="1268">
      <c r="A1268" s="21"/>
      <c r="B1268" s="21"/>
      <c r="C1268" s="21"/>
      <c r="D1268" s="21"/>
      <c r="E1268" s="21"/>
      <c r="F1268" s="21"/>
      <c r="G1268" s="21"/>
      <c r="H1268" s="21"/>
      <c r="I1268" s="21"/>
      <c r="J1268" s="21"/>
      <c r="K1268" s="21"/>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row>
    <row r="1269">
      <c r="A1269" s="21"/>
      <c r="B1269" s="21"/>
      <c r="C1269" s="21"/>
      <c r="D1269" s="21"/>
      <c r="E1269" s="21"/>
      <c r="F1269" s="21"/>
      <c r="G1269" s="21"/>
      <c r="H1269" s="21"/>
      <c r="I1269" s="21"/>
      <c r="J1269" s="21"/>
      <c r="K1269" s="21"/>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row>
    <row r="1270">
      <c r="A1270" s="21"/>
      <c r="B1270" s="21"/>
      <c r="C1270" s="21"/>
      <c r="D1270" s="21"/>
      <c r="E1270" s="21"/>
      <c r="F1270" s="21"/>
      <c r="G1270" s="21"/>
      <c r="H1270" s="21"/>
      <c r="I1270" s="21"/>
      <c r="J1270" s="21"/>
      <c r="K1270" s="21"/>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row>
    <row r="1271">
      <c r="A1271" s="21"/>
      <c r="B1271" s="21"/>
      <c r="C1271" s="21"/>
      <c r="D1271" s="21"/>
      <c r="E1271" s="21"/>
      <c r="F1271" s="21"/>
      <c r="G1271" s="21"/>
      <c r="H1271" s="21"/>
      <c r="I1271" s="21"/>
      <c r="J1271" s="21"/>
      <c r="K1271" s="21"/>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row>
    <row r="1272">
      <c r="A1272" s="21"/>
      <c r="B1272" s="21"/>
      <c r="C1272" s="21"/>
      <c r="D1272" s="21"/>
      <c r="E1272" s="21"/>
      <c r="F1272" s="21"/>
      <c r="G1272" s="21"/>
      <c r="H1272" s="21"/>
      <c r="I1272" s="21"/>
      <c r="J1272" s="21"/>
      <c r="K1272" s="21"/>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row>
    <row r="1273">
      <c r="A1273" s="21"/>
      <c r="B1273" s="21"/>
      <c r="C1273" s="21"/>
      <c r="D1273" s="21"/>
      <c r="E1273" s="21"/>
      <c r="F1273" s="21"/>
      <c r="G1273" s="21"/>
      <c r="H1273" s="21"/>
      <c r="I1273" s="21"/>
      <c r="J1273" s="21"/>
      <c r="K1273" s="21"/>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row>
    <row r="1274">
      <c r="A1274" s="21"/>
      <c r="B1274" s="21"/>
      <c r="C1274" s="21"/>
      <c r="D1274" s="21"/>
      <c r="E1274" s="21"/>
      <c r="F1274" s="21"/>
      <c r="G1274" s="21"/>
      <c r="H1274" s="21"/>
      <c r="I1274" s="21"/>
      <c r="J1274" s="21"/>
      <c r="K1274" s="21"/>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row>
    <row r="1275">
      <c r="A1275" s="21"/>
      <c r="B1275" s="21"/>
      <c r="C1275" s="21"/>
      <c r="D1275" s="21"/>
      <c r="E1275" s="21"/>
      <c r="F1275" s="21"/>
      <c r="G1275" s="21"/>
      <c r="H1275" s="21"/>
      <c r="I1275" s="21"/>
      <c r="J1275" s="21"/>
      <c r="K1275" s="21"/>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row>
    <row r="1276">
      <c r="A1276" s="21"/>
      <c r="B1276" s="21"/>
      <c r="C1276" s="21"/>
      <c r="D1276" s="21"/>
      <c r="E1276" s="21"/>
      <c r="F1276" s="21"/>
      <c r="G1276" s="21"/>
      <c r="H1276" s="21"/>
      <c r="I1276" s="21"/>
      <c r="J1276" s="21"/>
      <c r="K1276" s="21"/>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row>
    <row r="1277">
      <c r="A1277" s="21"/>
      <c r="B1277" s="21"/>
      <c r="C1277" s="21"/>
      <c r="D1277" s="21"/>
      <c r="E1277" s="21"/>
      <c r="F1277" s="21"/>
      <c r="G1277" s="21"/>
      <c r="H1277" s="21"/>
      <c r="I1277" s="21"/>
      <c r="J1277" s="21"/>
      <c r="K1277" s="21"/>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row>
    <row r="1278">
      <c r="A1278" s="21"/>
      <c r="B1278" s="21"/>
      <c r="C1278" s="21"/>
      <c r="D1278" s="21"/>
      <c r="E1278" s="21"/>
      <c r="F1278" s="21"/>
      <c r="G1278" s="21"/>
      <c r="H1278" s="21"/>
      <c r="I1278" s="21"/>
      <c r="J1278" s="21"/>
      <c r="K1278" s="21"/>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row>
    <row r="1279">
      <c r="A1279" s="21"/>
      <c r="B1279" s="21"/>
      <c r="C1279" s="21"/>
      <c r="D1279" s="21"/>
      <c r="E1279" s="21"/>
      <c r="F1279" s="21"/>
      <c r="G1279" s="21"/>
      <c r="H1279" s="21"/>
      <c r="I1279" s="21"/>
      <c r="J1279" s="21"/>
      <c r="K1279" s="21"/>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row>
    <row r="1280">
      <c r="A1280" s="21"/>
      <c r="B1280" s="21"/>
      <c r="C1280" s="21"/>
      <c r="D1280" s="21"/>
      <c r="E1280" s="21"/>
      <c r="F1280" s="21"/>
      <c r="G1280" s="21"/>
      <c r="H1280" s="21"/>
      <c r="I1280" s="21"/>
      <c r="J1280" s="21"/>
      <c r="K1280" s="21"/>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row>
    <row r="1281">
      <c r="A1281" s="21"/>
      <c r="B1281" s="21"/>
      <c r="C1281" s="21"/>
      <c r="D1281" s="21"/>
      <c r="E1281" s="21"/>
      <c r="F1281" s="21"/>
      <c r="G1281" s="21"/>
      <c r="H1281" s="21"/>
      <c r="I1281" s="21"/>
      <c r="J1281" s="21"/>
      <c r="K1281" s="21"/>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row>
    <row r="1282">
      <c r="A1282" s="21"/>
      <c r="B1282" s="21"/>
      <c r="C1282" s="21"/>
      <c r="D1282" s="21"/>
      <c r="E1282" s="21"/>
      <c r="F1282" s="21"/>
      <c r="G1282" s="21"/>
      <c r="H1282" s="21"/>
      <c r="I1282" s="21"/>
      <c r="J1282" s="21"/>
      <c r="K1282" s="21"/>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row>
    <row r="1283">
      <c r="A1283" s="21"/>
      <c r="B1283" s="21"/>
      <c r="C1283" s="21"/>
      <c r="D1283" s="21"/>
      <c r="E1283" s="21"/>
      <c r="F1283" s="21"/>
      <c r="G1283" s="21"/>
      <c r="H1283" s="21"/>
      <c r="I1283" s="21"/>
      <c r="J1283" s="21"/>
      <c r="K1283" s="21"/>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row>
    <row r="1284">
      <c r="A1284" s="21"/>
      <c r="B1284" s="21"/>
      <c r="C1284" s="21"/>
      <c r="D1284" s="21"/>
      <c r="E1284" s="21"/>
      <c r="F1284" s="21"/>
      <c r="G1284" s="21"/>
      <c r="H1284" s="21"/>
      <c r="I1284" s="21"/>
      <c r="J1284" s="21"/>
      <c r="K1284" s="21"/>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row>
    <row r="1285">
      <c r="A1285" s="21"/>
      <c r="B1285" s="21"/>
      <c r="C1285" s="21"/>
      <c r="D1285" s="21"/>
      <c r="E1285" s="21"/>
      <c r="F1285" s="21"/>
      <c r="G1285" s="21"/>
      <c r="H1285" s="21"/>
      <c r="I1285" s="21"/>
      <c r="J1285" s="21"/>
      <c r="K1285" s="21"/>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row>
    <row r="1286">
      <c r="A1286" s="21"/>
      <c r="B1286" s="21"/>
      <c r="C1286" s="21"/>
      <c r="D1286" s="21"/>
      <c r="E1286" s="21"/>
      <c r="F1286" s="21"/>
      <c r="G1286" s="21"/>
      <c r="H1286" s="21"/>
      <c r="I1286" s="21"/>
      <c r="J1286" s="21"/>
      <c r="K1286" s="21"/>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row>
    <row r="1287">
      <c r="A1287" s="21"/>
      <c r="B1287" s="21"/>
      <c r="C1287" s="21"/>
      <c r="D1287" s="21"/>
      <c r="E1287" s="21"/>
      <c r="F1287" s="21"/>
      <c r="G1287" s="21"/>
      <c r="H1287" s="21"/>
      <c r="I1287" s="21"/>
      <c r="J1287" s="21"/>
      <c r="K1287" s="21"/>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row>
    <row r="1288">
      <c r="A1288" s="21"/>
      <c r="B1288" s="21"/>
      <c r="C1288" s="21"/>
      <c r="D1288" s="21"/>
      <c r="E1288" s="21"/>
      <c r="F1288" s="21"/>
      <c r="G1288" s="21"/>
      <c r="H1288" s="21"/>
      <c r="I1288" s="21"/>
      <c r="J1288" s="21"/>
      <c r="K1288" s="21"/>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row>
    <row r="1289">
      <c r="A1289" s="21"/>
      <c r="B1289" s="21"/>
      <c r="C1289" s="21"/>
      <c r="D1289" s="21"/>
      <c r="E1289" s="21"/>
      <c r="F1289" s="21"/>
      <c r="G1289" s="21"/>
      <c r="H1289" s="21"/>
      <c r="I1289" s="21"/>
      <c r="J1289" s="21"/>
      <c r="K1289" s="21"/>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row>
    <row r="1290">
      <c r="A1290" s="21"/>
      <c r="B1290" s="21"/>
      <c r="C1290" s="21"/>
      <c r="D1290" s="21"/>
      <c r="E1290" s="21"/>
      <c r="F1290" s="21"/>
      <c r="G1290" s="21"/>
      <c r="H1290" s="21"/>
      <c r="I1290" s="21"/>
      <c r="J1290" s="21"/>
      <c r="K1290" s="21"/>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row>
    <row r="1291">
      <c r="A1291" s="21"/>
      <c r="B1291" s="21"/>
      <c r="C1291" s="21"/>
      <c r="D1291" s="21"/>
      <c r="E1291" s="21"/>
      <c r="F1291" s="21"/>
      <c r="G1291" s="21"/>
      <c r="H1291" s="21"/>
      <c r="I1291" s="21"/>
      <c r="J1291" s="21"/>
      <c r="K1291" s="21"/>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row>
    <row r="1292">
      <c r="A1292" s="21"/>
      <c r="B1292" s="21"/>
      <c r="C1292" s="21"/>
      <c r="D1292" s="21"/>
      <c r="E1292" s="21"/>
      <c r="F1292" s="21"/>
      <c r="G1292" s="21"/>
      <c r="H1292" s="21"/>
      <c r="I1292" s="21"/>
      <c r="J1292" s="21"/>
      <c r="K1292" s="21"/>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row>
    <row r="1293">
      <c r="A1293" s="21"/>
      <c r="B1293" s="21"/>
      <c r="C1293" s="21"/>
      <c r="D1293" s="21"/>
      <c r="E1293" s="21"/>
      <c r="F1293" s="21"/>
      <c r="G1293" s="21"/>
      <c r="H1293" s="21"/>
      <c r="I1293" s="21"/>
      <c r="J1293" s="21"/>
      <c r="K1293" s="21"/>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row>
    <row r="1294">
      <c r="A1294" s="21"/>
      <c r="B1294" s="21"/>
      <c r="C1294" s="21"/>
      <c r="D1294" s="21"/>
      <c r="E1294" s="21"/>
      <c r="F1294" s="21"/>
      <c r="G1294" s="21"/>
      <c r="H1294" s="21"/>
      <c r="I1294" s="21"/>
      <c r="J1294" s="21"/>
      <c r="K1294" s="21"/>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row>
    <row r="1295">
      <c r="A1295" s="21"/>
      <c r="B1295" s="21"/>
      <c r="C1295" s="21"/>
      <c r="D1295" s="21"/>
      <c r="E1295" s="21"/>
      <c r="F1295" s="21"/>
      <c r="G1295" s="21"/>
      <c r="H1295" s="21"/>
      <c r="I1295" s="21"/>
      <c r="J1295" s="21"/>
      <c r="K1295" s="21"/>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row>
    <row r="1296">
      <c r="A1296" s="21"/>
      <c r="B1296" s="21"/>
      <c r="C1296" s="21"/>
      <c r="D1296" s="21"/>
      <c r="E1296" s="21"/>
      <c r="F1296" s="21"/>
      <c r="G1296" s="21"/>
      <c r="H1296" s="21"/>
      <c r="I1296" s="21"/>
      <c r="J1296" s="21"/>
      <c r="K1296" s="21"/>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row>
    <row r="1297">
      <c r="A1297" s="21"/>
      <c r="B1297" s="21"/>
      <c r="C1297" s="21"/>
      <c r="D1297" s="21"/>
      <c r="E1297" s="21"/>
      <c r="F1297" s="21"/>
      <c r="G1297" s="21"/>
      <c r="H1297" s="21"/>
      <c r="I1297" s="21"/>
      <c r="J1297" s="21"/>
      <c r="K1297" s="21"/>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row>
    <row r="1298">
      <c r="A1298" s="21"/>
      <c r="B1298" s="21"/>
      <c r="C1298" s="21"/>
      <c r="D1298" s="21"/>
      <c r="E1298" s="21"/>
      <c r="F1298" s="21"/>
      <c r="G1298" s="21"/>
      <c r="H1298" s="21"/>
      <c r="I1298" s="21"/>
      <c r="J1298" s="21"/>
      <c r="K1298" s="21"/>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row>
    <row r="1299">
      <c r="A1299" s="21"/>
      <c r="B1299" s="21"/>
      <c r="C1299" s="21"/>
      <c r="D1299" s="21"/>
      <c r="E1299" s="21"/>
      <c r="F1299" s="21"/>
      <c r="G1299" s="21"/>
      <c r="H1299" s="21"/>
      <c r="I1299" s="21"/>
      <c r="J1299" s="21"/>
      <c r="K1299" s="21"/>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row>
    <row r="1300">
      <c r="A1300" s="21"/>
      <c r="B1300" s="21"/>
      <c r="C1300" s="21"/>
      <c r="D1300" s="21"/>
      <c r="E1300" s="21"/>
      <c r="F1300" s="21"/>
      <c r="G1300" s="21"/>
      <c r="H1300" s="21"/>
      <c r="I1300" s="21"/>
      <c r="J1300" s="21"/>
      <c r="K1300" s="21"/>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row>
    <row r="1301">
      <c r="A1301" s="21"/>
      <c r="B1301" s="21"/>
      <c r="C1301" s="21"/>
      <c r="D1301" s="21"/>
      <c r="E1301" s="21"/>
      <c r="F1301" s="21"/>
      <c r="G1301" s="21"/>
      <c r="H1301" s="21"/>
      <c r="I1301" s="21"/>
      <c r="J1301" s="21"/>
      <c r="K1301" s="21"/>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row>
    <row r="1302">
      <c r="A1302" s="21"/>
      <c r="B1302" s="21"/>
      <c r="C1302" s="21"/>
      <c r="D1302" s="21"/>
      <c r="E1302" s="21"/>
      <c r="F1302" s="21"/>
      <c r="G1302" s="21"/>
      <c r="H1302" s="21"/>
      <c r="I1302" s="21"/>
      <c r="J1302" s="21"/>
      <c r="K1302" s="21"/>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row>
    <row r="1303">
      <c r="A1303" s="21"/>
      <c r="B1303" s="21"/>
      <c r="C1303" s="21"/>
      <c r="D1303" s="21"/>
      <c r="E1303" s="21"/>
      <c r="F1303" s="21"/>
      <c r="G1303" s="21"/>
      <c r="H1303" s="21"/>
      <c r="I1303" s="21"/>
      <c r="J1303" s="21"/>
      <c r="K1303" s="21"/>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row>
    <row r="1304">
      <c r="A1304" s="21"/>
      <c r="B1304" s="21"/>
      <c r="C1304" s="21"/>
      <c r="D1304" s="21"/>
      <c r="E1304" s="21"/>
      <c r="F1304" s="21"/>
      <c r="G1304" s="21"/>
      <c r="H1304" s="21"/>
      <c r="I1304" s="21"/>
      <c r="J1304" s="21"/>
      <c r="K1304" s="21"/>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row>
    <row r="1305">
      <c r="A1305" s="21"/>
      <c r="B1305" s="21"/>
      <c r="C1305" s="21"/>
      <c r="D1305" s="21"/>
      <c r="E1305" s="21"/>
      <c r="F1305" s="21"/>
      <c r="G1305" s="21"/>
      <c r="H1305" s="21"/>
      <c r="I1305" s="21"/>
      <c r="J1305" s="21"/>
      <c r="K1305" s="21"/>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0.75"/>
  </cols>
  <sheetData>
    <row r="1">
      <c r="A1" s="58" t="s">
        <v>48</v>
      </c>
      <c r="B1" s="58" t="s">
        <v>2</v>
      </c>
      <c r="C1" s="58" t="s">
        <v>4</v>
      </c>
      <c r="D1" s="58" t="s">
        <v>5</v>
      </c>
      <c r="E1" s="58" t="s">
        <v>6</v>
      </c>
      <c r="F1" s="58" t="s">
        <v>7</v>
      </c>
      <c r="G1" s="58" t="s">
        <v>8</v>
      </c>
      <c r="H1" s="58" t="s">
        <v>9</v>
      </c>
      <c r="I1" s="58" t="s">
        <v>10</v>
      </c>
      <c r="J1" s="58" t="s">
        <v>11</v>
      </c>
      <c r="K1" s="58" t="s">
        <v>12</v>
      </c>
      <c r="L1" s="58" t="s">
        <v>13</v>
      </c>
      <c r="M1" s="58" t="s">
        <v>49</v>
      </c>
      <c r="N1" s="58" t="s">
        <v>15</v>
      </c>
      <c r="O1" s="58" t="s">
        <v>16</v>
      </c>
      <c r="P1" s="58" t="s">
        <v>17</v>
      </c>
      <c r="Q1" s="58" t="s">
        <v>18</v>
      </c>
      <c r="R1" s="58" t="s">
        <v>19</v>
      </c>
      <c r="S1" s="58" t="s">
        <v>20</v>
      </c>
      <c r="T1" s="58" t="s">
        <v>21</v>
      </c>
      <c r="U1" s="58" t="s">
        <v>22</v>
      </c>
      <c r="V1" s="58" t="s">
        <v>23</v>
      </c>
      <c r="W1" s="58" t="s">
        <v>24</v>
      </c>
      <c r="X1" s="58" t="s">
        <v>25</v>
      </c>
      <c r="Y1" s="58" t="s">
        <v>26</v>
      </c>
      <c r="Z1" s="58" t="s">
        <v>27</v>
      </c>
      <c r="AA1" s="58" t="s">
        <v>28</v>
      </c>
      <c r="AB1" s="58" t="s">
        <v>29</v>
      </c>
      <c r="AC1" s="58" t="s">
        <v>3</v>
      </c>
    </row>
    <row r="2">
      <c r="A2" s="59" t="s">
        <v>50</v>
      </c>
      <c r="B2" s="60" t="s">
        <v>51</v>
      </c>
      <c r="C2" s="61" t="s">
        <v>52</v>
      </c>
      <c r="D2" s="60" t="s">
        <v>53</v>
      </c>
      <c r="E2" s="60" t="s">
        <v>54</v>
      </c>
      <c r="F2" s="60" t="s">
        <v>55</v>
      </c>
      <c r="G2" s="60" t="s">
        <v>56</v>
      </c>
      <c r="H2" s="60" t="s">
        <v>57</v>
      </c>
      <c r="I2" s="60" t="s">
        <v>58</v>
      </c>
      <c r="J2" s="60" t="s">
        <v>59</v>
      </c>
      <c r="K2" s="60" t="s">
        <v>60</v>
      </c>
      <c r="L2" s="60" t="s">
        <v>61</v>
      </c>
      <c r="M2" s="60" t="s">
        <v>62</v>
      </c>
      <c r="N2" s="60" t="s">
        <v>63</v>
      </c>
      <c r="O2" s="60" t="s">
        <v>64</v>
      </c>
      <c r="P2" s="60" t="s">
        <v>65</v>
      </c>
      <c r="Q2" s="60" t="s">
        <v>66</v>
      </c>
      <c r="R2" s="60" t="s">
        <v>67</v>
      </c>
      <c r="S2" s="60" t="s">
        <v>68</v>
      </c>
      <c r="T2" s="60" t="s">
        <v>69</v>
      </c>
      <c r="U2" s="60" t="s">
        <v>70</v>
      </c>
      <c r="V2" s="60" t="s">
        <v>71</v>
      </c>
      <c r="W2" s="60" t="s">
        <v>72</v>
      </c>
      <c r="X2" s="60" t="s">
        <v>73</v>
      </c>
      <c r="Y2" s="60" t="s">
        <v>74</v>
      </c>
      <c r="Z2" s="60" t="s">
        <v>75</v>
      </c>
      <c r="AA2" s="60" t="s">
        <v>76</v>
      </c>
      <c r="AB2" s="60" t="s">
        <v>77</v>
      </c>
      <c r="AC2" s="60" t="s">
        <v>78</v>
      </c>
    </row>
    <row r="3">
      <c r="A3" s="59" t="s">
        <v>79</v>
      </c>
      <c r="B3" s="60" t="s">
        <v>80</v>
      </c>
      <c r="C3" s="61" t="s">
        <v>81</v>
      </c>
      <c r="D3" s="60" t="s">
        <v>82</v>
      </c>
      <c r="E3" s="60" t="s">
        <v>83</v>
      </c>
      <c r="F3" s="60" t="s">
        <v>84</v>
      </c>
      <c r="G3" s="60" t="s">
        <v>85</v>
      </c>
      <c r="H3" s="60" t="s">
        <v>86</v>
      </c>
      <c r="I3" s="60" t="s">
        <v>87</v>
      </c>
      <c r="J3" s="60" t="s">
        <v>88</v>
      </c>
      <c r="K3" s="60" t="s">
        <v>89</v>
      </c>
      <c r="L3" s="60" t="s">
        <v>90</v>
      </c>
      <c r="M3" s="60" t="s">
        <v>91</v>
      </c>
      <c r="N3" s="60" t="s">
        <v>92</v>
      </c>
      <c r="O3" s="60" t="s">
        <v>93</v>
      </c>
      <c r="P3" s="60" t="s">
        <v>94</v>
      </c>
      <c r="Q3" s="60" t="s">
        <v>95</v>
      </c>
      <c r="R3" s="60" t="s">
        <v>96</v>
      </c>
      <c r="S3" s="60" t="s">
        <v>97</v>
      </c>
      <c r="T3" s="60" t="s">
        <v>98</v>
      </c>
      <c r="U3" s="60" t="s">
        <v>99</v>
      </c>
      <c r="V3" s="60" t="s">
        <v>100</v>
      </c>
      <c r="W3" s="60" t="s">
        <v>101</v>
      </c>
      <c r="X3" s="60" t="s">
        <v>102</v>
      </c>
      <c r="Y3" s="60" t="s">
        <v>103</v>
      </c>
      <c r="Z3" s="60" t="s">
        <v>104</v>
      </c>
      <c r="AA3" s="60" t="s">
        <v>105</v>
      </c>
      <c r="AB3" s="60" t="s">
        <v>106</v>
      </c>
      <c r="AC3" s="60" t="s">
        <v>107</v>
      </c>
    </row>
    <row r="4">
      <c r="A4" s="59" t="s">
        <v>108</v>
      </c>
      <c r="B4" s="60" t="s">
        <v>109</v>
      </c>
      <c r="C4" s="61" t="s">
        <v>110</v>
      </c>
      <c r="D4" s="60" t="s">
        <v>111</v>
      </c>
      <c r="E4" s="60" t="s">
        <v>112</v>
      </c>
      <c r="F4" s="60" t="s">
        <v>113</v>
      </c>
      <c r="G4" s="60" t="s">
        <v>114</v>
      </c>
      <c r="H4" s="60" t="s">
        <v>115</v>
      </c>
      <c r="I4" s="60" t="s">
        <v>116</v>
      </c>
      <c r="J4" s="60" t="s">
        <v>117</v>
      </c>
      <c r="K4" s="60" t="s">
        <v>118</v>
      </c>
      <c r="L4" s="60" t="s">
        <v>119</v>
      </c>
      <c r="M4" s="60" t="s">
        <v>120</v>
      </c>
      <c r="N4" s="60" t="s">
        <v>121</v>
      </c>
      <c r="O4" s="60" t="s">
        <v>122</v>
      </c>
      <c r="P4" s="60" t="s">
        <v>123</v>
      </c>
      <c r="Q4" s="60" t="s">
        <v>124</v>
      </c>
      <c r="R4" s="60" t="s">
        <v>125</v>
      </c>
      <c r="S4" s="60" t="s">
        <v>126</v>
      </c>
      <c r="T4" s="60" t="s">
        <v>127</v>
      </c>
      <c r="U4" s="60" t="s">
        <v>128</v>
      </c>
      <c r="V4" s="60" t="s">
        <v>129</v>
      </c>
      <c r="W4" s="60" t="s">
        <v>114</v>
      </c>
      <c r="X4" s="60" t="s">
        <v>130</v>
      </c>
      <c r="Y4" s="60" t="s">
        <v>131</v>
      </c>
      <c r="Z4" s="60" t="s">
        <v>132</v>
      </c>
      <c r="AA4" s="60" t="s">
        <v>133</v>
      </c>
      <c r="AB4" s="60" t="s">
        <v>134</v>
      </c>
      <c r="AC4" s="60" t="s">
        <v>135</v>
      </c>
    </row>
    <row r="5">
      <c r="A5" s="59" t="s">
        <v>136</v>
      </c>
      <c r="B5" s="60" t="s">
        <v>137</v>
      </c>
      <c r="C5" s="61" t="s">
        <v>138</v>
      </c>
      <c r="D5" s="60" t="s">
        <v>139</v>
      </c>
      <c r="E5" s="60" t="s">
        <v>140</v>
      </c>
      <c r="F5" s="60" t="s">
        <v>141</v>
      </c>
      <c r="G5" s="60" t="s">
        <v>142</v>
      </c>
      <c r="H5" s="60" t="s">
        <v>143</v>
      </c>
      <c r="I5" s="60" t="s">
        <v>144</v>
      </c>
      <c r="J5" s="60" t="s">
        <v>145</v>
      </c>
      <c r="K5" s="60" t="s">
        <v>146</v>
      </c>
      <c r="L5" s="60" t="s">
        <v>147</v>
      </c>
      <c r="M5" s="60" t="s">
        <v>148</v>
      </c>
      <c r="N5" s="60" t="s">
        <v>149</v>
      </c>
      <c r="O5" s="60" t="s">
        <v>150</v>
      </c>
      <c r="P5" s="60" t="s">
        <v>151</v>
      </c>
      <c r="Q5" s="60" t="s">
        <v>152</v>
      </c>
      <c r="R5" s="60" t="s">
        <v>153</v>
      </c>
      <c r="S5" s="60" t="s">
        <v>154</v>
      </c>
      <c r="T5" s="60" t="s">
        <v>147</v>
      </c>
      <c r="U5" s="60" t="s">
        <v>155</v>
      </c>
      <c r="V5" s="60" t="s">
        <v>156</v>
      </c>
      <c r="W5" s="60" t="s">
        <v>157</v>
      </c>
      <c r="X5" s="60" t="s">
        <v>158</v>
      </c>
      <c r="Y5" s="60" t="s">
        <v>159</v>
      </c>
      <c r="Z5" s="60" t="s">
        <v>160</v>
      </c>
      <c r="AA5" s="60" t="s">
        <v>161</v>
      </c>
      <c r="AB5" s="60" t="s">
        <v>162</v>
      </c>
      <c r="AC5" s="60" t="s">
        <v>163</v>
      </c>
    </row>
    <row r="6">
      <c r="A6" s="59" t="s">
        <v>164</v>
      </c>
      <c r="B6" s="60" t="s">
        <v>165</v>
      </c>
      <c r="C6" s="61" t="s">
        <v>166</v>
      </c>
      <c r="D6" s="60" t="s">
        <v>167</v>
      </c>
      <c r="E6" s="60" t="s">
        <v>168</v>
      </c>
      <c r="F6" s="60" t="s">
        <v>169</v>
      </c>
      <c r="G6" s="60" t="s">
        <v>170</v>
      </c>
      <c r="H6" s="60" t="s">
        <v>171</v>
      </c>
      <c r="I6" s="60" t="s">
        <v>172</v>
      </c>
      <c r="J6" s="60" t="s">
        <v>173</v>
      </c>
      <c r="K6" s="60" t="s">
        <v>174</v>
      </c>
      <c r="L6" s="60" t="s">
        <v>175</v>
      </c>
      <c r="M6" s="60" t="s">
        <v>176</v>
      </c>
      <c r="N6" s="60" t="s">
        <v>177</v>
      </c>
      <c r="O6" s="60" t="s">
        <v>178</v>
      </c>
      <c r="P6" s="60" t="s">
        <v>179</v>
      </c>
      <c r="Q6" s="60" t="s">
        <v>180</v>
      </c>
      <c r="R6" s="60" t="s">
        <v>181</v>
      </c>
      <c r="S6" s="60" t="s">
        <v>182</v>
      </c>
      <c r="T6" s="60" t="s">
        <v>183</v>
      </c>
      <c r="U6" s="60" t="s">
        <v>184</v>
      </c>
      <c r="V6" s="60" t="s">
        <v>185</v>
      </c>
      <c r="W6" s="60" t="s">
        <v>170</v>
      </c>
      <c r="X6" s="60" t="s">
        <v>186</v>
      </c>
      <c r="Y6" s="60" t="s">
        <v>187</v>
      </c>
      <c r="Z6" s="60" t="s">
        <v>188</v>
      </c>
      <c r="AA6" s="60" t="s">
        <v>189</v>
      </c>
      <c r="AB6" s="60" t="s">
        <v>190</v>
      </c>
      <c r="AC6" s="60" t="s">
        <v>191</v>
      </c>
    </row>
    <row r="7">
      <c r="A7" s="59" t="s">
        <v>192</v>
      </c>
      <c r="B7" s="60" t="s">
        <v>193</v>
      </c>
      <c r="C7" s="61" t="s">
        <v>194</v>
      </c>
      <c r="D7" s="60" t="s">
        <v>193</v>
      </c>
      <c r="E7" s="60" t="s">
        <v>193</v>
      </c>
      <c r="F7" s="60" t="s">
        <v>195</v>
      </c>
      <c r="G7" s="60" t="s">
        <v>196</v>
      </c>
      <c r="H7" s="60" t="s">
        <v>197</v>
      </c>
      <c r="I7" s="60" t="s">
        <v>198</v>
      </c>
      <c r="J7" s="60" t="s">
        <v>199</v>
      </c>
      <c r="K7" s="60" t="s">
        <v>200</v>
      </c>
      <c r="L7" s="60" t="s">
        <v>201</v>
      </c>
      <c r="M7" s="60" t="s">
        <v>193</v>
      </c>
      <c r="N7" s="60" t="s">
        <v>202</v>
      </c>
      <c r="O7" s="60" t="s">
        <v>203</v>
      </c>
      <c r="P7" s="60" t="s">
        <v>204</v>
      </c>
      <c r="Q7" s="60" t="s">
        <v>205</v>
      </c>
      <c r="R7" s="60" t="s">
        <v>206</v>
      </c>
      <c r="S7" s="60" t="s">
        <v>207</v>
      </c>
      <c r="T7" s="60" t="s">
        <v>208</v>
      </c>
      <c r="U7" s="60" t="s">
        <v>193</v>
      </c>
      <c r="V7" s="60" t="s">
        <v>193</v>
      </c>
      <c r="W7" s="60" t="s">
        <v>193</v>
      </c>
      <c r="X7" s="60" t="s">
        <v>209</v>
      </c>
      <c r="Y7" s="60" t="s">
        <v>210</v>
      </c>
      <c r="Z7" s="60" t="s">
        <v>211</v>
      </c>
      <c r="AA7" s="60" t="s">
        <v>212</v>
      </c>
      <c r="AB7" s="60" t="s">
        <v>213</v>
      </c>
      <c r="AC7" s="60" t="s">
        <v>214</v>
      </c>
    </row>
    <row r="8">
      <c r="A8" s="59" t="s">
        <v>215</v>
      </c>
      <c r="B8" s="60" t="s">
        <v>216</v>
      </c>
      <c r="C8" s="61" t="s">
        <v>217</v>
      </c>
      <c r="D8" s="60" t="s">
        <v>218</v>
      </c>
      <c r="E8" s="60" t="s">
        <v>219</v>
      </c>
      <c r="F8" s="60" t="s">
        <v>220</v>
      </c>
      <c r="G8" s="60" t="s">
        <v>221</v>
      </c>
      <c r="H8" s="60" t="s">
        <v>222</v>
      </c>
      <c r="I8" s="60" t="s">
        <v>223</v>
      </c>
      <c r="J8" s="60" t="s">
        <v>224</v>
      </c>
      <c r="K8" s="60" t="s">
        <v>225</v>
      </c>
      <c r="L8" s="60" t="s">
        <v>216</v>
      </c>
      <c r="M8" s="60" t="s">
        <v>226</v>
      </c>
      <c r="N8" s="60" t="s">
        <v>227</v>
      </c>
      <c r="O8" s="60" t="s">
        <v>228</v>
      </c>
      <c r="P8" s="60" t="s">
        <v>229</v>
      </c>
      <c r="Q8" s="60" t="s">
        <v>230</v>
      </c>
      <c r="R8" s="60" t="s">
        <v>231</v>
      </c>
      <c r="S8" s="60" t="s">
        <v>232</v>
      </c>
      <c r="T8" s="60" t="s">
        <v>216</v>
      </c>
      <c r="U8" s="60" t="s">
        <v>233</v>
      </c>
      <c r="V8" s="60" t="s">
        <v>234</v>
      </c>
      <c r="W8" s="60" t="s">
        <v>221</v>
      </c>
      <c r="X8" s="60" t="s">
        <v>235</v>
      </c>
      <c r="Y8" s="60" t="s">
        <v>236</v>
      </c>
      <c r="Z8" s="60" t="s">
        <v>237</v>
      </c>
      <c r="AA8" s="60" t="s">
        <v>238</v>
      </c>
      <c r="AB8" s="60" t="s">
        <v>239</v>
      </c>
      <c r="AC8" s="60" t="s">
        <v>240</v>
      </c>
    </row>
    <row r="9">
      <c r="A9" s="59" t="s">
        <v>241</v>
      </c>
      <c r="B9" s="60" t="s">
        <v>242</v>
      </c>
      <c r="C9" s="61" t="s">
        <v>243</v>
      </c>
      <c r="D9" s="60" t="s">
        <v>244</v>
      </c>
      <c r="E9" s="60" t="s">
        <v>245</v>
      </c>
      <c r="F9" s="60" t="s">
        <v>246</v>
      </c>
      <c r="G9" s="60" t="s">
        <v>247</v>
      </c>
      <c r="H9" s="60" t="s">
        <v>248</v>
      </c>
      <c r="I9" s="60" t="s">
        <v>249</v>
      </c>
      <c r="J9" s="60" t="s">
        <v>250</v>
      </c>
      <c r="K9" s="60" t="s">
        <v>251</v>
      </c>
      <c r="L9" s="60" t="s">
        <v>252</v>
      </c>
      <c r="M9" s="60" t="s">
        <v>253</v>
      </c>
      <c r="N9" s="60" t="s">
        <v>254</v>
      </c>
      <c r="O9" s="60" t="s">
        <v>255</v>
      </c>
      <c r="P9" s="60" t="s">
        <v>256</v>
      </c>
      <c r="Q9" s="60" t="s">
        <v>257</v>
      </c>
      <c r="R9" s="60" t="s">
        <v>258</v>
      </c>
      <c r="S9" s="60" t="s">
        <v>259</v>
      </c>
      <c r="T9" s="60" t="s">
        <v>252</v>
      </c>
      <c r="U9" s="60" t="s">
        <v>260</v>
      </c>
      <c r="V9" s="60" t="s">
        <v>261</v>
      </c>
      <c r="W9" s="60" t="s">
        <v>262</v>
      </c>
      <c r="X9" s="60" t="s">
        <v>263</v>
      </c>
      <c r="Y9" s="60" t="s">
        <v>264</v>
      </c>
      <c r="Z9" s="60" t="s">
        <v>265</v>
      </c>
      <c r="AA9" s="60" t="s">
        <v>266</v>
      </c>
      <c r="AB9" s="60" t="s">
        <v>267</v>
      </c>
      <c r="AC9" s="60" t="s">
        <v>268</v>
      </c>
    </row>
    <row r="10">
      <c r="A10" s="59" t="s">
        <v>269</v>
      </c>
      <c r="B10" s="60" t="s">
        <v>270</v>
      </c>
      <c r="C10" s="61" t="s">
        <v>271</v>
      </c>
      <c r="D10" s="60" t="s">
        <v>272</v>
      </c>
      <c r="E10" s="60" t="s">
        <v>273</v>
      </c>
      <c r="F10" s="60" t="s">
        <v>274</v>
      </c>
      <c r="G10" s="60" t="s">
        <v>275</v>
      </c>
      <c r="H10" s="60" t="s">
        <v>276</v>
      </c>
      <c r="I10" s="60" t="s">
        <v>277</v>
      </c>
      <c r="J10" s="60" t="s">
        <v>278</v>
      </c>
      <c r="K10" s="60" t="s">
        <v>279</v>
      </c>
      <c r="L10" s="60" t="s">
        <v>280</v>
      </c>
      <c r="M10" s="60" t="s">
        <v>281</v>
      </c>
      <c r="N10" s="60" t="s">
        <v>282</v>
      </c>
      <c r="O10" s="60" t="s">
        <v>283</v>
      </c>
      <c r="P10" s="60" t="s">
        <v>284</v>
      </c>
      <c r="Q10" s="60" t="s">
        <v>285</v>
      </c>
      <c r="R10" s="60" t="s">
        <v>286</v>
      </c>
      <c r="S10" s="60" t="s">
        <v>287</v>
      </c>
      <c r="T10" s="60" t="s">
        <v>288</v>
      </c>
      <c r="U10" s="60" t="s">
        <v>289</v>
      </c>
      <c r="V10" s="60" t="s">
        <v>290</v>
      </c>
      <c r="W10" s="60" t="s">
        <v>291</v>
      </c>
      <c r="X10" s="60" t="s">
        <v>292</v>
      </c>
      <c r="Y10" s="60" t="s">
        <v>293</v>
      </c>
      <c r="Z10" s="60" t="s">
        <v>294</v>
      </c>
      <c r="AA10" s="60" t="s">
        <v>266</v>
      </c>
      <c r="AB10" s="60" t="s">
        <v>295</v>
      </c>
      <c r="AC10" s="60" t="s">
        <v>296</v>
      </c>
    </row>
    <row r="11">
      <c r="A11" s="59" t="s">
        <v>297</v>
      </c>
      <c r="B11" s="60" t="s">
        <v>298</v>
      </c>
      <c r="C11" s="61" t="s">
        <v>299</v>
      </c>
      <c r="D11" s="60" t="s">
        <v>300</v>
      </c>
      <c r="E11" s="60" t="s">
        <v>301</v>
      </c>
      <c r="F11" s="60" t="s">
        <v>302</v>
      </c>
      <c r="G11" s="60" t="s">
        <v>303</v>
      </c>
      <c r="H11" s="60" t="s">
        <v>304</v>
      </c>
      <c r="I11" s="60" t="s">
        <v>305</v>
      </c>
      <c r="J11" s="60" t="s">
        <v>306</v>
      </c>
      <c r="K11" s="60" t="s">
        <v>307</v>
      </c>
      <c r="L11" s="60" t="s">
        <v>308</v>
      </c>
      <c r="M11" s="60" t="s">
        <v>309</v>
      </c>
      <c r="N11" s="60" t="s">
        <v>310</v>
      </c>
      <c r="O11" s="60" t="s">
        <v>311</v>
      </c>
      <c r="P11" s="60" t="s">
        <v>312</v>
      </c>
      <c r="Q11" s="60" t="s">
        <v>313</v>
      </c>
      <c r="R11" s="60" t="s">
        <v>314</v>
      </c>
      <c r="S11" s="60" t="s">
        <v>315</v>
      </c>
      <c r="T11" s="60" t="s">
        <v>316</v>
      </c>
      <c r="U11" s="60" t="s">
        <v>317</v>
      </c>
      <c r="V11" s="60" t="s">
        <v>318</v>
      </c>
      <c r="W11" s="60" t="s">
        <v>319</v>
      </c>
      <c r="X11" s="60" t="s">
        <v>320</v>
      </c>
      <c r="Y11" s="60" t="s">
        <v>321</v>
      </c>
      <c r="Z11" s="60" t="s">
        <v>322</v>
      </c>
      <c r="AA11" s="60" t="s">
        <v>323</v>
      </c>
      <c r="AB11" s="60" t="s">
        <v>324</v>
      </c>
      <c r="AC11" s="60" t="s">
        <v>325</v>
      </c>
    </row>
    <row r="12">
      <c r="A12" s="59" t="s">
        <v>326</v>
      </c>
      <c r="B12" s="60" t="s">
        <v>327</v>
      </c>
      <c r="C12" s="61" t="s">
        <v>328</v>
      </c>
      <c r="D12" s="60" t="s">
        <v>329</v>
      </c>
      <c r="E12" s="60" t="s">
        <v>330</v>
      </c>
      <c r="F12" s="60" t="s">
        <v>331</v>
      </c>
      <c r="G12" s="60" t="s">
        <v>332</v>
      </c>
      <c r="H12" s="60" t="s">
        <v>333</v>
      </c>
      <c r="I12" s="60" t="s">
        <v>334</v>
      </c>
      <c r="J12" s="60" t="s">
        <v>335</v>
      </c>
      <c r="K12" s="60" t="s">
        <v>336</v>
      </c>
      <c r="L12" s="60" t="s">
        <v>337</v>
      </c>
      <c r="M12" s="60" t="s">
        <v>338</v>
      </c>
      <c r="N12" s="60" t="s">
        <v>339</v>
      </c>
      <c r="O12" s="60" t="s">
        <v>340</v>
      </c>
      <c r="P12" s="60" t="s">
        <v>341</v>
      </c>
      <c r="Q12" s="60" t="s">
        <v>342</v>
      </c>
      <c r="R12" s="60" t="s">
        <v>343</v>
      </c>
      <c r="S12" s="60" t="s">
        <v>344</v>
      </c>
      <c r="T12" s="60" t="s">
        <v>345</v>
      </c>
      <c r="U12" s="60" t="s">
        <v>346</v>
      </c>
      <c r="V12" s="60" t="s">
        <v>347</v>
      </c>
      <c r="W12" s="60" t="s">
        <v>348</v>
      </c>
      <c r="X12" s="60" t="s">
        <v>349</v>
      </c>
      <c r="Y12" s="60" t="s">
        <v>350</v>
      </c>
      <c r="Z12" s="60" t="s">
        <v>351</v>
      </c>
      <c r="AA12" s="60" t="s">
        <v>352</v>
      </c>
      <c r="AB12" s="60" t="s">
        <v>353</v>
      </c>
      <c r="AC12" s="60" t="s">
        <v>354</v>
      </c>
    </row>
    <row r="13">
      <c r="A13" s="59" t="s">
        <v>355</v>
      </c>
      <c r="B13" s="60" t="s">
        <v>356</v>
      </c>
      <c r="C13" s="61" t="s">
        <v>357</v>
      </c>
      <c r="D13" s="60" t="s">
        <v>358</v>
      </c>
      <c r="E13" s="60" t="s">
        <v>359</v>
      </c>
      <c r="F13" s="60" t="s">
        <v>360</v>
      </c>
      <c r="G13" s="60" t="s">
        <v>361</v>
      </c>
      <c r="H13" s="60" t="s">
        <v>362</v>
      </c>
      <c r="I13" s="60" t="s">
        <v>362</v>
      </c>
      <c r="J13" s="60" t="s">
        <v>363</v>
      </c>
      <c r="K13" s="60" t="s">
        <v>364</v>
      </c>
      <c r="L13" s="60" t="s">
        <v>365</v>
      </c>
      <c r="M13" s="60" t="s">
        <v>366</v>
      </c>
      <c r="N13" s="60" t="s">
        <v>367</v>
      </c>
      <c r="O13" s="60" t="s">
        <v>368</v>
      </c>
      <c r="P13" s="60" t="s">
        <v>369</v>
      </c>
      <c r="Q13" s="60" t="s">
        <v>370</v>
      </c>
      <c r="R13" s="60" t="s">
        <v>371</v>
      </c>
      <c r="S13" s="60" t="s">
        <v>372</v>
      </c>
      <c r="T13" s="60" t="s">
        <v>373</v>
      </c>
      <c r="U13" s="60" t="s">
        <v>374</v>
      </c>
      <c r="V13" s="60" t="s">
        <v>375</v>
      </c>
      <c r="W13" s="60" t="s">
        <v>376</v>
      </c>
      <c r="X13" s="60" t="s">
        <v>377</v>
      </c>
      <c r="Y13" s="60" t="s">
        <v>378</v>
      </c>
      <c r="Z13" s="60" t="s">
        <v>379</v>
      </c>
      <c r="AA13" s="60" t="s">
        <v>380</v>
      </c>
      <c r="AB13" s="60" t="s">
        <v>381</v>
      </c>
      <c r="AC13" s="60" t="s">
        <v>382</v>
      </c>
    </row>
    <row r="14">
      <c r="A14" s="59" t="s">
        <v>383</v>
      </c>
      <c r="B14" s="60" t="s">
        <v>384</v>
      </c>
      <c r="C14" s="61" t="s">
        <v>385</v>
      </c>
      <c r="D14" s="60" t="s">
        <v>386</v>
      </c>
      <c r="E14" s="60" t="s">
        <v>387</v>
      </c>
      <c r="F14" s="60" t="s">
        <v>388</v>
      </c>
      <c r="G14" s="60" t="s">
        <v>389</v>
      </c>
      <c r="H14" s="60" t="s">
        <v>390</v>
      </c>
      <c r="I14" s="60" t="s">
        <v>391</v>
      </c>
      <c r="J14" s="60" t="s">
        <v>392</v>
      </c>
      <c r="K14" s="60" t="s">
        <v>393</v>
      </c>
      <c r="L14" s="60" t="s">
        <v>394</v>
      </c>
      <c r="M14" s="60" t="s">
        <v>395</v>
      </c>
      <c r="N14" s="60" t="s">
        <v>396</v>
      </c>
      <c r="O14" s="60" t="s">
        <v>397</v>
      </c>
      <c r="P14" s="60" t="s">
        <v>398</v>
      </c>
      <c r="Q14" s="60" t="s">
        <v>399</v>
      </c>
      <c r="R14" s="60" t="s">
        <v>400</v>
      </c>
      <c r="S14" s="60" t="s">
        <v>401</v>
      </c>
      <c r="T14" s="60" t="s">
        <v>402</v>
      </c>
      <c r="U14" s="60" t="s">
        <v>403</v>
      </c>
      <c r="V14" s="60" t="s">
        <v>404</v>
      </c>
      <c r="W14" s="60" t="s">
        <v>405</v>
      </c>
      <c r="X14" s="60" t="s">
        <v>406</v>
      </c>
      <c r="Y14" s="60" t="s">
        <v>407</v>
      </c>
      <c r="Z14" s="60" t="s">
        <v>408</v>
      </c>
      <c r="AA14" s="60" t="s">
        <v>409</v>
      </c>
      <c r="AB14" s="60" t="s">
        <v>410</v>
      </c>
      <c r="AC14" s="60" t="s">
        <v>411</v>
      </c>
    </row>
    <row r="15">
      <c r="A15" s="59" t="s">
        <v>412</v>
      </c>
      <c r="B15" s="60" t="s">
        <v>413</v>
      </c>
      <c r="C15" s="61" t="s">
        <v>414</v>
      </c>
      <c r="D15" s="60" t="s">
        <v>415</v>
      </c>
      <c r="E15" s="60" t="s">
        <v>416</v>
      </c>
      <c r="F15" s="60" t="s">
        <v>417</v>
      </c>
      <c r="G15" s="60" t="s">
        <v>418</v>
      </c>
      <c r="H15" s="60" t="s">
        <v>419</v>
      </c>
      <c r="I15" s="60" t="s">
        <v>420</v>
      </c>
      <c r="J15" s="60" t="s">
        <v>421</v>
      </c>
      <c r="K15" s="60" t="s">
        <v>422</v>
      </c>
      <c r="L15" s="60" t="s">
        <v>423</v>
      </c>
      <c r="M15" s="60" t="s">
        <v>424</v>
      </c>
      <c r="N15" s="60" t="s">
        <v>425</v>
      </c>
      <c r="O15" s="60" t="s">
        <v>426</v>
      </c>
      <c r="P15" s="60" t="s">
        <v>427</v>
      </c>
      <c r="Q15" s="60" t="s">
        <v>428</v>
      </c>
      <c r="R15" s="60" t="s">
        <v>429</v>
      </c>
      <c r="S15" s="60" t="s">
        <v>430</v>
      </c>
      <c r="T15" s="60" t="s">
        <v>431</v>
      </c>
      <c r="U15" s="60" t="s">
        <v>432</v>
      </c>
      <c r="V15" s="60" t="s">
        <v>433</v>
      </c>
      <c r="W15" s="60" t="s">
        <v>434</v>
      </c>
      <c r="X15" s="60" t="s">
        <v>435</v>
      </c>
      <c r="Y15" s="60" t="s">
        <v>436</v>
      </c>
      <c r="Z15" s="60" t="s">
        <v>437</v>
      </c>
      <c r="AA15" s="60" t="s">
        <v>438</v>
      </c>
      <c r="AB15" s="60" t="s">
        <v>439</v>
      </c>
      <c r="AC15" s="60" t="s">
        <v>440</v>
      </c>
    </row>
    <row r="16">
      <c r="A16" s="59" t="s">
        <v>441</v>
      </c>
      <c r="B16" s="60" t="s">
        <v>442</v>
      </c>
      <c r="C16" s="61" t="s">
        <v>443</v>
      </c>
      <c r="D16" s="60" t="s">
        <v>444</v>
      </c>
      <c r="E16" s="60" t="s">
        <v>445</v>
      </c>
      <c r="F16" s="60" t="s">
        <v>446</v>
      </c>
      <c r="G16" s="60" t="s">
        <v>447</v>
      </c>
      <c r="H16" s="60" t="s">
        <v>448</v>
      </c>
      <c r="I16" s="60" t="s">
        <v>449</v>
      </c>
      <c r="J16" s="60" t="s">
        <v>450</v>
      </c>
      <c r="K16" s="60" t="s">
        <v>451</v>
      </c>
      <c r="L16" s="60" t="s">
        <v>445</v>
      </c>
      <c r="M16" s="60" t="s">
        <v>452</v>
      </c>
      <c r="N16" s="60" t="s">
        <v>453</v>
      </c>
      <c r="O16" s="60" t="s">
        <v>454</v>
      </c>
      <c r="P16" s="60" t="s">
        <v>455</v>
      </c>
      <c r="Q16" s="60" t="s">
        <v>456</v>
      </c>
      <c r="R16" s="60" t="s">
        <v>457</v>
      </c>
      <c r="S16" s="60" t="s">
        <v>458</v>
      </c>
      <c r="T16" s="60" t="s">
        <v>459</v>
      </c>
      <c r="U16" s="60" t="s">
        <v>460</v>
      </c>
      <c r="V16" s="60" t="s">
        <v>461</v>
      </c>
      <c r="W16" s="60" t="s">
        <v>447</v>
      </c>
      <c r="X16" s="60" t="s">
        <v>462</v>
      </c>
      <c r="Y16" s="60" t="s">
        <v>463</v>
      </c>
      <c r="Z16" s="60" t="s">
        <v>464</v>
      </c>
      <c r="AA16" s="60" t="s">
        <v>465</v>
      </c>
      <c r="AB16" s="60" t="s">
        <v>466</v>
      </c>
      <c r="AC16" s="60" t="s">
        <v>467</v>
      </c>
    </row>
    <row r="17">
      <c r="A17" s="59" t="s">
        <v>468</v>
      </c>
      <c r="B17" s="60" t="s">
        <v>469</v>
      </c>
      <c r="C17" s="61" t="s">
        <v>470</v>
      </c>
      <c r="D17" s="60" t="s">
        <v>471</v>
      </c>
      <c r="E17" s="60" t="s">
        <v>472</v>
      </c>
      <c r="F17" s="60" t="s">
        <v>473</v>
      </c>
      <c r="G17" s="60" t="s">
        <v>474</v>
      </c>
      <c r="H17" s="60" t="s">
        <v>475</v>
      </c>
      <c r="I17" s="60" t="s">
        <v>476</v>
      </c>
      <c r="J17" s="60" t="s">
        <v>477</v>
      </c>
      <c r="K17" s="60" t="s">
        <v>478</v>
      </c>
      <c r="L17" s="60" t="s">
        <v>479</v>
      </c>
      <c r="M17" s="60" t="s">
        <v>480</v>
      </c>
      <c r="N17" s="60" t="s">
        <v>481</v>
      </c>
      <c r="O17" s="60" t="s">
        <v>482</v>
      </c>
      <c r="P17" s="60" t="s">
        <v>483</v>
      </c>
      <c r="Q17" s="60" t="s">
        <v>484</v>
      </c>
      <c r="R17" s="60" t="s">
        <v>485</v>
      </c>
      <c r="S17" s="60" t="s">
        <v>486</v>
      </c>
      <c r="T17" s="60" t="s">
        <v>479</v>
      </c>
      <c r="U17" s="60" t="s">
        <v>487</v>
      </c>
      <c r="V17" s="60" t="s">
        <v>488</v>
      </c>
      <c r="W17" s="60" t="s">
        <v>489</v>
      </c>
      <c r="X17" s="60" t="s">
        <v>490</v>
      </c>
      <c r="Y17" s="60" t="s">
        <v>491</v>
      </c>
      <c r="Z17" s="60" t="s">
        <v>492</v>
      </c>
      <c r="AA17" s="60" t="s">
        <v>493</v>
      </c>
      <c r="AB17" s="60" t="s">
        <v>494</v>
      </c>
      <c r="AC17" s="60" t="s">
        <v>495</v>
      </c>
    </row>
    <row r="18">
      <c r="A18" s="59" t="s">
        <v>496</v>
      </c>
      <c r="B18" s="60" t="s">
        <v>497</v>
      </c>
      <c r="C18" s="61" t="s">
        <v>498</v>
      </c>
      <c r="D18" s="60" t="s">
        <v>499</v>
      </c>
      <c r="E18" s="60" t="s">
        <v>500</v>
      </c>
      <c r="F18" s="60" t="s">
        <v>501</v>
      </c>
      <c r="G18" s="60" t="s">
        <v>502</v>
      </c>
      <c r="H18" s="60" t="s">
        <v>503</v>
      </c>
      <c r="I18" s="60" t="s">
        <v>504</v>
      </c>
      <c r="J18" s="60" t="s">
        <v>505</v>
      </c>
      <c r="K18" s="60" t="s">
        <v>506</v>
      </c>
      <c r="L18" s="60" t="s">
        <v>507</v>
      </c>
      <c r="M18" s="60" t="s">
        <v>507</v>
      </c>
      <c r="N18" s="60" t="s">
        <v>508</v>
      </c>
      <c r="O18" s="60" t="s">
        <v>509</v>
      </c>
      <c r="P18" s="60" t="s">
        <v>510</v>
      </c>
      <c r="Q18" s="60" t="s">
        <v>511</v>
      </c>
      <c r="R18" s="60" t="s">
        <v>512</v>
      </c>
      <c r="S18" s="60" t="s">
        <v>513</v>
      </c>
      <c r="T18" s="60" t="s">
        <v>514</v>
      </c>
      <c r="U18" s="60" t="s">
        <v>515</v>
      </c>
      <c r="V18" s="60" t="s">
        <v>516</v>
      </c>
      <c r="W18" s="60" t="s">
        <v>517</v>
      </c>
      <c r="X18" s="60" t="s">
        <v>518</v>
      </c>
      <c r="Y18" s="60" t="s">
        <v>519</v>
      </c>
      <c r="Z18" s="60" t="s">
        <v>520</v>
      </c>
      <c r="AA18" s="60" t="s">
        <v>521</v>
      </c>
      <c r="AB18" s="60" t="s">
        <v>522</v>
      </c>
      <c r="AC18" s="60" t="s">
        <v>523</v>
      </c>
    </row>
    <row r="19">
      <c r="A19" s="59" t="s">
        <v>524</v>
      </c>
      <c r="B19" s="60" t="s">
        <v>525</v>
      </c>
      <c r="C19" s="61" t="s">
        <v>526</v>
      </c>
      <c r="D19" s="60" t="s">
        <v>527</v>
      </c>
      <c r="E19" s="60" t="s">
        <v>528</v>
      </c>
      <c r="F19" s="60" t="s">
        <v>529</v>
      </c>
      <c r="G19" s="60" t="s">
        <v>530</v>
      </c>
      <c r="H19" s="60" t="s">
        <v>531</v>
      </c>
      <c r="I19" s="60" t="s">
        <v>532</v>
      </c>
      <c r="J19" s="60" t="s">
        <v>533</v>
      </c>
      <c r="K19" s="60" t="s">
        <v>534</v>
      </c>
      <c r="L19" s="60" t="s">
        <v>535</v>
      </c>
      <c r="M19" s="60" t="s">
        <v>536</v>
      </c>
      <c r="N19" s="60" t="s">
        <v>537</v>
      </c>
      <c r="O19" s="60" t="s">
        <v>538</v>
      </c>
      <c r="P19" s="60" t="s">
        <v>539</v>
      </c>
      <c r="Q19" s="60" t="s">
        <v>540</v>
      </c>
      <c r="R19" s="60" t="s">
        <v>541</v>
      </c>
      <c r="S19" s="60" t="s">
        <v>542</v>
      </c>
      <c r="T19" s="60" t="s">
        <v>543</v>
      </c>
      <c r="U19" s="60" t="s">
        <v>544</v>
      </c>
      <c r="V19" s="60" t="s">
        <v>545</v>
      </c>
      <c r="W19" s="60" t="s">
        <v>530</v>
      </c>
      <c r="X19" s="60" t="s">
        <v>546</v>
      </c>
      <c r="Y19" s="60" t="s">
        <v>547</v>
      </c>
      <c r="Z19" s="60" t="s">
        <v>548</v>
      </c>
      <c r="AA19" s="60" t="s">
        <v>549</v>
      </c>
      <c r="AB19" s="60" t="s">
        <v>550</v>
      </c>
      <c r="AC19" s="60" t="s">
        <v>551</v>
      </c>
    </row>
    <row r="20">
      <c r="A20" s="59" t="s">
        <v>552</v>
      </c>
      <c r="B20" s="60" t="s">
        <v>553</v>
      </c>
      <c r="C20" s="61" t="s">
        <v>554</v>
      </c>
      <c r="D20" s="60" t="s">
        <v>555</v>
      </c>
      <c r="E20" s="60" t="s">
        <v>556</v>
      </c>
      <c r="F20" s="60" t="s">
        <v>557</v>
      </c>
      <c r="G20" s="60" t="s">
        <v>558</v>
      </c>
      <c r="H20" s="60" t="s">
        <v>559</v>
      </c>
      <c r="I20" s="60" t="s">
        <v>560</v>
      </c>
      <c r="J20" s="60" t="s">
        <v>553</v>
      </c>
      <c r="K20" s="60" t="s">
        <v>561</v>
      </c>
      <c r="L20" s="60" t="s">
        <v>562</v>
      </c>
      <c r="M20" s="60" t="s">
        <v>562</v>
      </c>
      <c r="N20" s="60" t="s">
        <v>563</v>
      </c>
      <c r="O20" s="60" t="s">
        <v>564</v>
      </c>
      <c r="P20" s="60" t="s">
        <v>565</v>
      </c>
      <c r="Q20" s="60" t="s">
        <v>566</v>
      </c>
      <c r="R20" s="60" t="s">
        <v>567</v>
      </c>
      <c r="S20" s="60" t="s">
        <v>568</v>
      </c>
      <c r="T20" s="60" t="s">
        <v>562</v>
      </c>
      <c r="U20" s="60" t="s">
        <v>553</v>
      </c>
      <c r="V20" s="60" t="s">
        <v>569</v>
      </c>
      <c r="W20" s="60" t="s">
        <v>570</v>
      </c>
      <c r="X20" s="60" t="s">
        <v>571</v>
      </c>
      <c r="Y20" s="60" t="s">
        <v>572</v>
      </c>
      <c r="Z20" s="60" t="s">
        <v>573</v>
      </c>
      <c r="AA20" s="60" t="s">
        <v>574</v>
      </c>
      <c r="AB20" s="60" t="s">
        <v>575</v>
      </c>
      <c r="AC20" s="60" t="s">
        <v>495</v>
      </c>
    </row>
    <row r="21">
      <c r="A21" s="59" t="s">
        <v>576</v>
      </c>
      <c r="B21" s="60" t="s">
        <v>562</v>
      </c>
      <c r="C21" s="61" t="s">
        <v>577</v>
      </c>
      <c r="D21" s="60" t="s">
        <v>562</v>
      </c>
      <c r="E21" s="60" t="s">
        <v>562</v>
      </c>
      <c r="F21" s="60" t="s">
        <v>578</v>
      </c>
      <c r="G21" s="60" t="s">
        <v>579</v>
      </c>
      <c r="H21" s="60" t="s">
        <v>562</v>
      </c>
      <c r="I21" s="60" t="s">
        <v>568</v>
      </c>
      <c r="J21" s="60" t="s">
        <v>562</v>
      </c>
      <c r="K21" s="60" t="s">
        <v>580</v>
      </c>
      <c r="L21" s="60" t="s">
        <v>562</v>
      </c>
      <c r="M21" s="60" t="s">
        <v>562</v>
      </c>
      <c r="N21" s="60" t="s">
        <v>563</v>
      </c>
      <c r="O21" s="60" t="s">
        <v>581</v>
      </c>
      <c r="P21" s="60" t="s">
        <v>565</v>
      </c>
      <c r="Q21" s="60" t="s">
        <v>566</v>
      </c>
      <c r="R21" s="60" t="s">
        <v>582</v>
      </c>
      <c r="S21" s="60" t="s">
        <v>553</v>
      </c>
      <c r="T21" s="60" t="s">
        <v>562</v>
      </c>
      <c r="U21" s="60" t="s">
        <v>562</v>
      </c>
      <c r="V21" s="60" t="s">
        <v>562</v>
      </c>
      <c r="W21" s="60" t="s">
        <v>579</v>
      </c>
      <c r="X21" s="60" t="s">
        <v>583</v>
      </c>
      <c r="Y21" s="60" t="s">
        <v>572</v>
      </c>
      <c r="Z21" s="60" t="s">
        <v>584</v>
      </c>
      <c r="AA21" s="60" t="s">
        <v>583</v>
      </c>
      <c r="AB21" s="60" t="s">
        <v>575</v>
      </c>
      <c r="AC21" s="60" t="s">
        <v>495</v>
      </c>
    </row>
    <row r="22">
      <c r="A22" s="59" t="s">
        <v>585</v>
      </c>
      <c r="B22" s="60" t="s">
        <v>586</v>
      </c>
      <c r="C22" s="61" t="s">
        <v>587</v>
      </c>
      <c r="D22" s="60" t="s">
        <v>588</v>
      </c>
      <c r="E22" s="60" t="s">
        <v>589</v>
      </c>
      <c r="F22" s="60" t="s">
        <v>590</v>
      </c>
      <c r="G22" s="60" t="s">
        <v>591</v>
      </c>
      <c r="H22" s="60" t="s">
        <v>592</v>
      </c>
      <c r="I22" s="60" t="s">
        <v>593</v>
      </c>
      <c r="J22" s="60" t="s">
        <v>586</v>
      </c>
      <c r="K22" s="60" t="s">
        <v>594</v>
      </c>
      <c r="L22" s="60" t="s">
        <v>595</v>
      </c>
      <c r="M22" s="60" t="s">
        <v>596</v>
      </c>
      <c r="N22" s="60" t="s">
        <v>597</v>
      </c>
      <c r="O22" s="60" t="s">
        <v>598</v>
      </c>
      <c r="P22" s="60" t="s">
        <v>599</v>
      </c>
      <c r="Q22" s="60" t="s">
        <v>600</v>
      </c>
      <c r="R22" s="60" t="s">
        <v>601</v>
      </c>
      <c r="S22" s="60" t="s">
        <v>602</v>
      </c>
      <c r="T22" s="60" t="s">
        <v>595</v>
      </c>
      <c r="U22" s="60" t="s">
        <v>603</v>
      </c>
      <c r="V22" s="60" t="s">
        <v>604</v>
      </c>
      <c r="W22" s="60" t="s">
        <v>605</v>
      </c>
      <c r="X22" s="60" t="s">
        <v>606</v>
      </c>
      <c r="Y22" s="60" t="s">
        <v>607</v>
      </c>
      <c r="Z22" s="60" t="s">
        <v>608</v>
      </c>
      <c r="AA22" s="60" t="s">
        <v>609</v>
      </c>
      <c r="AB22" s="60" t="s">
        <v>610</v>
      </c>
      <c r="AC22" s="60" t="s">
        <v>611</v>
      </c>
    </row>
    <row r="23">
      <c r="A23" s="59" t="s">
        <v>612</v>
      </c>
      <c r="B23" s="60" t="s">
        <v>613</v>
      </c>
      <c r="C23" s="61" t="s">
        <v>614</v>
      </c>
      <c r="D23" s="60" t="s">
        <v>615</v>
      </c>
      <c r="E23" s="60" t="s">
        <v>616</v>
      </c>
      <c r="F23" s="60" t="s">
        <v>617</v>
      </c>
      <c r="G23" s="60" t="s">
        <v>618</v>
      </c>
      <c r="H23" s="60" t="s">
        <v>619</v>
      </c>
      <c r="I23" s="60" t="s">
        <v>620</v>
      </c>
      <c r="J23" s="60" t="s">
        <v>613</v>
      </c>
      <c r="K23" s="60" t="s">
        <v>621</v>
      </c>
      <c r="L23" s="60" t="s">
        <v>622</v>
      </c>
      <c r="M23" s="60" t="s">
        <v>623</v>
      </c>
      <c r="N23" s="60" t="s">
        <v>624</v>
      </c>
      <c r="O23" s="60" t="s">
        <v>625</v>
      </c>
      <c r="P23" s="60" t="s">
        <v>626</v>
      </c>
      <c r="Q23" s="60" t="s">
        <v>627</v>
      </c>
      <c r="R23" s="60" t="s">
        <v>628</v>
      </c>
      <c r="S23" s="60" t="s">
        <v>629</v>
      </c>
      <c r="T23" s="60" t="s">
        <v>630</v>
      </c>
      <c r="U23" s="60" t="s">
        <v>631</v>
      </c>
      <c r="V23" s="60" t="s">
        <v>632</v>
      </c>
      <c r="W23" s="60" t="s">
        <v>633</v>
      </c>
      <c r="X23" s="60" t="s">
        <v>634</v>
      </c>
      <c r="Y23" s="60" t="s">
        <v>635</v>
      </c>
      <c r="Z23" s="60" t="s">
        <v>636</v>
      </c>
      <c r="AA23" s="60" t="s">
        <v>637</v>
      </c>
      <c r="AB23" s="60" t="s">
        <v>638</v>
      </c>
      <c r="AC23" s="60" t="s">
        <v>639</v>
      </c>
    </row>
    <row r="24">
      <c r="A24" s="59" t="s">
        <v>640</v>
      </c>
      <c r="B24" s="60" t="s">
        <v>641</v>
      </c>
      <c r="C24" s="61" t="s">
        <v>642</v>
      </c>
      <c r="D24" s="60" t="s">
        <v>643</v>
      </c>
      <c r="E24" s="60" t="s">
        <v>644</v>
      </c>
      <c r="F24" s="60" t="s">
        <v>645</v>
      </c>
      <c r="G24" s="60" t="s">
        <v>646</v>
      </c>
      <c r="H24" s="60" t="s">
        <v>647</v>
      </c>
      <c r="I24" s="60" t="s">
        <v>648</v>
      </c>
      <c r="J24" s="60" t="s">
        <v>649</v>
      </c>
      <c r="K24" s="60" t="s">
        <v>650</v>
      </c>
      <c r="L24" s="60" t="s">
        <v>651</v>
      </c>
      <c r="M24" s="60" t="s">
        <v>652</v>
      </c>
      <c r="N24" s="60" t="s">
        <v>653</v>
      </c>
      <c r="O24" s="60" t="s">
        <v>654</v>
      </c>
      <c r="P24" s="60" t="s">
        <v>655</v>
      </c>
      <c r="Q24" s="60" t="s">
        <v>656</v>
      </c>
      <c r="R24" s="60" t="s">
        <v>657</v>
      </c>
      <c r="S24" s="60" t="s">
        <v>658</v>
      </c>
      <c r="T24" s="60" t="s">
        <v>659</v>
      </c>
      <c r="U24" s="60" t="s">
        <v>660</v>
      </c>
      <c r="V24" s="60" t="s">
        <v>661</v>
      </c>
      <c r="W24" s="60" t="s">
        <v>662</v>
      </c>
      <c r="X24" s="60" t="s">
        <v>663</v>
      </c>
      <c r="Y24" s="60" t="s">
        <v>664</v>
      </c>
      <c r="Z24" s="60" t="s">
        <v>665</v>
      </c>
      <c r="AA24" s="60" t="s">
        <v>666</v>
      </c>
      <c r="AB24" s="60" t="s">
        <v>667</v>
      </c>
      <c r="AC24" s="60" t="s">
        <v>668</v>
      </c>
    </row>
    <row r="25">
      <c r="A25" s="59" t="s">
        <v>669</v>
      </c>
      <c r="B25" s="60" t="s">
        <v>670</v>
      </c>
      <c r="C25" s="61" t="s">
        <v>671</v>
      </c>
      <c r="D25" s="60" t="s">
        <v>672</v>
      </c>
      <c r="E25" s="60" t="s">
        <v>670</v>
      </c>
      <c r="F25" s="60" t="s">
        <v>673</v>
      </c>
      <c r="G25" s="60" t="s">
        <v>674</v>
      </c>
      <c r="H25" s="60" t="s">
        <v>675</v>
      </c>
      <c r="I25" s="60" t="s">
        <v>676</v>
      </c>
      <c r="J25" s="60" t="s">
        <v>677</v>
      </c>
      <c r="K25" s="60" t="s">
        <v>678</v>
      </c>
      <c r="L25" s="60" t="s">
        <v>670</v>
      </c>
      <c r="M25" s="60" t="s">
        <v>670</v>
      </c>
      <c r="N25" s="60" t="s">
        <v>679</v>
      </c>
      <c r="O25" s="60" t="s">
        <v>680</v>
      </c>
      <c r="P25" s="60" t="s">
        <v>681</v>
      </c>
      <c r="Q25" s="60" t="s">
        <v>682</v>
      </c>
      <c r="R25" s="60" t="s">
        <v>683</v>
      </c>
      <c r="S25" s="60" t="s">
        <v>684</v>
      </c>
      <c r="T25" s="60" t="s">
        <v>685</v>
      </c>
      <c r="U25" s="60" t="s">
        <v>670</v>
      </c>
      <c r="V25" s="60" t="s">
        <v>686</v>
      </c>
      <c r="W25" s="60" t="s">
        <v>674</v>
      </c>
      <c r="X25" s="60" t="s">
        <v>687</v>
      </c>
      <c r="Y25" s="60" t="s">
        <v>688</v>
      </c>
      <c r="Z25" s="60" t="s">
        <v>689</v>
      </c>
      <c r="AA25" s="60" t="s">
        <v>687</v>
      </c>
      <c r="AB25" s="60" t="s">
        <v>690</v>
      </c>
      <c r="AC25" s="60" t="s">
        <v>691</v>
      </c>
    </row>
    <row r="26">
      <c r="A26" s="59" t="s">
        <v>35</v>
      </c>
      <c r="B26" s="60" t="s">
        <v>36</v>
      </c>
      <c r="C26" s="61" t="s">
        <v>692</v>
      </c>
      <c r="D26" s="60" t="s">
        <v>693</v>
      </c>
      <c r="E26" s="60" t="s">
        <v>694</v>
      </c>
      <c r="F26" s="60" t="s">
        <v>695</v>
      </c>
      <c r="G26" s="60" t="s">
        <v>696</v>
      </c>
      <c r="H26" s="60" t="s">
        <v>697</v>
      </c>
      <c r="I26" s="60" t="s">
        <v>698</v>
      </c>
      <c r="J26" s="60" t="s">
        <v>699</v>
      </c>
      <c r="K26" s="60" t="s">
        <v>700</v>
      </c>
      <c r="L26" s="60" t="s">
        <v>701</v>
      </c>
      <c r="M26" s="60" t="s">
        <v>702</v>
      </c>
      <c r="N26" s="60" t="s">
        <v>703</v>
      </c>
      <c r="O26" s="60" t="s">
        <v>704</v>
      </c>
      <c r="P26" s="60" t="s">
        <v>705</v>
      </c>
      <c r="Q26" s="60" t="s">
        <v>706</v>
      </c>
      <c r="R26" s="60" t="s">
        <v>707</v>
      </c>
      <c r="S26" s="60" t="s">
        <v>708</v>
      </c>
      <c r="T26" s="60" t="s">
        <v>709</v>
      </c>
      <c r="U26" s="60" t="s">
        <v>710</v>
      </c>
      <c r="V26" s="60" t="s">
        <v>711</v>
      </c>
      <c r="W26" s="60" t="s">
        <v>712</v>
      </c>
      <c r="X26" s="60" t="s">
        <v>713</v>
      </c>
      <c r="Y26" s="60" t="s">
        <v>714</v>
      </c>
      <c r="Z26" s="60" t="s">
        <v>715</v>
      </c>
      <c r="AA26" s="60" t="s">
        <v>716</v>
      </c>
      <c r="AB26" s="60" t="s">
        <v>717</v>
      </c>
      <c r="AC26" s="60" t="s">
        <v>718</v>
      </c>
    </row>
    <row r="27">
      <c r="A27" s="59" t="s">
        <v>719</v>
      </c>
      <c r="B27" s="60" t="s">
        <v>720</v>
      </c>
      <c r="C27" s="61" t="s">
        <v>721</v>
      </c>
      <c r="D27" s="60" t="s">
        <v>722</v>
      </c>
      <c r="E27" s="60" t="s">
        <v>723</v>
      </c>
      <c r="F27" s="60" t="s">
        <v>724</v>
      </c>
      <c r="G27" s="60" t="s">
        <v>725</v>
      </c>
      <c r="H27" s="60" t="s">
        <v>726</v>
      </c>
      <c r="I27" s="60" t="s">
        <v>727</v>
      </c>
      <c r="J27" s="60" t="s">
        <v>720</v>
      </c>
      <c r="K27" s="60" t="s">
        <v>728</v>
      </c>
      <c r="L27" s="60" t="s">
        <v>729</v>
      </c>
      <c r="M27" s="60" t="s">
        <v>730</v>
      </c>
      <c r="N27" s="60" t="s">
        <v>731</v>
      </c>
      <c r="O27" s="60" t="s">
        <v>732</v>
      </c>
      <c r="P27" s="60" t="s">
        <v>733</v>
      </c>
      <c r="Q27" s="60" t="s">
        <v>734</v>
      </c>
      <c r="R27" s="60" t="s">
        <v>735</v>
      </c>
      <c r="S27" s="60" t="s">
        <v>736</v>
      </c>
      <c r="T27" s="60" t="s">
        <v>737</v>
      </c>
      <c r="U27" s="60" t="s">
        <v>738</v>
      </c>
      <c r="V27" s="60" t="s">
        <v>739</v>
      </c>
      <c r="W27" s="60" t="s">
        <v>740</v>
      </c>
      <c r="X27" s="60" t="s">
        <v>741</v>
      </c>
      <c r="Y27" s="60" t="s">
        <v>742</v>
      </c>
      <c r="Z27" s="60" t="s">
        <v>743</v>
      </c>
      <c r="AA27" s="60" t="s">
        <v>744</v>
      </c>
      <c r="AB27" s="60" t="s">
        <v>745</v>
      </c>
      <c r="AC27" s="60" t="s">
        <v>746</v>
      </c>
    </row>
    <row r="28">
      <c r="A28" s="59" t="s">
        <v>747</v>
      </c>
      <c r="B28" s="60" t="s">
        <v>748</v>
      </c>
      <c r="C28" s="61" t="s">
        <v>749</v>
      </c>
      <c r="D28" s="60" t="s">
        <v>750</v>
      </c>
      <c r="E28" s="60" t="s">
        <v>751</v>
      </c>
      <c r="F28" s="60" t="s">
        <v>752</v>
      </c>
      <c r="G28" s="60" t="s">
        <v>753</v>
      </c>
      <c r="H28" s="60" t="s">
        <v>754</v>
      </c>
      <c r="I28" s="60" t="s">
        <v>755</v>
      </c>
      <c r="J28" s="60" t="s">
        <v>756</v>
      </c>
      <c r="K28" s="60" t="s">
        <v>757</v>
      </c>
      <c r="L28" s="60" t="s">
        <v>758</v>
      </c>
      <c r="M28" s="60" t="s">
        <v>759</v>
      </c>
      <c r="N28" s="60" t="s">
        <v>760</v>
      </c>
      <c r="O28" s="60" t="s">
        <v>761</v>
      </c>
      <c r="P28" s="60" t="s">
        <v>762</v>
      </c>
      <c r="Q28" s="60" t="s">
        <v>763</v>
      </c>
      <c r="R28" s="60" t="s">
        <v>764</v>
      </c>
      <c r="S28" s="60" t="s">
        <v>765</v>
      </c>
      <c r="T28" s="60" t="s">
        <v>766</v>
      </c>
      <c r="U28" s="60" t="s">
        <v>767</v>
      </c>
      <c r="V28" s="60" t="s">
        <v>768</v>
      </c>
      <c r="W28" s="60" t="s">
        <v>769</v>
      </c>
      <c r="X28" s="60" t="s">
        <v>770</v>
      </c>
      <c r="Y28" s="60" t="s">
        <v>771</v>
      </c>
      <c r="Z28" s="60" t="s">
        <v>772</v>
      </c>
      <c r="AA28" s="60" t="s">
        <v>773</v>
      </c>
      <c r="AB28" s="60" t="s">
        <v>774</v>
      </c>
      <c r="AC28" s="60" t="s">
        <v>775</v>
      </c>
    </row>
    <row r="29">
      <c r="A29" s="59" t="s">
        <v>776</v>
      </c>
      <c r="B29" s="60" t="s">
        <v>479</v>
      </c>
      <c r="C29" s="61" t="s">
        <v>777</v>
      </c>
      <c r="D29" s="60" t="s">
        <v>778</v>
      </c>
      <c r="E29" s="60" t="s">
        <v>472</v>
      </c>
      <c r="F29" s="60" t="s">
        <v>779</v>
      </c>
      <c r="G29" s="60" t="s">
        <v>780</v>
      </c>
      <c r="H29" s="60" t="s">
        <v>781</v>
      </c>
      <c r="I29" s="60" t="s">
        <v>782</v>
      </c>
      <c r="J29" s="60" t="s">
        <v>783</v>
      </c>
      <c r="K29" s="60" t="s">
        <v>478</v>
      </c>
      <c r="L29" s="60" t="s">
        <v>784</v>
      </c>
      <c r="M29" s="60" t="s">
        <v>785</v>
      </c>
      <c r="N29" s="60" t="s">
        <v>786</v>
      </c>
      <c r="O29" s="60" t="s">
        <v>787</v>
      </c>
      <c r="P29" s="60" t="s">
        <v>788</v>
      </c>
      <c r="Q29" s="60" t="s">
        <v>484</v>
      </c>
      <c r="R29" s="60" t="s">
        <v>789</v>
      </c>
      <c r="S29" s="60" t="s">
        <v>790</v>
      </c>
      <c r="T29" s="60" t="s">
        <v>479</v>
      </c>
      <c r="U29" s="60" t="s">
        <v>784</v>
      </c>
      <c r="V29" s="60" t="s">
        <v>791</v>
      </c>
      <c r="W29" s="60" t="s">
        <v>792</v>
      </c>
      <c r="X29" s="60" t="s">
        <v>793</v>
      </c>
      <c r="Y29" s="60" t="s">
        <v>491</v>
      </c>
      <c r="Z29" s="60" t="s">
        <v>794</v>
      </c>
      <c r="AA29" s="60" t="s">
        <v>793</v>
      </c>
      <c r="AB29" s="60" t="s">
        <v>494</v>
      </c>
      <c r="AC29" s="60" t="s">
        <v>495</v>
      </c>
    </row>
    <row r="30">
      <c r="A30" s="59" t="s">
        <v>795</v>
      </c>
      <c r="B30" s="60" t="s">
        <v>507</v>
      </c>
      <c r="C30" s="61" t="s">
        <v>796</v>
      </c>
      <c r="D30" s="60" t="s">
        <v>797</v>
      </c>
      <c r="E30" s="60" t="s">
        <v>798</v>
      </c>
      <c r="F30" s="60" t="s">
        <v>799</v>
      </c>
      <c r="G30" s="60" t="s">
        <v>800</v>
      </c>
      <c r="H30" s="60" t="s">
        <v>801</v>
      </c>
      <c r="I30" s="60" t="s">
        <v>802</v>
      </c>
      <c r="J30" s="60" t="s">
        <v>803</v>
      </c>
      <c r="K30" s="60" t="s">
        <v>804</v>
      </c>
      <c r="L30" s="60" t="s">
        <v>805</v>
      </c>
      <c r="M30" s="60" t="s">
        <v>507</v>
      </c>
      <c r="N30" s="60" t="s">
        <v>508</v>
      </c>
      <c r="O30" s="60" t="s">
        <v>806</v>
      </c>
      <c r="P30" s="60" t="s">
        <v>807</v>
      </c>
      <c r="Q30" s="60" t="s">
        <v>511</v>
      </c>
      <c r="R30" s="60" t="s">
        <v>485</v>
      </c>
      <c r="S30" s="60" t="s">
        <v>808</v>
      </c>
      <c r="T30" s="60" t="s">
        <v>514</v>
      </c>
      <c r="U30" s="60" t="s">
        <v>809</v>
      </c>
      <c r="V30" s="60" t="s">
        <v>810</v>
      </c>
      <c r="W30" s="60" t="s">
        <v>811</v>
      </c>
      <c r="X30" s="60" t="s">
        <v>812</v>
      </c>
      <c r="Y30" s="60" t="s">
        <v>519</v>
      </c>
      <c r="Z30" s="60" t="s">
        <v>794</v>
      </c>
      <c r="AA30" s="60" t="s">
        <v>812</v>
      </c>
      <c r="AB30" s="60" t="s">
        <v>522</v>
      </c>
      <c r="AC30" s="60" t="s">
        <v>813</v>
      </c>
    </row>
    <row r="31">
      <c r="A31" s="59" t="s">
        <v>814</v>
      </c>
      <c r="B31" s="60" t="s">
        <v>815</v>
      </c>
      <c r="C31" s="61" t="s">
        <v>816</v>
      </c>
      <c r="D31" s="60" t="s">
        <v>588</v>
      </c>
      <c r="E31" s="60" t="s">
        <v>815</v>
      </c>
      <c r="F31" s="60" t="s">
        <v>817</v>
      </c>
      <c r="G31" s="60" t="s">
        <v>818</v>
      </c>
      <c r="H31" s="60" t="s">
        <v>819</v>
      </c>
      <c r="I31" s="60" t="s">
        <v>820</v>
      </c>
      <c r="J31" s="60" t="s">
        <v>821</v>
      </c>
      <c r="K31" s="60" t="s">
        <v>594</v>
      </c>
      <c r="L31" s="60" t="s">
        <v>595</v>
      </c>
      <c r="M31" s="60" t="s">
        <v>815</v>
      </c>
      <c r="N31" s="60" t="s">
        <v>822</v>
      </c>
      <c r="O31" s="60" t="s">
        <v>823</v>
      </c>
      <c r="P31" s="60" t="s">
        <v>824</v>
      </c>
      <c r="Q31" s="60" t="s">
        <v>825</v>
      </c>
      <c r="R31" s="60" t="s">
        <v>826</v>
      </c>
      <c r="S31" s="60" t="s">
        <v>827</v>
      </c>
      <c r="T31" s="60" t="s">
        <v>595</v>
      </c>
      <c r="U31" s="60" t="s">
        <v>815</v>
      </c>
      <c r="V31" s="60" t="s">
        <v>815</v>
      </c>
      <c r="W31" s="60" t="s">
        <v>828</v>
      </c>
      <c r="X31" s="60" t="s">
        <v>829</v>
      </c>
      <c r="Y31" s="60" t="s">
        <v>830</v>
      </c>
      <c r="Z31" s="60" t="s">
        <v>831</v>
      </c>
      <c r="AA31" s="60" t="s">
        <v>832</v>
      </c>
      <c r="AB31" s="60" t="s">
        <v>833</v>
      </c>
      <c r="AC31" s="60" t="s">
        <v>611</v>
      </c>
    </row>
    <row r="32">
      <c r="A32" s="59" t="s">
        <v>834</v>
      </c>
      <c r="B32" s="60" t="s">
        <v>835</v>
      </c>
      <c r="C32" s="61" t="s">
        <v>836</v>
      </c>
      <c r="D32" s="60" t="s">
        <v>837</v>
      </c>
      <c r="E32" s="60" t="s">
        <v>838</v>
      </c>
      <c r="F32" s="60" t="s">
        <v>839</v>
      </c>
      <c r="G32" s="60" t="s">
        <v>840</v>
      </c>
      <c r="H32" s="60" t="s">
        <v>841</v>
      </c>
      <c r="I32" s="60" t="s">
        <v>842</v>
      </c>
      <c r="J32" s="60" t="s">
        <v>843</v>
      </c>
      <c r="K32" s="60" t="s">
        <v>844</v>
      </c>
      <c r="L32" s="60" t="s">
        <v>651</v>
      </c>
      <c r="M32" s="60" t="s">
        <v>845</v>
      </c>
      <c r="N32" s="60" t="s">
        <v>653</v>
      </c>
      <c r="O32" s="60" t="s">
        <v>846</v>
      </c>
      <c r="P32" s="60" t="s">
        <v>847</v>
      </c>
      <c r="Q32" s="60" t="s">
        <v>656</v>
      </c>
      <c r="R32" s="60" t="s">
        <v>657</v>
      </c>
      <c r="S32" s="60" t="s">
        <v>848</v>
      </c>
      <c r="T32" s="60" t="s">
        <v>659</v>
      </c>
      <c r="U32" s="60" t="s">
        <v>849</v>
      </c>
      <c r="V32" s="60" t="s">
        <v>850</v>
      </c>
      <c r="W32" s="60" t="s">
        <v>851</v>
      </c>
      <c r="X32" s="60" t="s">
        <v>852</v>
      </c>
      <c r="Y32" s="60" t="s">
        <v>664</v>
      </c>
      <c r="Z32" s="60" t="s">
        <v>853</v>
      </c>
      <c r="AA32" s="60" t="s">
        <v>852</v>
      </c>
      <c r="AB32" s="60" t="s">
        <v>667</v>
      </c>
      <c r="AC32" s="60" t="s">
        <v>668</v>
      </c>
    </row>
    <row r="33">
      <c r="A33" s="59" t="s">
        <v>854</v>
      </c>
      <c r="B33" s="60" t="s">
        <v>855</v>
      </c>
      <c r="C33" s="61" t="s">
        <v>856</v>
      </c>
      <c r="D33" s="60" t="s">
        <v>693</v>
      </c>
      <c r="E33" s="60" t="s">
        <v>857</v>
      </c>
      <c r="F33" s="60" t="s">
        <v>858</v>
      </c>
      <c r="G33" s="60" t="s">
        <v>859</v>
      </c>
      <c r="H33" s="60" t="s">
        <v>860</v>
      </c>
      <c r="I33" s="60" t="s">
        <v>861</v>
      </c>
      <c r="J33" s="60" t="s">
        <v>862</v>
      </c>
      <c r="K33" s="60" t="s">
        <v>863</v>
      </c>
      <c r="L33" s="60" t="s">
        <v>701</v>
      </c>
      <c r="M33" s="60" t="s">
        <v>864</v>
      </c>
      <c r="N33" s="60" t="s">
        <v>703</v>
      </c>
      <c r="O33" s="60" t="s">
        <v>704</v>
      </c>
      <c r="P33" s="60" t="s">
        <v>865</v>
      </c>
      <c r="Q33" s="60" t="s">
        <v>866</v>
      </c>
      <c r="R33" s="60" t="s">
        <v>867</v>
      </c>
      <c r="S33" s="60" t="s">
        <v>868</v>
      </c>
      <c r="T33" s="60" t="s">
        <v>869</v>
      </c>
      <c r="U33" s="60" t="s">
        <v>870</v>
      </c>
      <c r="V33" s="60" t="s">
        <v>871</v>
      </c>
      <c r="W33" s="60" t="s">
        <v>872</v>
      </c>
      <c r="X33" s="60" t="s">
        <v>873</v>
      </c>
      <c r="Y33" s="60" t="s">
        <v>714</v>
      </c>
      <c r="Z33" s="60" t="s">
        <v>874</v>
      </c>
      <c r="AA33" s="60" t="s">
        <v>875</v>
      </c>
      <c r="AB33" s="60" t="s">
        <v>876</v>
      </c>
      <c r="AC33" s="60" t="s">
        <v>718</v>
      </c>
    </row>
    <row r="34">
      <c r="A34" s="59" t="s">
        <v>877</v>
      </c>
      <c r="B34" s="60" t="s">
        <v>878</v>
      </c>
      <c r="C34" s="61" t="s">
        <v>879</v>
      </c>
      <c r="D34" s="60" t="s">
        <v>880</v>
      </c>
      <c r="E34" s="60" t="s">
        <v>880</v>
      </c>
      <c r="F34" s="60" t="s">
        <v>881</v>
      </c>
      <c r="G34" s="60" t="s">
        <v>882</v>
      </c>
      <c r="H34" s="60" t="s">
        <v>880</v>
      </c>
      <c r="I34" s="60" t="s">
        <v>883</v>
      </c>
      <c r="J34" s="60" t="s">
        <v>878</v>
      </c>
      <c r="K34" s="60" t="s">
        <v>621</v>
      </c>
      <c r="L34" s="60" t="s">
        <v>622</v>
      </c>
      <c r="M34" s="60" t="s">
        <v>884</v>
      </c>
      <c r="N34" s="60" t="s">
        <v>885</v>
      </c>
      <c r="O34" s="60" t="s">
        <v>886</v>
      </c>
      <c r="P34" s="60" t="s">
        <v>887</v>
      </c>
      <c r="Q34" s="60" t="s">
        <v>888</v>
      </c>
      <c r="R34" s="60" t="s">
        <v>889</v>
      </c>
      <c r="S34" s="60" t="s">
        <v>890</v>
      </c>
      <c r="T34" s="60" t="s">
        <v>891</v>
      </c>
      <c r="U34" s="60" t="s">
        <v>878</v>
      </c>
      <c r="V34" s="60" t="s">
        <v>880</v>
      </c>
      <c r="W34" s="60" t="s">
        <v>892</v>
      </c>
      <c r="X34" s="60" t="s">
        <v>893</v>
      </c>
      <c r="Y34" s="60" t="s">
        <v>894</v>
      </c>
      <c r="Z34" s="60" t="s">
        <v>895</v>
      </c>
      <c r="AA34" s="60" t="s">
        <v>893</v>
      </c>
      <c r="AB34" s="60" t="s">
        <v>885</v>
      </c>
      <c r="AC34" s="60" t="s">
        <v>896</v>
      </c>
    </row>
    <row r="35">
      <c r="A35" s="59" t="s">
        <v>897</v>
      </c>
      <c r="B35" s="60" t="s">
        <v>898</v>
      </c>
      <c r="C35" s="61" t="s">
        <v>899</v>
      </c>
      <c r="D35" s="60" t="s">
        <v>900</v>
      </c>
      <c r="E35" s="60" t="s">
        <v>901</v>
      </c>
      <c r="F35" s="60" t="s">
        <v>902</v>
      </c>
      <c r="G35" s="60" t="s">
        <v>903</v>
      </c>
      <c r="H35" s="60" t="s">
        <v>904</v>
      </c>
      <c r="I35" s="60" t="s">
        <v>905</v>
      </c>
      <c r="J35" s="60" t="s">
        <v>906</v>
      </c>
      <c r="K35" s="60" t="s">
        <v>907</v>
      </c>
      <c r="L35" s="60" t="s">
        <v>908</v>
      </c>
      <c r="M35" s="60" t="s">
        <v>909</v>
      </c>
      <c r="N35" s="60" t="s">
        <v>910</v>
      </c>
      <c r="O35" s="60" t="s">
        <v>911</v>
      </c>
      <c r="P35" s="60" t="s">
        <v>912</v>
      </c>
      <c r="Q35" s="60" t="s">
        <v>913</v>
      </c>
      <c r="R35" s="60" t="s">
        <v>914</v>
      </c>
      <c r="S35" s="60" t="s">
        <v>915</v>
      </c>
      <c r="T35" s="60" t="s">
        <v>916</v>
      </c>
      <c r="U35" s="60" t="s">
        <v>917</v>
      </c>
      <c r="V35" s="60" t="s">
        <v>918</v>
      </c>
      <c r="W35" s="60" t="s">
        <v>919</v>
      </c>
      <c r="X35" s="60" t="s">
        <v>920</v>
      </c>
      <c r="Y35" s="60" t="s">
        <v>921</v>
      </c>
      <c r="Z35" s="60" t="s">
        <v>922</v>
      </c>
      <c r="AA35" s="60" t="s">
        <v>923</v>
      </c>
      <c r="AB35" s="60" t="s">
        <v>924</v>
      </c>
      <c r="AC35" s="60" t="s">
        <v>925</v>
      </c>
    </row>
    <row r="36">
      <c r="A36" s="59" t="s">
        <v>926</v>
      </c>
      <c r="B36" s="60" t="s">
        <v>927</v>
      </c>
      <c r="C36" s="61" t="s">
        <v>928</v>
      </c>
      <c r="D36" s="60" t="s">
        <v>929</v>
      </c>
      <c r="E36" s="60" t="s">
        <v>930</v>
      </c>
      <c r="F36" s="60" t="s">
        <v>931</v>
      </c>
      <c r="G36" s="60" t="s">
        <v>932</v>
      </c>
      <c r="H36" s="60" t="s">
        <v>933</v>
      </c>
      <c r="I36" s="60" t="s">
        <v>934</v>
      </c>
      <c r="J36" s="60" t="s">
        <v>935</v>
      </c>
      <c r="K36" s="60" t="s">
        <v>936</v>
      </c>
      <c r="L36" s="60" t="s">
        <v>937</v>
      </c>
      <c r="M36" s="60" t="s">
        <v>938</v>
      </c>
      <c r="N36" s="60" t="s">
        <v>939</v>
      </c>
      <c r="O36" s="60" t="s">
        <v>940</v>
      </c>
      <c r="P36" s="60" t="s">
        <v>941</v>
      </c>
      <c r="Q36" s="60" t="s">
        <v>942</v>
      </c>
      <c r="R36" s="60" t="s">
        <v>943</v>
      </c>
      <c r="S36" s="60" t="s">
        <v>944</v>
      </c>
      <c r="T36" s="60" t="s">
        <v>945</v>
      </c>
      <c r="U36" s="60" t="s">
        <v>946</v>
      </c>
      <c r="V36" s="60" t="s">
        <v>947</v>
      </c>
      <c r="W36" s="60" t="s">
        <v>948</v>
      </c>
      <c r="X36" s="60" t="s">
        <v>949</v>
      </c>
      <c r="Y36" s="60" t="s">
        <v>950</v>
      </c>
      <c r="Z36" s="60" t="s">
        <v>951</v>
      </c>
      <c r="AA36" s="60" t="s">
        <v>952</v>
      </c>
      <c r="AB36" s="60" t="s">
        <v>953</v>
      </c>
      <c r="AC36" s="60" t="s">
        <v>954</v>
      </c>
    </row>
    <row r="37">
      <c r="A37" s="59" t="s">
        <v>955</v>
      </c>
      <c r="B37" s="60" t="s">
        <v>956</v>
      </c>
      <c r="C37" s="61" t="s">
        <v>957</v>
      </c>
      <c r="D37" s="60" t="s">
        <v>958</v>
      </c>
      <c r="E37" s="60" t="s">
        <v>959</v>
      </c>
      <c r="F37" s="60" t="s">
        <v>960</v>
      </c>
      <c r="G37" s="60" t="s">
        <v>961</v>
      </c>
      <c r="H37" s="60" t="s">
        <v>962</v>
      </c>
      <c r="I37" s="60" t="s">
        <v>963</v>
      </c>
      <c r="J37" s="60" t="s">
        <v>964</v>
      </c>
      <c r="K37" s="60" t="s">
        <v>965</v>
      </c>
      <c r="L37" s="60" t="s">
        <v>966</v>
      </c>
      <c r="M37" s="60" t="s">
        <v>967</v>
      </c>
      <c r="N37" s="60" t="s">
        <v>968</v>
      </c>
      <c r="O37" s="60" t="s">
        <v>969</v>
      </c>
      <c r="P37" s="60" t="s">
        <v>970</v>
      </c>
      <c r="Q37" s="60" t="s">
        <v>971</v>
      </c>
      <c r="R37" s="60" t="s">
        <v>972</v>
      </c>
      <c r="S37" s="60" t="s">
        <v>973</v>
      </c>
      <c r="T37" s="60" t="s">
        <v>974</v>
      </c>
      <c r="U37" s="60" t="s">
        <v>975</v>
      </c>
      <c r="V37" s="60" t="s">
        <v>976</v>
      </c>
      <c r="W37" s="60" t="s">
        <v>977</v>
      </c>
      <c r="X37" s="60" t="s">
        <v>978</v>
      </c>
      <c r="Y37" s="60" t="s">
        <v>979</v>
      </c>
      <c r="Z37" s="60" t="s">
        <v>980</v>
      </c>
      <c r="AA37" s="60" t="s">
        <v>981</v>
      </c>
      <c r="AB37" s="60" t="s">
        <v>982</v>
      </c>
      <c r="AC37" s="60" t="s">
        <v>983</v>
      </c>
    </row>
    <row r="38">
      <c r="A38" s="59" t="s">
        <v>984</v>
      </c>
      <c r="B38" s="60" t="s">
        <v>985</v>
      </c>
      <c r="C38" s="61" t="s">
        <v>986</v>
      </c>
      <c r="D38" s="60" t="s">
        <v>987</v>
      </c>
      <c r="E38" s="60" t="s">
        <v>988</v>
      </c>
      <c r="F38" s="60" t="s">
        <v>989</v>
      </c>
      <c r="G38" s="60" t="s">
        <v>990</v>
      </c>
      <c r="H38" s="60" t="s">
        <v>991</v>
      </c>
      <c r="I38" s="60" t="s">
        <v>992</v>
      </c>
      <c r="J38" s="60" t="s">
        <v>993</v>
      </c>
      <c r="K38" s="60" t="s">
        <v>994</v>
      </c>
      <c r="L38" s="60" t="s">
        <v>995</v>
      </c>
      <c r="M38" s="60" t="s">
        <v>996</v>
      </c>
      <c r="N38" s="60" t="s">
        <v>997</v>
      </c>
      <c r="O38" s="60" t="s">
        <v>998</v>
      </c>
      <c r="P38" s="60" t="s">
        <v>999</v>
      </c>
      <c r="Q38" s="60" t="s">
        <v>1000</v>
      </c>
      <c r="R38" s="60" t="s">
        <v>1001</v>
      </c>
      <c r="S38" s="60" t="s">
        <v>1002</v>
      </c>
      <c r="T38" s="60" t="s">
        <v>1003</v>
      </c>
      <c r="U38" s="60" t="s">
        <v>1004</v>
      </c>
      <c r="V38" s="60" t="s">
        <v>1005</v>
      </c>
      <c r="W38" s="60" t="s">
        <v>1006</v>
      </c>
      <c r="X38" s="60" t="s">
        <v>1007</v>
      </c>
      <c r="Y38" s="60" t="s">
        <v>1008</v>
      </c>
      <c r="Z38" s="60" t="s">
        <v>1009</v>
      </c>
      <c r="AA38" s="60" t="s">
        <v>1010</v>
      </c>
      <c r="AB38" s="60" t="s">
        <v>1011</v>
      </c>
      <c r="AC38" s="60" t="s">
        <v>1012</v>
      </c>
    </row>
    <row r="39">
      <c r="A39" s="59" t="s">
        <v>1013</v>
      </c>
      <c r="B39" s="60" t="s">
        <v>1014</v>
      </c>
      <c r="C39" s="61" t="s">
        <v>1015</v>
      </c>
      <c r="D39" s="60" t="s">
        <v>1016</v>
      </c>
      <c r="E39" s="60" t="s">
        <v>1017</v>
      </c>
      <c r="F39" s="60" t="s">
        <v>1018</v>
      </c>
      <c r="G39" s="60" t="s">
        <v>1019</v>
      </c>
      <c r="H39" s="60" t="s">
        <v>1020</v>
      </c>
      <c r="I39" s="60" t="s">
        <v>1021</v>
      </c>
      <c r="J39" s="60" t="s">
        <v>1022</v>
      </c>
      <c r="K39" s="60" t="s">
        <v>1023</v>
      </c>
      <c r="L39" s="60" t="s">
        <v>1024</v>
      </c>
      <c r="M39" s="60" t="s">
        <v>1025</v>
      </c>
      <c r="N39" s="60" t="s">
        <v>1026</v>
      </c>
      <c r="O39" s="60" t="s">
        <v>1027</v>
      </c>
      <c r="P39" s="60" t="s">
        <v>1028</v>
      </c>
      <c r="Q39" s="60" t="s">
        <v>1029</v>
      </c>
      <c r="R39" s="60" t="s">
        <v>1030</v>
      </c>
      <c r="S39" s="60" t="s">
        <v>1031</v>
      </c>
      <c r="T39" s="60" t="s">
        <v>1032</v>
      </c>
      <c r="U39" s="60" t="s">
        <v>1033</v>
      </c>
      <c r="V39" s="60" t="s">
        <v>1034</v>
      </c>
      <c r="W39" s="60" t="s">
        <v>1035</v>
      </c>
      <c r="X39" s="60" t="s">
        <v>1036</v>
      </c>
      <c r="Y39" s="60" t="s">
        <v>1037</v>
      </c>
      <c r="Z39" s="60" t="s">
        <v>1038</v>
      </c>
      <c r="AA39" s="60" t="s">
        <v>1039</v>
      </c>
      <c r="AB39" s="60" t="s">
        <v>1040</v>
      </c>
      <c r="AC39" s="60" t="s">
        <v>1041</v>
      </c>
    </row>
    <row r="40">
      <c r="A40" s="59" t="s">
        <v>1042</v>
      </c>
      <c r="B40" s="60" t="s">
        <v>1043</v>
      </c>
      <c r="C40" s="61" t="s">
        <v>1044</v>
      </c>
      <c r="D40" s="60" t="s">
        <v>1045</v>
      </c>
      <c r="E40" s="60" t="s">
        <v>1046</v>
      </c>
      <c r="F40" s="60" t="s">
        <v>1047</v>
      </c>
      <c r="G40" s="60" t="s">
        <v>1048</v>
      </c>
      <c r="H40" s="60" t="s">
        <v>1049</v>
      </c>
      <c r="I40" s="60" t="s">
        <v>1050</v>
      </c>
      <c r="J40" s="60" t="s">
        <v>1051</v>
      </c>
      <c r="K40" s="60" t="s">
        <v>1052</v>
      </c>
      <c r="L40" s="60" t="s">
        <v>1053</v>
      </c>
      <c r="M40" s="60" t="s">
        <v>1054</v>
      </c>
      <c r="N40" s="60" t="s">
        <v>1055</v>
      </c>
      <c r="O40" s="60" t="s">
        <v>1056</v>
      </c>
      <c r="P40" s="60" t="s">
        <v>1057</v>
      </c>
      <c r="Q40" s="60" t="s">
        <v>1058</v>
      </c>
      <c r="R40" s="60" t="s">
        <v>1059</v>
      </c>
      <c r="S40" s="60" t="s">
        <v>1060</v>
      </c>
      <c r="T40" s="60" t="s">
        <v>1061</v>
      </c>
      <c r="U40" s="60" t="s">
        <v>1062</v>
      </c>
      <c r="V40" s="60" t="s">
        <v>1063</v>
      </c>
      <c r="W40" s="60" t="s">
        <v>1064</v>
      </c>
      <c r="X40" s="60" t="s">
        <v>1065</v>
      </c>
      <c r="Y40" s="60" t="s">
        <v>1066</v>
      </c>
      <c r="Z40" s="60" t="s">
        <v>1067</v>
      </c>
      <c r="AA40" s="60" t="s">
        <v>1068</v>
      </c>
      <c r="AB40" s="60" t="s">
        <v>1069</v>
      </c>
      <c r="AC40" s="60" t="s">
        <v>1070</v>
      </c>
    </row>
    <row r="41">
      <c r="A41" s="59" t="s">
        <v>1071</v>
      </c>
      <c r="B41" s="60" t="s">
        <v>1072</v>
      </c>
      <c r="C41" s="61" t="s">
        <v>1073</v>
      </c>
      <c r="D41" s="60" t="s">
        <v>1074</v>
      </c>
      <c r="E41" s="60" t="s">
        <v>1075</v>
      </c>
      <c r="F41" s="60" t="s">
        <v>1076</v>
      </c>
      <c r="G41" s="60" t="s">
        <v>1077</v>
      </c>
      <c r="H41" s="60" t="s">
        <v>1078</v>
      </c>
      <c r="I41" s="60" t="s">
        <v>1079</v>
      </c>
      <c r="J41" s="60" t="s">
        <v>1080</v>
      </c>
      <c r="K41" s="60" t="s">
        <v>1081</v>
      </c>
      <c r="L41" s="60" t="s">
        <v>1082</v>
      </c>
      <c r="M41" s="60" t="s">
        <v>1083</v>
      </c>
      <c r="N41" s="60" t="s">
        <v>1084</v>
      </c>
      <c r="O41" s="60" t="s">
        <v>1085</v>
      </c>
      <c r="P41" s="60" t="s">
        <v>1086</v>
      </c>
      <c r="Q41" s="60" t="s">
        <v>1087</v>
      </c>
      <c r="R41" s="60" t="s">
        <v>1088</v>
      </c>
      <c r="S41" s="60" t="s">
        <v>1089</v>
      </c>
      <c r="T41" s="60" t="s">
        <v>1090</v>
      </c>
      <c r="U41" s="60" t="s">
        <v>1091</v>
      </c>
      <c r="V41" s="60" t="s">
        <v>1092</v>
      </c>
      <c r="W41" s="60" t="s">
        <v>1093</v>
      </c>
      <c r="X41" s="60" t="s">
        <v>1094</v>
      </c>
      <c r="Y41" s="60" t="s">
        <v>1095</v>
      </c>
      <c r="Z41" s="60" t="s">
        <v>1096</v>
      </c>
      <c r="AA41" s="60" t="s">
        <v>1097</v>
      </c>
      <c r="AB41" s="60" t="s">
        <v>1098</v>
      </c>
      <c r="AC41" s="60" t="s">
        <v>1099</v>
      </c>
    </row>
    <row r="42">
      <c r="A42" s="59" t="s">
        <v>1100</v>
      </c>
      <c r="B42" s="60" t="s">
        <v>1101</v>
      </c>
      <c r="C42" s="61" t="s">
        <v>1102</v>
      </c>
      <c r="D42" s="60" t="s">
        <v>1103</v>
      </c>
      <c r="E42" s="60" t="s">
        <v>1104</v>
      </c>
      <c r="F42" s="60" t="s">
        <v>1105</v>
      </c>
      <c r="G42" s="60" t="s">
        <v>1106</v>
      </c>
      <c r="H42" s="60" t="s">
        <v>1107</v>
      </c>
      <c r="I42" s="60" t="s">
        <v>1108</v>
      </c>
      <c r="J42" s="60" t="s">
        <v>1109</v>
      </c>
      <c r="K42" s="60" t="s">
        <v>1110</v>
      </c>
      <c r="L42" s="60" t="s">
        <v>1111</v>
      </c>
      <c r="M42" s="60" t="s">
        <v>1112</v>
      </c>
      <c r="N42" s="60" t="s">
        <v>1113</v>
      </c>
      <c r="O42" s="60" t="s">
        <v>1114</v>
      </c>
      <c r="P42" s="60" t="s">
        <v>1115</v>
      </c>
      <c r="Q42" s="60" t="s">
        <v>1116</v>
      </c>
      <c r="R42" s="60" t="s">
        <v>1117</v>
      </c>
      <c r="S42" s="60" t="s">
        <v>1118</v>
      </c>
      <c r="T42" s="60" t="s">
        <v>1111</v>
      </c>
      <c r="U42" s="60" t="s">
        <v>1119</v>
      </c>
      <c r="V42" s="60" t="s">
        <v>1120</v>
      </c>
      <c r="W42" s="60" t="s">
        <v>1121</v>
      </c>
      <c r="X42" s="60" t="s">
        <v>1122</v>
      </c>
      <c r="Y42" s="60" t="s">
        <v>1123</v>
      </c>
      <c r="Z42" s="60" t="s">
        <v>1124</v>
      </c>
      <c r="AA42" s="60" t="s">
        <v>1125</v>
      </c>
      <c r="AB42" s="60" t="s">
        <v>1126</v>
      </c>
      <c r="AC42" s="60" t="s">
        <v>1127</v>
      </c>
    </row>
    <row r="43">
      <c r="A43" s="59" t="s">
        <v>1128</v>
      </c>
      <c r="B43" s="60" t="s">
        <v>1129</v>
      </c>
      <c r="C43" s="61" t="s">
        <v>1130</v>
      </c>
      <c r="D43" s="60" t="s">
        <v>1131</v>
      </c>
      <c r="E43" s="60" t="s">
        <v>1132</v>
      </c>
      <c r="F43" s="60" t="s">
        <v>1133</v>
      </c>
      <c r="G43" s="60" t="s">
        <v>1134</v>
      </c>
      <c r="H43" s="60" t="s">
        <v>1135</v>
      </c>
      <c r="I43" s="60" t="s">
        <v>1136</v>
      </c>
      <c r="J43" s="60" t="s">
        <v>1129</v>
      </c>
      <c r="K43" s="60" t="s">
        <v>1137</v>
      </c>
      <c r="L43" s="60" t="s">
        <v>1138</v>
      </c>
      <c r="M43" s="60" t="s">
        <v>1139</v>
      </c>
      <c r="N43" s="60" t="s">
        <v>1140</v>
      </c>
      <c r="O43" s="60" t="s">
        <v>1141</v>
      </c>
      <c r="P43" s="60" t="s">
        <v>1142</v>
      </c>
      <c r="Q43" s="60" t="s">
        <v>1143</v>
      </c>
      <c r="R43" s="60" t="s">
        <v>1144</v>
      </c>
      <c r="S43" s="60" t="s">
        <v>1145</v>
      </c>
      <c r="T43" s="60" t="s">
        <v>1146</v>
      </c>
      <c r="U43" s="60" t="s">
        <v>1147</v>
      </c>
      <c r="V43" s="60" t="s">
        <v>1148</v>
      </c>
      <c r="W43" s="60" t="s">
        <v>1149</v>
      </c>
      <c r="X43" s="60" t="s">
        <v>1150</v>
      </c>
      <c r="Y43" s="60" t="s">
        <v>1151</v>
      </c>
      <c r="Z43" s="60" t="s">
        <v>1152</v>
      </c>
      <c r="AA43" s="60" t="s">
        <v>1153</v>
      </c>
      <c r="AB43" s="60" t="s">
        <v>1154</v>
      </c>
      <c r="AC43" s="60" t="s">
        <v>1155</v>
      </c>
    </row>
    <row r="44">
      <c r="A44" s="59" t="s">
        <v>1156</v>
      </c>
      <c r="B44" s="60" t="s">
        <v>1157</v>
      </c>
      <c r="C44" s="61" t="s">
        <v>1158</v>
      </c>
      <c r="D44" s="60" t="s">
        <v>1159</v>
      </c>
      <c r="E44" s="60" t="s">
        <v>1160</v>
      </c>
      <c r="F44" s="60" t="s">
        <v>1161</v>
      </c>
      <c r="G44" s="60" t="s">
        <v>1162</v>
      </c>
      <c r="H44" s="60" t="s">
        <v>1163</v>
      </c>
      <c r="I44" s="60" t="s">
        <v>1164</v>
      </c>
      <c r="J44" s="60" t="s">
        <v>1165</v>
      </c>
      <c r="K44" s="60" t="s">
        <v>1166</v>
      </c>
      <c r="L44" s="60" t="s">
        <v>1167</v>
      </c>
      <c r="M44" s="60" t="s">
        <v>1168</v>
      </c>
      <c r="N44" s="60" t="s">
        <v>1169</v>
      </c>
      <c r="O44" s="60" t="s">
        <v>1170</v>
      </c>
      <c r="P44" s="60" t="s">
        <v>1171</v>
      </c>
      <c r="Q44" s="60" t="s">
        <v>1172</v>
      </c>
      <c r="R44" s="60" t="s">
        <v>1173</v>
      </c>
      <c r="S44" s="60" t="s">
        <v>1174</v>
      </c>
      <c r="T44" s="60" t="s">
        <v>1175</v>
      </c>
      <c r="U44" s="60" t="s">
        <v>1176</v>
      </c>
      <c r="V44" s="60" t="s">
        <v>1177</v>
      </c>
      <c r="W44" s="60" t="s">
        <v>1178</v>
      </c>
      <c r="X44" s="60" t="s">
        <v>1179</v>
      </c>
      <c r="Y44" s="60" t="s">
        <v>1180</v>
      </c>
      <c r="Z44" s="60" t="s">
        <v>1181</v>
      </c>
      <c r="AA44" s="60" t="s">
        <v>1182</v>
      </c>
      <c r="AB44" s="60" t="s">
        <v>1183</v>
      </c>
      <c r="AC44" s="60" t="s">
        <v>1184</v>
      </c>
    </row>
    <row r="45">
      <c r="A45" s="59" t="s">
        <v>1185</v>
      </c>
      <c r="B45" s="60" t="s">
        <v>1186</v>
      </c>
      <c r="C45" s="61" t="s">
        <v>1187</v>
      </c>
      <c r="D45" s="60" t="s">
        <v>1188</v>
      </c>
      <c r="E45" s="60" t="s">
        <v>1189</v>
      </c>
      <c r="F45" s="60" t="s">
        <v>1190</v>
      </c>
      <c r="G45" s="60" t="s">
        <v>1191</v>
      </c>
      <c r="H45" s="60" t="s">
        <v>1192</v>
      </c>
      <c r="I45" s="60" t="s">
        <v>1193</v>
      </c>
      <c r="J45" s="60" t="s">
        <v>1194</v>
      </c>
      <c r="K45" s="60" t="s">
        <v>1195</v>
      </c>
      <c r="L45" s="60" t="s">
        <v>1196</v>
      </c>
      <c r="M45" s="60" t="s">
        <v>1197</v>
      </c>
      <c r="N45" s="60" t="s">
        <v>1198</v>
      </c>
      <c r="O45" s="60" t="s">
        <v>1199</v>
      </c>
      <c r="P45" s="60" t="s">
        <v>1200</v>
      </c>
      <c r="Q45" s="60" t="s">
        <v>1201</v>
      </c>
      <c r="R45" s="60" t="s">
        <v>1202</v>
      </c>
      <c r="S45" s="60" t="s">
        <v>1203</v>
      </c>
      <c r="T45" s="60" t="s">
        <v>1196</v>
      </c>
      <c r="U45" s="60" t="s">
        <v>1204</v>
      </c>
      <c r="V45" s="60" t="s">
        <v>1205</v>
      </c>
      <c r="W45" s="60" t="s">
        <v>1191</v>
      </c>
      <c r="X45" s="60" t="s">
        <v>1206</v>
      </c>
      <c r="Y45" s="60" t="s">
        <v>1207</v>
      </c>
      <c r="Z45" s="60" t="s">
        <v>1208</v>
      </c>
      <c r="AA45" s="60" t="s">
        <v>1206</v>
      </c>
      <c r="AB45" s="60" t="s">
        <v>1209</v>
      </c>
      <c r="AC45" s="60" t="s">
        <v>1210</v>
      </c>
    </row>
    <row r="46">
      <c r="A46" s="59" t="s">
        <v>1211</v>
      </c>
      <c r="B46" s="60" t="s">
        <v>1212</v>
      </c>
      <c r="C46" s="61" t="s">
        <v>1213</v>
      </c>
      <c r="D46" s="60" t="s">
        <v>1214</v>
      </c>
      <c r="E46" s="60" t="s">
        <v>1215</v>
      </c>
      <c r="F46" s="60" t="s">
        <v>1216</v>
      </c>
      <c r="G46" s="60" t="s">
        <v>1217</v>
      </c>
      <c r="H46" s="60" t="s">
        <v>1218</v>
      </c>
      <c r="I46" s="60" t="s">
        <v>1219</v>
      </c>
      <c r="J46" s="60" t="s">
        <v>1220</v>
      </c>
      <c r="K46" s="60" t="s">
        <v>1221</v>
      </c>
      <c r="L46" s="60" t="s">
        <v>1222</v>
      </c>
      <c r="M46" s="60" t="s">
        <v>1223</v>
      </c>
      <c r="N46" s="60" t="s">
        <v>1224</v>
      </c>
      <c r="O46" s="60" t="s">
        <v>1225</v>
      </c>
      <c r="P46" s="60" t="s">
        <v>1226</v>
      </c>
      <c r="Q46" s="60" t="s">
        <v>1227</v>
      </c>
      <c r="R46" s="60" t="s">
        <v>1228</v>
      </c>
      <c r="S46" s="60" t="s">
        <v>1229</v>
      </c>
      <c r="T46" s="60" t="s">
        <v>1230</v>
      </c>
      <c r="U46" s="60" t="s">
        <v>1231</v>
      </c>
      <c r="V46" s="60" t="s">
        <v>1232</v>
      </c>
      <c r="W46" s="60" t="s">
        <v>1233</v>
      </c>
      <c r="X46" s="60" t="s">
        <v>1234</v>
      </c>
      <c r="Y46" s="60" t="s">
        <v>1235</v>
      </c>
      <c r="Z46" s="60" t="s">
        <v>1236</v>
      </c>
      <c r="AA46" s="60" t="s">
        <v>1237</v>
      </c>
      <c r="AB46" s="60" t="s">
        <v>1238</v>
      </c>
      <c r="AC46" s="60" t="s">
        <v>1239</v>
      </c>
    </row>
    <row r="47">
      <c r="A47" s="59" t="s">
        <v>1240</v>
      </c>
      <c r="B47" s="60" t="s">
        <v>1241</v>
      </c>
      <c r="C47" s="61" t="s">
        <v>1242</v>
      </c>
      <c r="D47" s="60" t="s">
        <v>1243</v>
      </c>
      <c r="E47" s="60" t="s">
        <v>1244</v>
      </c>
      <c r="F47" s="60" t="s">
        <v>1245</v>
      </c>
      <c r="G47" s="60" t="s">
        <v>1246</v>
      </c>
      <c r="H47" s="60" t="s">
        <v>1247</v>
      </c>
      <c r="I47" s="60" t="s">
        <v>1248</v>
      </c>
      <c r="J47" s="60" t="s">
        <v>1249</v>
      </c>
      <c r="K47" s="60" t="s">
        <v>1250</v>
      </c>
      <c r="L47" s="60" t="s">
        <v>1251</v>
      </c>
      <c r="M47" s="60" t="s">
        <v>1252</v>
      </c>
      <c r="N47" s="60" t="s">
        <v>1253</v>
      </c>
      <c r="O47" s="60" t="s">
        <v>1254</v>
      </c>
      <c r="P47" s="60" t="s">
        <v>1255</v>
      </c>
      <c r="Q47" s="60" t="s">
        <v>1256</v>
      </c>
      <c r="R47" s="60" t="s">
        <v>1257</v>
      </c>
      <c r="S47" s="60" t="s">
        <v>1258</v>
      </c>
      <c r="T47" s="60" t="s">
        <v>1259</v>
      </c>
      <c r="U47" s="60" t="s">
        <v>1260</v>
      </c>
      <c r="V47" s="60" t="s">
        <v>1261</v>
      </c>
      <c r="W47" s="60" t="s">
        <v>1262</v>
      </c>
      <c r="X47" s="60" t="s">
        <v>1263</v>
      </c>
      <c r="Y47" s="60" t="s">
        <v>1264</v>
      </c>
      <c r="Z47" s="60" t="s">
        <v>1265</v>
      </c>
      <c r="AA47" s="60" t="s">
        <v>1266</v>
      </c>
      <c r="AB47" s="60" t="s">
        <v>1267</v>
      </c>
      <c r="AC47" s="60" t="s">
        <v>1268</v>
      </c>
    </row>
    <row r="48">
      <c r="A48" s="59" t="s">
        <v>1269</v>
      </c>
      <c r="B48" s="60" t="s">
        <v>1270</v>
      </c>
      <c r="C48" s="61" t="s">
        <v>1271</v>
      </c>
      <c r="D48" s="60" t="s">
        <v>1272</v>
      </c>
      <c r="E48" s="60" t="s">
        <v>1273</v>
      </c>
      <c r="F48" s="60" t="s">
        <v>1274</v>
      </c>
      <c r="G48" s="60" t="s">
        <v>1275</v>
      </c>
      <c r="H48" s="60" t="s">
        <v>1276</v>
      </c>
      <c r="I48" s="60" t="s">
        <v>1277</v>
      </c>
      <c r="J48" s="60" t="s">
        <v>1278</v>
      </c>
      <c r="K48" s="60" t="s">
        <v>1279</v>
      </c>
      <c r="L48" s="60" t="s">
        <v>1280</v>
      </c>
      <c r="M48" s="60" t="s">
        <v>1281</v>
      </c>
      <c r="N48" s="60" t="s">
        <v>1282</v>
      </c>
      <c r="O48" s="60" t="s">
        <v>1283</v>
      </c>
      <c r="P48" s="60" t="s">
        <v>1284</v>
      </c>
      <c r="Q48" s="60" t="s">
        <v>1285</v>
      </c>
      <c r="R48" s="60" t="s">
        <v>1286</v>
      </c>
      <c r="S48" s="60" t="s">
        <v>1287</v>
      </c>
      <c r="T48" s="60" t="s">
        <v>1288</v>
      </c>
      <c r="U48" s="60" t="s">
        <v>1289</v>
      </c>
      <c r="V48" s="60" t="s">
        <v>1290</v>
      </c>
      <c r="W48" s="60" t="s">
        <v>1291</v>
      </c>
      <c r="X48" s="60" t="s">
        <v>1292</v>
      </c>
      <c r="Y48" s="60" t="s">
        <v>1293</v>
      </c>
      <c r="Z48" s="60" t="s">
        <v>1294</v>
      </c>
      <c r="AA48" s="60" t="s">
        <v>1295</v>
      </c>
      <c r="AB48" s="60" t="s">
        <v>1296</v>
      </c>
      <c r="AC48" s="60" t="s">
        <v>1297</v>
      </c>
    </row>
    <row r="49">
      <c r="A49" s="59" t="s">
        <v>1298</v>
      </c>
      <c r="B49" s="60" t="s">
        <v>1299</v>
      </c>
      <c r="C49" s="61" t="s">
        <v>1300</v>
      </c>
      <c r="D49" s="60" t="s">
        <v>1301</v>
      </c>
      <c r="E49" s="60" t="s">
        <v>1301</v>
      </c>
      <c r="F49" s="60" t="s">
        <v>1302</v>
      </c>
      <c r="G49" s="60" t="s">
        <v>1303</v>
      </c>
      <c r="H49" s="60" t="s">
        <v>1301</v>
      </c>
      <c r="I49" s="60" t="s">
        <v>1304</v>
      </c>
      <c r="J49" s="60" t="s">
        <v>1305</v>
      </c>
      <c r="K49" s="60" t="s">
        <v>1306</v>
      </c>
      <c r="L49" s="60" t="s">
        <v>1307</v>
      </c>
      <c r="M49" s="60" t="s">
        <v>1308</v>
      </c>
      <c r="N49" s="60" t="s">
        <v>1113</v>
      </c>
      <c r="O49" s="60" t="s">
        <v>1309</v>
      </c>
      <c r="P49" s="60" t="s">
        <v>1310</v>
      </c>
      <c r="Q49" s="60" t="s">
        <v>1311</v>
      </c>
      <c r="R49" s="60" t="s">
        <v>1312</v>
      </c>
      <c r="S49" s="60" t="s">
        <v>1313</v>
      </c>
      <c r="T49" s="60" t="s">
        <v>1301</v>
      </c>
      <c r="U49" s="60" t="s">
        <v>1314</v>
      </c>
      <c r="V49" s="60" t="s">
        <v>1301</v>
      </c>
      <c r="W49" s="60" t="s">
        <v>1315</v>
      </c>
      <c r="X49" s="60" t="s">
        <v>1316</v>
      </c>
      <c r="Y49" s="60" t="s">
        <v>1317</v>
      </c>
      <c r="Z49" s="60" t="s">
        <v>1301</v>
      </c>
      <c r="AA49" s="60" t="s">
        <v>1316</v>
      </c>
      <c r="AB49" s="60" t="s">
        <v>1318</v>
      </c>
      <c r="AC49" s="60" t="s">
        <v>1319</v>
      </c>
    </row>
    <row r="50">
      <c r="A50" s="59" t="s">
        <v>1320</v>
      </c>
      <c r="B50" s="60" t="s">
        <v>1321</v>
      </c>
      <c r="C50" s="61" t="s">
        <v>1322</v>
      </c>
      <c r="D50" s="60" t="s">
        <v>1323</v>
      </c>
      <c r="E50" s="60" t="s">
        <v>1324</v>
      </c>
      <c r="F50" s="60" t="s">
        <v>1325</v>
      </c>
      <c r="G50" s="60" t="s">
        <v>1326</v>
      </c>
      <c r="H50" s="60" t="s">
        <v>1327</v>
      </c>
      <c r="I50" s="60" t="s">
        <v>1328</v>
      </c>
      <c r="J50" s="60" t="s">
        <v>1329</v>
      </c>
      <c r="K50" s="60" t="s">
        <v>1330</v>
      </c>
      <c r="L50" s="60" t="s">
        <v>1331</v>
      </c>
      <c r="M50" s="60" t="s">
        <v>1332</v>
      </c>
      <c r="N50" s="60" t="s">
        <v>1333</v>
      </c>
      <c r="O50" s="60" t="s">
        <v>1334</v>
      </c>
      <c r="P50" s="60" t="s">
        <v>1335</v>
      </c>
      <c r="Q50" s="60" t="s">
        <v>1336</v>
      </c>
      <c r="R50" s="60" t="s">
        <v>1337</v>
      </c>
      <c r="S50" s="60" t="s">
        <v>1338</v>
      </c>
      <c r="T50" s="60" t="s">
        <v>1339</v>
      </c>
      <c r="U50" s="60" t="s">
        <v>1340</v>
      </c>
      <c r="V50" s="60" t="s">
        <v>1341</v>
      </c>
      <c r="W50" s="60" t="s">
        <v>1342</v>
      </c>
      <c r="X50" s="60" t="s">
        <v>1343</v>
      </c>
      <c r="Y50" s="60" t="s">
        <v>1344</v>
      </c>
      <c r="Z50" s="60" t="s">
        <v>1345</v>
      </c>
      <c r="AA50" s="60" t="s">
        <v>1346</v>
      </c>
      <c r="AB50" s="60" t="s">
        <v>1347</v>
      </c>
      <c r="AC50" s="60" t="s">
        <v>1348</v>
      </c>
    </row>
    <row r="51">
      <c r="A51" s="59" t="s">
        <v>1349</v>
      </c>
      <c r="B51" s="60" t="s">
        <v>1350</v>
      </c>
      <c r="C51" s="61" t="s">
        <v>1351</v>
      </c>
      <c r="D51" s="60" t="s">
        <v>1352</v>
      </c>
      <c r="E51" s="60" t="s">
        <v>1353</v>
      </c>
      <c r="F51" s="60" t="s">
        <v>1354</v>
      </c>
      <c r="G51" s="60" t="s">
        <v>1355</v>
      </c>
      <c r="H51" s="60" t="s">
        <v>1356</v>
      </c>
      <c r="I51" s="60" t="s">
        <v>1357</v>
      </c>
      <c r="J51" s="60" t="s">
        <v>1358</v>
      </c>
      <c r="K51" s="60" t="s">
        <v>1359</v>
      </c>
      <c r="L51" s="60" t="s">
        <v>1360</v>
      </c>
      <c r="M51" s="60" t="s">
        <v>1361</v>
      </c>
      <c r="N51" s="60" t="s">
        <v>1362</v>
      </c>
      <c r="O51" s="60" t="s">
        <v>1363</v>
      </c>
      <c r="P51" s="60" t="s">
        <v>1364</v>
      </c>
      <c r="Q51" s="60" t="s">
        <v>1365</v>
      </c>
      <c r="R51" s="60" t="s">
        <v>1366</v>
      </c>
      <c r="S51" s="60" t="s">
        <v>1367</v>
      </c>
      <c r="T51" s="60" t="s">
        <v>1368</v>
      </c>
      <c r="U51" s="60" t="s">
        <v>1369</v>
      </c>
      <c r="V51" s="60" t="s">
        <v>1370</v>
      </c>
      <c r="W51" s="60" t="s">
        <v>1371</v>
      </c>
      <c r="X51" s="60" t="s">
        <v>1372</v>
      </c>
      <c r="Y51" s="60" t="s">
        <v>1373</v>
      </c>
      <c r="Z51" s="60" t="s">
        <v>1374</v>
      </c>
      <c r="AA51" s="60" t="s">
        <v>1375</v>
      </c>
      <c r="AB51" s="60" t="s">
        <v>1376</v>
      </c>
      <c r="AC51" s="60" t="s">
        <v>1377</v>
      </c>
    </row>
    <row r="52">
      <c r="A52" s="59" t="s">
        <v>1378</v>
      </c>
      <c r="B52" s="60" t="s">
        <v>1379</v>
      </c>
      <c r="C52" s="61" t="s">
        <v>1380</v>
      </c>
      <c r="D52" s="60" t="s">
        <v>1381</v>
      </c>
      <c r="E52" s="60" t="s">
        <v>1382</v>
      </c>
      <c r="F52" s="60" t="s">
        <v>1383</v>
      </c>
      <c r="G52" s="60" t="s">
        <v>1384</v>
      </c>
      <c r="H52" s="60" t="s">
        <v>1385</v>
      </c>
      <c r="I52" s="60" t="s">
        <v>1386</v>
      </c>
      <c r="J52" s="60" t="s">
        <v>1387</v>
      </c>
      <c r="K52" s="60" t="s">
        <v>1388</v>
      </c>
      <c r="L52" s="60" t="s">
        <v>1389</v>
      </c>
      <c r="M52" s="60" t="s">
        <v>1390</v>
      </c>
      <c r="N52" s="60" t="s">
        <v>1391</v>
      </c>
      <c r="O52" s="60" t="s">
        <v>1392</v>
      </c>
      <c r="P52" s="60" t="s">
        <v>1393</v>
      </c>
      <c r="Q52" s="60" t="s">
        <v>1394</v>
      </c>
      <c r="R52" s="60" t="s">
        <v>1395</v>
      </c>
      <c r="S52" s="60" t="s">
        <v>1396</v>
      </c>
      <c r="T52" s="60" t="s">
        <v>1397</v>
      </c>
      <c r="U52" s="60" t="s">
        <v>1398</v>
      </c>
      <c r="V52" s="60" t="s">
        <v>1399</v>
      </c>
      <c r="W52" s="60" t="s">
        <v>1400</v>
      </c>
      <c r="X52" s="60" t="s">
        <v>1401</v>
      </c>
      <c r="Y52" s="60" t="s">
        <v>1402</v>
      </c>
      <c r="Z52" s="60" t="s">
        <v>1403</v>
      </c>
      <c r="AA52" s="60" t="s">
        <v>1404</v>
      </c>
      <c r="AB52" s="60" t="s">
        <v>1405</v>
      </c>
      <c r="AC52" s="60" t="s">
        <v>1406</v>
      </c>
    </row>
    <row r="53">
      <c r="A53" s="59" t="s">
        <v>1407</v>
      </c>
      <c r="B53" s="60" t="s">
        <v>1408</v>
      </c>
      <c r="C53" s="61" t="s">
        <v>1409</v>
      </c>
      <c r="D53" s="60" t="s">
        <v>1410</v>
      </c>
      <c r="E53" s="60" t="s">
        <v>1411</v>
      </c>
      <c r="F53" s="60" t="s">
        <v>1412</v>
      </c>
      <c r="G53" s="60" t="s">
        <v>1413</v>
      </c>
      <c r="H53" s="60" t="s">
        <v>1414</v>
      </c>
      <c r="I53" s="60" t="s">
        <v>1415</v>
      </c>
      <c r="J53" s="60" t="s">
        <v>1416</v>
      </c>
      <c r="K53" s="60" t="s">
        <v>1417</v>
      </c>
      <c r="L53" s="60" t="s">
        <v>1418</v>
      </c>
      <c r="M53" s="60" t="s">
        <v>1419</v>
      </c>
      <c r="N53" s="60" t="s">
        <v>1420</v>
      </c>
      <c r="O53" s="60" t="s">
        <v>1421</v>
      </c>
      <c r="P53" s="60" t="s">
        <v>1422</v>
      </c>
      <c r="Q53" s="60" t="s">
        <v>1423</v>
      </c>
      <c r="R53" s="60" t="s">
        <v>1424</v>
      </c>
      <c r="S53" s="60" t="s">
        <v>1425</v>
      </c>
      <c r="T53" s="60" t="s">
        <v>1426</v>
      </c>
      <c r="U53" s="60" t="s">
        <v>1427</v>
      </c>
      <c r="V53" s="60" t="s">
        <v>1428</v>
      </c>
      <c r="W53" s="60" t="s">
        <v>1429</v>
      </c>
      <c r="X53" s="60" t="s">
        <v>1430</v>
      </c>
      <c r="Y53" s="60" t="s">
        <v>1431</v>
      </c>
      <c r="Z53" s="60" t="s">
        <v>1432</v>
      </c>
      <c r="AA53" s="60" t="s">
        <v>1433</v>
      </c>
      <c r="AB53" s="60" t="s">
        <v>1434</v>
      </c>
      <c r="AC53" s="60" t="s">
        <v>1435</v>
      </c>
    </row>
    <row r="54">
      <c r="A54" s="59" t="s">
        <v>1436</v>
      </c>
      <c r="B54" s="60" t="s">
        <v>1437</v>
      </c>
      <c r="C54" s="61" t="s">
        <v>1438</v>
      </c>
      <c r="D54" s="60" t="s">
        <v>1439</v>
      </c>
      <c r="E54" s="60" t="s">
        <v>1440</v>
      </c>
      <c r="F54" s="60" t="s">
        <v>1441</v>
      </c>
      <c r="G54" s="60" t="s">
        <v>1442</v>
      </c>
      <c r="H54" s="60" t="s">
        <v>1443</v>
      </c>
      <c r="I54" s="60" t="s">
        <v>1444</v>
      </c>
      <c r="J54" s="60" t="s">
        <v>1437</v>
      </c>
      <c r="K54" s="60" t="s">
        <v>1445</v>
      </c>
      <c r="L54" s="60" t="s">
        <v>1437</v>
      </c>
      <c r="M54" s="60" t="s">
        <v>1437</v>
      </c>
      <c r="N54" s="60" t="s">
        <v>1446</v>
      </c>
      <c r="O54" s="60" t="s">
        <v>1447</v>
      </c>
      <c r="P54" s="60" t="s">
        <v>1448</v>
      </c>
      <c r="Q54" s="60" t="s">
        <v>1449</v>
      </c>
      <c r="R54" s="60" t="s">
        <v>1450</v>
      </c>
      <c r="S54" s="60" t="s">
        <v>1451</v>
      </c>
      <c r="T54" s="60" t="s">
        <v>1452</v>
      </c>
      <c r="U54" s="60" t="s">
        <v>1453</v>
      </c>
      <c r="V54" s="60" t="s">
        <v>1454</v>
      </c>
      <c r="W54" s="60" t="s">
        <v>1455</v>
      </c>
      <c r="X54" s="60" t="s">
        <v>1456</v>
      </c>
      <c r="Y54" s="60" t="s">
        <v>1457</v>
      </c>
      <c r="Z54" s="60" t="s">
        <v>1458</v>
      </c>
      <c r="AA54" s="60" t="s">
        <v>1459</v>
      </c>
      <c r="AB54" s="60" t="s">
        <v>1460</v>
      </c>
      <c r="AC54" s="60" t="s">
        <v>1461</v>
      </c>
    </row>
    <row r="55">
      <c r="A55" s="59" t="s">
        <v>1462</v>
      </c>
      <c r="B55" s="60" t="s">
        <v>1463</v>
      </c>
      <c r="C55" s="61" t="s">
        <v>1464</v>
      </c>
      <c r="D55" s="60" t="s">
        <v>1465</v>
      </c>
      <c r="E55" s="60" t="s">
        <v>1466</v>
      </c>
      <c r="F55" s="60" t="s">
        <v>1467</v>
      </c>
      <c r="G55" s="60" t="s">
        <v>1468</v>
      </c>
      <c r="H55" s="60" t="s">
        <v>1469</v>
      </c>
      <c r="I55" s="60" t="s">
        <v>1470</v>
      </c>
      <c r="J55" s="60" t="s">
        <v>1471</v>
      </c>
      <c r="K55" s="60" t="s">
        <v>1472</v>
      </c>
      <c r="L55" s="60" t="s">
        <v>1473</v>
      </c>
      <c r="M55" s="60" t="s">
        <v>1474</v>
      </c>
      <c r="N55" s="60" t="s">
        <v>1475</v>
      </c>
      <c r="O55" s="60" t="s">
        <v>1476</v>
      </c>
      <c r="P55" s="60" t="s">
        <v>1477</v>
      </c>
      <c r="Q55" s="60" t="s">
        <v>1478</v>
      </c>
      <c r="R55" s="60" t="s">
        <v>1479</v>
      </c>
      <c r="S55" s="60" t="s">
        <v>1480</v>
      </c>
      <c r="T55" s="60" t="s">
        <v>1473</v>
      </c>
      <c r="U55" s="60" t="s">
        <v>1481</v>
      </c>
      <c r="V55" s="60" t="s">
        <v>1482</v>
      </c>
      <c r="W55" s="60" t="s">
        <v>1483</v>
      </c>
      <c r="X55" s="60" t="s">
        <v>1484</v>
      </c>
      <c r="Y55" s="60" t="s">
        <v>1485</v>
      </c>
      <c r="Z55" s="60" t="s">
        <v>1486</v>
      </c>
      <c r="AA55" s="60" t="s">
        <v>1487</v>
      </c>
      <c r="AB55" s="60" t="s">
        <v>1475</v>
      </c>
      <c r="AC55" s="60" t="s">
        <v>1488</v>
      </c>
    </row>
    <row r="56">
      <c r="A56" s="59" t="s">
        <v>1489</v>
      </c>
      <c r="B56" s="60" t="s">
        <v>1490</v>
      </c>
      <c r="C56" s="61" t="s">
        <v>1491</v>
      </c>
      <c r="D56" s="60" t="s">
        <v>1492</v>
      </c>
      <c r="E56" s="60" t="s">
        <v>1493</v>
      </c>
      <c r="F56" s="60" t="s">
        <v>1494</v>
      </c>
      <c r="G56" s="60" t="s">
        <v>1495</v>
      </c>
      <c r="H56" s="60" t="s">
        <v>1496</v>
      </c>
      <c r="I56" s="60" t="s">
        <v>1497</v>
      </c>
      <c r="J56" s="60" t="s">
        <v>1498</v>
      </c>
      <c r="K56" s="60" t="s">
        <v>1499</v>
      </c>
      <c r="L56" s="60" t="s">
        <v>1500</v>
      </c>
      <c r="M56" s="60" t="s">
        <v>1501</v>
      </c>
      <c r="N56" s="60" t="s">
        <v>1502</v>
      </c>
      <c r="O56" s="60" t="s">
        <v>1503</v>
      </c>
      <c r="P56" s="60" t="s">
        <v>1504</v>
      </c>
      <c r="Q56" s="60" t="s">
        <v>1505</v>
      </c>
      <c r="R56" s="60" t="s">
        <v>1506</v>
      </c>
      <c r="S56" s="60" t="s">
        <v>1507</v>
      </c>
      <c r="T56" s="60" t="s">
        <v>1500</v>
      </c>
      <c r="U56" s="60" t="s">
        <v>1508</v>
      </c>
      <c r="V56" s="60" t="s">
        <v>1509</v>
      </c>
      <c r="W56" s="60" t="s">
        <v>1510</v>
      </c>
      <c r="X56" s="60" t="s">
        <v>1511</v>
      </c>
      <c r="Y56" s="60" t="s">
        <v>1512</v>
      </c>
      <c r="Z56" s="60" t="s">
        <v>1513</v>
      </c>
      <c r="AA56" s="60" t="s">
        <v>1514</v>
      </c>
      <c r="AB56" s="60" t="s">
        <v>1515</v>
      </c>
      <c r="AC56" s="60" t="s">
        <v>1516</v>
      </c>
    </row>
    <row r="57">
      <c r="A57" s="59" t="s">
        <v>1517</v>
      </c>
      <c r="B57" s="60" t="s">
        <v>1518</v>
      </c>
      <c r="C57" s="61" t="s">
        <v>1519</v>
      </c>
      <c r="D57" s="60" t="s">
        <v>1520</v>
      </c>
      <c r="E57" s="60" t="s">
        <v>1521</v>
      </c>
      <c r="F57" s="60" t="s">
        <v>1522</v>
      </c>
      <c r="G57" s="60" t="s">
        <v>543</v>
      </c>
      <c r="H57" s="60" t="s">
        <v>1523</v>
      </c>
      <c r="I57" s="60" t="s">
        <v>1524</v>
      </c>
      <c r="J57" s="60" t="s">
        <v>1518</v>
      </c>
      <c r="K57" s="60" t="s">
        <v>1525</v>
      </c>
      <c r="L57" s="60" t="s">
        <v>535</v>
      </c>
      <c r="M57" s="60" t="s">
        <v>543</v>
      </c>
      <c r="N57" s="60" t="s">
        <v>1526</v>
      </c>
      <c r="O57" s="60" t="s">
        <v>1527</v>
      </c>
      <c r="P57" s="60" t="s">
        <v>1528</v>
      </c>
      <c r="Q57" s="60" t="s">
        <v>1529</v>
      </c>
      <c r="R57" s="60" t="s">
        <v>1530</v>
      </c>
      <c r="S57" s="60" t="s">
        <v>1531</v>
      </c>
      <c r="T57" s="60" t="s">
        <v>535</v>
      </c>
      <c r="U57" s="60" t="s">
        <v>1532</v>
      </c>
      <c r="V57" s="60" t="s">
        <v>1533</v>
      </c>
      <c r="W57" s="60" t="s">
        <v>1534</v>
      </c>
      <c r="X57" s="60" t="s">
        <v>1535</v>
      </c>
      <c r="Y57" s="60" t="s">
        <v>1536</v>
      </c>
      <c r="Z57" s="60" t="s">
        <v>1537</v>
      </c>
      <c r="AA57" s="60" t="s">
        <v>1538</v>
      </c>
      <c r="AB57" s="60" t="s">
        <v>550</v>
      </c>
      <c r="AC57" s="60" t="s">
        <v>551</v>
      </c>
    </row>
    <row r="58">
      <c r="A58" s="59" t="s">
        <v>1539</v>
      </c>
      <c r="B58" s="60" t="s">
        <v>1540</v>
      </c>
      <c r="C58" s="61" t="s">
        <v>1541</v>
      </c>
      <c r="D58" s="60" t="s">
        <v>1542</v>
      </c>
      <c r="E58" s="60" t="s">
        <v>1543</v>
      </c>
      <c r="F58" s="60" t="s">
        <v>1544</v>
      </c>
      <c r="G58" s="60" t="s">
        <v>1545</v>
      </c>
      <c r="H58" s="60" t="s">
        <v>1546</v>
      </c>
      <c r="I58" s="60" t="s">
        <v>1547</v>
      </c>
      <c r="J58" s="60" t="s">
        <v>1548</v>
      </c>
      <c r="K58" s="60" t="s">
        <v>1549</v>
      </c>
      <c r="L58" s="60" t="s">
        <v>1550</v>
      </c>
      <c r="M58" s="60" t="s">
        <v>1551</v>
      </c>
      <c r="N58" s="60" t="s">
        <v>1552</v>
      </c>
      <c r="O58" s="60" t="s">
        <v>1553</v>
      </c>
      <c r="P58" s="60" t="s">
        <v>1554</v>
      </c>
      <c r="Q58" s="60" t="s">
        <v>1555</v>
      </c>
      <c r="R58" s="60" t="s">
        <v>1556</v>
      </c>
      <c r="S58" s="60" t="s">
        <v>1557</v>
      </c>
      <c r="T58" s="60" t="s">
        <v>1558</v>
      </c>
      <c r="U58" s="60" t="s">
        <v>1559</v>
      </c>
      <c r="V58" s="60" t="s">
        <v>1560</v>
      </c>
      <c r="W58" s="60" t="s">
        <v>1561</v>
      </c>
      <c r="X58" s="60" t="s">
        <v>1562</v>
      </c>
      <c r="Y58" s="60" t="s">
        <v>1563</v>
      </c>
      <c r="Z58" s="60" t="s">
        <v>1564</v>
      </c>
      <c r="AA58" s="60" t="s">
        <v>1565</v>
      </c>
      <c r="AB58" s="60" t="s">
        <v>1566</v>
      </c>
      <c r="AC58" s="60" t="s">
        <v>1567</v>
      </c>
    </row>
    <row r="59">
      <c r="A59" s="59" t="s">
        <v>1568</v>
      </c>
      <c r="B59" s="60" t="s">
        <v>1569</v>
      </c>
      <c r="C59" s="61" t="s">
        <v>1570</v>
      </c>
      <c r="D59" s="60" t="s">
        <v>1571</v>
      </c>
      <c r="E59" s="60" t="s">
        <v>1572</v>
      </c>
      <c r="F59" s="60" t="s">
        <v>1573</v>
      </c>
      <c r="G59" s="60" t="s">
        <v>1574</v>
      </c>
      <c r="H59" s="60" t="s">
        <v>1575</v>
      </c>
      <c r="I59" s="60" t="s">
        <v>1576</v>
      </c>
      <c r="J59" s="60" t="s">
        <v>1577</v>
      </c>
      <c r="K59" s="60" t="s">
        <v>1578</v>
      </c>
      <c r="L59" s="60" t="s">
        <v>1579</v>
      </c>
      <c r="M59" s="60" t="s">
        <v>1580</v>
      </c>
      <c r="N59" s="60" t="s">
        <v>1581</v>
      </c>
      <c r="O59" s="60" t="s">
        <v>1582</v>
      </c>
      <c r="P59" s="60" t="s">
        <v>1583</v>
      </c>
      <c r="Q59" s="60" t="s">
        <v>1584</v>
      </c>
      <c r="R59" s="60" t="s">
        <v>1585</v>
      </c>
      <c r="S59" s="60" t="s">
        <v>1586</v>
      </c>
      <c r="T59" s="60" t="s">
        <v>1587</v>
      </c>
      <c r="U59" s="60" t="s">
        <v>1588</v>
      </c>
      <c r="V59" s="60" t="s">
        <v>1589</v>
      </c>
      <c r="W59" s="60" t="s">
        <v>1590</v>
      </c>
      <c r="X59" s="60" t="s">
        <v>1591</v>
      </c>
      <c r="Y59" s="60" t="s">
        <v>1592</v>
      </c>
      <c r="Z59" s="60" t="s">
        <v>1593</v>
      </c>
      <c r="AA59" s="60" t="s">
        <v>1594</v>
      </c>
      <c r="AB59" s="60" t="s">
        <v>1595</v>
      </c>
      <c r="AC59" s="60" t="s">
        <v>1596</v>
      </c>
    </row>
    <row r="60">
      <c r="A60" s="59" t="s">
        <v>1597</v>
      </c>
      <c r="B60" s="60" t="s">
        <v>1598</v>
      </c>
      <c r="C60" s="61" t="s">
        <v>1599</v>
      </c>
      <c r="D60" s="60" t="s">
        <v>1600</v>
      </c>
      <c r="E60" s="60" t="s">
        <v>1601</v>
      </c>
      <c r="F60" s="60" t="s">
        <v>1602</v>
      </c>
      <c r="G60" s="60" t="s">
        <v>1603</v>
      </c>
      <c r="H60" s="60" t="s">
        <v>1604</v>
      </c>
      <c r="I60" s="60" t="s">
        <v>1605</v>
      </c>
      <c r="J60" s="60" t="s">
        <v>1606</v>
      </c>
      <c r="K60" s="60" t="s">
        <v>1607</v>
      </c>
      <c r="L60" s="60" t="s">
        <v>1608</v>
      </c>
      <c r="M60" s="60" t="s">
        <v>1609</v>
      </c>
      <c r="N60" s="60" t="s">
        <v>1610</v>
      </c>
      <c r="O60" s="60" t="s">
        <v>1611</v>
      </c>
      <c r="P60" s="60" t="s">
        <v>1612</v>
      </c>
      <c r="Q60" s="60" t="s">
        <v>1613</v>
      </c>
      <c r="R60" s="60" t="s">
        <v>1614</v>
      </c>
      <c r="S60" s="60" t="s">
        <v>1615</v>
      </c>
      <c r="T60" s="60" t="s">
        <v>1616</v>
      </c>
      <c r="U60" s="60" t="s">
        <v>1617</v>
      </c>
      <c r="V60" s="60" t="s">
        <v>1618</v>
      </c>
      <c r="W60" s="60" t="s">
        <v>1619</v>
      </c>
      <c r="X60" s="60" t="s">
        <v>1620</v>
      </c>
      <c r="Y60" s="60" t="s">
        <v>1621</v>
      </c>
      <c r="Z60" s="60" t="s">
        <v>1622</v>
      </c>
      <c r="AA60" s="60" t="s">
        <v>1623</v>
      </c>
      <c r="AB60" s="60" t="s">
        <v>1624</v>
      </c>
      <c r="AC60" s="60" t="s">
        <v>1625</v>
      </c>
    </row>
    <row r="61">
      <c r="A61" s="59" t="s">
        <v>1626</v>
      </c>
      <c r="B61" s="60" t="s">
        <v>1627</v>
      </c>
      <c r="C61" s="61" t="s">
        <v>1628</v>
      </c>
      <c r="D61" s="60" t="s">
        <v>1629</v>
      </c>
      <c r="E61" s="60" t="s">
        <v>1630</v>
      </c>
      <c r="F61" s="60" t="s">
        <v>1631</v>
      </c>
      <c r="G61" s="60" t="s">
        <v>1632</v>
      </c>
      <c r="H61" s="60" t="s">
        <v>1633</v>
      </c>
      <c r="I61" s="60" t="s">
        <v>1634</v>
      </c>
      <c r="J61" s="60" t="s">
        <v>1635</v>
      </c>
      <c r="K61" s="60" t="s">
        <v>1636</v>
      </c>
      <c r="L61" s="60" t="s">
        <v>1637</v>
      </c>
      <c r="M61" s="60" t="s">
        <v>1638</v>
      </c>
      <c r="N61" s="60" t="s">
        <v>1639</v>
      </c>
      <c r="O61" s="60" t="s">
        <v>1640</v>
      </c>
      <c r="P61" s="60" t="s">
        <v>1641</v>
      </c>
      <c r="Q61" s="60" t="s">
        <v>1642</v>
      </c>
      <c r="R61" s="60" t="s">
        <v>1643</v>
      </c>
      <c r="S61" s="60" t="s">
        <v>1644</v>
      </c>
      <c r="T61" s="60" t="s">
        <v>1645</v>
      </c>
      <c r="U61" s="60" t="s">
        <v>1646</v>
      </c>
      <c r="V61" s="60" t="s">
        <v>1647</v>
      </c>
      <c r="W61" s="60" t="s">
        <v>1648</v>
      </c>
      <c r="X61" s="60" t="s">
        <v>1649</v>
      </c>
      <c r="Y61" s="60" t="s">
        <v>1650</v>
      </c>
      <c r="Z61" s="60" t="s">
        <v>1651</v>
      </c>
      <c r="AA61" s="60" t="s">
        <v>1652</v>
      </c>
      <c r="AB61" s="60" t="s">
        <v>1653</v>
      </c>
      <c r="AC61" s="60" t="s">
        <v>1654</v>
      </c>
    </row>
    <row r="62">
      <c r="A62" s="59" t="s">
        <v>1655</v>
      </c>
      <c r="B62" s="60" t="s">
        <v>1656</v>
      </c>
      <c r="C62" s="61" t="s">
        <v>1657</v>
      </c>
      <c r="D62" s="60" t="s">
        <v>1658</v>
      </c>
      <c r="E62" s="60" t="s">
        <v>1659</v>
      </c>
      <c r="F62" s="60" t="s">
        <v>1660</v>
      </c>
      <c r="G62" s="60" t="s">
        <v>1661</v>
      </c>
      <c r="H62" s="60" t="s">
        <v>1662</v>
      </c>
      <c r="I62" s="60" t="s">
        <v>1663</v>
      </c>
      <c r="J62" s="60" t="s">
        <v>1664</v>
      </c>
      <c r="K62" s="60" t="s">
        <v>1665</v>
      </c>
      <c r="L62" s="60" t="s">
        <v>1666</v>
      </c>
      <c r="M62" s="60" t="s">
        <v>1667</v>
      </c>
      <c r="N62" s="60" t="s">
        <v>1668</v>
      </c>
      <c r="O62" s="60" t="s">
        <v>1669</v>
      </c>
      <c r="P62" s="60" t="s">
        <v>1670</v>
      </c>
      <c r="Q62" s="60" t="s">
        <v>1671</v>
      </c>
      <c r="R62" s="60" t="s">
        <v>1672</v>
      </c>
      <c r="S62" s="60" t="s">
        <v>1673</v>
      </c>
      <c r="T62" s="60" t="s">
        <v>1666</v>
      </c>
      <c r="U62" s="60" t="s">
        <v>1674</v>
      </c>
      <c r="V62" s="60" t="s">
        <v>1675</v>
      </c>
      <c r="W62" s="60" t="s">
        <v>1676</v>
      </c>
      <c r="X62" s="60" t="s">
        <v>1677</v>
      </c>
      <c r="Y62" s="60" t="s">
        <v>1678</v>
      </c>
      <c r="Z62" s="60" t="s">
        <v>1679</v>
      </c>
      <c r="AA62" s="60" t="s">
        <v>1680</v>
      </c>
      <c r="AB62" s="60" t="s">
        <v>1681</v>
      </c>
      <c r="AC62" s="60" t="s">
        <v>1682</v>
      </c>
    </row>
    <row r="63">
      <c r="A63" s="59" t="s">
        <v>1683</v>
      </c>
      <c r="B63" s="60" t="s">
        <v>1684</v>
      </c>
      <c r="C63" s="61" t="s">
        <v>1685</v>
      </c>
      <c r="D63" s="60" t="s">
        <v>1686</v>
      </c>
      <c r="E63" s="60" t="s">
        <v>1687</v>
      </c>
      <c r="F63" s="60" t="s">
        <v>1688</v>
      </c>
      <c r="G63" s="60" t="s">
        <v>1689</v>
      </c>
      <c r="H63" s="60" t="s">
        <v>1690</v>
      </c>
      <c r="I63" s="60" t="s">
        <v>1691</v>
      </c>
      <c r="J63" s="60" t="s">
        <v>1692</v>
      </c>
      <c r="K63" s="60" t="s">
        <v>1693</v>
      </c>
      <c r="L63" s="60" t="s">
        <v>1694</v>
      </c>
      <c r="M63" s="60" t="s">
        <v>1695</v>
      </c>
      <c r="N63" s="60" t="s">
        <v>1696</v>
      </c>
      <c r="O63" s="60" t="s">
        <v>1697</v>
      </c>
      <c r="P63" s="60" t="s">
        <v>1698</v>
      </c>
      <c r="Q63" s="60" t="s">
        <v>1699</v>
      </c>
      <c r="R63" s="60" t="s">
        <v>1700</v>
      </c>
      <c r="S63" s="60" t="s">
        <v>1701</v>
      </c>
      <c r="T63" s="60" t="s">
        <v>1702</v>
      </c>
      <c r="U63" s="60" t="s">
        <v>1703</v>
      </c>
      <c r="V63" s="60" t="s">
        <v>1704</v>
      </c>
      <c r="W63" s="60" t="s">
        <v>1705</v>
      </c>
      <c r="X63" s="60" t="s">
        <v>1706</v>
      </c>
      <c r="Y63" s="60" t="s">
        <v>1707</v>
      </c>
      <c r="Z63" s="60" t="s">
        <v>1708</v>
      </c>
      <c r="AA63" s="60" t="s">
        <v>1709</v>
      </c>
      <c r="AB63" s="60" t="s">
        <v>1710</v>
      </c>
      <c r="AC63" s="60" t="s">
        <v>1711</v>
      </c>
    </row>
    <row r="64">
      <c r="A64" s="59" t="s">
        <v>1712</v>
      </c>
      <c r="B64" s="60" t="s">
        <v>1713</v>
      </c>
      <c r="C64" s="61" t="s">
        <v>1714</v>
      </c>
      <c r="D64" s="60" t="s">
        <v>1715</v>
      </c>
      <c r="E64" s="60" t="s">
        <v>1716</v>
      </c>
      <c r="F64" s="60" t="s">
        <v>1717</v>
      </c>
      <c r="G64" s="60" t="s">
        <v>1718</v>
      </c>
      <c r="H64" s="60" t="s">
        <v>1719</v>
      </c>
      <c r="I64" s="60" t="s">
        <v>1720</v>
      </c>
      <c r="J64" s="60" t="s">
        <v>1721</v>
      </c>
      <c r="K64" s="60" t="s">
        <v>1722</v>
      </c>
      <c r="L64" s="60" t="s">
        <v>1723</v>
      </c>
      <c r="M64" s="60" t="s">
        <v>1724</v>
      </c>
      <c r="N64" s="60" t="s">
        <v>1725</v>
      </c>
      <c r="O64" s="60" t="s">
        <v>1726</v>
      </c>
      <c r="P64" s="60" t="s">
        <v>1727</v>
      </c>
      <c r="Q64" s="60" t="s">
        <v>1728</v>
      </c>
      <c r="R64" s="60" t="s">
        <v>1729</v>
      </c>
      <c r="S64" s="60" t="s">
        <v>1730</v>
      </c>
      <c r="T64" s="60" t="s">
        <v>1723</v>
      </c>
      <c r="U64" s="60" t="s">
        <v>1731</v>
      </c>
      <c r="V64" s="60" t="s">
        <v>1732</v>
      </c>
      <c r="W64" s="60" t="s">
        <v>1718</v>
      </c>
      <c r="X64" s="60" t="s">
        <v>1733</v>
      </c>
      <c r="Y64" s="60" t="s">
        <v>1734</v>
      </c>
      <c r="Z64" s="60" t="s">
        <v>1735</v>
      </c>
      <c r="AA64" s="60" t="s">
        <v>1736</v>
      </c>
      <c r="AB64" s="60" t="s">
        <v>1737</v>
      </c>
      <c r="AC64" s="60" t="s">
        <v>1738</v>
      </c>
    </row>
    <row r="65">
      <c r="A65" s="59" t="s">
        <v>1739</v>
      </c>
      <c r="B65" s="60" t="s">
        <v>1740</v>
      </c>
      <c r="C65" s="61" t="s">
        <v>1741</v>
      </c>
      <c r="D65" s="60" t="s">
        <v>1742</v>
      </c>
      <c r="E65" s="60" t="s">
        <v>1740</v>
      </c>
      <c r="F65" s="60" t="s">
        <v>1354</v>
      </c>
      <c r="G65" s="60" t="s">
        <v>1743</v>
      </c>
      <c r="H65" s="60" t="s">
        <v>1744</v>
      </c>
      <c r="I65" s="60" t="s">
        <v>1745</v>
      </c>
      <c r="J65" s="60" t="s">
        <v>1746</v>
      </c>
      <c r="K65" s="60" t="s">
        <v>1747</v>
      </c>
      <c r="L65" s="60" t="s">
        <v>1748</v>
      </c>
      <c r="M65" s="60" t="s">
        <v>1749</v>
      </c>
      <c r="N65" s="60" t="s">
        <v>1750</v>
      </c>
      <c r="O65" s="60" t="s">
        <v>1751</v>
      </c>
      <c r="P65" s="60" t="s">
        <v>1752</v>
      </c>
      <c r="Q65" s="60" t="s">
        <v>1365</v>
      </c>
      <c r="R65" s="60" t="s">
        <v>1753</v>
      </c>
      <c r="S65" s="60" t="s">
        <v>1754</v>
      </c>
      <c r="T65" s="60" t="s">
        <v>1748</v>
      </c>
      <c r="U65" s="60" t="s">
        <v>1755</v>
      </c>
      <c r="V65" s="60" t="s">
        <v>1756</v>
      </c>
      <c r="W65" s="60" t="s">
        <v>1749</v>
      </c>
      <c r="X65" s="60" t="s">
        <v>1372</v>
      </c>
      <c r="Y65" s="60" t="s">
        <v>1757</v>
      </c>
      <c r="Z65" s="60" t="s">
        <v>1758</v>
      </c>
      <c r="AA65" s="60" t="s">
        <v>1759</v>
      </c>
      <c r="AB65" s="60" t="s">
        <v>1760</v>
      </c>
      <c r="AC65" s="60" t="s">
        <v>1377</v>
      </c>
    </row>
    <row r="66">
      <c r="A66" s="59" t="s">
        <v>1761</v>
      </c>
      <c r="B66" s="60" t="s">
        <v>1762</v>
      </c>
      <c r="C66" s="61" t="s">
        <v>1763</v>
      </c>
      <c r="D66" s="60" t="s">
        <v>1764</v>
      </c>
      <c r="E66" s="60" t="s">
        <v>1765</v>
      </c>
      <c r="F66" s="60" t="s">
        <v>1766</v>
      </c>
      <c r="G66" s="60" t="s">
        <v>1767</v>
      </c>
      <c r="H66" s="60" t="s">
        <v>1768</v>
      </c>
      <c r="I66" s="60" t="s">
        <v>1769</v>
      </c>
      <c r="J66" s="60" t="s">
        <v>1770</v>
      </c>
      <c r="K66" s="60" t="s">
        <v>1771</v>
      </c>
      <c r="L66" s="60" t="s">
        <v>1772</v>
      </c>
      <c r="M66" s="60" t="s">
        <v>1773</v>
      </c>
      <c r="N66" s="60" t="s">
        <v>1774</v>
      </c>
      <c r="O66" s="60" t="s">
        <v>1775</v>
      </c>
      <c r="P66" s="60" t="s">
        <v>1776</v>
      </c>
      <c r="Q66" s="60" t="s">
        <v>1777</v>
      </c>
      <c r="R66" s="60" t="s">
        <v>1778</v>
      </c>
      <c r="S66" s="60" t="s">
        <v>1779</v>
      </c>
      <c r="T66" s="60" t="s">
        <v>1780</v>
      </c>
      <c r="U66" s="60" t="s">
        <v>1781</v>
      </c>
      <c r="V66" s="60" t="s">
        <v>1782</v>
      </c>
      <c r="W66" s="60" t="s">
        <v>1783</v>
      </c>
      <c r="X66" s="60" t="s">
        <v>1784</v>
      </c>
      <c r="Y66" s="60" t="s">
        <v>1785</v>
      </c>
      <c r="Z66" s="60" t="s">
        <v>1786</v>
      </c>
      <c r="AA66" s="60" t="s">
        <v>1787</v>
      </c>
      <c r="AB66" s="60" t="s">
        <v>1788</v>
      </c>
      <c r="AC66" s="60" t="s">
        <v>1789</v>
      </c>
    </row>
    <row r="67">
      <c r="A67" s="59" t="s">
        <v>1790</v>
      </c>
      <c r="B67" s="60" t="s">
        <v>1791</v>
      </c>
      <c r="C67" s="61" t="s">
        <v>1792</v>
      </c>
      <c r="D67" s="60" t="s">
        <v>1793</v>
      </c>
      <c r="E67" s="60" t="s">
        <v>1794</v>
      </c>
      <c r="F67" s="60" t="s">
        <v>1795</v>
      </c>
      <c r="G67" s="60" t="s">
        <v>1796</v>
      </c>
      <c r="H67" s="60" t="s">
        <v>1797</v>
      </c>
      <c r="I67" s="60" t="s">
        <v>1798</v>
      </c>
      <c r="J67" s="60" t="s">
        <v>1799</v>
      </c>
      <c r="K67" s="60" t="s">
        <v>1800</v>
      </c>
      <c r="L67" s="60" t="s">
        <v>1801</v>
      </c>
      <c r="M67" s="60" t="s">
        <v>1802</v>
      </c>
      <c r="N67" s="60" t="s">
        <v>1803</v>
      </c>
      <c r="O67" s="60" t="s">
        <v>1804</v>
      </c>
      <c r="P67" s="60" t="s">
        <v>1805</v>
      </c>
      <c r="Q67" s="60" t="s">
        <v>1806</v>
      </c>
      <c r="R67" s="60" t="s">
        <v>1807</v>
      </c>
      <c r="S67" s="60" t="s">
        <v>1808</v>
      </c>
      <c r="T67" s="60" t="s">
        <v>1809</v>
      </c>
      <c r="U67" s="60" t="s">
        <v>1810</v>
      </c>
      <c r="V67" s="60" t="s">
        <v>1811</v>
      </c>
      <c r="W67" s="60" t="s">
        <v>1812</v>
      </c>
      <c r="X67" s="60" t="s">
        <v>1813</v>
      </c>
      <c r="Y67" s="60" t="s">
        <v>1814</v>
      </c>
      <c r="Z67" s="60" t="s">
        <v>1815</v>
      </c>
      <c r="AA67" s="60" t="s">
        <v>1816</v>
      </c>
      <c r="AB67" s="60" t="s">
        <v>1817</v>
      </c>
      <c r="AC67" s="60" t="s">
        <v>1818</v>
      </c>
    </row>
    <row r="68">
      <c r="A68" s="59" t="s">
        <v>1819</v>
      </c>
      <c r="B68" s="60" t="s">
        <v>1820</v>
      </c>
      <c r="C68" s="61" t="s">
        <v>1821</v>
      </c>
      <c r="D68" s="60" t="s">
        <v>1822</v>
      </c>
      <c r="E68" s="60" t="s">
        <v>1823</v>
      </c>
      <c r="F68" s="60" t="s">
        <v>1824</v>
      </c>
      <c r="G68" s="60" t="s">
        <v>1825</v>
      </c>
      <c r="H68" s="60" t="s">
        <v>1826</v>
      </c>
      <c r="I68" s="60" t="s">
        <v>1827</v>
      </c>
      <c r="J68" s="60" t="s">
        <v>1828</v>
      </c>
      <c r="K68" s="60" t="s">
        <v>1829</v>
      </c>
      <c r="L68" s="60" t="s">
        <v>1830</v>
      </c>
      <c r="M68" s="60" t="s">
        <v>1831</v>
      </c>
      <c r="N68" s="60" t="s">
        <v>1832</v>
      </c>
      <c r="O68" s="60" t="s">
        <v>1833</v>
      </c>
      <c r="P68" s="60" t="s">
        <v>1834</v>
      </c>
      <c r="Q68" s="60" t="s">
        <v>1835</v>
      </c>
      <c r="R68" s="60" t="s">
        <v>1836</v>
      </c>
      <c r="S68" s="60" t="s">
        <v>1837</v>
      </c>
      <c r="T68" s="60" t="s">
        <v>1838</v>
      </c>
      <c r="U68" s="60" t="s">
        <v>1839</v>
      </c>
      <c r="V68" s="60" t="s">
        <v>1840</v>
      </c>
      <c r="W68" s="60" t="s">
        <v>1841</v>
      </c>
      <c r="X68" s="60" t="s">
        <v>1842</v>
      </c>
      <c r="Y68" s="60" t="s">
        <v>1843</v>
      </c>
      <c r="Z68" s="60" t="s">
        <v>1844</v>
      </c>
      <c r="AA68" s="60" t="s">
        <v>1845</v>
      </c>
      <c r="AB68" s="60" t="s">
        <v>1846</v>
      </c>
      <c r="AC68" s="60" t="s">
        <v>1847</v>
      </c>
    </row>
    <row r="69">
      <c r="A69" s="59" t="s">
        <v>1848</v>
      </c>
      <c r="B69" s="60" t="s">
        <v>1849</v>
      </c>
      <c r="C69" s="61" t="s">
        <v>1850</v>
      </c>
      <c r="D69" s="60" t="s">
        <v>1851</v>
      </c>
      <c r="E69" s="60" t="s">
        <v>1852</v>
      </c>
      <c r="F69" s="60" t="s">
        <v>1853</v>
      </c>
      <c r="G69" s="60" t="s">
        <v>1854</v>
      </c>
      <c r="H69" s="60" t="s">
        <v>1855</v>
      </c>
      <c r="I69" s="60" t="s">
        <v>1856</v>
      </c>
      <c r="J69" s="60" t="s">
        <v>1857</v>
      </c>
      <c r="K69" s="60" t="s">
        <v>1858</v>
      </c>
      <c r="L69" s="60" t="s">
        <v>1859</v>
      </c>
      <c r="M69" s="60" t="s">
        <v>1860</v>
      </c>
      <c r="N69" s="60" t="s">
        <v>1861</v>
      </c>
      <c r="O69" s="60" t="s">
        <v>1862</v>
      </c>
      <c r="P69" s="60" t="s">
        <v>1863</v>
      </c>
      <c r="Q69" s="60" t="s">
        <v>1864</v>
      </c>
      <c r="R69" s="60" t="s">
        <v>1865</v>
      </c>
      <c r="S69" s="60" t="s">
        <v>1866</v>
      </c>
      <c r="T69" s="60" t="s">
        <v>1867</v>
      </c>
      <c r="U69" s="60" t="s">
        <v>1868</v>
      </c>
      <c r="V69" s="60" t="s">
        <v>1869</v>
      </c>
      <c r="W69" s="60" t="s">
        <v>1870</v>
      </c>
      <c r="X69" s="60" t="s">
        <v>1871</v>
      </c>
      <c r="Y69" s="60" t="s">
        <v>1872</v>
      </c>
      <c r="Z69" s="60" t="s">
        <v>1873</v>
      </c>
      <c r="AA69" s="60" t="s">
        <v>1874</v>
      </c>
      <c r="AB69" s="60" t="s">
        <v>1875</v>
      </c>
      <c r="AC69" s="60" t="s">
        <v>1876</v>
      </c>
    </row>
    <row r="70">
      <c r="A70" s="59" t="s">
        <v>1877</v>
      </c>
      <c r="B70" s="60" t="s">
        <v>1878</v>
      </c>
      <c r="C70" s="61" t="s">
        <v>1879</v>
      </c>
      <c r="D70" s="60" t="s">
        <v>1880</v>
      </c>
      <c r="E70" s="60" t="s">
        <v>1881</v>
      </c>
      <c r="F70" s="60" t="s">
        <v>1882</v>
      </c>
      <c r="G70" s="60" t="s">
        <v>1883</v>
      </c>
      <c r="H70" s="60" t="s">
        <v>1884</v>
      </c>
      <c r="I70" s="60" t="s">
        <v>1885</v>
      </c>
      <c r="J70" s="60" t="s">
        <v>1886</v>
      </c>
      <c r="K70" s="60" t="s">
        <v>1887</v>
      </c>
      <c r="L70" s="60" t="s">
        <v>1888</v>
      </c>
      <c r="M70" s="60" t="s">
        <v>1889</v>
      </c>
      <c r="N70" s="60" t="s">
        <v>1890</v>
      </c>
      <c r="O70" s="60" t="s">
        <v>1891</v>
      </c>
      <c r="P70" s="60" t="s">
        <v>1892</v>
      </c>
      <c r="Q70" s="60" t="s">
        <v>1893</v>
      </c>
      <c r="R70" s="60" t="s">
        <v>1894</v>
      </c>
      <c r="S70" s="60" t="s">
        <v>1895</v>
      </c>
      <c r="T70" s="60" t="s">
        <v>1896</v>
      </c>
      <c r="U70" s="60" t="s">
        <v>1897</v>
      </c>
      <c r="V70" s="60" t="s">
        <v>1898</v>
      </c>
      <c r="W70" s="60" t="s">
        <v>1899</v>
      </c>
      <c r="X70" s="60" t="s">
        <v>1900</v>
      </c>
      <c r="Y70" s="60" t="s">
        <v>1901</v>
      </c>
      <c r="Z70" s="60" t="s">
        <v>1902</v>
      </c>
      <c r="AA70" s="60" t="s">
        <v>1903</v>
      </c>
      <c r="AB70" s="60" t="s">
        <v>1904</v>
      </c>
      <c r="AC70" s="60" t="s">
        <v>1905</v>
      </c>
    </row>
    <row r="71">
      <c r="A71" s="59" t="s">
        <v>1906</v>
      </c>
      <c r="B71" s="60" t="s">
        <v>1907</v>
      </c>
      <c r="C71" s="61" t="s">
        <v>1908</v>
      </c>
      <c r="D71" s="60" t="s">
        <v>1909</v>
      </c>
      <c r="E71" s="60" t="s">
        <v>1910</v>
      </c>
      <c r="F71" s="60" t="s">
        <v>1911</v>
      </c>
      <c r="G71" s="60" t="s">
        <v>1912</v>
      </c>
      <c r="H71" s="60" t="s">
        <v>1913</v>
      </c>
      <c r="I71" s="60" t="s">
        <v>1914</v>
      </c>
      <c r="J71" s="60" t="s">
        <v>1915</v>
      </c>
      <c r="K71" s="60" t="s">
        <v>1916</v>
      </c>
      <c r="L71" s="60" t="s">
        <v>1917</v>
      </c>
      <c r="M71" s="60" t="s">
        <v>1918</v>
      </c>
      <c r="N71" s="60" t="s">
        <v>1919</v>
      </c>
      <c r="O71" s="60" t="s">
        <v>1920</v>
      </c>
      <c r="P71" s="60" t="s">
        <v>1921</v>
      </c>
      <c r="Q71" s="60" t="s">
        <v>1922</v>
      </c>
      <c r="R71" s="60" t="s">
        <v>1923</v>
      </c>
      <c r="S71" s="60" t="s">
        <v>1924</v>
      </c>
      <c r="T71" s="60" t="s">
        <v>1925</v>
      </c>
      <c r="U71" s="60" t="s">
        <v>1926</v>
      </c>
      <c r="V71" s="60" t="s">
        <v>1927</v>
      </c>
      <c r="W71" s="60" t="s">
        <v>1928</v>
      </c>
      <c r="X71" s="60" t="s">
        <v>1929</v>
      </c>
      <c r="Y71" s="60" t="s">
        <v>1930</v>
      </c>
      <c r="Z71" s="60" t="s">
        <v>1931</v>
      </c>
      <c r="AA71" s="60" t="s">
        <v>1932</v>
      </c>
      <c r="AB71" s="60" t="s">
        <v>1933</v>
      </c>
      <c r="AC71" s="60" t="s">
        <v>1934</v>
      </c>
    </row>
    <row r="72">
      <c r="A72" s="59" t="s">
        <v>1935</v>
      </c>
      <c r="B72" s="60" t="s">
        <v>1072</v>
      </c>
      <c r="C72" s="61" t="s">
        <v>1073</v>
      </c>
      <c r="D72" s="60" t="s">
        <v>1074</v>
      </c>
      <c r="E72" s="60" t="s">
        <v>1075</v>
      </c>
      <c r="F72" s="60" t="s">
        <v>1076</v>
      </c>
      <c r="G72" s="60" t="s">
        <v>1077</v>
      </c>
      <c r="H72" s="60" t="s">
        <v>1078</v>
      </c>
      <c r="I72" s="60" t="s">
        <v>1079</v>
      </c>
      <c r="J72" s="60" t="s">
        <v>1080</v>
      </c>
      <c r="K72" s="60" t="s">
        <v>1081</v>
      </c>
      <c r="L72" s="60" t="s">
        <v>1082</v>
      </c>
      <c r="M72" s="60" t="s">
        <v>1083</v>
      </c>
      <c r="N72" s="60" t="s">
        <v>1084</v>
      </c>
      <c r="O72" s="60" t="s">
        <v>1085</v>
      </c>
      <c r="P72" s="60" t="s">
        <v>1086</v>
      </c>
      <c r="Q72" s="60" t="s">
        <v>1087</v>
      </c>
      <c r="R72" s="60" t="s">
        <v>1088</v>
      </c>
      <c r="S72" s="60" t="s">
        <v>1089</v>
      </c>
      <c r="T72" s="60" t="s">
        <v>1090</v>
      </c>
      <c r="U72" s="60" t="s">
        <v>1091</v>
      </c>
      <c r="V72" s="60" t="s">
        <v>1092</v>
      </c>
      <c r="W72" s="60" t="s">
        <v>1093</v>
      </c>
      <c r="X72" s="60" t="s">
        <v>1094</v>
      </c>
      <c r="Y72" s="60" t="s">
        <v>1095</v>
      </c>
      <c r="Z72" s="60" t="s">
        <v>1096</v>
      </c>
      <c r="AA72" s="60" t="s">
        <v>1097</v>
      </c>
      <c r="AB72" s="60" t="s">
        <v>1098</v>
      </c>
      <c r="AC72" s="60" t="s">
        <v>1099</v>
      </c>
    </row>
    <row r="73">
      <c r="A73" s="59" t="s">
        <v>1936</v>
      </c>
      <c r="B73" s="60" t="s">
        <v>1937</v>
      </c>
      <c r="C73" s="61" t="s">
        <v>1938</v>
      </c>
      <c r="D73" s="60" t="s">
        <v>1939</v>
      </c>
      <c r="E73" s="60" t="s">
        <v>1940</v>
      </c>
      <c r="F73" s="60" t="s">
        <v>1941</v>
      </c>
      <c r="G73" s="60" t="s">
        <v>1942</v>
      </c>
      <c r="H73" s="60" t="s">
        <v>1943</v>
      </c>
      <c r="I73" s="60" t="s">
        <v>1944</v>
      </c>
      <c r="J73" s="60" t="s">
        <v>1945</v>
      </c>
      <c r="K73" s="60" t="s">
        <v>1946</v>
      </c>
      <c r="L73" s="60" t="s">
        <v>1947</v>
      </c>
      <c r="M73" s="60" t="s">
        <v>1948</v>
      </c>
      <c r="N73" s="60" t="s">
        <v>1949</v>
      </c>
      <c r="O73" s="60" t="s">
        <v>1950</v>
      </c>
      <c r="P73" s="60" t="s">
        <v>1951</v>
      </c>
      <c r="Q73" s="60" t="s">
        <v>1952</v>
      </c>
      <c r="R73" s="60" t="s">
        <v>1953</v>
      </c>
      <c r="S73" s="60" t="s">
        <v>1954</v>
      </c>
      <c r="T73" s="60" t="s">
        <v>1955</v>
      </c>
      <c r="U73" s="60" t="s">
        <v>1956</v>
      </c>
      <c r="V73" s="60" t="s">
        <v>1957</v>
      </c>
      <c r="W73" s="60" t="s">
        <v>1958</v>
      </c>
      <c r="X73" s="60" t="s">
        <v>1959</v>
      </c>
      <c r="Y73" s="60" t="s">
        <v>1960</v>
      </c>
      <c r="Z73" s="60" t="s">
        <v>1961</v>
      </c>
      <c r="AA73" s="60" t="s">
        <v>1962</v>
      </c>
      <c r="AB73" s="60" t="s">
        <v>1963</v>
      </c>
      <c r="AC73" s="60" t="s">
        <v>1964</v>
      </c>
    </row>
    <row r="74">
      <c r="A74" s="59" t="s">
        <v>1965</v>
      </c>
      <c r="B74" s="60" t="s">
        <v>1966</v>
      </c>
      <c r="C74" s="61" t="s">
        <v>1967</v>
      </c>
      <c r="D74" s="60" t="s">
        <v>1968</v>
      </c>
      <c r="E74" s="60" t="s">
        <v>1969</v>
      </c>
      <c r="F74" s="60" t="s">
        <v>1970</v>
      </c>
      <c r="G74" s="60" t="s">
        <v>1971</v>
      </c>
      <c r="H74" s="60" t="s">
        <v>1972</v>
      </c>
      <c r="I74" s="60" t="s">
        <v>1973</v>
      </c>
      <c r="J74" s="60" t="s">
        <v>1974</v>
      </c>
      <c r="K74" s="60" t="s">
        <v>1975</v>
      </c>
      <c r="L74" s="60" t="s">
        <v>1976</v>
      </c>
      <c r="M74" s="60" t="s">
        <v>1977</v>
      </c>
      <c r="N74" s="60" t="s">
        <v>1978</v>
      </c>
      <c r="O74" s="60" t="s">
        <v>1979</v>
      </c>
      <c r="P74" s="60" t="s">
        <v>1980</v>
      </c>
      <c r="Q74" s="60" t="s">
        <v>1981</v>
      </c>
      <c r="R74" s="60" t="s">
        <v>1982</v>
      </c>
      <c r="S74" s="60" t="s">
        <v>1983</v>
      </c>
      <c r="T74" s="60" t="s">
        <v>1984</v>
      </c>
      <c r="U74" s="60" t="s">
        <v>1985</v>
      </c>
      <c r="V74" s="60" t="s">
        <v>1986</v>
      </c>
      <c r="W74" s="60" t="s">
        <v>1987</v>
      </c>
      <c r="X74" s="60" t="s">
        <v>1988</v>
      </c>
      <c r="Y74" s="60" t="s">
        <v>1989</v>
      </c>
      <c r="Z74" s="60" t="s">
        <v>1990</v>
      </c>
      <c r="AA74" s="60" t="s">
        <v>1991</v>
      </c>
      <c r="AB74" s="60" t="s">
        <v>1992</v>
      </c>
      <c r="AC74" s="60" t="s">
        <v>1993</v>
      </c>
    </row>
    <row r="75">
      <c r="A75" s="59" t="s">
        <v>1994</v>
      </c>
      <c r="B75" s="60" t="s">
        <v>1995</v>
      </c>
      <c r="C75" s="61" t="s">
        <v>1996</v>
      </c>
      <c r="D75" s="60" t="s">
        <v>1997</v>
      </c>
      <c r="E75" s="60" t="s">
        <v>1998</v>
      </c>
      <c r="F75" s="60" t="s">
        <v>1999</v>
      </c>
      <c r="G75" s="60" t="s">
        <v>2000</v>
      </c>
      <c r="H75" s="60" t="s">
        <v>2001</v>
      </c>
      <c r="I75" s="60" t="s">
        <v>2002</v>
      </c>
      <c r="J75" s="60" t="s">
        <v>2003</v>
      </c>
      <c r="K75" s="60" t="s">
        <v>2004</v>
      </c>
      <c r="L75" s="60" t="s">
        <v>2005</v>
      </c>
      <c r="M75" s="60" t="s">
        <v>2006</v>
      </c>
      <c r="N75" s="60" t="s">
        <v>2007</v>
      </c>
      <c r="O75" s="60" t="s">
        <v>2008</v>
      </c>
      <c r="P75" s="60" t="s">
        <v>2009</v>
      </c>
      <c r="Q75" s="60" t="s">
        <v>2010</v>
      </c>
      <c r="R75" s="60" t="s">
        <v>2011</v>
      </c>
      <c r="S75" s="60" t="s">
        <v>2012</v>
      </c>
      <c r="T75" s="60" t="s">
        <v>2005</v>
      </c>
      <c r="U75" s="60" t="s">
        <v>2013</v>
      </c>
      <c r="V75" s="60" t="s">
        <v>2014</v>
      </c>
      <c r="W75" s="60" t="s">
        <v>2015</v>
      </c>
      <c r="X75" s="60" t="s">
        <v>2016</v>
      </c>
      <c r="Y75" s="60" t="s">
        <v>2017</v>
      </c>
      <c r="Z75" s="60" t="s">
        <v>2018</v>
      </c>
      <c r="AA75" s="60" t="s">
        <v>2019</v>
      </c>
      <c r="AB75" s="60" t="s">
        <v>2020</v>
      </c>
      <c r="AC75" s="60" t="s">
        <v>2021</v>
      </c>
    </row>
    <row r="76">
      <c r="A76" s="59" t="s">
        <v>2022</v>
      </c>
      <c r="B76" s="60" t="s">
        <v>2023</v>
      </c>
      <c r="C76" s="61" t="s">
        <v>2024</v>
      </c>
      <c r="D76" s="60" t="s">
        <v>2025</v>
      </c>
      <c r="E76" s="60" t="s">
        <v>2026</v>
      </c>
      <c r="F76" s="60" t="s">
        <v>2027</v>
      </c>
      <c r="G76" s="60" t="s">
        <v>2028</v>
      </c>
      <c r="H76" s="60" t="s">
        <v>2029</v>
      </c>
      <c r="I76" s="60" t="s">
        <v>2030</v>
      </c>
      <c r="J76" s="60" t="s">
        <v>2031</v>
      </c>
      <c r="K76" s="60" t="s">
        <v>2032</v>
      </c>
      <c r="L76" s="60" t="s">
        <v>2033</v>
      </c>
      <c r="M76" s="60" t="s">
        <v>2034</v>
      </c>
      <c r="N76" s="60" t="s">
        <v>2035</v>
      </c>
      <c r="O76" s="60" t="s">
        <v>2036</v>
      </c>
      <c r="P76" s="60" t="s">
        <v>2037</v>
      </c>
      <c r="Q76" s="60" t="s">
        <v>2038</v>
      </c>
      <c r="R76" s="60" t="s">
        <v>2039</v>
      </c>
      <c r="S76" s="60" t="s">
        <v>2040</v>
      </c>
      <c r="T76" s="60" t="s">
        <v>2041</v>
      </c>
      <c r="U76" s="60" t="s">
        <v>2042</v>
      </c>
      <c r="V76" s="60" t="s">
        <v>2043</v>
      </c>
      <c r="W76" s="60" t="s">
        <v>2044</v>
      </c>
      <c r="X76" s="60" t="s">
        <v>2045</v>
      </c>
      <c r="Y76" s="60" t="s">
        <v>2046</v>
      </c>
      <c r="Z76" s="60" t="s">
        <v>2047</v>
      </c>
      <c r="AA76" s="60" t="s">
        <v>2048</v>
      </c>
      <c r="AB76" s="60" t="s">
        <v>2049</v>
      </c>
      <c r="AC76" s="60" t="s">
        <v>2050</v>
      </c>
    </row>
    <row r="77">
      <c r="A77" s="59" t="s">
        <v>2051</v>
      </c>
      <c r="B77" s="60" t="s">
        <v>2052</v>
      </c>
      <c r="C77" s="61" t="s">
        <v>2053</v>
      </c>
      <c r="D77" s="60" t="s">
        <v>2054</v>
      </c>
      <c r="E77" s="60" t="s">
        <v>2055</v>
      </c>
      <c r="F77" s="60" t="s">
        <v>2056</v>
      </c>
      <c r="G77" s="60" t="s">
        <v>2057</v>
      </c>
      <c r="H77" s="60" t="s">
        <v>2058</v>
      </c>
      <c r="I77" s="60" t="s">
        <v>2059</v>
      </c>
      <c r="J77" s="60" t="s">
        <v>2060</v>
      </c>
      <c r="K77" s="60" t="s">
        <v>2061</v>
      </c>
      <c r="L77" s="60" t="s">
        <v>2062</v>
      </c>
      <c r="M77" s="60" t="s">
        <v>2063</v>
      </c>
      <c r="N77" s="60" t="s">
        <v>2064</v>
      </c>
      <c r="O77" s="60" t="s">
        <v>2065</v>
      </c>
      <c r="P77" s="60" t="s">
        <v>2066</v>
      </c>
      <c r="Q77" s="60" t="s">
        <v>2067</v>
      </c>
      <c r="R77" s="60" t="s">
        <v>2068</v>
      </c>
      <c r="S77" s="60" t="s">
        <v>2069</v>
      </c>
      <c r="T77" s="60" t="s">
        <v>2062</v>
      </c>
      <c r="U77" s="60" t="s">
        <v>2070</v>
      </c>
      <c r="V77" s="60" t="s">
        <v>2071</v>
      </c>
      <c r="W77" s="60" t="s">
        <v>2072</v>
      </c>
      <c r="X77" s="60" t="s">
        <v>2073</v>
      </c>
      <c r="Y77" s="60" t="s">
        <v>2074</v>
      </c>
      <c r="Z77" s="60" t="s">
        <v>2075</v>
      </c>
      <c r="AA77" s="60" t="s">
        <v>2076</v>
      </c>
      <c r="AB77" s="60" t="s">
        <v>2077</v>
      </c>
      <c r="AC77" s="60" t="s">
        <v>2078</v>
      </c>
    </row>
    <row r="78">
      <c r="A78" s="59" t="s">
        <v>2079</v>
      </c>
      <c r="B78" s="60" t="s">
        <v>2080</v>
      </c>
      <c r="C78" s="61" t="s">
        <v>2081</v>
      </c>
      <c r="D78" s="60" t="s">
        <v>2082</v>
      </c>
      <c r="E78" s="60" t="s">
        <v>2083</v>
      </c>
      <c r="F78" s="60" t="s">
        <v>2084</v>
      </c>
      <c r="G78" s="60" t="s">
        <v>2085</v>
      </c>
      <c r="H78" s="60" t="s">
        <v>2086</v>
      </c>
      <c r="I78" s="60" t="s">
        <v>2087</v>
      </c>
      <c r="J78" s="60" t="s">
        <v>2088</v>
      </c>
      <c r="K78" s="60" t="s">
        <v>2089</v>
      </c>
      <c r="L78" s="60" t="s">
        <v>2090</v>
      </c>
      <c r="M78" s="60" t="s">
        <v>2091</v>
      </c>
      <c r="N78" s="60" t="s">
        <v>2092</v>
      </c>
      <c r="O78" s="60" t="s">
        <v>2093</v>
      </c>
      <c r="P78" s="60" t="s">
        <v>2094</v>
      </c>
      <c r="Q78" s="60" t="s">
        <v>2095</v>
      </c>
      <c r="R78" s="60" t="s">
        <v>2096</v>
      </c>
      <c r="S78" s="60" t="s">
        <v>2097</v>
      </c>
      <c r="T78" s="60" t="s">
        <v>2090</v>
      </c>
      <c r="U78" s="60" t="s">
        <v>2098</v>
      </c>
      <c r="V78" s="60" t="s">
        <v>2099</v>
      </c>
      <c r="W78" s="60" t="s">
        <v>2100</v>
      </c>
      <c r="X78" s="60" t="s">
        <v>2101</v>
      </c>
      <c r="Y78" s="60" t="s">
        <v>2102</v>
      </c>
      <c r="Z78" s="60" t="s">
        <v>2103</v>
      </c>
      <c r="AA78" s="60" t="s">
        <v>2104</v>
      </c>
      <c r="AB78" s="60" t="s">
        <v>2105</v>
      </c>
      <c r="AC78" s="60" t="s">
        <v>2106</v>
      </c>
    </row>
    <row r="79">
      <c r="A79" s="59" t="s">
        <v>2107</v>
      </c>
      <c r="B79" s="60" t="s">
        <v>2108</v>
      </c>
      <c r="C79" s="61" t="s">
        <v>2109</v>
      </c>
      <c r="D79" s="60" t="s">
        <v>2110</v>
      </c>
      <c r="E79" s="60" t="s">
        <v>2111</v>
      </c>
      <c r="F79" s="60" t="s">
        <v>2112</v>
      </c>
      <c r="G79" s="60" t="s">
        <v>2113</v>
      </c>
      <c r="H79" s="60" t="s">
        <v>2114</v>
      </c>
      <c r="I79" s="60" t="s">
        <v>2115</v>
      </c>
      <c r="J79" s="60" t="s">
        <v>2116</v>
      </c>
      <c r="K79" s="60" t="s">
        <v>2117</v>
      </c>
      <c r="L79" s="60" t="s">
        <v>2118</v>
      </c>
      <c r="M79" s="60" t="s">
        <v>2119</v>
      </c>
      <c r="N79" s="60" t="s">
        <v>2120</v>
      </c>
      <c r="O79" s="60" t="s">
        <v>2121</v>
      </c>
      <c r="P79" s="60" t="s">
        <v>2122</v>
      </c>
      <c r="Q79" s="60" t="s">
        <v>2123</v>
      </c>
      <c r="R79" s="60" t="s">
        <v>2124</v>
      </c>
      <c r="S79" s="60" t="s">
        <v>2125</v>
      </c>
      <c r="T79" s="60" t="s">
        <v>2118</v>
      </c>
      <c r="U79" s="60" t="s">
        <v>2126</v>
      </c>
      <c r="V79" s="60" t="s">
        <v>2127</v>
      </c>
      <c r="W79" s="60" t="s">
        <v>2128</v>
      </c>
      <c r="X79" s="60" t="s">
        <v>2129</v>
      </c>
      <c r="Y79" s="60" t="s">
        <v>2130</v>
      </c>
      <c r="Z79" s="60" t="s">
        <v>2131</v>
      </c>
      <c r="AA79" s="60" t="s">
        <v>2132</v>
      </c>
      <c r="AB79" s="60" t="s">
        <v>2133</v>
      </c>
      <c r="AC79" s="60" t="s">
        <v>2134</v>
      </c>
    </row>
    <row r="80">
      <c r="A80" s="59" t="s">
        <v>2135</v>
      </c>
      <c r="B80" s="60" t="s">
        <v>2136</v>
      </c>
      <c r="C80" s="61" t="s">
        <v>2137</v>
      </c>
      <c r="D80" s="60" t="s">
        <v>2138</v>
      </c>
      <c r="E80" s="60" t="s">
        <v>2139</v>
      </c>
      <c r="F80" s="60" t="s">
        <v>2140</v>
      </c>
      <c r="G80" s="60" t="s">
        <v>2141</v>
      </c>
      <c r="H80" s="60" t="s">
        <v>2142</v>
      </c>
      <c r="I80" s="60" t="s">
        <v>2143</v>
      </c>
      <c r="J80" s="60" t="s">
        <v>2144</v>
      </c>
      <c r="K80" s="60" t="s">
        <v>2145</v>
      </c>
      <c r="L80" s="60" t="s">
        <v>2146</v>
      </c>
      <c r="M80" s="60" t="s">
        <v>2147</v>
      </c>
      <c r="N80" s="60" t="s">
        <v>2148</v>
      </c>
      <c r="O80" s="60" t="s">
        <v>2149</v>
      </c>
      <c r="P80" s="60" t="s">
        <v>2150</v>
      </c>
      <c r="Q80" s="60" t="s">
        <v>2151</v>
      </c>
      <c r="R80" s="60" t="s">
        <v>2152</v>
      </c>
      <c r="S80" s="60" t="s">
        <v>2153</v>
      </c>
      <c r="T80" s="60" t="s">
        <v>2154</v>
      </c>
      <c r="U80" s="60" t="s">
        <v>2155</v>
      </c>
      <c r="V80" s="60" t="s">
        <v>2156</v>
      </c>
      <c r="W80" s="60" t="s">
        <v>2157</v>
      </c>
      <c r="X80" s="60" t="s">
        <v>2158</v>
      </c>
      <c r="Y80" s="60" t="s">
        <v>2159</v>
      </c>
      <c r="Z80" s="60" t="s">
        <v>2160</v>
      </c>
      <c r="AA80" s="60" t="s">
        <v>2161</v>
      </c>
      <c r="AB80" s="60" t="s">
        <v>2162</v>
      </c>
      <c r="AC80" s="60" t="s">
        <v>2163</v>
      </c>
    </row>
    <row r="81">
      <c r="A81" s="59" t="s">
        <v>2164</v>
      </c>
      <c r="B81" s="60" t="s">
        <v>2165</v>
      </c>
      <c r="C81" s="61" t="s">
        <v>2166</v>
      </c>
      <c r="D81" s="60" t="s">
        <v>2167</v>
      </c>
      <c r="E81" s="60" t="s">
        <v>2168</v>
      </c>
      <c r="F81" s="60" t="s">
        <v>2169</v>
      </c>
      <c r="G81" s="60" t="s">
        <v>2170</v>
      </c>
      <c r="H81" s="60" t="s">
        <v>2171</v>
      </c>
      <c r="I81" s="60" t="s">
        <v>2172</v>
      </c>
      <c r="J81" s="60" t="s">
        <v>2173</v>
      </c>
      <c r="K81" s="60" t="s">
        <v>2174</v>
      </c>
      <c r="L81" s="60" t="s">
        <v>2175</v>
      </c>
      <c r="M81" s="60" t="s">
        <v>2176</v>
      </c>
      <c r="N81" s="60" t="s">
        <v>2177</v>
      </c>
      <c r="O81" s="60" t="s">
        <v>2178</v>
      </c>
      <c r="P81" s="60" t="s">
        <v>2179</v>
      </c>
      <c r="Q81" s="60" t="s">
        <v>2180</v>
      </c>
      <c r="R81" s="60" t="s">
        <v>2181</v>
      </c>
      <c r="S81" s="60" t="s">
        <v>2182</v>
      </c>
      <c r="T81" s="60" t="s">
        <v>2183</v>
      </c>
      <c r="U81" s="60" t="s">
        <v>2184</v>
      </c>
      <c r="V81" s="60" t="s">
        <v>2185</v>
      </c>
      <c r="W81" s="60" t="s">
        <v>2186</v>
      </c>
      <c r="X81" s="60" t="s">
        <v>2187</v>
      </c>
      <c r="Y81" s="60" t="s">
        <v>2188</v>
      </c>
      <c r="Z81" s="60" t="s">
        <v>2189</v>
      </c>
      <c r="AA81" s="60" t="s">
        <v>2190</v>
      </c>
      <c r="AB81" s="60" t="s">
        <v>2191</v>
      </c>
      <c r="AC81" s="60" t="s">
        <v>2192</v>
      </c>
    </row>
    <row r="82">
      <c r="A82" s="59" t="s">
        <v>2193</v>
      </c>
      <c r="B82" s="60" t="s">
        <v>2194</v>
      </c>
      <c r="C82" s="61" t="s">
        <v>2195</v>
      </c>
      <c r="D82" s="60" t="s">
        <v>2196</v>
      </c>
      <c r="E82" s="60" t="s">
        <v>2197</v>
      </c>
      <c r="F82" s="60" t="s">
        <v>2198</v>
      </c>
      <c r="G82" s="60" t="s">
        <v>2199</v>
      </c>
      <c r="H82" s="60" t="s">
        <v>2200</v>
      </c>
      <c r="I82" s="60" t="s">
        <v>2201</v>
      </c>
      <c r="J82" s="60" t="s">
        <v>2202</v>
      </c>
      <c r="K82" s="60" t="s">
        <v>2203</v>
      </c>
      <c r="L82" s="60" t="s">
        <v>2204</v>
      </c>
      <c r="M82" s="60" t="s">
        <v>2205</v>
      </c>
      <c r="N82" s="60" t="s">
        <v>2206</v>
      </c>
      <c r="O82" s="60" t="s">
        <v>2207</v>
      </c>
      <c r="P82" s="60" t="s">
        <v>2208</v>
      </c>
      <c r="Q82" s="60" t="s">
        <v>2209</v>
      </c>
      <c r="R82" s="60" t="s">
        <v>2210</v>
      </c>
      <c r="S82" s="60" t="s">
        <v>2211</v>
      </c>
      <c r="T82" s="60" t="s">
        <v>2212</v>
      </c>
      <c r="U82" s="60" t="s">
        <v>2213</v>
      </c>
      <c r="V82" s="60" t="s">
        <v>2214</v>
      </c>
      <c r="W82" s="60" t="s">
        <v>2215</v>
      </c>
      <c r="X82" s="60" t="s">
        <v>2216</v>
      </c>
      <c r="Y82" s="60" t="s">
        <v>2217</v>
      </c>
      <c r="Z82" s="60" t="s">
        <v>2218</v>
      </c>
      <c r="AA82" s="60" t="s">
        <v>2219</v>
      </c>
      <c r="AB82" s="60" t="s">
        <v>2220</v>
      </c>
      <c r="AC82" s="60" t="s">
        <v>2221</v>
      </c>
    </row>
    <row r="83">
      <c r="A83" s="59" t="s">
        <v>2222</v>
      </c>
      <c r="B83" s="60" t="s">
        <v>2223</v>
      </c>
      <c r="C83" s="61" t="s">
        <v>2224</v>
      </c>
      <c r="D83" s="60" t="s">
        <v>2225</v>
      </c>
      <c r="E83" s="60" t="s">
        <v>2226</v>
      </c>
      <c r="F83" s="60" t="s">
        <v>2227</v>
      </c>
      <c r="G83" s="60" t="s">
        <v>2228</v>
      </c>
      <c r="H83" s="60" t="s">
        <v>2229</v>
      </c>
      <c r="I83" s="60" t="s">
        <v>2230</v>
      </c>
      <c r="J83" s="60" t="s">
        <v>2231</v>
      </c>
      <c r="K83" s="60" t="s">
        <v>2232</v>
      </c>
      <c r="L83" s="60" t="s">
        <v>2233</v>
      </c>
      <c r="M83" s="60" t="s">
        <v>2234</v>
      </c>
      <c r="N83" s="60" t="s">
        <v>2235</v>
      </c>
      <c r="O83" s="60" t="s">
        <v>2236</v>
      </c>
      <c r="P83" s="60" t="s">
        <v>2237</v>
      </c>
      <c r="Q83" s="60" t="s">
        <v>2238</v>
      </c>
      <c r="R83" s="60" t="s">
        <v>2239</v>
      </c>
      <c r="S83" s="60" t="s">
        <v>2240</v>
      </c>
      <c r="T83" s="60" t="s">
        <v>2241</v>
      </c>
      <c r="U83" s="60" t="s">
        <v>2242</v>
      </c>
      <c r="V83" s="60" t="s">
        <v>2243</v>
      </c>
      <c r="W83" s="60" t="s">
        <v>2244</v>
      </c>
      <c r="X83" s="60" t="s">
        <v>2245</v>
      </c>
      <c r="Y83" s="60" t="s">
        <v>2246</v>
      </c>
      <c r="Z83" s="60" t="s">
        <v>2247</v>
      </c>
      <c r="AA83" s="60" t="s">
        <v>2248</v>
      </c>
      <c r="AB83" s="60" t="s">
        <v>2249</v>
      </c>
      <c r="AC83" s="60" t="s">
        <v>2250</v>
      </c>
    </row>
    <row r="84">
      <c r="A84" s="59" t="s">
        <v>2251</v>
      </c>
      <c r="B84" s="60" t="s">
        <v>2252</v>
      </c>
      <c r="C84" s="61" t="s">
        <v>2253</v>
      </c>
      <c r="D84" s="60" t="s">
        <v>2254</v>
      </c>
      <c r="E84" s="60" t="s">
        <v>2255</v>
      </c>
      <c r="F84" s="60" t="s">
        <v>2256</v>
      </c>
      <c r="G84" s="60" t="s">
        <v>2257</v>
      </c>
      <c r="H84" s="60" t="s">
        <v>2258</v>
      </c>
      <c r="I84" s="60" t="s">
        <v>2259</v>
      </c>
      <c r="J84" s="60" t="s">
        <v>2260</v>
      </c>
      <c r="K84" s="60" t="s">
        <v>2261</v>
      </c>
      <c r="L84" s="60" t="s">
        <v>2262</v>
      </c>
      <c r="M84" s="60" t="s">
        <v>2263</v>
      </c>
      <c r="N84" s="60" t="s">
        <v>2264</v>
      </c>
      <c r="O84" s="60" t="s">
        <v>2265</v>
      </c>
      <c r="P84" s="60" t="s">
        <v>2266</v>
      </c>
      <c r="Q84" s="60" t="s">
        <v>2267</v>
      </c>
      <c r="R84" s="60" t="s">
        <v>2268</v>
      </c>
      <c r="S84" s="60" t="s">
        <v>2269</v>
      </c>
      <c r="T84" s="60" t="s">
        <v>2270</v>
      </c>
      <c r="U84" s="60" t="s">
        <v>2271</v>
      </c>
      <c r="V84" s="60" t="s">
        <v>2272</v>
      </c>
      <c r="W84" s="60" t="s">
        <v>2273</v>
      </c>
      <c r="X84" s="60" t="s">
        <v>2274</v>
      </c>
      <c r="Y84" s="60" t="s">
        <v>2275</v>
      </c>
      <c r="Z84" s="60" t="s">
        <v>2276</v>
      </c>
      <c r="AA84" s="60" t="s">
        <v>2277</v>
      </c>
      <c r="AB84" s="60" t="s">
        <v>2278</v>
      </c>
      <c r="AC84" s="60" t="s">
        <v>2279</v>
      </c>
    </row>
    <row r="85">
      <c r="A85" s="59" t="s">
        <v>2280</v>
      </c>
      <c r="B85" s="60" t="s">
        <v>2281</v>
      </c>
      <c r="C85" s="61" t="s">
        <v>2282</v>
      </c>
      <c r="D85" s="60" t="s">
        <v>2283</v>
      </c>
      <c r="E85" s="60" t="s">
        <v>2284</v>
      </c>
      <c r="F85" s="60" t="s">
        <v>2285</v>
      </c>
      <c r="G85" s="60" t="s">
        <v>2286</v>
      </c>
      <c r="H85" s="60" t="s">
        <v>2287</v>
      </c>
      <c r="I85" s="60" t="s">
        <v>2288</v>
      </c>
      <c r="J85" s="60" t="s">
        <v>2289</v>
      </c>
      <c r="K85" s="60" t="s">
        <v>2290</v>
      </c>
      <c r="L85" s="60" t="s">
        <v>2291</v>
      </c>
      <c r="M85" s="60" t="s">
        <v>2292</v>
      </c>
      <c r="N85" s="60" t="s">
        <v>2293</v>
      </c>
      <c r="O85" s="60" t="s">
        <v>2294</v>
      </c>
      <c r="P85" s="60" t="s">
        <v>2295</v>
      </c>
      <c r="Q85" s="60" t="s">
        <v>2296</v>
      </c>
      <c r="R85" s="60" t="s">
        <v>2297</v>
      </c>
      <c r="S85" s="60" t="s">
        <v>2298</v>
      </c>
      <c r="T85" s="60" t="s">
        <v>2291</v>
      </c>
      <c r="U85" s="60" t="s">
        <v>2299</v>
      </c>
      <c r="V85" s="60" t="s">
        <v>2300</v>
      </c>
      <c r="W85" s="60" t="s">
        <v>2301</v>
      </c>
      <c r="X85" s="60" t="s">
        <v>2302</v>
      </c>
      <c r="Y85" s="60" t="s">
        <v>2303</v>
      </c>
      <c r="Z85" s="60" t="s">
        <v>2304</v>
      </c>
      <c r="AA85" s="60" t="s">
        <v>2305</v>
      </c>
      <c r="AB85" s="60" t="s">
        <v>2306</v>
      </c>
      <c r="AC85" s="60" t="s">
        <v>2307</v>
      </c>
    </row>
    <row r="86">
      <c r="A86" s="59" t="s">
        <v>2308</v>
      </c>
      <c r="B86" s="60" t="s">
        <v>2309</v>
      </c>
      <c r="C86" s="61" t="s">
        <v>2310</v>
      </c>
      <c r="D86" s="60" t="s">
        <v>2311</v>
      </c>
      <c r="E86" s="60" t="s">
        <v>2312</v>
      </c>
      <c r="F86" s="60" t="s">
        <v>2313</v>
      </c>
      <c r="G86" s="60" t="s">
        <v>2314</v>
      </c>
      <c r="H86" s="60" t="s">
        <v>2315</v>
      </c>
      <c r="I86" s="60" t="s">
        <v>2316</v>
      </c>
      <c r="J86" s="60" t="s">
        <v>2317</v>
      </c>
      <c r="K86" s="60" t="s">
        <v>2318</v>
      </c>
      <c r="L86" s="60" t="s">
        <v>2319</v>
      </c>
      <c r="M86" s="60" t="s">
        <v>2320</v>
      </c>
      <c r="N86" s="60" t="s">
        <v>2321</v>
      </c>
      <c r="O86" s="60" t="s">
        <v>2322</v>
      </c>
      <c r="P86" s="60" t="s">
        <v>2323</v>
      </c>
      <c r="Q86" s="60" t="s">
        <v>2324</v>
      </c>
      <c r="R86" s="60" t="s">
        <v>2325</v>
      </c>
      <c r="S86" s="60" t="s">
        <v>2326</v>
      </c>
      <c r="T86" s="60" t="s">
        <v>2327</v>
      </c>
      <c r="U86" s="60" t="s">
        <v>2328</v>
      </c>
      <c r="V86" s="60" t="s">
        <v>2329</v>
      </c>
      <c r="W86" s="60" t="s">
        <v>2330</v>
      </c>
      <c r="X86" s="60" t="s">
        <v>2331</v>
      </c>
      <c r="Y86" s="60" t="s">
        <v>2332</v>
      </c>
      <c r="Z86" s="60" t="s">
        <v>2333</v>
      </c>
      <c r="AA86" s="60" t="s">
        <v>2334</v>
      </c>
      <c r="AB86" s="60" t="s">
        <v>2335</v>
      </c>
      <c r="AC86" s="60" t="s">
        <v>2336</v>
      </c>
    </row>
    <row r="87">
      <c r="A87" s="59" t="s">
        <v>2337</v>
      </c>
      <c r="B87" s="60" t="s">
        <v>2338</v>
      </c>
      <c r="C87" s="61" t="s">
        <v>2339</v>
      </c>
      <c r="D87" s="60" t="s">
        <v>2340</v>
      </c>
      <c r="E87" s="60" t="s">
        <v>2341</v>
      </c>
      <c r="F87" s="60" t="s">
        <v>2342</v>
      </c>
      <c r="G87" s="60" t="s">
        <v>2338</v>
      </c>
      <c r="H87" s="60" t="s">
        <v>2343</v>
      </c>
      <c r="I87" s="60" t="s">
        <v>2344</v>
      </c>
      <c r="J87" s="60" t="s">
        <v>2345</v>
      </c>
      <c r="K87" s="60" t="s">
        <v>2346</v>
      </c>
      <c r="L87" s="60" t="s">
        <v>2347</v>
      </c>
      <c r="M87" s="60" t="s">
        <v>2348</v>
      </c>
      <c r="N87" s="60" t="s">
        <v>2349</v>
      </c>
      <c r="O87" s="60" t="s">
        <v>2350</v>
      </c>
      <c r="P87" s="60" t="s">
        <v>2351</v>
      </c>
      <c r="Q87" s="60" t="s">
        <v>2352</v>
      </c>
      <c r="R87" s="60" t="s">
        <v>2353</v>
      </c>
      <c r="S87" s="60" t="s">
        <v>2338</v>
      </c>
      <c r="T87" s="60" t="s">
        <v>2338</v>
      </c>
      <c r="U87" s="60" t="s">
        <v>2354</v>
      </c>
      <c r="V87" s="60" t="s">
        <v>2355</v>
      </c>
      <c r="W87" s="60" t="s">
        <v>2338</v>
      </c>
      <c r="X87" s="60" t="s">
        <v>2338</v>
      </c>
      <c r="Y87" s="60" t="s">
        <v>2338</v>
      </c>
      <c r="Z87" s="60" t="s">
        <v>2356</v>
      </c>
      <c r="AA87" s="60" t="s">
        <v>2357</v>
      </c>
      <c r="AB87" s="60" t="s">
        <v>2358</v>
      </c>
      <c r="AC87" s="60" t="s">
        <v>2338</v>
      </c>
    </row>
    <row r="88">
      <c r="A88" s="59" t="s">
        <v>2359</v>
      </c>
      <c r="B88" s="60" t="s">
        <v>2360</v>
      </c>
      <c r="C88" s="61" t="s">
        <v>2361</v>
      </c>
      <c r="D88" s="60" t="s">
        <v>2362</v>
      </c>
      <c r="E88" s="60" t="s">
        <v>2363</v>
      </c>
      <c r="F88" s="60" t="s">
        <v>2364</v>
      </c>
      <c r="G88" s="60" t="s">
        <v>2365</v>
      </c>
      <c r="H88" s="60" t="s">
        <v>2366</v>
      </c>
      <c r="I88" s="60" t="s">
        <v>2367</v>
      </c>
      <c r="J88" s="60" t="s">
        <v>2368</v>
      </c>
      <c r="K88" s="60" t="s">
        <v>2369</v>
      </c>
      <c r="L88" s="60" t="s">
        <v>2370</v>
      </c>
      <c r="M88" s="60" t="s">
        <v>2371</v>
      </c>
      <c r="N88" s="60" t="s">
        <v>2372</v>
      </c>
      <c r="O88" s="60" t="s">
        <v>2373</v>
      </c>
      <c r="P88" s="60" t="s">
        <v>2374</v>
      </c>
      <c r="Q88" s="60" t="s">
        <v>2375</v>
      </c>
      <c r="R88" s="60" t="s">
        <v>2376</v>
      </c>
      <c r="S88" s="60" t="s">
        <v>2377</v>
      </c>
      <c r="T88" s="60" t="s">
        <v>2370</v>
      </c>
      <c r="U88" s="60" t="s">
        <v>2378</v>
      </c>
      <c r="V88" s="60" t="s">
        <v>2379</v>
      </c>
      <c r="W88" s="60" t="s">
        <v>2380</v>
      </c>
      <c r="X88" s="60" t="s">
        <v>2381</v>
      </c>
      <c r="Y88" s="60" t="s">
        <v>2382</v>
      </c>
      <c r="Z88" s="60" t="s">
        <v>2383</v>
      </c>
      <c r="AA88" s="60" t="s">
        <v>2384</v>
      </c>
      <c r="AB88" s="60" t="s">
        <v>2385</v>
      </c>
      <c r="AC88" s="60" t="s">
        <v>2386</v>
      </c>
    </row>
    <row r="89">
      <c r="A89" s="59" t="s">
        <v>2387</v>
      </c>
      <c r="B89" s="60" t="s">
        <v>2388</v>
      </c>
      <c r="C89" s="61" t="s">
        <v>2389</v>
      </c>
      <c r="D89" s="60" t="s">
        <v>2390</v>
      </c>
      <c r="E89" s="60" t="s">
        <v>2391</v>
      </c>
      <c r="F89" s="60" t="s">
        <v>2392</v>
      </c>
      <c r="G89" s="60" t="s">
        <v>2393</v>
      </c>
      <c r="H89" s="60" t="s">
        <v>2394</v>
      </c>
      <c r="I89" s="60" t="s">
        <v>2395</v>
      </c>
      <c r="J89" s="60" t="s">
        <v>2396</v>
      </c>
      <c r="K89" s="60" t="s">
        <v>2397</v>
      </c>
      <c r="L89" s="60" t="s">
        <v>2398</v>
      </c>
      <c r="M89" s="60" t="s">
        <v>2399</v>
      </c>
      <c r="N89" s="60" t="s">
        <v>2400</v>
      </c>
      <c r="O89" s="60" t="s">
        <v>2401</v>
      </c>
      <c r="P89" s="60" t="s">
        <v>2402</v>
      </c>
      <c r="Q89" s="60" t="s">
        <v>2403</v>
      </c>
      <c r="R89" s="60" t="s">
        <v>2404</v>
      </c>
      <c r="S89" s="60" t="s">
        <v>2405</v>
      </c>
      <c r="T89" s="60" t="s">
        <v>2406</v>
      </c>
      <c r="U89" s="60" t="s">
        <v>2407</v>
      </c>
      <c r="V89" s="60" t="s">
        <v>2408</v>
      </c>
      <c r="W89" s="60" t="s">
        <v>2409</v>
      </c>
      <c r="X89" s="60" t="s">
        <v>2410</v>
      </c>
      <c r="Y89" s="60" t="s">
        <v>2411</v>
      </c>
      <c r="Z89" s="60" t="s">
        <v>2412</v>
      </c>
      <c r="AA89" s="60" t="s">
        <v>2413</v>
      </c>
      <c r="AB89" s="60" t="s">
        <v>2414</v>
      </c>
      <c r="AC89" s="60" t="s">
        <v>2415</v>
      </c>
    </row>
    <row r="90">
      <c r="A90" s="59" t="s">
        <v>2416</v>
      </c>
      <c r="B90" s="60" t="s">
        <v>2417</v>
      </c>
      <c r="C90" s="61" t="s">
        <v>2418</v>
      </c>
      <c r="D90" s="60" t="s">
        <v>2419</v>
      </c>
      <c r="E90" s="60" t="s">
        <v>2420</v>
      </c>
      <c r="F90" s="60" t="s">
        <v>2421</v>
      </c>
      <c r="G90" s="60" t="s">
        <v>2422</v>
      </c>
      <c r="H90" s="60" t="s">
        <v>2423</v>
      </c>
      <c r="I90" s="60" t="s">
        <v>2424</v>
      </c>
      <c r="J90" s="60" t="s">
        <v>2425</v>
      </c>
      <c r="K90" s="60" t="s">
        <v>2426</v>
      </c>
      <c r="L90" s="60" t="s">
        <v>2427</v>
      </c>
      <c r="M90" s="60" t="s">
        <v>2428</v>
      </c>
      <c r="N90" s="60" t="s">
        <v>2429</v>
      </c>
      <c r="O90" s="60" t="s">
        <v>2430</v>
      </c>
      <c r="P90" s="60" t="s">
        <v>2431</v>
      </c>
      <c r="Q90" s="60" t="s">
        <v>2432</v>
      </c>
      <c r="R90" s="60" t="s">
        <v>2433</v>
      </c>
      <c r="S90" s="60" t="s">
        <v>2434</v>
      </c>
      <c r="T90" s="60" t="s">
        <v>2435</v>
      </c>
      <c r="U90" s="60" t="s">
        <v>2436</v>
      </c>
      <c r="V90" s="60" t="s">
        <v>2437</v>
      </c>
      <c r="W90" s="60" t="s">
        <v>2438</v>
      </c>
      <c r="X90" s="60" t="s">
        <v>2439</v>
      </c>
      <c r="Y90" s="60" t="s">
        <v>2440</v>
      </c>
      <c r="Z90" s="60" t="s">
        <v>2441</v>
      </c>
      <c r="AA90" s="60" t="s">
        <v>2442</v>
      </c>
      <c r="AB90" s="60" t="s">
        <v>2443</v>
      </c>
      <c r="AC90" s="60" t="s">
        <v>2444</v>
      </c>
    </row>
    <row r="91">
      <c r="A91" s="59" t="s">
        <v>2445</v>
      </c>
      <c r="B91" s="60" t="s">
        <v>2446</v>
      </c>
      <c r="C91" s="61" t="s">
        <v>2447</v>
      </c>
      <c r="D91" s="60" t="s">
        <v>2448</v>
      </c>
      <c r="E91" s="60" t="s">
        <v>2449</v>
      </c>
      <c r="F91" s="60" t="s">
        <v>2450</v>
      </c>
      <c r="G91" s="60" t="s">
        <v>2451</v>
      </c>
      <c r="H91" s="60" t="s">
        <v>2452</v>
      </c>
      <c r="I91" s="60" t="s">
        <v>2453</v>
      </c>
      <c r="J91" s="60" t="s">
        <v>2454</v>
      </c>
      <c r="K91" s="60" t="s">
        <v>2455</v>
      </c>
      <c r="L91" s="60" t="s">
        <v>2456</v>
      </c>
      <c r="M91" s="60" t="s">
        <v>2457</v>
      </c>
      <c r="N91" s="60" t="s">
        <v>2458</v>
      </c>
      <c r="O91" s="60" t="s">
        <v>2459</v>
      </c>
      <c r="P91" s="60" t="s">
        <v>2460</v>
      </c>
      <c r="Q91" s="60" t="s">
        <v>2461</v>
      </c>
      <c r="R91" s="60" t="s">
        <v>2462</v>
      </c>
      <c r="S91" s="60" t="s">
        <v>2463</v>
      </c>
      <c r="T91" s="60" t="s">
        <v>2456</v>
      </c>
      <c r="U91" s="60" t="s">
        <v>2464</v>
      </c>
      <c r="V91" s="60" t="s">
        <v>2465</v>
      </c>
      <c r="W91" s="60" t="s">
        <v>2466</v>
      </c>
      <c r="X91" s="60" t="s">
        <v>2467</v>
      </c>
      <c r="Y91" s="60" t="s">
        <v>2468</v>
      </c>
      <c r="Z91" s="60" t="s">
        <v>2469</v>
      </c>
      <c r="AA91" s="60" t="s">
        <v>2470</v>
      </c>
      <c r="AB91" s="60" t="s">
        <v>2471</v>
      </c>
      <c r="AC91" s="60" t="s">
        <v>2472</v>
      </c>
    </row>
    <row r="92">
      <c r="A92" s="59" t="s">
        <v>2473</v>
      </c>
      <c r="B92" s="60" t="s">
        <v>2474</v>
      </c>
      <c r="C92" s="61" t="s">
        <v>2475</v>
      </c>
      <c r="D92" s="60" t="s">
        <v>2476</v>
      </c>
      <c r="E92" s="60" t="s">
        <v>2477</v>
      </c>
      <c r="F92" s="60" t="s">
        <v>2478</v>
      </c>
      <c r="G92" s="60" t="s">
        <v>2479</v>
      </c>
      <c r="H92" s="60" t="s">
        <v>2480</v>
      </c>
      <c r="I92" s="60" t="s">
        <v>2481</v>
      </c>
      <c r="J92" s="60" t="s">
        <v>2482</v>
      </c>
      <c r="K92" s="60" t="s">
        <v>2483</v>
      </c>
      <c r="L92" s="60" t="s">
        <v>2484</v>
      </c>
      <c r="M92" s="60" t="s">
        <v>2485</v>
      </c>
      <c r="N92" s="60" t="s">
        <v>2486</v>
      </c>
      <c r="O92" s="60" t="s">
        <v>2487</v>
      </c>
      <c r="P92" s="60" t="s">
        <v>2488</v>
      </c>
      <c r="Q92" s="60" t="s">
        <v>2489</v>
      </c>
      <c r="R92" s="60" t="s">
        <v>2490</v>
      </c>
      <c r="S92" s="60" t="s">
        <v>2491</v>
      </c>
      <c r="T92" s="60" t="s">
        <v>2492</v>
      </c>
      <c r="U92" s="60" t="s">
        <v>2493</v>
      </c>
      <c r="V92" s="60" t="s">
        <v>2494</v>
      </c>
      <c r="W92" s="60" t="s">
        <v>2495</v>
      </c>
      <c r="X92" s="60" t="s">
        <v>2496</v>
      </c>
      <c r="Y92" s="60" t="s">
        <v>2497</v>
      </c>
      <c r="Z92" s="60" t="s">
        <v>2498</v>
      </c>
      <c r="AA92" s="60" t="s">
        <v>2499</v>
      </c>
      <c r="AB92" s="60" t="s">
        <v>2500</v>
      </c>
      <c r="AC92" s="60" t="s">
        <v>2501</v>
      </c>
    </row>
    <row r="93">
      <c r="A93" s="59" t="s">
        <v>2502</v>
      </c>
      <c r="B93" s="60" t="s">
        <v>2503</v>
      </c>
      <c r="C93" s="61" t="s">
        <v>2504</v>
      </c>
      <c r="D93" s="60" t="s">
        <v>2505</v>
      </c>
      <c r="E93" s="60" t="s">
        <v>2506</v>
      </c>
      <c r="F93" s="60" t="s">
        <v>2507</v>
      </c>
      <c r="G93" s="60" t="s">
        <v>2508</v>
      </c>
      <c r="H93" s="60" t="s">
        <v>2509</v>
      </c>
      <c r="I93" s="60" t="s">
        <v>2510</v>
      </c>
      <c r="J93" s="60" t="s">
        <v>2511</v>
      </c>
      <c r="K93" s="60" t="s">
        <v>2512</v>
      </c>
      <c r="L93" s="60" t="s">
        <v>2513</v>
      </c>
      <c r="M93" s="60" t="s">
        <v>2514</v>
      </c>
      <c r="N93" s="60" t="s">
        <v>2515</v>
      </c>
      <c r="O93" s="60" t="s">
        <v>2516</v>
      </c>
      <c r="P93" s="60" t="s">
        <v>2517</v>
      </c>
      <c r="Q93" s="60" t="s">
        <v>2518</v>
      </c>
      <c r="R93" s="60" t="s">
        <v>2519</v>
      </c>
      <c r="S93" s="60" t="s">
        <v>2520</v>
      </c>
      <c r="T93" s="60" t="s">
        <v>2521</v>
      </c>
      <c r="U93" s="60" t="s">
        <v>2522</v>
      </c>
      <c r="V93" s="60" t="s">
        <v>2523</v>
      </c>
      <c r="W93" s="60" t="s">
        <v>2524</v>
      </c>
      <c r="X93" s="60" t="s">
        <v>2525</v>
      </c>
      <c r="Y93" s="60" t="s">
        <v>2526</v>
      </c>
      <c r="Z93" s="60" t="s">
        <v>2527</v>
      </c>
      <c r="AA93" s="60" t="s">
        <v>2528</v>
      </c>
      <c r="AB93" s="60" t="s">
        <v>2529</v>
      </c>
      <c r="AC93" s="60" t="s">
        <v>2530</v>
      </c>
    </row>
    <row r="94">
      <c r="A94" s="59" t="s">
        <v>2531</v>
      </c>
      <c r="B94" s="60" t="s">
        <v>2532</v>
      </c>
      <c r="C94" s="61" t="s">
        <v>2533</v>
      </c>
      <c r="D94" s="60" t="s">
        <v>2534</v>
      </c>
      <c r="E94" s="60" t="s">
        <v>2535</v>
      </c>
      <c r="F94" s="60" t="s">
        <v>2536</v>
      </c>
      <c r="G94" s="60" t="s">
        <v>2537</v>
      </c>
      <c r="H94" s="60" t="s">
        <v>2538</v>
      </c>
      <c r="I94" s="60" t="s">
        <v>2539</v>
      </c>
      <c r="J94" s="60" t="s">
        <v>2540</v>
      </c>
      <c r="K94" s="60" t="s">
        <v>2541</v>
      </c>
      <c r="L94" s="60" t="s">
        <v>2542</v>
      </c>
      <c r="M94" s="60" t="s">
        <v>2543</v>
      </c>
      <c r="N94" s="60" t="s">
        <v>2544</v>
      </c>
      <c r="O94" s="60" t="s">
        <v>2545</v>
      </c>
      <c r="P94" s="60" t="s">
        <v>2546</v>
      </c>
      <c r="Q94" s="60" t="s">
        <v>2547</v>
      </c>
      <c r="R94" s="60" t="s">
        <v>2548</v>
      </c>
      <c r="S94" s="60" t="s">
        <v>2549</v>
      </c>
      <c r="T94" s="60" t="s">
        <v>2550</v>
      </c>
      <c r="U94" s="60" t="s">
        <v>2551</v>
      </c>
      <c r="V94" s="60" t="s">
        <v>2552</v>
      </c>
      <c r="W94" s="60" t="s">
        <v>2553</v>
      </c>
      <c r="X94" s="60" t="s">
        <v>2554</v>
      </c>
      <c r="Y94" s="60" t="s">
        <v>2555</v>
      </c>
      <c r="Z94" s="60" t="s">
        <v>2556</v>
      </c>
      <c r="AA94" s="60" t="s">
        <v>2557</v>
      </c>
      <c r="AB94" s="60" t="s">
        <v>2558</v>
      </c>
      <c r="AC94" s="60" t="s">
        <v>2559</v>
      </c>
    </row>
    <row r="95">
      <c r="A95" s="59" t="s">
        <v>2560</v>
      </c>
      <c r="B95" s="60" t="s">
        <v>2561</v>
      </c>
      <c r="C95" s="61" t="s">
        <v>2562</v>
      </c>
      <c r="D95" s="60" t="s">
        <v>2563</v>
      </c>
      <c r="E95" s="60" t="s">
        <v>2564</v>
      </c>
      <c r="F95" s="60" t="s">
        <v>2565</v>
      </c>
      <c r="G95" s="60" t="s">
        <v>2566</v>
      </c>
      <c r="H95" s="60" t="s">
        <v>2567</v>
      </c>
      <c r="I95" s="60" t="s">
        <v>2568</v>
      </c>
      <c r="J95" s="60" t="s">
        <v>2569</v>
      </c>
      <c r="K95" s="60" t="s">
        <v>2570</v>
      </c>
      <c r="L95" s="60" t="s">
        <v>2571</v>
      </c>
      <c r="M95" s="60" t="s">
        <v>2572</v>
      </c>
      <c r="N95" s="60" t="s">
        <v>2573</v>
      </c>
      <c r="O95" s="60" t="s">
        <v>2574</v>
      </c>
      <c r="P95" s="60" t="s">
        <v>2575</v>
      </c>
      <c r="Q95" s="60" t="s">
        <v>2576</v>
      </c>
      <c r="R95" s="60" t="s">
        <v>2577</v>
      </c>
      <c r="S95" s="60" t="s">
        <v>2578</v>
      </c>
      <c r="T95" s="60" t="s">
        <v>2579</v>
      </c>
      <c r="U95" s="60" t="s">
        <v>2580</v>
      </c>
      <c r="V95" s="60" t="s">
        <v>2581</v>
      </c>
      <c r="W95" s="60" t="s">
        <v>2582</v>
      </c>
      <c r="X95" s="60" t="s">
        <v>2583</v>
      </c>
      <c r="Y95" s="60" t="s">
        <v>2584</v>
      </c>
      <c r="Z95" s="60" t="s">
        <v>2585</v>
      </c>
      <c r="AA95" s="60" t="s">
        <v>2586</v>
      </c>
      <c r="AB95" s="60" t="s">
        <v>2587</v>
      </c>
      <c r="AC95" s="60" t="s">
        <v>2588</v>
      </c>
    </row>
    <row r="96">
      <c r="A96" s="59" t="s">
        <v>2589</v>
      </c>
      <c r="B96" s="60" t="s">
        <v>2590</v>
      </c>
      <c r="C96" s="61" t="s">
        <v>2591</v>
      </c>
      <c r="D96" s="60" t="s">
        <v>2592</v>
      </c>
      <c r="E96" s="60" t="s">
        <v>2593</v>
      </c>
      <c r="F96" s="60" t="s">
        <v>2594</v>
      </c>
      <c r="G96" s="60" t="s">
        <v>2595</v>
      </c>
      <c r="H96" s="60" t="s">
        <v>2596</v>
      </c>
      <c r="I96" s="60" t="s">
        <v>2597</v>
      </c>
      <c r="J96" s="60" t="s">
        <v>2598</v>
      </c>
      <c r="K96" s="60" t="s">
        <v>2599</v>
      </c>
      <c r="L96" s="60" t="s">
        <v>2600</v>
      </c>
      <c r="M96" s="60" t="s">
        <v>2601</v>
      </c>
      <c r="N96" s="60" t="s">
        <v>2602</v>
      </c>
      <c r="O96" s="60" t="s">
        <v>2603</v>
      </c>
      <c r="P96" s="60" t="s">
        <v>2604</v>
      </c>
      <c r="Q96" s="60" t="s">
        <v>2605</v>
      </c>
      <c r="R96" s="60" t="s">
        <v>2606</v>
      </c>
      <c r="S96" s="60" t="s">
        <v>2607</v>
      </c>
      <c r="T96" s="60" t="s">
        <v>2608</v>
      </c>
      <c r="U96" s="60" t="s">
        <v>2609</v>
      </c>
      <c r="V96" s="60" t="s">
        <v>2610</v>
      </c>
      <c r="W96" s="60" t="s">
        <v>2611</v>
      </c>
      <c r="X96" s="60" t="s">
        <v>2612</v>
      </c>
      <c r="Y96" s="60" t="s">
        <v>2613</v>
      </c>
      <c r="Z96" s="60" t="s">
        <v>2614</v>
      </c>
      <c r="AA96" s="60" t="s">
        <v>2615</v>
      </c>
      <c r="AB96" s="60" t="s">
        <v>2616</v>
      </c>
      <c r="AC96" s="60" t="s">
        <v>2617</v>
      </c>
    </row>
    <row r="97">
      <c r="A97" s="59" t="s">
        <v>2618</v>
      </c>
      <c r="B97" s="60" t="s">
        <v>2619</v>
      </c>
      <c r="C97" s="61" t="s">
        <v>2620</v>
      </c>
      <c r="D97" s="60" t="s">
        <v>2621</v>
      </c>
      <c r="E97" s="60" t="s">
        <v>2622</v>
      </c>
      <c r="F97" s="60" t="s">
        <v>2623</v>
      </c>
      <c r="G97" s="60" t="s">
        <v>2624</v>
      </c>
      <c r="H97" s="60" t="s">
        <v>2625</v>
      </c>
      <c r="I97" s="60" t="s">
        <v>2626</v>
      </c>
      <c r="J97" s="60" t="s">
        <v>2627</v>
      </c>
      <c r="K97" s="60" t="s">
        <v>2628</v>
      </c>
      <c r="L97" s="60" t="s">
        <v>2629</v>
      </c>
      <c r="M97" s="60" t="s">
        <v>2630</v>
      </c>
      <c r="N97" s="60" t="s">
        <v>2631</v>
      </c>
      <c r="O97" s="60" t="s">
        <v>2632</v>
      </c>
      <c r="P97" s="60" t="s">
        <v>2633</v>
      </c>
      <c r="Q97" s="60" t="s">
        <v>2634</v>
      </c>
      <c r="R97" s="60" t="s">
        <v>2635</v>
      </c>
      <c r="S97" s="60" t="s">
        <v>2636</v>
      </c>
      <c r="T97" s="60" t="s">
        <v>2637</v>
      </c>
      <c r="U97" s="60" t="s">
        <v>2638</v>
      </c>
      <c r="V97" s="60" t="s">
        <v>2639</v>
      </c>
      <c r="W97" s="60" t="s">
        <v>2640</v>
      </c>
      <c r="X97" s="60" t="s">
        <v>2641</v>
      </c>
      <c r="Y97" s="60" t="s">
        <v>2642</v>
      </c>
      <c r="Z97" s="60" t="s">
        <v>2643</v>
      </c>
      <c r="AA97" s="60" t="s">
        <v>2644</v>
      </c>
      <c r="AB97" s="60" t="s">
        <v>2645</v>
      </c>
      <c r="AC97" s="60" t="s">
        <v>2646</v>
      </c>
    </row>
    <row r="98">
      <c r="A98" s="59" t="s">
        <v>2647</v>
      </c>
      <c r="B98" s="60" t="s">
        <v>2648</v>
      </c>
      <c r="C98" s="61" t="s">
        <v>2649</v>
      </c>
      <c r="D98" s="60" t="s">
        <v>2650</v>
      </c>
      <c r="E98" s="60" t="s">
        <v>2651</v>
      </c>
      <c r="F98" s="60" t="s">
        <v>2652</v>
      </c>
      <c r="G98" s="60" t="s">
        <v>2653</v>
      </c>
      <c r="H98" s="60" t="s">
        <v>2654</v>
      </c>
      <c r="I98" s="60" t="s">
        <v>2655</v>
      </c>
      <c r="J98" s="60" t="s">
        <v>2656</v>
      </c>
      <c r="K98" s="60" t="s">
        <v>2657</v>
      </c>
      <c r="L98" s="60" t="s">
        <v>2658</v>
      </c>
      <c r="M98" s="60" t="s">
        <v>2648</v>
      </c>
      <c r="N98" s="60" t="s">
        <v>2659</v>
      </c>
      <c r="O98" s="60" t="s">
        <v>2660</v>
      </c>
      <c r="P98" s="60" t="s">
        <v>2661</v>
      </c>
      <c r="Q98" s="60" t="s">
        <v>2662</v>
      </c>
      <c r="R98" s="60" t="s">
        <v>2663</v>
      </c>
      <c r="S98" s="60" t="s">
        <v>2664</v>
      </c>
      <c r="T98" s="60" t="s">
        <v>2665</v>
      </c>
      <c r="U98" s="60" t="s">
        <v>2648</v>
      </c>
      <c r="V98" s="60" t="s">
        <v>2666</v>
      </c>
      <c r="W98" s="60" t="s">
        <v>2667</v>
      </c>
      <c r="X98" s="60" t="s">
        <v>2668</v>
      </c>
      <c r="Y98" s="60" t="s">
        <v>2669</v>
      </c>
      <c r="Z98" s="60" t="s">
        <v>2670</v>
      </c>
      <c r="AA98" s="60" t="s">
        <v>2671</v>
      </c>
      <c r="AB98" s="60" t="s">
        <v>2672</v>
      </c>
      <c r="AC98" s="60" t="s">
        <v>2673</v>
      </c>
    </row>
    <row r="99">
      <c r="A99" s="59" t="s">
        <v>2674</v>
      </c>
      <c r="B99" s="60" t="s">
        <v>327</v>
      </c>
      <c r="C99" s="61" t="s">
        <v>328</v>
      </c>
      <c r="D99" s="60" t="s">
        <v>329</v>
      </c>
      <c r="E99" s="60" t="s">
        <v>330</v>
      </c>
      <c r="F99" s="60" t="s">
        <v>331</v>
      </c>
      <c r="G99" s="60" t="s">
        <v>332</v>
      </c>
      <c r="H99" s="60" t="s">
        <v>333</v>
      </c>
      <c r="I99" s="60" t="s">
        <v>334</v>
      </c>
      <c r="J99" s="60" t="s">
        <v>335</v>
      </c>
      <c r="K99" s="60" t="s">
        <v>336</v>
      </c>
      <c r="L99" s="60" t="s">
        <v>337</v>
      </c>
      <c r="M99" s="60" t="s">
        <v>338</v>
      </c>
      <c r="N99" s="60" t="s">
        <v>339</v>
      </c>
      <c r="O99" s="60" t="s">
        <v>340</v>
      </c>
      <c r="P99" s="60" t="s">
        <v>341</v>
      </c>
      <c r="Q99" s="60" t="s">
        <v>342</v>
      </c>
      <c r="R99" s="60" t="s">
        <v>343</v>
      </c>
      <c r="S99" s="60" t="s">
        <v>344</v>
      </c>
      <c r="T99" s="60" t="s">
        <v>345</v>
      </c>
      <c r="U99" s="60" t="s">
        <v>346</v>
      </c>
      <c r="V99" s="60" t="s">
        <v>347</v>
      </c>
      <c r="W99" s="60" t="s">
        <v>348</v>
      </c>
      <c r="X99" s="60" t="s">
        <v>349</v>
      </c>
      <c r="Y99" s="60" t="s">
        <v>350</v>
      </c>
      <c r="Z99" s="60" t="s">
        <v>351</v>
      </c>
      <c r="AA99" s="60" t="s">
        <v>352</v>
      </c>
      <c r="AB99" s="60" t="s">
        <v>353</v>
      </c>
      <c r="AC99" s="60" t="s">
        <v>354</v>
      </c>
    </row>
    <row r="100">
      <c r="A100" s="59" t="s">
        <v>2675</v>
      </c>
      <c r="B100" s="60" t="s">
        <v>2676</v>
      </c>
      <c r="C100" s="61" t="s">
        <v>2677</v>
      </c>
      <c r="D100" s="60" t="s">
        <v>2678</v>
      </c>
      <c r="E100" s="60" t="s">
        <v>2676</v>
      </c>
      <c r="F100" s="60" t="s">
        <v>2679</v>
      </c>
      <c r="G100" s="60" t="s">
        <v>2680</v>
      </c>
      <c r="H100" s="60" t="s">
        <v>2681</v>
      </c>
      <c r="I100" s="60" t="s">
        <v>2682</v>
      </c>
      <c r="J100" s="60" t="s">
        <v>2683</v>
      </c>
      <c r="K100" s="60" t="s">
        <v>2684</v>
      </c>
      <c r="L100" s="60" t="s">
        <v>2685</v>
      </c>
      <c r="M100" s="60" t="s">
        <v>2686</v>
      </c>
      <c r="N100" s="60" t="s">
        <v>2687</v>
      </c>
      <c r="O100" s="60" t="s">
        <v>2688</v>
      </c>
      <c r="P100" s="60" t="s">
        <v>2689</v>
      </c>
      <c r="Q100" s="60" t="s">
        <v>2690</v>
      </c>
      <c r="R100" s="60" t="s">
        <v>2691</v>
      </c>
      <c r="S100" s="60" t="s">
        <v>2692</v>
      </c>
      <c r="T100" s="60" t="s">
        <v>2693</v>
      </c>
      <c r="U100" s="60" t="s">
        <v>2694</v>
      </c>
      <c r="V100" s="60" t="s">
        <v>2695</v>
      </c>
      <c r="W100" s="60" t="s">
        <v>2696</v>
      </c>
      <c r="X100" s="60" t="s">
        <v>2697</v>
      </c>
      <c r="Y100" s="60" t="s">
        <v>2698</v>
      </c>
      <c r="Z100" s="60" t="s">
        <v>2699</v>
      </c>
      <c r="AA100" s="60" t="s">
        <v>2700</v>
      </c>
      <c r="AB100" s="60" t="s">
        <v>2701</v>
      </c>
      <c r="AC100" s="60" t="s">
        <v>2702</v>
      </c>
    </row>
    <row r="101">
      <c r="A101" s="59" t="s">
        <v>2703</v>
      </c>
      <c r="B101" s="60" t="s">
        <v>2704</v>
      </c>
      <c r="C101" s="61" t="s">
        <v>2705</v>
      </c>
      <c r="D101" s="60" t="s">
        <v>2706</v>
      </c>
      <c r="E101" s="60" t="s">
        <v>2707</v>
      </c>
      <c r="F101" s="60" t="s">
        <v>2708</v>
      </c>
      <c r="G101" s="60" t="s">
        <v>2709</v>
      </c>
      <c r="H101" s="60" t="s">
        <v>2710</v>
      </c>
      <c r="I101" s="60" t="s">
        <v>2711</v>
      </c>
      <c r="J101" s="60" t="s">
        <v>2712</v>
      </c>
      <c r="K101" s="60" t="s">
        <v>2713</v>
      </c>
      <c r="L101" s="60" t="s">
        <v>2714</v>
      </c>
      <c r="M101" s="60" t="s">
        <v>2715</v>
      </c>
      <c r="N101" s="60" t="s">
        <v>2716</v>
      </c>
      <c r="O101" s="60" t="s">
        <v>2717</v>
      </c>
      <c r="P101" s="60" t="s">
        <v>2718</v>
      </c>
      <c r="Q101" s="60" t="s">
        <v>2719</v>
      </c>
      <c r="R101" s="60" t="s">
        <v>2720</v>
      </c>
      <c r="S101" s="60" t="s">
        <v>2721</v>
      </c>
      <c r="T101" s="60" t="s">
        <v>2722</v>
      </c>
      <c r="U101" s="60" t="s">
        <v>2723</v>
      </c>
      <c r="V101" s="60" t="s">
        <v>2724</v>
      </c>
      <c r="W101" s="60" t="s">
        <v>2725</v>
      </c>
      <c r="X101" s="60" t="s">
        <v>2726</v>
      </c>
      <c r="Y101" s="60" t="s">
        <v>2727</v>
      </c>
      <c r="Z101" s="60" t="s">
        <v>2728</v>
      </c>
      <c r="AA101" s="60" t="s">
        <v>2729</v>
      </c>
      <c r="AB101" s="60" t="s">
        <v>2730</v>
      </c>
      <c r="AC101" s="60" t="s">
        <v>2731</v>
      </c>
    </row>
    <row r="102">
      <c r="A102" s="59" t="s">
        <v>2732</v>
      </c>
      <c r="B102" s="60" t="s">
        <v>2733</v>
      </c>
      <c r="C102" s="61" t="s">
        <v>2734</v>
      </c>
      <c r="D102" s="60" t="s">
        <v>2735</v>
      </c>
      <c r="E102" s="60" t="s">
        <v>2736</v>
      </c>
      <c r="F102" s="60" t="s">
        <v>2737</v>
      </c>
      <c r="G102" s="60" t="s">
        <v>2738</v>
      </c>
      <c r="H102" s="60" t="s">
        <v>2739</v>
      </c>
      <c r="I102" s="60" t="s">
        <v>2740</v>
      </c>
      <c r="J102" s="60" t="s">
        <v>2741</v>
      </c>
      <c r="K102" s="60" t="s">
        <v>2742</v>
      </c>
      <c r="L102" s="60" t="s">
        <v>2743</v>
      </c>
      <c r="M102" s="60" t="s">
        <v>2744</v>
      </c>
      <c r="N102" s="60" t="s">
        <v>2745</v>
      </c>
      <c r="O102" s="60" t="s">
        <v>2746</v>
      </c>
      <c r="P102" s="60" t="s">
        <v>2747</v>
      </c>
      <c r="Q102" s="60" t="s">
        <v>2748</v>
      </c>
      <c r="R102" s="60" t="s">
        <v>2749</v>
      </c>
      <c r="S102" s="60" t="s">
        <v>2750</v>
      </c>
      <c r="T102" s="60" t="s">
        <v>2751</v>
      </c>
      <c r="U102" s="60" t="s">
        <v>2752</v>
      </c>
      <c r="V102" s="60" t="s">
        <v>2753</v>
      </c>
      <c r="W102" s="60" t="s">
        <v>2754</v>
      </c>
      <c r="X102" s="60" t="s">
        <v>2755</v>
      </c>
      <c r="Y102" s="60" t="s">
        <v>2756</v>
      </c>
      <c r="Z102" s="60" t="s">
        <v>2757</v>
      </c>
      <c r="AA102" s="60" t="s">
        <v>2758</v>
      </c>
      <c r="AB102" s="60" t="s">
        <v>2759</v>
      </c>
      <c r="AC102" s="60" t="s">
        <v>2760</v>
      </c>
    </row>
    <row r="103">
      <c r="A103" s="59" t="s">
        <v>2761</v>
      </c>
      <c r="B103" s="60" t="s">
        <v>2762</v>
      </c>
      <c r="C103" s="61" t="s">
        <v>2763</v>
      </c>
      <c r="D103" s="60" t="s">
        <v>2764</v>
      </c>
      <c r="E103" s="60" t="s">
        <v>2765</v>
      </c>
      <c r="F103" s="60" t="s">
        <v>2766</v>
      </c>
      <c r="G103" s="60" t="s">
        <v>2767</v>
      </c>
      <c r="H103" s="60" t="s">
        <v>2768</v>
      </c>
      <c r="I103" s="60" t="s">
        <v>2769</v>
      </c>
      <c r="J103" s="60" t="s">
        <v>2770</v>
      </c>
      <c r="K103" s="60" t="s">
        <v>2771</v>
      </c>
      <c r="L103" s="60" t="s">
        <v>2772</v>
      </c>
      <c r="M103" s="60" t="s">
        <v>2773</v>
      </c>
      <c r="N103" s="60" t="s">
        <v>2774</v>
      </c>
      <c r="O103" s="60" t="s">
        <v>2775</v>
      </c>
      <c r="P103" s="60" t="s">
        <v>2776</v>
      </c>
      <c r="Q103" s="60" t="s">
        <v>2777</v>
      </c>
      <c r="R103" s="60" t="s">
        <v>2778</v>
      </c>
      <c r="S103" s="60" t="s">
        <v>2779</v>
      </c>
      <c r="T103" s="60" t="s">
        <v>2780</v>
      </c>
      <c r="U103" s="60" t="s">
        <v>2781</v>
      </c>
      <c r="V103" s="60" t="s">
        <v>2782</v>
      </c>
      <c r="W103" s="60" t="s">
        <v>2783</v>
      </c>
      <c r="X103" s="60" t="s">
        <v>2784</v>
      </c>
      <c r="Y103" s="60" t="s">
        <v>2785</v>
      </c>
      <c r="Z103" s="60" t="s">
        <v>2786</v>
      </c>
      <c r="AA103" s="60" t="s">
        <v>2787</v>
      </c>
      <c r="AB103" s="60" t="s">
        <v>2788</v>
      </c>
      <c r="AC103" s="60" t="s">
        <v>2789</v>
      </c>
    </row>
    <row r="104">
      <c r="A104" s="59" t="s">
        <v>2790</v>
      </c>
      <c r="B104" s="60" t="s">
        <v>2791</v>
      </c>
      <c r="C104" s="61" t="s">
        <v>2792</v>
      </c>
      <c r="D104" s="60" t="s">
        <v>2793</v>
      </c>
      <c r="E104" s="60" t="s">
        <v>2794</v>
      </c>
      <c r="F104" s="60" t="s">
        <v>2795</v>
      </c>
      <c r="G104" s="60" t="s">
        <v>2796</v>
      </c>
      <c r="H104" s="60" t="s">
        <v>2797</v>
      </c>
      <c r="I104" s="60" t="s">
        <v>2798</v>
      </c>
      <c r="J104" s="60" t="s">
        <v>2799</v>
      </c>
      <c r="K104" s="60" t="s">
        <v>2800</v>
      </c>
      <c r="L104" s="60" t="s">
        <v>2801</v>
      </c>
      <c r="M104" s="60" t="s">
        <v>2802</v>
      </c>
      <c r="N104" s="60" t="s">
        <v>2803</v>
      </c>
      <c r="O104" s="60" t="s">
        <v>2804</v>
      </c>
      <c r="P104" s="60" t="s">
        <v>2805</v>
      </c>
      <c r="Q104" s="60" t="s">
        <v>2806</v>
      </c>
      <c r="R104" s="60" t="s">
        <v>2807</v>
      </c>
      <c r="S104" s="60" t="s">
        <v>2808</v>
      </c>
      <c r="T104" s="60" t="s">
        <v>2809</v>
      </c>
      <c r="U104" s="60" t="s">
        <v>2810</v>
      </c>
      <c r="V104" s="60" t="s">
        <v>2811</v>
      </c>
      <c r="W104" s="60" t="s">
        <v>2812</v>
      </c>
      <c r="X104" s="60" t="s">
        <v>2813</v>
      </c>
      <c r="Y104" s="60" t="s">
        <v>2814</v>
      </c>
      <c r="Z104" s="60" t="s">
        <v>2815</v>
      </c>
      <c r="AA104" s="60" t="s">
        <v>2816</v>
      </c>
      <c r="AB104" s="60" t="s">
        <v>2817</v>
      </c>
      <c r="AC104" s="60" t="s">
        <v>2818</v>
      </c>
    </row>
    <row r="105">
      <c r="A105" s="59" t="s">
        <v>2819</v>
      </c>
      <c r="B105" s="60" t="s">
        <v>2820</v>
      </c>
      <c r="C105" s="61" t="s">
        <v>2821</v>
      </c>
      <c r="D105" s="60" t="s">
        <v>2822</v>
      </c>
      <c r="E105" s="60" t="s">
        <v>2823</v>
      </c>
      <c r="F105" s="60" t="s">
        <v>2824</v>
      </c>
      <c r="G105" s="60" t="s">
        <v>2825</v>
      </c>
      <c r="H105" s="60" t="s">
        <v>2826</v>
      </c>
      <c r="I105" s="60" t="s">
        <v>2827</v>
      </c>
      <c r="J105" s="60" t="s">
        <v>2828</v>
      </c>
      <c r="K105" s="60" t="s">
        <v>2829</v>
      </c>
      <c r="L105" s="60" t="s">
        <v>2830</v>
      </c>
      <c r="M105" s="60" t="s">
        <v>2831</v>
      </c>
      <c r="N105" s="60" t="s">
        <v>2832</v>
      </c>
      <c r="O105" s="60" t="s">
        <v>2833</v>
      </c>
      <c r="P105" s="60" t="s">
        <v>2834</v>
      </c>
      <c r="Q105" s="60" t="s">
        <v>2835</v>
      </c>
      <c r="R105" s="60" t="s">
        <v>2836</v>
      </c>
      <c r="S105" s="60" t="s">
        <v>2837</v>
      </c>
      <c r="T105" s="60" t="s">
        <v>2838</v>
      </c>
      <c r="U105" s="60" t="s">
        <v>2839</v>
      </c>
      <c r="V105" s="60" t="s">
        <v>2840</v>
      </c>
      <c r="W105" s="60" t="s">
        <v>2841</v>
      </c>
      <c r="X105" s="60" t="s">
        <v>2842</v>
      </c>
      <c r="Y105" s="60" t="s">
        <v>2843</v>
      </c>
      <c r="Z105" s="60" t="s">
        <v>2844</v>
      </c>
      <c r="AA105" s="60" t="s">
        <v>2845</v>
      </c>
      <c r="AB105" s="60" t="s">
        <v>2846</v>
      </c>
      <c r="AC105" s="60" t="s">
        <v>2847</v>
      </c>
    </row>
    <row r="106">
      <c r="A106" s="59" t="s">
        <v>2848</v>
      </c>
      <c r="B106" s="60" t="s">
        <v>2849</v>
      </c>
      <c r="C106" s="61" t="s">
        <v>2850</v>
      </c>
      <c r="D106" s="60" t="s">
        <v>2851</v>
      </c>
      <c r="E106" s="60" t="s">
        <v>2852</v>
      </c>
      <c r="F106" s="60" t="s">
        <v>2853</v>
      </c>
      <c r="G106" s="60" t="s">
        <v>2854</v>
      </c>
      <c r="H106" s="60" t="s">
        <v>2855</v>
      </c>
      <c r="I106" s="60" t="s">
        <v>2856</v>
      </c>
      <c r="J106" s="60" t="s">
        <v>2857</v>
      </c>
      <c r="K106" s="60" t="s">
        <v>2858</v>
      </c>
      <c r="L106" s="60" t="s">
        <v>2859</v>
      </c>
      <c r="M106" s="60" t="s">
        <v>2860</v>
      </c>
      <c r="N106" s="60" t="s">
        <v>2861</v>
      </c>
      <c r="O106" s="60" t="s">
        <v>2862</v>
      </c>
      <c r="P106" s="60" t="s">
        <v>2863</v>
      </c>
      <c r="Q106" s="60" t="s">
        <v>2864</v>
      </c>
      <c r="R106" s="60" t="s">
        <v>2865</v>
      </c>
      <c r="S106" s="60" t="s">
        <v>2866</v>
      </c>
      <c r="T106" s="60" t="s">
        <v>2867</v>
      </c>
      <c r="U106" s="60" t="s">
        <v>2868</v>
      </c>
      <c r="V106" s="60" t="s">
        <v>2869</v>
      </c>
      <c r="W106" s="60" t="s">
        <v>2870</v>
      </c>
      <c r="X106" s="60" t="s">
        <v>2871</v>
      </c>
      <c r="Y106" s="60" t="s">
        <v>2872</v>
      </c>
      <c r="Z106" s="60" t="s">
        <v>2873</v>
      </c>
      <c r="AA106" s="60" t="s">
        <v>2874</v>
      </c>
      <c r="AB106" s="60" t="s">
        <v>2875</v>
      </c>
      <c r="AC106" s="60" t="s">
        <v>2876</v>
      </c>
    </row>
    <row r="107">
      <c r="A107" s="59" t="s">
        <v>2877</v>
      </c>
      <c r="B107" s="60" t="s">
        <v>2878</v>
      </c>
      <c r="C107" s="61" t="s">
        <v>2879</v>
      </c>
      <c r="D107" s="60" t="s">
        <v>2880</v>
      </c>
      <c r="E107" s="60" t="s">
        <v>2881</v>
      </c>
      <c r="F107" s="60" t="s">
        <v>2882</v>
      </c>
      <c r="G107" s="60" t="s">
        <v>2883</v>
      </c>
      <c r="H107" s="60" t="s">
        <v>2884</v>
      </c>
      <c r="I107" s="60" t="s">
        <v>2885</v>
      </c>
      <c r="J107" s="60" t="s">
        <v>2886</v>
      </c>
      <c r="K107" s="60" t="s">
        <v>2887</v>
      </c>
      <c r="L107" s="60" t="s">
        <v>2888</v>
      </c>
      <c r="M107" s="60" t="s">
        <v>2889</v>
      </c>
      <c r="N107" s="60" t="s">
        <v>2890</v>
      </c>
      <c r="O107" s="60" t="s">
        <v>2891</v>
      </c>
      <c r="P107" s="60" t="s">
        <v>2892</v>
      </c>
      <c r="Q107" s="60" t="s">
        <v>2893</v>
      </c>
      <c r="R107" s="60" t="s">
        <v>2894</v>
      </c>
      <c r="S107" s="60" t="s">
        <v>2895</v>
      </c>
      <c r="T107" s="60" t="s">
        <v>2888</v>
      </c>
      <c r="U107" s="60" t="s">
        <v>2896</v>
      </c>
      <c r="V107" s="60" t="s">
        <v>2897</v>
      </c>
      <c r="W107" s="60" t="s">
        <v>2898</v>
      </c>
      <c r="X107" s="60" t="s">
        <v>2899</v>
      </c>
      <c r="Y107" s="60" t="s">
        <v>2900</v>
      </c>
      <c r="Z107" s="60" t="s">
        <v>2901</v>
      </c>
      <c r="AA107" s="60" t="s">
        <v>2899</v>
      </c>
      <c r="AB107" s="60" t="s">
        <v>2902</v>
      </c>
      <c r="AC107" s="60" t="s">
        <v>2903</v>
      </c>
    </row>
    <row r="108">
      <c r="A108" s="59" t="s">
        <v>3019</v>
      </c>
      <c r="B108" s="60" t="s">
        <v>3020</v>
      </c>
      <c r="C108" s="61" t="s">
        <v>3021</v>
      </c>
      <c r="D108" s="60" t="s">
        <v>3022</v>
      </c>
      <c r="E108" s="60" t="s">
        <v>3023</v>
      </c>
      <c r="F108" s="60" t="s">
        <v>3024</v>
      </c>
      <c r="G108" s="60" t="s">
        <v>3025</v>
      </c>
      <c r="H108" s="60" t="s">
        <v>3026</v>
      </c>
      <c r="I108" s="60" t="s">
        <v>3027</v>
      </c>
      <c r="J108" s="60" t="s">
        <v>3028</v>
      </c>
      <c r="K108" s="60" t="s">
        <v>3029</v>
      </c>
      <c r="L108" s="60" t="s">
        <v>3030</v>
      </c>
      <c r="M108" s="60" t="s">
        <v>3031</v>
      </c>
      <c r="N108" s="60" t="s">
        <v>3032</v>
      </c>
      <c r="O108" s="60" t="s">
        <v>3033</v>
      </c>
      <c r="P108" s="60" t="s">
        <v>3034</v>
      </c>
      <c r="Q108" s="60" t="s">
        <v>3035</v>
      </c>
      <c r="R108" s="60" t="s">
        <v>3036</v>
      </c>
      <c r="S108" s="60" t="s">
        <v>3037</v>
      </c>
      <c r="T108" s="60" t="s">
        <v>3038</v>
      </c>
      <c r="U108" s="60" t="s">
        <v>3039</v>
      </c>
      <c r="V108" s="60" t="s">
        <v>3040</v>
      </c>
      <c r="W108" s="60" t="s">
        <v>3041</v>
      </c>
      <c r="X108" s="60" t="s">
        <v>3042</v>
      </c>
      <c r="Y108" s="60" t="s">
        <v>3043</v>
      </c>
      <c r="Z108" s="60" t="s">
        <v>3044</v>
      </c>
      <c r="AA108" s="60" t="s">
        <v>3045</v>
      </c>
      <c r="AB108" s="60" t="s">
        <v>3046</v>
      </c>
      <c r="AC108" s="60" t="s">
        <v>3047</v>
      </c>
    </row>
    <row r="109">
      <c r="A109" s="59" t="s">
        <v>3048</v>
      </c>
      <c r="B109" s="60" t="s">
        <v>3049</v>
      </c>
      <c r="C109" s="61" t="s">
        <v>3050</v>
      </c>
      <c r="D109" s="60" t="s">
        <v>3051</v>
      </c>
      <c r="E109" s="60" t="s">
        <v>3052</v>
      </c>
      <c r="F109" s="60" t="s">
        <v>3053</v>
      </c>
      <c r="G109" s="60" t="s">
        <v>3054</v>
      </c>
      <c r="H109" s="60" t="s">
        <v>3055</v>
      </c>
      <c r="I109" s="60" t="s">
        <v>3056</v>
      </c>
      <c r="J109" s="60" t="s">
        <v>3057</v>
      </c>
      <c r="K109" s="60" t="s">
        <v>3058</v>
      </c>
      <c r="L109" s="60" t="s">
        <v>3059</v>
      </c>
      <c r="M109" s="60" t="s">
        <v>3060</v>
      </c>
      <c r="N109" s="60" t="s">
        <v>3061</v>
      </c>
      <c r="O109" s="60" t="s">
        <v>3062</v>
      </c>
      <c r="P109" s="60" t="s">
        <v>3063</v>
      </c>
      <c r="Q109" s="60" t="s">
        <v>3064</v>
      </c>
      <c r="R109" s="60" t="s">
        <v>3065</v>
      </c>
      <c r="S109" s="60" t="s">
        <v>3066</v>
      </c>
      <c r="T109" s="60" t="s">
        <v>3067</v>
      </c>
      <c r="U109" s="60" t="s">
        <v>3068</v>
      </c>
      <c r="V109" s="60" t="s">
        <v>3069</v>
      </c>
      <c r="W109" s="60" t="s">
        <v>3070</v>
      </c>
      <c r="X109" s="60" t="s">
        <v>3071</v>
      </c>
      <c r="Y109" s="60" t="s">
        <v>3072</v>
      </c>
      <c r="Z109" s="60" t="s">
        <v>3073</v>
      </c>
      <c r="AA109" s="60" t="s">
        <v>3074</v>
      </c>
      <c r="AB109" s="60" t="s">
        <v>3075</v>
      </c>
      <c r="AC109" s="60" t="s">
        <v>3076</v>
      </c>
    </row>
    <row r="110">
      <c r="A110" s="59" t="s">
        <v>3077</v>
      </c>
      <c r="B110" s="60" t="s">
        <v>3078</v>
      </c>
      <c r="C110" s="61" t="s">
        <v>3079</v>
      </c>
      <c r="D110" s="60" t="s">
        <v>3080</v>
      </c>
      <c r="E110" s="60" t="s">
        <v>3081</v>
      </c>
      <c r="F110" s="60" t="s">
        <v>3082</v>
      </c>
      <c r="G110" s="60" t="s">
        <v>3083</v>
      </c>
      <c r="H110" s="60" t="s">
        <v>3084</v>
      </c>
      <c r="I110" s="60" t="s">
        <v>3085</v>
      </c>
      <c r="J110" s="60" t="s">
        <v>3086</v>
      </c>
      <c r="K110" s="60" t="s">
        <v>3087</v>
      </c>
      <c r="L110" s="60" t="s">
        <v>3088</v>
      </c>
      <c r="M110" s="60" t="s">
        <v>3089</v>
      </c>
      <c r="N110" s="60" t="s">
        <v>3090</v>
      </c>
      <c r="O110" s="60" t="s">
        <v>3091</v>
      </c>
      <c r="P110" s="60" t="s">
        <v>3092</v>
      </c>
      <c r="Q110" s="60" t="s">
        <v>3093</v>
      </c>
      <c r="R110" s="60" t="s">
        <v>3094</v>
      </c>
      <c r="S110" s="60" t="s">
        <v>3095</v>
      </c>
      <c r="T110" s="60" t="s">
        <v>3096</v>
      </c>
      <c r="U110" s="60" t="s">
        <v>3097</v>
      </c>
      <c r="V110" s="60" t="s">
        <v>3098</v>
      </c>
      <c r="W110" s="60" t="s">
        <v>3099</v>
      </c>
      <c r="X110" s="60" t="s">
        <v>3100</v>
      </c>
      <c r="Y110" s="60" t="s">
        <v>3101</v>
      </c>
      <c r="Z110" s="60" t="s">
        <v>3102</v>
      </c>
      <c r="AA110" s="60" t="s">
        <v>3103</v>
      </c>
      <c r="AB110" s="60" t="s">
        <v>3104</v>
      </c>
      <c r="AC110" s="60" t="s">
        <v>3105</v>
      </c>
    </row>
    <row r="111">
      <c r="A111" s="59" t="s">
        <v>3106</v>
      </c>
      <c r="B111" s="60" t="s">
        <v>3107</v>
      </c>
      <c r="C111" s="61" t="s">
        <v>3108</v>
      </c>
      <c r="D111" s="60" t="s">
        <v>3109</v>
      </c>
      <c r="E111" s="60" t="s">
        <v>3110</v>
      </c>
      <c r="F111" s="60" t="s">
        <v>3111</v>
      </c>
      <c r="G111" s="60" t="s">
        <v>3112</v>
      </c>
      <c r="H111" s="60" t="s">
        <v>3113</v>
      </c>
      <c r="I111" s="60" t="s">
        <v>3114</v>
      </c>
      <c r="J111" s="60" t="s">
        <v>3115</v>
      </c>
      <c r="K111" s="60" t="s">
        <v>3116</v>
      </c>
      <c r="L111" s="60" t="s">
        <v>3117</v>
      </c>
      <c r="M111" s="60" t="s">
        <v>3118</v>
      </c>
      <c r="N111" s="60" t="s">
        <v>3119</v>
      </c>
      <c r="O111" s="60" t="s">
        <v>3120</v>
      </c>
      <c r="P111" s="60" t="s">
        <v>3121</v>
      </c>
      <c r="Q111" s="60" t="s">
        <v>3122</v>
      </c>
      <c r="R111" s="60" t="s">
        <v>3123</v>
      </c>
      <c r="S111" s="60" t="s">
        <v>3124</v>
      </c>
      <c r="T111" s="60" t="s">
        <v>3117</v>
      </c>
      <c r="U111" s="60" t="s">
        <v>3125</v>
      </c>
      <c r="V111" s="60" t="s">
        <v>3126</v>
      </c>
      <c r="W111" s="60" t="s">
        <v>3127</v>
      </c>
      <c r="X111" s="60" t="s">
        <v>3128</v>
      </c>
      <c r="Y111" s="60" t="s">
        <v>3129</v>
      </c>
      <c r="Z111" s="60" t="s">
        <v>3130</v>
      </c>
      <c r="AA111" s="60" t="s">
        <v>3131</v>
      </c>
      <c r="AB111" s="60" t="s">
        <v>3132</v>
      </c>
      <c r="AC111" s="60" t="s">
        <v>3133</v>
      </c>
    </row>
    <row r="112">
      <c r="A112" s="59" t="s">
        <v>3134</v>
      </c>
      <c r="B112" s="60" t="s">
        <v>3135</v>
      </c>
      <c r="C112" s="61" t="s">
        <v>3136</v>
      </c>
      <c r="D112" s="60" t="s">
        <v>3137</v>
      </c>
      <c r="E112" s="60" t="s">
        <v>3138</v>
      </c>
      <c r="F112" s="60" t="s">
        <v>3139</v>
      </c>
      <c r="G112" s="60" t="s">
        <v>3140</v>
      </c>
      <c r="H112" s="60" t="s">
        <v>3141</v>
      </c>
      <c r="I112" s="60" t="s">
        <v>3142</v>
      </c>
      <c r="J112" s="60" t="s">
        <v>3143</v>
      </c>
      <c r="K112" s="60" t="s">
        <v>3144</v>
      </c>
      <c r="L112" s="60" t="s">
        <v>3145</v>
      </c>
      <c r="M112" s="60" t="s">
        <v>3146</v>
      </c>
      <c r="N112" s="60" t="s">
        <v>3147</v>
      </c>
      <c r="O112" s="60" t="s">
        <v>3148</v>
      </c>
      <c r="P112" s="60" t="s">
        <v>3149</v>
      </c>
      <c r="Q112" s="60" t="s">
        <v>3150</v>
      </c>
      <c r="R112" s="60" t="s">
        <v>3151</v>
      </c>
      <c r="S112" s="60" t="s">
        <v>3152</v>
      </c>
      <c r="T112" s="60" t="s">
        <v>3145</v>
      </c>
      <c r="U112" s="60" t="s">
        <v>3153</v>
      </c>
      <c r="V112" s="60" t="s">
        <v>3154</v>
      </c>
      <c r="W112" s="60" t="s">
        <v>3155</v>
      </c>
      <c r="X112" s="60" t="s">
        <v>3156</v>
      </c>
      <c r="Y112" s="60" t="s">
        <v>3157</v>
      </c>
      <c r="Z112" s="60" t="s">
        <v>3158</v>
      </c>
      <c r="AA112" s="60" t="s">
        <v>3159</v>
      </c>
      <c r="AB112" s="60" t="s">
        <v>3160</v>
      </c>
      <c r="AC112" s="60" t="s">
        <v>3161</v>
      </c>
    </row>
    <row r="113">
      <c r="A113" s="59" t="s">
        <v>3162</v>
      </c>
      <c r="B113" s="60" t="s">
        <v>3163</v>
      </c>
      <c r="C113" s="61" t="s">
        <v>3164</v>
      </c>
      <c r="D113" s="60" t="s">
        <v>3165</v>
      </c>
      <c r="E113" s="60" t="s">
        <v>3166</v>
      </c>
      <c r="F113" s="60" t="s">
        <v>3167</v>
      </c>
      <c r="G113" s="60" t="s">
        <v>3168</v>
      </c>
      <c r="H113" s="60" t="s">
        <v>3169</v>
      </c>
      <c r="I113" s="60" t="s">
        <v>3170</v>
      </c>
      <c r="J113" s="60" t="s">
        <v>3171</v>
      </c>
      <c r="K113" s="60" t="s">
        <v>3172</v>
      </c>
      <c r="L113" s="60" t="s">
        <v>3173</v>
      </c>
      <c r="M113" s="60" t="s">
        <v>3174</v>
      </c>
      <c r="N113" s="60" t="s">
        <v>3175</v>
      </c>
      <c r="O113" s="60" t="s">
        <v>3176</v>
      </c>
      <c r="P113" s="60" t="s">
        <v>3177</v>
      </c>
      <c r="Q113" s="60" t="s">
        <v>3178</v>
      </c>
      <c r="R113" s="60" t="s">
        <v>3179</v>
      </c>
      <c r="S113" s="60" t="s">
        <v>3180</v>
      </c>
      <c r="T113" s="60" t="s">
        <v>3173</v>
      </c>
      <c r="U113" s="60" t="s">
        <v>3181</v>
      </c>
      <c r="V113" s="60" t="s">
        <v>3182</v>
      </c>
      <c r="W113" s="60" t="s">
        <v>3183</v>
      </c>
      <c r="X113" s="60" t="s">
        <v>3184</v>
      </c>
      <c r="Y113" s="60" t="s">
        <v>3185</v>
      </c>
      <c r="Z113" s="60" t="s">
        <v>3186</v>
      </c>
      <c r="AA113" s="60" t="s">
        <v>3187</v>
      </c>
      <c r="AB113" s="60" t="s">
        <v>3188</v>
      </c>
      <c r="AC113" s="60" t="s">
        <v>3189</v>
      </c>
    </row>
    <row r="114">
      <c r="A114" s="59" t="s">
        <v>3190</v>
      </c>
      <c r="B114" s="60" t="s">
        <v>3191</v>
      </c>
      <c r="C114" s="61" t="s">
        <v>3192</v>
      </c>
      <c r="D114" s="60" t="s">
        <v>3193</v>
      </c>
      <c r="E114" s="60" t="s">
        <v>3194</v>
      </c>
      <c r="F114" s="60" t="s">
        <v>3195</v>
      </c>
      <c r="G114" s="60" t="s">
        <v>3196</v>
      </c>
      <c r="H114" s="60" t="s">
        <v>3197</v>
      </c>
      <c r="I114" s="60" t="s">
        <v>3198</v>
      </c>
      <c r="J114" s="60" t="s">
        <v>3199</v>
      </c>
      <c r="K114" s="60" t="s">
        <v>3200</v>
      </c>
      <c r="L114" s="60" t="s">
        <v>3201</v>
      </c>
      <c r="M114" s="60" t="s">
        <v>3202</v>
      </c>
      <c r="N114" s="60" t="s">
        <v>3203</v>
      </c>
      <c r="O114" s="60" t="s">
        <v>3204</v>
      </c>
      <c r="P114" s="60" t="s">
        <v>3205</v>
      </c>
      <c r="Q114" s="60" t="s">
        <v>3206</v>
      </c>
      <c r="R114" s="60" t="s">
        <v>3207</v>
      </c>
      <c r="S114" s="60" t="s">
        <v>3208</v>
      </c>
      <c r="T114" s="60" t="s">
        <v>3209</v>
      </c>
      <c r="U114" s="60" t="s">
        <v>3210</v>
      </c>
      <c r="V114" s="60" t="s">
        <v>3211</v>
      </c>
      <c r="W114" s="60" t="s">
        <v>3212</v>
      </c>
      <c r="X114" s="60" t="s">
        <v>3213</v>
      </c>
      <c r="Y114" s="60" t="s">
        <v>3214</v>
      </c>
      <c r="Z114" s="60" t="s">
        <v>3215</v>
      </c>
      <c r="AA114" s="60" t="s">
        <v>3216</v>
      </c>
      <c r="AB114" s="60" t="s">
        <v>3217</v>
      </c>
      <c r="AC114" s="60" t="s">
        <v>3218</v>
      </c>
    </row>
    <row r="115">
      <c r="A115" s="59" t="s">
        <v>3219</v>
      </c>
      <c r="B115" s="60" t="s">
        <v>3220</v>
      </c>
      <c r="C115" s="61" t="s">
        <v>3221</v>
      </c>
      <c r="D115" s="60" t="s">
        <v>3222</v>
      </c>
      <c r="E115" s="60" t="s">
        <v>3223</v>
      </c>
      <c r="F115" s="60" t="s">
        <v>3224</v>
      </c>
      <c r="G115" s="60" t="s">
        <v>3225</v>
      </c>
      <c r="H115" s="60" t="s">
        <v>3226</v>
      </c>
      <c r="I115" s="60" t="s">
        <v>3227</v>
      </c>
      <c r="J115" s="60" t="s">
        <v>3228</v>
      </c>
      <c r="K115" s="60" t="s">
        <v>3229</v>
      </c>
      <c r="L115" s="60" t="s">
        <v>3230</v>
      </c>
      <c r="M115" s="60" t="s">
        <v>3225</v>
      </c>
      <c r="N115" s="60" t="s">
        <v>3231</v>
      </c>
      <c r="O115" s="60" t="s">
        <v>3232</v>
      </c>
      <c r="P115" s="60" t="s">
        <v>3233</v>
      </c>
      <c r="Q115" s="60" t="s">
        <v>3234</v>
      </c>
      <c r="R115" s="60" t="s">
        <v>3235</v>
      </c>
      <c r="S115" s="60" t="s">
        <v>3236</v>
      </c>
      <c r="T115" s="60" t="s">
        <v>3237</v>
      </c>
      <c r="U115" s="60" t="s">
        <v>3238</v>
      </c>
      <c r="V115" s="60" t="s">
        <v>3239</v>
      </c>
      <c r="W115" s="60" t="s">
        <v>3225</v>
      </c>
      <c r="X115" s="60" t="s">
        <v>3240</v>
      </c>
      <c r="Y115" s="60" t="s">
        <v>3241</v>
      </c>
      <c r="Z115" s="60" t="s">
        <v>3237</v>
      </c>
      <c r="AA115" s="60" t="s">
        <v>3242</v>
      </c>
      <c r="AB115" s="60" t="s">
        <v>3243</v>
      </c>
      <c r="AC115" s="60" t="s">
        <v>3244</v>
      </c>
    </row>
    <row r="116">
      <c r="A116" s="59" t="s">
        <v>3245</v>
      </c>
      <c r="B116" s="60" t="s">
        <v>3246</v>
      </c>
      <c r="C116" s="61" t="s">
        <v>3247</v>
      </c>
      <c r="D116" s="60" t="s">
        <v>3246</v>
      </c>
      <c r="E116" s="60" t="s">
        <v>3246</v>
      </c>
      <c r="F116" s="60" t="s">
        <v>839</v>
      </c>
      <c r="G116" s="60" t="s">
        <v>840</v>
      </c>
      <c r="H116" s="60" t="s">
        <v>3248</v>
      </c>
      <c r="I116" s="60" t="s">
        <v>3249</v>
      </c>
      <c r="J116" s="60" t="s">
        <v>843</v>
      </c>
      <c r="K116" s="60" t="s">
        <v>3250</v>
      </c>
      <c r="L116" s="60" t="s">
        <v>3251</v>
      </c>
      <c r="M116" s="60" t="s">
        <v>3252</v>
      </c>
      <c r="N116" s="60" t="s">
        <v>3253</v>
      </c>
      <c r="O116" s="60" t="s">
        <v>3254</v>
      </c>
      <c r="P116" s="60" t="s">
        <v>3255</v>
      </c>
      <c r="Q116" s="60" t="s">
        <v>3256</v>
      </c>
      <c r="R116" s="60" t="s">
        <v>657</v>
      </c>
      <c r="S116" s="60" t="s">
        <v>3257</v>
      </c>
      <c r="T116" s="60" t="s">
        <v>3258</v>
      </c>
      <c r="U116" s="60" t="s">
        <v>3259</v>
      </c>
      <c r="V116" s="60" t="s">
        <v>3260</v>
      </c>
      <c r="W116" s="60" t="s">
        <v>3261</v>
      </c>
      <c r="X116" s="60" t="s">
        <v>3262</v>
      </c>
      <c r="Y116" s="60" t="s">
        <v>664</v>
      </c>
      <c r="Z116" s="60" t="s">
        <v>3263</v>
      </c>
      <c r="AA116" s="60" t="s">
        <v>852</v>
      </c>
      <c r="AB116" s="60" t="s">
        <v>667</v>
      </c>
      <c r="AC116" s="60" t="s">
        <v>3264</v>
      </c>
    </row>
    <row r="117">
      <c r="A117" s="59" t="s">
        <v>3265</v>
      </c>
      <c r="B117" s="60" t="s">
        <v>3266</v>
      </c>
      <c r="C117" s="61" t="s">
        <v>3267</v>
      </c>
      <c r="D117" s="60" t="s">
        <v>3268</v>
      </c>
      <c r="E117" s="60" t="s">
        <v>3269</v>
      </c>
      <c r="F117" s="60" t="s">
        <v>3270</v>
      </c>
      <c r="G117" s="60" t="s">
        <v>3271</v>
      </c>
      <c r="H117" s="60" t="s">
        <v>3272</v>
      </c>
      <c r="I117" s="60" t="s">
        <v>3273</v>
      </c>
      <c r="J117" s="60" t="s">
        <v>3274</v>
      </c>
      <c r="K117" s="60" t="s">
        <v>3275</v>
      </c>
      <c r="L117" s="60" t="s">
        <v>3276</v>
      </c>
      <c r="M117" s="60" t="s">
        <v>3277</v>
      </c>
      <c r="N117" s="60" t="s">
        <v>3278</v>
      </c>
      <c r="O117" s="60" t="s">
        <v>3279</v>
      </c>
      <c r="P117" s="60" t="s">
        <v>3280</v>
      </c>
      <c r="Q117" s="60" t="s">
        <v>3281</v>
      </c>
      <c r="R117" s="60" t="s">
        <v>3282</v>
      </c>
      <c r="S117" s="60" t="s">
        <v>3283</v>
      </c>
      <c r="T117" s="60" t="s">
        <v>3284</v>
      </c>
      <c r="U117" s="60" t="s">
        <v>3285</v>
      </c>
      <c r="V117" s="60" t="s">
        <v>3286</v>
      </c>
      <c r="W117" s="60" t="s">
        <v>3287</v>
      </c>
      <c r="X117" s="60" t="s">
        <v>3288</v>
      </c>
      <c r="Y117" s="60" t="s">
        <v>3289</v>
      </c>
      <c r="Z117" s="60" t="s">
        <v>3290</v>
      </c>
      <c r="AA117" s="60" t="s">
        <v>3291</v>
      </c>
      <c r="AB117" s="60" t="s">
        <v>3292</v>
      </c>
      <c r="AC117" s="60" t="s">
        <v>3293</v>
      </c>
    </row>
    <row r="118">
      <c r="A118" s="59" t="s">
        <v>3294</v>
      </c>
      <c r="B118" s="60" t="s">
        <v>3295</v>
      </c>
      <c r="C118" s="61" t="s">
        <v>3296</v>
      </c>
      <c r="D118" s="60" t="s">
        <v>3297</v>
      </c>
      <c r="E118" s="60" t="s">
        <v>3298</v>
      </c>
      <c r="F118" s="60" t="s">
        <v>3299</v>
      </c>
      <c r="G118" s="60" t="s">
        <v>3300</v>
      </c>
      <c r="H118" s="60" t="s">
        <v>3301</v>
      </c>
      <c r="I118" s="60" t="s">
        <v>3302</v>
      </c>
      <c r="J118" s="60" t="s">
        <v>1577</v>
      </c>
      <c r="K118" s="60" t="s">
        <v>3303</v>
      </c>
      <c r="L118" s="60" t="s">
        <v>3304</v>
      </c>
      <c r="M118" s="60" t="s">
        <v>3305</v>
      </c>
      <c r="N118" s="60" t="s">
        <v>3306</v>
      </c>
      <c r="O118" s="60" t="s">
        <v>3307</v>
      </c>
      <c r="P118" s="60" t="s">
        <v>3308</v>
      </c>
      <c r="Q118" s="60" t="s">
        <v>3309</v>
      </c>
      <c r="R118" s="60" t="s">
        <v>3310</v>
      </c>
      <c r="S118" s="60" t="s">
        <v>3311</v>
      </c>
      <c r="T118" s="60" t="s">
        <v>3312</v>
      </c>
      <c r="U118" s="60" t="s">
        <v>3313</v>
      </c>
      <c r="V118" s="60" t="s">
        <v>3314</v>
      </c>
      <c r="W118" s="60" t="s">
        <v>3315</v>
      </c>
      <c r="X118" s="60" t="s">
        <v>3316</v>
      </c>
      <c r="Y118" s="60" t="s">
        <v>3317</v>
      </c>
      <c r="Z118" s="60" t="s">
        <v>3318</v>
      </c>
      <c r="AA118" s="60" t="s">
        <v>3319</v>
      </c>
      <c r="AB118" s="60" t="s">
        <v>3320</v>
      </c>
      <c r="AC118" s="60" t="s">
        <v>3321</v>
      </c>
    </row>
    <row r="119">
      <c r="A119" s="59" t="s">
        <v>3322</v>
      </c>
      <c r="B119" s="60" t="s">
        <v>3323</v>
      </c>
      <c r="C119" s="61" t="s">
        <v>3324</v>
      </c>
      <c r="D119" s="60" t="s">
        <v>3325</v>
      </c>
      <c r="E119" s="60" t="s">
        <v>3326</v>
      </c>
      <c r="F119" s="60" t="s">
        <v>3327</v>
      </c>
      <c r="G119" s="60" t="s">
        <v>3328</v>
      </c>
      <c r="H119" s="60" t="s">
        <v>3329</v>
      </c>
      <c r="I119" s="60" t="s">
        <v>3330</v>
      </c>
      <c r="J119" s="60" t="s">
        <v>3331</v>
      </c>
      <c r="K119" s="60" t="s">
        <v>3332</v>
      </c>
      <c r="L119" s="60" t="s">
        <v>3333</v>
      </c>
      <c r="M119" s="60" t="s">
        <v>3334</v>
      </c>
      <c r="N119" s="60" t="s">
        <v>3335</v>
      </c>
      <c r="O119" s="60" t="s">
        <v>3336</v>
      </c>
      <c r="P119" s="60" t="s">
        <v>3337</v>
      </c>
      <c r="Q119" s="60" t="s">
        <v>3338</v>
      </c>
      <c r="R119" s="60" t="s">
        <v>3339</v>
      </c>
      <c r="S119" s="60" t="s">
        <v>3340</v>
      </c>
      <c r="T119" s="60" t="s">
        <v>3341</v>
      </c>
      <c r="U119" s="60" t="s">
        <v>3323</v>
      </c>
      <c r="V119" s="60" t="s">
        <v>3342</v>
      </c>
      <c r="W119" s="60" t="s">
        <v>3343</v>
      </c>
      <c r="X119" s="60" t="s">
        <v>3344</v>
      </c>
      <c r="Y119" s="60" t="s">
        <v>3345</v>
      </c>
      <c r="Z119" s="60" t="s">
        <v>3346</v>
      </c>
      <c r="AA119" s="60" t="s">
        <v>3347</v>
      </c>
      <c r="AB119" s="60" t="s">
        <v>3348</v>
      </c>
      <c r="AC119" s="60" t="s">
        <v>3323</v>
      </c>
    </row>
    <row r="120">
      <c r="A120" s="59" t="s">
        <v>3349</v>
      </c>
      <c r="B120" s="60" t="s">
        <v>3350</v>
      </c>
      <c r="C120" s="61" t="s">
        <v>3351</v>
      </c>
      <c r="D120" s="60" t="s">
        <v>3352</v>
      </c>
      <c r="E120" s="60" t="s">
        <v>3353</v>
      </c>
      <c r="F120" s="60" t="s">
        <v>3354</v>
      </c>
      <c r="G120" s="60" t="s">
        <v>3355</v>
      </c>
      <c r="H120" s="60" t="s">
        <v>3356</v>
      </c>
      <c r="I120" s="60" t="s">
        <v>3357</v>
      </c>
      <c r="J120" s="60" t="s">
        <v>3358</v>
      </c>
      <c r="K120" s="60" t="s">
        <v>3359</v>
      </c>
      <c r="L120" s="60" t="s">
        <v>3360</v>
      </c>
      <c r="M120" s="60" t="s">
        <v>3360</v>
      </c>
      <c r="N120" s="60" t="s">
        <v>3361</v>
      </c>
      <c r="O120" s="60" t="s">
        <v>3362</v>
      </c>
      <c r="P120" s="60" t="s">
        <v>3363</v>
      </c>
      <c r="Q120" s="60" t="s">
        <v>3364</v>
      </c>
      <c r="R120" s="60" t="s">
        <v>3365</v>
      </c>
      <c r="S120" s="60" t="s">
        <v>3366</v>
      </c>
      <c r="T120" s="60" t="s">
        <v>3367</v>
      </c>
      <c r="U120" s="60" t="s">
        <v>3360</v>
      </c>
      <c r="V120" s="60" t="s">
        <v>3360</v>
      </c>
      <c r="W120" s="60" t="s">
        <v>3360</v>
      </c>
      <c r="X120" s="60" t="s">
        <v>3368</v>
      </c>
      <c r="Y120" s="60" t="s">
        <v>3369</v>
      </c>
      <c r="Z120" s="60" t="s">
        <v>3370</v>
      </c>
      <c r="AA120" s="60" t="s">
        <v>3371</v>
      </c>
      <c r="AB120" s="60" t="s">
        <v>3372</v>
      </c>
      <c r="AC120" s="60" t="s">
        <v>3350</v>
      </c>
    </row>
    <row r="121">
      <c r="A121" s="59" t="s">
        <v>3373</v>
      </c>
      <c r="B121" s="60" t="s">
        <v>3374</v>
      </c>
      <c r="C121" s="61" t="s">
        <v>3375</v>
      </c>
      <c r="D121" s="60" t="s">
        <v>3376</v>
      </c>
      <c r="E121" s="60" t="s">
        <v>3377</v>
      </c>
      <c r="F121" s="60" t="s">
        <v>3378</v>
      </c>
      <c r="G121" s="60" t="s">
        <v>3379</v>
      </c>
      <c r="H121" s="60" t="s">
        <v>3380</v>
      </c>
      <c r="I121" s="60" t="s">
        <v>3381</v>
      </c>
      <c r="J121" s="60" t="s">
        <v>3382</v>
      </c>
      <c r="K121" s="60" t="s">
        <v>3383</v>
      </c>
      <c r="L121" s="60" t="s">
        <v>3384</v>
      </c>
      <c r="M121" s="60" t="s">
        <v>3385</v>
      </c>
      <c r="N121" s="60" t="s">
        <v>3386</v>
      </c>
      <c r="O121" s="60" t="s">
        <v>3387</v>
      </c>
      <c r="P121" s="60" t="s">
        <v>3388</v>
      </c>
      <c r="Q121" s="60" t="s">
        <v>3389</v>
      </c>
      <c r="R121" s="60" t="s">
        <v>3390</v>
      </c>
      <c r="S121" s="60" t="s">
        <v>3391</v>
      </c>
      <c r="T121" s="60" t="s">
        <v>3392</v>
      </c>
      <c r="U121" s="60" t="s">
        <v>3393</v>
      </c>
      <c r="V121" s="60" t="s">
        <v>3394</v>
      </c>
      <c r="W121" s="60" t="s">
        <v>3395</v>
      </c>
      <c r="X121" s="60" t="s">
        <v>3396</v>
      </c>
      <c r="Y121" s="60" t="s">
        <v>3397</v>
      </c>
      <c r="Z121" s="60" t="s">
        <v>3398</v>
      </c>
      <c r="AA121" s="60" t="s">
        <v>3399</v>
      </c>
      <c r="AB121" s="60" t="s">
        <v>3400</v>
      </c>
      <c r="AC121" s="60" t="s">
        <v>3401</v>
      </c>
    </row>
    <row r="122">
      <c r="A122" s="59" t="s">
        <v>3402</v>
      </c>
      <c r="B122" s="60" t="s">
        <v>3403</v>
      </c>
      <c r="C122" s="61" t="s">
        <v>3404</v>
      </c>
      <c r="D122" s="60" t="s">
        <v>3405</v>
      </c>
      <c r="E122" s="60" t="s">
        <v>3406</v>
      </c>
      <c r="F122" s="60" t="s">
        <v>3407</v>
      </c>
      <c r="G122" s="60" t="s">
        <v>3408</v>
      </c>
      <c r="H122" s="60" t="s">
        <v>3409</v>
      </c>
      <c r="I122" s="60" t="s">
        <v>3410</v>
      </c>
      <c r="J122" s="60" t="s">
        <v>3411</v>
      </c>
      <c r="K122" s="60" t="s">
        <v>3412</v>
      </c>
      <c r="L122" s="60" t="s">
        <v>3413</v>
      </c>
      <c r="M122" s="60" t="s">
        <v>3414</v>
      </c>
      <c r="N122" s="60" t="s">
        <v>3415</v>
      </c>
      <c r="O122" s="60" t="s">
        <v>3416</v>
      </c>
      <c r="P122" s="60" t="s">
        <v>3417</v>
      </c>
      <c r="Q122" s="60" t="s">
        <v>3418</v>
      </c>
      <c r="R122" s="60" t="s">
        <v>3419</v>
      </c>
      <c r="S122" s="60" t="s">
        <v>3420</v>
      </c>
      <c r="T122" s="60" t="s">
        <v>3421</v>
      </c>
      <c r="U122" s="60" t="s">
        <v>3422</v>
      </c>
      <c r="V122" s="60" t="s">
        <v>3423</v>
      </c>
      <c r="W122" s="60" t="s">
        <v>3424</v>
      </c>
      <c r="X122" s="60" t="s">
        <v>3425</v>
      </c>
      <c r="Y122" s="60" t="s">
        <v>3426</v>
      </c>
      <c r="Z122" s="60" t="s">
        <v>3427</v>
      </c>
      <c r="AA122" s="60" t="s">
        <v>3428</v>
      </c>
      <c r="AB122" s="60" t="s">
        <v>3429</v>
      </c>
      <c r="AC122" s="60" t="s">
        <v>3430</v>
      </c>
    </row>
    <row r="123">
      <c r="A123" s="59" t="s">
        <v>3431</v>
      </c>
      <c r="B123" s="60" t="s">
        <v>3432</v>
      </c>
      <c r="C123" s="61" t="s">
        <v>3433</v>
      </c>
      <c r="D123" s="60" t="s">
        <v>3434</v>
      </c>
      <c r="E123" s="60" t="s">
        <v>3435</v>
      </c>
      <c r="F123" s="60" t="s">
        <v>3436</v>
      </c>
      <c r="G123" s="60" t="s">
        <v>3437</v>
      </c>
      <c r="H123" s="60" t="s">
        <v>3438</v>
      </c>
      <c r="I123" s="60" t="s">
        <v>3439</v>
      </c>
      <c r="J123" s="60" t="s">
        <v>3440</v>
      </c>
      <c r="K123" s="60" t="s">
        <v>3441</v>
      </c>
      <c r="L123" s="60" t="s">
        <v>3442</v>
      </c>
      <c r="M123" s="60" t="s">
        <v>3443</v>
      </c>
      <c r="N123" s="60" t="s">
        <v>3444</v>
      </c>
      <c r="O123" s="60" t="s">
        <v>3445</v>
      </c>
      <c r="P123" s="60" t="s">
        <v>3446</v>
      </c>
      <c r="Q123" s="60" t="s">
        <v>3447</v>
      </c>
      <c r="R123" s="60" t="s">
        <v>3448</v>
      </c>
      <c r="S123" s="60" t="s">
        <v>3449</v>
      </c>
      <c r="T123" s="60" t="s">
        <v>3450</v>
      </c>
      <c r="U123" s="60" t="s">
        <v>3451</v>
      </c>
      <c r="V123" s="60" t="s">
        <v>3452</v>
      </c>
      <c r="W123" s="60" t="s">
        <v>3453</v>
      </c>
      <c r="X123" s="60" t="s">
        <v>3454</v>
      </c>
      <c r="Y123" s="60" t="s">
        <v>3455</v>
      </c>
      <c r="Z123" s="60" t="s">
        <v>3456</v>
      </c>
      <c r="AA123" s="60" t="s">
        <v>3457</v>
      </c>
      <c r="AB123" s="60" t="s">
        <v>3458</v>
      </c>
      <c r="AC123" s="60" t="s">
        <v>3459</v>
      </c>
    </row>
    <row r="124">
      <c r="A124" s="59" t="s">
        <v>3460</v>
      </c>
      <c r="B124" s="60" t="s">
        <v>3461</v>
      </c>
      <c r="C124" s="61" t="s">
        <v>3462</v>
      </c>
      <c r="D124" s="60" t="s">
        <v>3463</v>
      </c>
      <c r="E124" s="60" t="s">
        <v>3464</v>
      </c>
      <c r="F124" s="60" t="s">
        <v>3465</v>
      </c>
      <c r="G124" s="60" t="s">
        <v>3466</v>
      </c>
      <c r="H124" s="60" t="s">
        <v>3438</v>
      </c>
      <c r="I124" s="60" t="s">
        <v>3467</v>
      </c>
      <c r="J124" s="60" t="s">
        <v>3468</v>
      </c>
      <c r="K124" s="60" t="s">
        <v>3469</v>
      </c>
      <c r="L124" s="60" t="s">
        <v>3470</v>
      </c>
      <c r="M124" s="60" t="s">
        <v>3471</v>
      </c>
      <c r="N124" s="60" t="s">
        <v>3472</v>
      </c>
      <c r="O124" s="60" t="s">
        <v>3473</v>
      </c>
      <c r="P124" s="60" t="s">
        <v>3474</v>
      </c>
      <c r="Q124" s="60" t="s">
        <v>3475</v>
      </c>
      <c r="R124" s="60" t="s">
        <v>3476</v>
      </c>
      <c r="S124" s="60" t="s">
        <v>3477</v>
      </c>
      <c r="T124" s="60" t="s">
        <v>3478</v>
      </c>
      <c r="U124" s="60" t="s">
        <v>3479</v>
      </c>
      <c r="V124" s="60" t="s">
        <v>3480</v>
      </c>
      <c r="W124" s="60" t="s">
        <v>3481</v>
      </c>
      <c r="X124" s="60" t="s">
        <v>3482</v>
      </c>
      <c r="Y124" s="60" t="s">
        <v>3483</v>
      </c>
      <c r="Z124" s="60" t="s">
        <v>3484</v>
      </c>
      <c r="AA124" s="60" t="s">
        <v>3485</v>
      </c>
      <c r="AB124" s="60" t="s">
        <v>3486</v>
      </c>
      <c r="AC124" s="60" t="s">
        <v>3487</v>
      </c>
    </row>
    <row r="125">
      <c r="A125" s="59" t="s">
        <v>3488</v>
      </c>
      <c r="B125" s="60" t="s">
        <v>3489</v>
      </c>
      <c r="C125" s="61" t="s">
        <v>3490</v>
      </c>
      <c r="D125" s="60" t="s">
        <v>3491</v>
      </c>
      <c r="E125" s="60" t="s">
        <v>3492</v>
      </c>
      <c r="F125" s="60" t="s">
        <v>3493</v>
      </c>
      <c r="G125" s="60" t="s">
        <v>3494</v>
      </c>
      <c r="H125" s="60" t="s">
        <v>3495</v>
      </c>
      <c r="I125" s="60" t="s">
        <v>3496</v>
      </c>
      <c r="J125" s="60" t="s">
        <v>3497</v>
      </c>
      <c r="K125" s="60" t="s">
        <v>3498</v>
      </c>
      <c r="L125" s="60" t="s">
        <v>3499</v>
      </c>
      <c r="M125" s="60" t="s">
        <v>3500</v>
      </c>
      <c r="N125" s="60" t="s">
        <v>3501</v>
      </c>
      <c r="O125" s="60" t="s">
        <v>3502</v>
      </c>
      <c r="P125" s="60" t="s">
        <v>3503</v>
      </c>
      <c r="Q125" s="60" t="s">
        <v>3504</v>
      </c>
      <c r="R125" s="60" t="s">
        <v>3505</v>
      </c>
      <c r="S125" s="60" t="s">
        <v>3506</v>
      </c>
      <c r="T125" s="60" t="s">
        <v>3507</v>
      </c>
      <c r="U125" s="60" t="s">
        <v>3508</v>
      </c>
      <c r="V125" s="60" t="s">
        <v>3509</v>
      </c>
      <c r="W125" s="60" t="s">
        <v>3510</v>
      </c>
      <c r="X125" s="60" t="s">
        <v>3511</v>
      </c>
      <c r="Y125" s="60" t="s">
        <v>3512</v>
      </c>
      <c r="Z125" s="60" t="s">
        <v>3513</v>
      </c>
      <c r="AA125" s="60" t="s">
        <v>3514</v>
      </c>
      <c r="AB125" s="60" t="s">
        <v>3515</v>
      </c>
      <c r="AC125" s="60" t="s">
        <v>3516</v>
      </c>
    </row>
    <row r="126">
      <c r="A126" s="59" t="s">
        <v>3517</v>
      </c>
      <c r="B126" s="60" t="s">
        <v>3518</v>
      </c>
      <c r="C126" s="61" t="s">
        <v>3519</v>
      </c>
      <c r="D126" s="60" t="s">
        <v>3520</v>
      </c>
      <c r="E126" s="60" t="s">
        <v>3521</v>
      </c>
      <c r="F126" s="60" t="s">
        <v>3522</v>
      </c>
      <c r="G126" s="60" t="s">
        <v>3523</v>
      </c>
      <c r="H126" s="60" t="s">
        <v>3524</v>
      </c>
      <c r="I126" s="60" t="s">
        <v>3525</v>
      </c>
      <c r="J126" s="60" t="s">
        <v>3526</v>
      </c>
      <c r="K126" s="60" t="s">
        <v>3527</v>
      </c>
      <c r="L126" s="60" t="s">
        <v>3528</v>
      </c>
      <c r="M126" s="60" t="s">
        <v>3529</v>
      </c>
      <c r="N126" s="60" t="s">
        <v>3530</v>
      </c>
      <c r="O126" s="60" t="s">
        <v>3531</v>
      </c>
      <c r="P126" s="60" t="s">
        <v>3532</v>
      </c>
      <c r="Q126" s="60" t="s">
        <v>3533</v>
      </c>
      <c r="R126" s="60" t="s">
        <v>3534</v>
      </c>
      <c r="S126" s="60" t="s">
        <v>3535</v>
      </c>
      <c r="T126" s="60" t="s">
        <v>3536</v>
      </c>
      <c r="U126" s="60" t="s">
        <v>3537</v>
      </c>
      <c r="V126" s="60" t="s">
        <v>3538</v>
      </c>
      <c r="W126" s="60" t="s">
        <v>3539</v>
      </c>
      <c r="X126" s="60" t="s">
        <v>3540</v>
      </c>
      <c r="Y126" s="60" t="s">
        <v>3541</v>
      </c>
      <c r="Z126" s="60" t="s">
        <v>3542</v>
      </c>
      <c r="AA126" s="60" t="s">
        <v>3543</v>
      </c>
      <c r="AB126" s="60" t="s">
        <v>3544</v>
      </c>
      <c r="AC126" s="60" t="s">
        <v>3545</v>
      </c>
    </row>
    <row r="127">
      <c r="A127" s="59" t="s">
        <v>3546</v>
      </c>
      <c r="B127" s="60" t="s">
        <v>3547</v>
      </c>
      <c r="C127" s="61" t="s">
        <v>3548</v>
      </c>
      <c r="D127" s="60" t="s">
        <v>3549</v>
      </c>
      <c r="E127" s="60" t="s">
        <v>3550</v>
      </c>
      <c r="F127" s="60" t="s">
        <v>3551</v>
      </c>
      <c r="G127" s="60" t="s">
        <v>3552</v>
      </c>
      <c r="H127" s="60" t="s">
        <v>3553</v>
      </c>
      <c r="I127" s="60" t="s">
        <v>3554</v>
      </c>
      <c r="J127" s="60" t="s">
        <v>3555</v>
      </c>
      <c r="K127" s="60" t="s">
        <v>3556</v>
      </c>
      <c r="L127" s="60" t="s">
        <v>3557</v>
      </c>
      <c r="M127" s="60" t="s">
        <v>3558</v>
      </c>
      <c r="N127" s="60" t="s">
        <v>3559</v>
      </c>
      <c r="O127" s="60" t="s">
        <v>3560</v>
      </c>
      <c r="P127" s="60" t="s">
        <v>3561</v>
      </c>
      <c r="Q127" s="60" t="s">
        <v>3562</v>
      </c>
      <c r="R127" s="60" t="s">
        <v>3563</v>
      </c>
      <c r="S127" s="60" t="s">
        <v>3564</v>
      </c>
      <c r="T127" s="60" t="s">
        <v>3565</v>
      </c>
      <c r="U127" s="60" t="s">
        <v>3566</v>
      </c>
      <c r="V127" s="60" t="s">
        <v>3567</v>
      </c>
      <c r="W127" s="60" t="s">
        <v>3568</v>
      </c>
      <c r="X127" s="60" t="s">
        <v>3569</v>
      </c>
      <c r="Y127" s="60" t="s">
        <v>3570</v>
      </c>
      <c r="Z127" s="60" t="s">
        <v>3571</v>
      </c>
      <c r="AA127" s="60" t="s">
        <v>3319</v>
      </c>
      <c r="AB127" s="60" t="s">
        <v>3572</v>
      </c>
      <c r="AC127" s="60" t="s">
        <v>3573</v>
      </c>
    </row>
    <row r="128">
      <c r="A128" s="59" t="s">
        <v>3574</v>
      </c>
      <c r="B128" s="60" t="s">
        <v>3575</v>
      </c>
      <c r="C128" s="61" t="s">
        <v>3576</v>
      </c>
      <c r="D128" s="60" t="s">
        <v>3577</v>
      </c>
      <c r="E128" s="60" t="s">
        <v>3578</v>
      </c>
      <c r="F128" s="60" t="s">
        <v>3579</v>
      </c>
      <c r="G128" s="60" t="s">
        <v>3580</v>
      </c>
      <c r="H128" s="60" t="s">
        <v>3581</v>
      </c>
      <c r="I128" s="60" t="s">
        <v>3582</v>
      </c>
      <c r="J128" s="60" t="s">
        <v>3583</v>
      </c>
      <c r="K128" s="60" t="s">
        <v>3584</v>
      </c>
      <c r="L128" s="60" t="s">
        <v>3585</v>
      </c>
      <c r="M128" s="60" t="s">
        <v>3586</v>
      </c>
      <c r="N128" s="60" t="s">
        <v>3587</v>
      </c>
      <c r="O128" s="60" t="s">
        <v>3588</v>
      </c>
      <c r="P128" s="60" t="s">
        <v>3589</v>
      </c>
      <c r="Q128" s="60" t="s">
        <v>3590</v>
      </c>
      <c r="R128" s="60" t="s">
        <v>3591</v>
      </c>
      <c r="S128" s="60" t="s">
        <v>3592</v>
      </c>
      <c r="T128" s="60" t="s">
        <v>3593</v>
      </c>
      <c r="U128" s="60" t="s">
        <v>3594</v>
      </c>
      <c r="V128" s="60" t="s">
        <v>3595</v>
      </c>
      <c r="W128" s="60" t="s">
        <v>3596</v>
      </c>
      <c r="X128" s="60" t="s">
        <v>3597</v>
      </c>
      <c r="Y128" s="60" t="s">
        <v>3598</v>
      </c>
      <c r="Z128" s="60" t="s">
        <v>3599</v>
      </c>
      <c r="AA128" s="60" t="s">
        <v>3600</v>
      </c>
      <c r="AB128" s="60" t="s">
        <v>3601</v>
      </c>
      <c r="AC128" s="60" t="s">
        <v>3602</v>
      </c>
    </row>
    <row r="129">
      <c r="A129" s="59" t="s">
        <v>3603</v>
      </c>
      <c r="B129" s="60" t="s">
        <v>3604</v>
      </c>
      <c r="C129" s="61" t="s">
        <v>3605</v>
      </c>
      <c r="D129" s="60" t="s">
        <v>3606</v>
      </c>
      <c r="E129" s="60" t="s">
        <v>3607</v>
      </c>
      <c r="F129" s="60" t="s">
        <v>3608</v>
      </c>
      <c r="G129" s="60" t="s">
        <v>3609</v>
      </c>
      <c r="H129" s="60" t="s">
        <v>3610</v>
      </c>
      <c r="I129" s="60" t="s">
        <v>3611</v>
      </c>
      <c r="J129" s="60" t="s">
        <v>3612</v>
      </c>
      <c r="K129" s="60" t="s">
        <v>3613</v>
      </c>
      <c r="L129" s="60" t="s">
        <v>3614</v>
      </c>
      <c r="M129" s="60" t="s">
        <v>3615</v>
      </c>
      <c r="N129" s="60" t="s">
        <v>3616</v>
      </c>
      <c r="O129" s="60" t="s">
        <v>3617</v>
      </c>
      <c r="P129" s="60" t="s">
        <v>3618</v>
      </c>
      <c r="Q129" s="60" t="s">
        <v>3619</v>
      </c>
      <c r="R129" s="60" t="s">
        <v>3620</v>
      </c>
      <c r="S129" s="60" t="s">
        <v>3621</v>
      </c>
      <c r="T129" s="60" t="s">
        <v>3622</v>
      </c>
      <c r="U129" s="60" t="s">
        <v>3623</v>
      </c>
      <c r="V129" s="60" t="s">
        <v>3624</v>
      </c>
      <c r="W129" s="60" t="s">
        <v>3625</v>
      </c>
      <c r="X129" s="60" t="s">
        <v>3626</v>
      </c>
      <c r="Y129" s="60" t="s">
        <v>3627</v>
      </c>
      <c r="Z129" s="60" t="s">
        <v>3628</v>
      </c>
      <c r="AA129" s="60" t="s">
        <v>3629</v>
      </c>
      <c r="AB129" s="60" t="s">
        <v>3630</v>
      </c>
      <c r="AC129" s="60" t="s">
        <v>3631</v>
      </c>
    </row>
    <row r="130">
      <c r="A130" s="59" t="s">
        <v>3632</v>
      </c>
      <c r="B130" s="60" t="s">
        <v>3633</v>
      </c>
      <c r="C130" s="61" t="s">
        <v>3634</v>
      </c>
      <c r="D130" s="60" t="s">
        <v>3635</v>
      </c>
      <c r="E130" s="60" t="s">
        <v>3636</v>
      </c>
      <c r="F130" s="60" t="s">
        <v>3637</v>
      </c>
      <c r="G130" s="60" t="s">
        <v>3638</v>
      </c>
      <c r="H130" s="60" t="s">
        <v>3639</v>
      </c>
      <c r="I130" s="60" t="s">
        <v>3640</v>
      </c>
      <c r="J130" s="60" t="s">
        <v>3641</v>
      </c>
      <c r="K130" s="60" t="s">
        <v>3642</v>
      </c>
      <c r="L130" s="60" t="s">
        <v>3643</v>
      </c>
      <c r="M130" s="60" t="s">
        <v>3644</v>
      </c>
      <c r="N130" s="60" t="s">
        <v>3645</v>
      </c>
      <c r="O130" s="60" t="s">
        <v>3646</v>
      </c>
      <c r="P130" s="60" t="s">
        <v>3647</v>
      </c>
      <c r="Q130" s="60" t="s">
        <v>3648</v>
      </c>
      <c r="R130" s="60" t="s">
        <v>3649</v>
      </c>
      <c r="S130" s="60" t="s">
        <v>3650</v>
      </c>
      <c r="T130" s="60" t="s">
        <v>3651</v>
      </c>
      <c r="U130" s="60" t="s">
        <v>3652</v>
      </c>
      <c r="V130" s="60" t="s">
        <v>3653</v>
      </c>
      <c r="W130" s="60" t="s">
        <v>3654</v>
      </c>
      <c r="X130" s="60" t="s">
        <v>3655</v>
      </c>
      <c r="Y130" s="60" t="s">
        <v>3656</v>
      </c>
      <c r="Z130" s="60" t="s">
        <v>3657</v>
      </c>
      <c r="AA130" s="60" t="s">
        <v>3658</v>
      </c>
      <c r="AB130" s="60" t="s">
        <v>3659</v>
      </c>
      <c r="AC130" s="60" t="s">
        <v>3660</v>
      </c>
    </row>
    <row r="131">
      <c r="A131" s="59" t="s">
        <v>3661</v>
      </c>
      <c r="B131" s="60" t="s">
        <v>3662</v>
      </c>
      <c r="C131" s="61" t="s">
        <v>3663</v>
      </c>
      <c r="D131" s="60" t="s">
        <v>3664</v>
      </c>
      <c r="E131" s="60" t="s">
        <v>3665</v>
      </c>
      <c r="F131" s="60" t="s">
        <v>3666</v>
      </c>
      <c r="G131" s="60" t="s">
        <v>3667</v>
      </c>
      <c r="H131" s="60" t="s">
        <v>3668</v>
      </c>
      <c r="I131" s="60" t="s">
        <v>3669</v>
      </c>
      <c r="J131" s="60" t="s">
        <v>3670</v>
      </c>
      <c r="K131" s="60" t="s">
        <v>3671</v>
      </c>
      <c r="L131" s="60" t="s">
        <v>3672</v>
      </c>
      <c r="M131" s="60" t="s">
        <v>3673</v>
      </c>
      <c r="N131" s="60" t="s">
        <v>3674</v>
      </c>
      <c r="O131" s="60" t="s">
        <v>3675</v>
      </c>
      <c r="P131" s="60" t="s">
        <v>3676</v>
      </c>
      <c r="Q131" s="60" t="s">
        <v>3677</v>
      </c>
      <c r="R131" s="60" t="s">
        <v>3678</v>
      </c>
      <c r="S131" s="60" t="s">
        <v>3679</v>
      </c>
      <c r="T131" s="60" t="s">
        <v>3680</v>
      </c>
      <c r="U131" s="60" t="s">
        <v>3681</v>
      </c>
      <c r="V131" s="60" t="s">
        <v>3682</v>
      </c>
      <c r="W131" s="60" t="s">
        <v>3683</v>
      </c>
      <c r="X131" s="60" t="s">
        <v>3684</v>
      </c>
      <c r="Y131" s="60" t="s">
        <v>3685</v>
      </c>
      <c r="Z131" s="60" t="s">
        <v>3686</v>
      </c>
      <c r="AA131" s="60" t="s">
        <v>3687</v>
      </c>
      <c r="AB131" s="60" t="s">
        <v>3688</v>
      </c>
      <c r="AC131" s="60" t="s">
        <v>3689</v>
      </c>
    </row>
    <row r="132">
      <c r="A132" s="59" t="s">
        <v>3690</v>
      </c>
      <c r="B132" s="60" t="s">
        <v>3691</v>
      </c>
      <c r="C132" s="61" t="s">
        <v>3692</v>
      </c>
      <c r="D132" s="60" t="s">
        <v>3693</v>
      </c>
      <c r="E132" s="60" t="s">
        <v>3694</v>
      </c>
      <c r="F132" s="60" t="s">
        <v>3695</v>
      </c>
      <c r="G132" s="60" t="s">
        <v>3696</v>
      </c>
      <c r="H132" s="60" t="s">
        <v>3697</v>
      </c>
      <c r="I132" s="60" t="s">
        <v>3698</v>
      </c>
      <c r="J132" s="60" t="s">
        <v>3699</v>
      </c>
      <c r="K132" s="60" t="s">
        <v>3700</v>
      </c>
      <c r="L132" s="60" t="s">
        <v>3701</v>
      </c>
      <c r="M132" s="60" t="s">
        <v>3702</v>
      </c>
      <c r="N132" s="60" t="s">
        <v>3703</v>
      </c>
      <c r="O132" s="60" t="s">
        <v>3704</v>
      </c>
      <c r="P132" s="60" t="s">
        <v>3705</v>
      </c>
      <c r="Q132" s="60" t="s">
        <v>3706</v>
      </c>
      <c r="R132" s="60" t="s">
        <v>3707</v>
      </c>
      <c r="S132" s="60" t="s">
        <v>3708</v>
      </c>
      <c r="T132" s="60" t="s">
        <v>3709</v>
      </c>
      <c r="U132" s="60" t="s">
        <v>3710</v>
      </c>
      <c r="V132" s="60" t="s">
        <v>3711</v>
      </c>
      <c r="W132" s="60" t="s">
        <v>3712</v>
      </c>
      <c r="X132" s="60" t="s">
        <v>3713</v>
      </c>
      <c r="Y132" s="60" t="s">
        <v>3714</v>
      </c>
      <c r="Z132" s="60" t="s">
        <v>3715</v>
      </c>
      <c r="AA132" s="60" t="s">
        <v>3716</v>
      </c>
      <c r="AB132" s="60" t="s">
        <v>3717</v>
      </c>
      <c r="AC132" s="60" t="s">
        <v>3718</v>
      </c>
    </row>
    <row r="133">
      <c r="A133" s="59" t="s">
        <v>3719</v>
      </c>
      <c r="B133" s="60" t="s">
        <v>3720</v>
      </c>
      <c r="C133" s="61" t="s">
        <v>3721</v>
      </c>
      <c r="D133" s="60" t="s">
        <v>3722</v>
      </c>
      <c r="E133" s="60" t="s">
        <v>3723</v>
      </c>
      <c r="F133" s="60" t="s">
        <v>3724</v>
      </c>
      <c r="G133" s="60" t="s">
        <v>3725</v>
      </c>
      <c r="H133" s="60" t="s">
        <v>3726</v>
      </c>
      <c r="I133" s="60" t="s">
        <v>3727</v>
      </c>
      <c r="J133" s="60" t="s">
        <v>3728</v>
      </c>
      <c r="K133" s="60" t="s">
        <v>3729</v>
      </c>
      <c r="L133" s="60" t="s">
        <v>3730</v>
      </c>
      <c r="M133" s="60" t="s">
        <v>3731</v>
      </c>
      <c r="N133" s="60" t="s">
        <v>3732</v>
      </c>
      <c r="O133" s="60" t="s">
        <v>3733</v>
      </c>
      <c r="P133" s="60" t="s">
        <v>3734</v>
      </c>
      <c r="Q133" s="60" t="s">
        <v>3735</v>
      </c>
      <c r="R133" s="60" t="s">
        <v>3736</v>
      </c>
      <c r="S133" s="60" t="s">
        <v>3737</v>
      </c>
      <c r="T133" s="60" t="s">
        <v>3738</v>
      </c>
      <c r="U133" s="60" t="s">
        <v>3739</v>
      </c>
      <c r="V133" s="60" t="s">
        <v>3740</v>
      </c>
      <c r="W133" s="60" t="s">
        <v>3741</v>
      </c>
      <c r="X133" s="60" t="s">
        <v>3742</v>
      </c>
      <c r="Y133" s="60" t="s">
        <v>3743</v>
      </c>
      <c r="Z133" s="60" t="s">
        <v>3744</v>
      </c>
      <c r="AA133" s="60" t="s">
        <v>3745</v>
      </c>
      <c r="AB133" s="60" t="s">
        <v>3746</v>
      </c>
      <c r="AC133" s="60" t="s">
        <v>3747</v>
      </c>
    </row>
    <row r="134">
      <c r="A134" s="59" t="s">
        <v>3748</v>
      </c>
      <c r="B134" s="60" t="s">
        <v>3749</v>
      </c>
      <c r="C134" s="61" t="s">
        <v>3750</v>
      </c>
      <c r="D134" s="60" t="s">
        <v>3751</v>
      </c>
      <c r="E134" s="60" t="s">
        <v>3752</v>
      </c>
      <c r="F134" s="60" t="s">
        <v>3753</v>
      </c>
      <c r="G134" s="60" t="s">
        <v>3754</v>
      </c>
      <c r="H134" s="60" t="s">
        <v>3755</v>
      </c>
      <c r="I134" s="60" t="s">
        <v>3756</v>
      </c>
      <c r="J134" s="60" t="s">
        <v>3757</v>
      </c>
      <c r="K134" s="60" t="s">
        <v>3758</v>
      </c>
      <c r="L134" s="60" t="s">
        <v>3759</v>
      </c>
      <c r="M134" s="60" t="s">
        <v>3760</v>
      </c>
      <c r="N134" s="60" t="s">
        <v>3761</v>
      </c>
      <c r="O134" s="60" t="s">
        <v>3762</v>
      </c>
      <c r="P134" s="60" t="s">
        <v>3763</v>
      </c>
      <c r="Q134" s="60" t="s">
        <v>3764</v>
      </c>
      <c r="R134" s="60" t="s">
        <v>3765</v>
      </c>
      <c r="S134" s="60" t="s">
        <v>3766</v>
      </c>
      <c r="T134" s="60" t="s">
        <v>3767</v>
      </c>
      <c r="U134" s="60" t="s">
        <v>3768</v>
      </c>
      <c r="V134" s="60" t="s">
        <v>3769</v>
      </c>
      <c r="W134" s="60" t="s">
        <v>3770</v>
      </c>
      <c r="X134" s="60" t="s">
        <v>3771</v>
      </c>
      <c r="Y134" s="60" t="s">
        <v>3772</v>
      </c>
      <c r="Z134" s="60" t="s">
        <v>3773</v>
      </c>
      <c r="AA134" s="60" t="s">
        <v>3774</v>
      </c>
      <c r="AB134" s="60" t="s">
        <v>3775</v>
      </c>
      <c r="AC134" s="60" t="s">
        <v>3776</v>
      </c>
    </row>
    <row r="135">
      <c r="A135" s="59" t="s">
        <v>3777</v>
      </c>
      <c r="B135" s="60" t="s">
        <v>3778</v>
      </c>
      <c r="C135" s="61" t="s">
        <v>3779</v>
      </c>
      <c r="D135" s="60" t="s">
        <v>3780</v>
      </c>
      <c r="E135" s="60" t="s">
        <v>3781</v>
      </c>
      <c r="F135" s="60" t="s">
        <v>3782</v>
      </c>
      <c r="G135" s="60" t="s">
        <v>3783</v>
      </c>
      <c r="H135" s="60" t="s">
        <v>3784</v>
      </c>
      <c r="I135" s="60" t="s">
        <v>3785</v>
      </c>
      <c r="J135" s="60" t="s">
        <v>3786</v>
      </c>
      <c r="K135" s="60" t="s">
        <v>3787</v>
      </c>
      <c r="L135" s="60" t="s">
        <v>3788</v>
      </c>
      <c r="M135" s="60" t="s">
        <v>3789</v>
      </c>
      <c r="N135" s="60" t="s">
        <v>3790</v>
      </c>
      <c r="O135" s="60" t="s">
        <v>3791</v>
      </c>
      <c r="P135" s="60" t="s">
        <v>3792</v>
      </c>
      <c r="Q135" s="60" t="s">
        <v>3793</v>
      </c>
      <c r="R135" s="60" t="s">
        <v>3794</v>
      </c>
      <c r="S135" s="60" t="s">
        <v>3795</v>
      </c>
      <c r="T135" s="60" t="s">
        <v>3796</v>
      </c>
      <c r="U135" s="60" t="s">
        <v>3797</v>
      </c>
      <c r="V135" s="60" t="s">
        <v>3798</v>
      </c>
      <c r="W135" s="60" t="s">
        <v>3799</v>
      </c>
      <c r="X135" s="60" t="s">
        <v>3800</v>
      </c>
      <c r="Y135" s="60" t="s">
        <v>3801</v>
      </c>
      <c r="Z135" s="60" t="s">
        <v>3802</v>
      </c>
      <c r="AA135" s="60" t="s">
        <v>3803</v>
      </c>
      <c r="AB135" s="60" t="s">
        <v>3804</v>
      </c>
      <c r="AC135" s="60" t="s">
        <v>3805</v>
      </c>
    </row>
    <row r="136">
      <c r="A136" s="59" t="s">
        <v>3806</v>
      </c>
      <c r="B136" s="60" t="s">
        <v>3807</v>
      </c>
      <c r="C136" s="61" t="s">
        <v>3808</v>
      </c>
      <c r="D136" s="60" t="s">
        <v>3809</v>
      </c>
      <c r="E136" s="60" t="s">
        <v>3810</v>
      </c>
      <c r="F136" s="60" t="s">
        <v>3811</v>
      </c>
      <c r="G136" s="60" t="s">
        <v>3812</v>
      </c>
      <c r="H136" s="60" t="s">
        <v>3813</v>
      </c>
      <c r="I136" s="60" t="s">
        <v>3814</v>
      </c>
      <c r="J136" s="60" t="s">
        <v>3815</v>
      </c>
      <c r="K136" s="60" t="s">
        <v>3816</v>
      </c>
      <c r="L136" s="60" t="s">
        <v>3817</v>
      </c>
      <c r="M136" s="60" t="s">
        <v>3818</v>
      </c>
      <c r="N136" s="60" t="s">
        <v>3819</v>
      </c>
      <c r="O136" s="60" t="s">
        <v>3820</v>
      </c>
      <c r="P136" s="60" t="s">
        <v>3821</v>
      </c>
      <c r="Q136" s="60" t="s">
        <v>3822</v>
      </c>
      <c r="R136" s="60" t="s">
        <v>3823</v>
      </c>
      <c r="S136" s="60" t="s">
        <v>3824</v>
      </c>
      <c r="T136" s="60" t="s">
        <v>3825</v>
      </c>
      <c r="U136" s="60" t="s">
        <v>3826</v>
      </c>
      <c r="V136" s="60" t="s">
        <v>3827</v>
      </c>
      <c r="W136" s="60" t="s">
        <v>3828</v>
      </c>
      <c r="X136" s="60" t="s">
        <v>3829</v>
      </c>
      <c r="Y136" s="60" t="s">
        <v>3830</v>
      </c>
      <c r="Z136" s="60" t="s">
        <v>3831</v>
      </c>
      <c r="AA136" s="60" t="s">
        <v>3829</v>
      </c>
      <c r="AB136" s="60" t="s">
        <v>3832</v>
      </c>
      <c r="AC136" s="60" t="s">
        <v>3833</v>
      </c>
    </row>
    <row r="137">
      <c r="A137" s="59" t="s">
        <v>3834</v>
      </c>
      <c r="B137" s="60" t="s">
        <v>3246</v>
      </c>
      <c r="C137" s="61" t="s">
        <v>3247</v>
      </c>
      <c r="D137" s="60" t="s">
        <v>3246</v>
      </c>
      <c r="E137" s="60" t="s">
        <v>3246</v>
      </c>
      <c r="F137" s="60" t="s">
        <v>839</v>
      </c>
      <c r="G137" s="60" t="s">
        <v>840</v>
      </c>
      <c r="H137" s="60" t="s">
        <v>3248</v>
      </c>
      <c r="I137" s="60" t="s">
        <v>3249</v>
      </c>
      <c r="J137" s="60" t="s">
        <v>843</v>
      </c>
      <c r="K137" s="60" t="s">
        <v>3250</v>
      </c>
      <c r="L137" s="60" t="s">
        <v>3251</v>
      </c>
      <c r="M137" s="60" t="s">
        <v>3252</v>
      </c>
      <c r="N137" s="60" t="s">
        <v>3253</v>
      </c>
      <c r="O137" s="60" t="s">
        <v>3254</v>
      </c>
      <c r="P137" s="60" t="s">
        <v>3255</v>
      </c>
      <c r="Q137" s="60" t="s">
        <v>3256</v>
      </c>
      <c r="R137" s="60" t="s">
        <v>657</v>
      </c>
      <c r="S137" s="60" t="s">
        <v>3257</v>
      </c>
      <c r="T137" s="60" t="s">
        <v>3258</v>
      </c>
      <c r="U137" s="60" t="s">
        <v>3259</v>
      </c>
      <c r="V137" s="60" t="s">
        <v>3260</v>
      </c>
      <c r="W137" s="60" t="s">
        <v>3261</v>
      </c>
      <c r="X137" s="60" t="s">
        <v>3262</v>
      </c>
      <c r="Y137" s="60" t="s">
        <v>664</v>
      </c>
      <c r="Z137" s="60" t="s">
        <v>3263</v>
      </c>
      <c r="AA137" s="60" t="s">
        <v>852</v>
      </c>
      <c r="AB137" s="60" t="s">
        <v>667</v>
      </c>
      <c r="AC137" s="60" t="s">
        <v>3264</v>
      </c>
    </row>
    <row r="138">
      <c r="A138" s="59" t="s">
        <v>3835</v>
      </c>
      <c r="B138" s="60" t="s">
        <v>835</v>
      </c>
      <c r="C138" s="61" t="s">
        <v>836</v>
      </c>
      <c r="D138" s="60" t="s">
        <v>837</v>
      </c>
      <c r="E138" s="60" t="s">
        <v>838</v>
      </c>
      <c r="F138" s="60" t="s">
        <v>839</v>
      </c>
      <c r="G138" s="60" t="s">
        <v>840</v>
      </c>
      <c r="H138" s="60" t="s">
        <v>841</v>
      </c>
      <c r="I138" s="60" t="s">
        <v>842</v>
      </c>
      <c r="J138" s="60" t="s">
        <v>843</v>
      </c>
      <c r="K138" s="60" t="s">
        <v>844</v>
      </c>
      <c r="L138" s="60" t="s">
        <v>651</v>
      </c>
      <c r="M138" s="60" t="s">
        <v>845</v>
      </c>
      <c r="N138" s="60" t="s">
        <v>653</v>
      </c>
      <c r="O138" s="60" t="s">
        <v>846</v>
      </c>
      <c r="P138" s="60" t="s">
        <v>847</v>
      </c>
      <c r="Q138" s="60" t="s">
        <v>656</v>
      </c>
      <c r="R138" s="60" t="s">
        <v>657</v>
      </c>
      <c r="S138" s="60" t="s">
        <v>848</v>
      </c>
      <c r="T138" s="60" t="s">
        <v>659</v>
      </c>
      <c r="U138" s="60" t="s">
        <v>849</v>
      </c>
      <c r="V138" s="60" t="s">
        <v>850</v>
      </c>
      <c r="W138" s="60" t="s">
        <v>851</v>
      </c>
      <c r="X138" s="60" t="s">
        <v>852</v>
      </c>
      <c r="Y138" s="60" t="s">
        <v>664</v>
      </c>
      <c r="Z138" s="60" t="s">
        <v>853</v>
      </c>
      <c r="AA138" s="60" t="s">
        <v>852</v>
      </c>
      <c r="AB138" s="60" t="s">
        <v>667</v>
      </c>
      <c r="AC138" s="60" t="s">
        <v>668</v>
      </c>
    </row>
    <row r="139">
      <c r="A139" s="59" t="s">
        <v>3836</v>
      </c>
      <c r="B139" s="60" t="s">
        <v>3837</v>
      </c>
      <c r="C139" s="61" t="s">
        <v>3838</v>
      </c>
      <c r="D139" s="60" t="s">
        <v>3839</v>
      </c>
      <c r="E139" s="60" t="s">
        <v>3840</v>
      </c>
      <c r="F139" s="60" t="s">
        <v>839</v>
      </c>
      <c r="G139" s="60" t="s">
        <v>3841</v>
      </c>
      <c r="H139" s="60" t="s">
        <v>3842</v>
      </c>
      <c r="I139" s="60" t="s">
        <v>842</v>
      </c>
      <c r="J139" s="60" t="s">
        <v>3843</v>
      </c>
      <c r="K139" s="60" t="s">
        <v>3844</v>
      </c>
      <c r="L139" s="60" t="s">
        <v>3845</v>
      </c>
      <c r="M139" s="60" t="s">
        <v>3846</v>
      </c>
      <c r="N139" s="60" t="s">
        <v>3847</v>
      </c>
      <c r="O139" s="60" t="s">
        <v>3848</v>
      </c>
      <c r="P139" s="60" t="s">
        <v>3849</v>
      </c>
      <c r="Q139" s="60" t="s">
        <v>3850</v>
      </c>
      <c r="R139" s="60" t="s">
        <v>3851</v>
      </c>
      <c r="S139" s="60" t="s">
        <v>3852</v>
      </c>
      <c r="T139" s="60" t="s">
        <v>3853</v>
      </c>
      <c r="U139" s="60" t="s">
        <v>3854</v>
      </c>
      <c r="V139" s="60" t="s">
        <v>3855</v>
      </c>
      <c r="W139" s="60" t="s">
        <v>3856</v>
      </c>
      <c r="X139" s="60" t="s">
        <v>3857</v>
      </c>
      <c r="Y139" s="60" t="s">
        <v>3858</v>
      </c>
      <c r="Z139" s="60" t="s">
        <v>3859</v>
      </c>
      <c r="AA139" s="60" t="s">
        <v>3860</v>
      </c>
      <c r="AB139" s="60" t="s">
        <v>3861</v>
      </c>
      <c r="AC139" s="60" t="s">
        <v>3862</v>
      </c>
    </row>
    <row r="140">
      <c r="A140" s="59" t="s">
        <v>31</v>
      </c>
      <c r="B140" s="60" t="s">
        <v>32</v>
      </c>
      <c r="C140" s="61" t="s">
        <v>3863</v>
      </c>
      <c r="D140" s="60" t="s">
        <v>3864</v>
      </c>
      <c r="E140" s="60" t="s">
        <v>3865</v>
      </c>
      <c r="F140" s="60" t="s">
        <v>3866</v>
      </c>
      <c r="G140" s="60" t="s">
        <v>3867</v>
      </c>
      <c r="H140" s="60" t="s">
        <v>3868</v>
      </c>
      <c r="I140" s="60" t="s">
        <v>3869</v>
      </c>
      <c r="J140" s="60" t="s">
        <v>3870</v>
      </c>
      <c r="K140" s="60" t="s">
        <v>3871</v>
      </c>
      <c r="L140" s="60" t="s">
        <v>3872</v>
      </c>
      <c r="M140" s="60" t="s">
        <v>3873</v>
      </c>
      <c r="N140" s="60" t="s">
        <v>3874</v>
      </c>
      <c r="O140" s="60" t="s">
        <v>3875</v>
      </c>
      <c r="P140" s="60" t="s">
        <v>3876</v>
      </c>
      <c r="Q140" s="60" t="s">
        <v>3877</v>
      </c>
      <c r="R140" s="60" t="s">
        <v>3878</v>
      </c>
      <c r="S140" s="60" t="s">
        <v>3879</v>
      </c>
      <c r="T140" s="60" t="s">
        <v>3872</v>
      </c>
      <c r="U140" s="60" t="s">
        <v>3880</v>
      </c>
      <c r="V140" s="60" t="s">
        <v>3872</v>
      </c>
      <c r="W140" s="60" t="s">
        <v>3867</v>
      </c>
      <c r="X140" s="60" t="s">
        <v>3881</v>
      </c>
      <c r="Y140" s="60" t="s">
        <v>3882</v>
      </c>
      <c r="Z140" s="60" t="s">
        <v>3883</v>
      </c>
      <c r="AA140" s="60" t="s">
        <v>3881</v>
      </c>
      <c r="AB140" s="60" t="s">
        <v>3884</v>
      </c>
      <c r="AC140" s="60" t="s">
        <v>3885</v>
      </c>
    </row>
    <row r="141">
      <c r="A141" s="59" t="s">
        <v>3886</v>
      </c>
      <c r="B141" s="60" t="s">
        <v>3887</v>
      </c>
      <c r="C141" s="61" t="s">
        <v>3888</v>
      </c>
      <c r="D141" s="60" t="s">
        <v>3889</v>
      </c>
      <c r="E141" s="60" t="s">
        <v>3890</v>
      </c>
      <c r="F141" s="60" t="s">
        <v>3891</v>
      </c>
      <c r="G141" s="60" t="s">
        <v>3892</v>
      </c>
      <c r="H141" s="60" t="s">
        <v>3893</v>
      </c>
      <c r="I141" s="60" t="s">
        <v>3894</v>
      </c>
      <c r="J141" s="60" t="s">
        <v>3895</v>
      </c>
      <c r="K141" s="60" t="s">
        <v>3896</v>
      </c>
      <c r="L141" s="60" t="s">
        <v>3887</v>
      </c>
      <c r="M141" s="60" t="s">
        <v>3897</v>
      </c>
      <c r="N141" s="60" t="s">
        <v>3887</v>
      </c>
      <c r="O141" s="60" t="s">
        <v>3898</v>
      </c>
      <c r="P141" s="60" t="s">
        <v>3899</v>
      </c>
      <c r="Q141" s="60" t="s">
        <v>3900</v>
      </c>
      <c r="R141" s="60" t="s">
        <v>3901</v>
      </c>
      <c r="S141" s="60" t="s">
        <v>3902</v>
      </c>
      <c r="T141" s="60" t="s">
        <v>3903</v>
      </c>
      <c r="U141" s="60" t="s">
        <v>3904</v>
      </c>
      <c r="V141" s="60" t="s">
        <v>3905</v>
      </c>
      <c r="W141" s="60" t="s">
        <v>3906</v>
      </c>
      <c r="X141" s="60" t="s">
        <v>3907</v>
      </c>
      <c r="Y141" s="60" t="s">
        <v>3908</v>
      </c>
      <c r="Z141" s="60" t="s">
        <v>3909</v>
      </c>
      <c r="AA141" s="60" t="s">
        <v>3910</v>
      </c>
      <c r="AB141" s="60" t="s">
        <v>3911</v>
      </c>
      <c r="AC141" s="60" t="s">
        <v>3912</v>
      </c>
    </row>
    <row r="142">
      <c r="A142" s="59" t="s">
        <v>3913</v>
      </c>
      <c r="B142" s="60" t="s">
        <v>137</v>
      </c>
      <c r="C142" s="61" t="s">
        <v>138</v>
      </c>
      <c r="D142" s="60" t="s">
        <v>139</v>
      </c>
      <c r="E142" s="60" t="s">
        <v>140</v>
      </c>
      <c r="F142" s="60" t="s">
        <v>141</v>
      </c>
      <c r="G142" s="60" t="s">
        <v>142</v>
      </c>
      <c r="H142" s="60" t="s">
        <v>143</v>
      </c>
      <c r="I142" s="60" t="s">
        <v>144</v>
      </c>
      <c r="J142" s="60" t="s">
        <v>145</v>
      </c>
      <c r="K142" s="60" t="s">
        <v>146</v>
      </c>
      <c r="L142" s="60" t="s">
        <v>147</v>
      </c>
      <c r="M142" s="60" t="s">
        <v>148</v>
      </c>
      <c r="N142" s="60" t="s">
        <v>149</v>
      </c>
      <c r="O142" s="60" t="s">
        <v>150</v>
      </c>
      <c r="P142" s="60" t="s">
        <v>151</v>
      </c>
      <c r="Q142" s="60" t="s">
        <v>152</v>
      </c>
      <c r="R142" s="60" t="s">
        <v>153</v>
      </c>
      <c r="S142" s="60" t="s">
        <v>154</v>
      </c>
      <c r="T142" s="60" t="s">
        <v>147</v>
      </c>
      <c r="U142" s="60" t="s">
        <v>155</v>
      </c>
      <c r="V142" s="60" t="s">
        <v>156</v>
      </c>
      <c r="W142" s="60" t="s">
        <v>157</v>
      </c>
      <c r="X142" s="60" t="s">
        <v>158</v>
      </c>
      <c r="Y142" s="60" t="s">
        <v>159</v>
      </c>
      <c r="Z142" s="60" t="s">
        <v>160</v>
      </c>
      <c r="AA142" s="60" t="s">
        <v>161</v>
      </c>
      <c r="AB142" s="60" t="s">
        <v>162</v>
      </c>
      <c r="AC142" s="60" t="s">
        <v>163</v>
      </c>
    </row>
    <row r="143">
      <c r="A143" s="59" t="s">
        <v>3914</v>
      </c>
      <c r="B143" s="60" t="s">
        <v>3915</v>
      </c>
      <c r="C143" s="61" t="s">
        <v>3916</v>
      </c>
      <c r="D143" s="60" t="s">
        <v>3917</v>
      </c>
      <c r="E143" s="60" t="s">
        <v>3918</v>
      </c>
      <c r="F143" s="60" t="s">
        <v>3919</v>
      </c>
      <c r="G143" s="60" t="s">
        <v>3920</v>
      </c>
      <c r="H143" s="60" t="s">
        <v>3921</v>
      </c>
      <c r="I143" s="60" t="s">
        <v>3922</v>
      </c>
      <c r="J143" s="60" t="s">
        <v>3923</v>
      </c>
      <c r="K143" s="60" t="s">
        <v>3924</v>
      </c>
      <c r="L143" s="60" t="s">
        <v>3925</v>
      </c>
      <c r="M143" s="60" t="s">
        <v>3926</v>
      </c>
      <c r="N143" s="60" t="s">
        <v>3927</v>
      </c>
      <c r="O143" s="60" t="s">
        <v>3928</v>
      </c>
      <c r="P143" s="60" t="s">
        <v>3929</v>
      </c>
      <c r="Q143" s="60" t="s">
        <v>3930</v>
      </c>
      <c r="R143" s="60" t="s">
        <v>3931</v>
      </c>
      <c r="S143" s="60" t="s">
        <v>3932</v>
      </c>
      <c r="T143" s="60" t="s">
        <v>3933</v>
      </c>
      <c r="U143" s="60" t="s">
        <v>3934</v>
      </c>
      <c r="V143" s="60" t="s">
        <v>3935</v>
      </c>
      <c r="W143" s="60" t="s">
        <v>3936</v>
      </c>
      <c r="X143" s="60" t="s">
        <v>3937</v>
      </c>
      <c r="Y143" s="60" t="s">
        <v>3938</v>
      </c>
      <c r="Z143" s="60" t="s">
        <v>3939</v>
      </c>
      <c r="AA143" s="60" t="s">
        <v>3940</v>
      </c>
      <c r="AB143" s="60" t="s">
        <v>3941</v>
      </c>
      <c r="AC143" s="60" t="s">
        <v>3942</v>
      </c>
    </row>
    <row r="144">
      <c r="A144" s="59" t="s">
        <v>3943</v>
      </c>
      <c r="B144" s="60" t="s">
        <v>3944</v>
      </c>
      <c r="C144" s="61" t="s">
        <v>3945</v>
      </c>
      <c r="D144" s="60" t="s">
        <v>3946</v>
      </c>
      <c r="E144" s="60" t="s">
        <v>3947</v>
      </c>
      <c r="F144" s="60" t="s">
        <v>3948</v>
      </c>
      <c r="G144" s="60" t="s">
        <v>3949</v>
      </c>
      <c r="H144" s="60" t="s">
        <v>3950</v>
      </c>
      <c r="I144" s="60" t="s">
        <v>3951</v>
      </c>
      <c r="J144" s="60" t="s">
        <v>3952</v>
      </c>
      <c r="K144" s="60" t="s">
        <v>3953</v>
      </c>
      <c r="L144" s="60" t="s">
        <v>3954</v>
      </c>
      <c r="M144" s="60" t="s">
        <v>3955</v>
      </c>
      <c r="N144" s="60" t="s">
        <v>3956</v>
      </c>
      <c r="O144" s="60" t="s">
        <v>3957</v>
      </c>
      <c r="P144" s="60" t="s">
        <v>3958</v>
      </c>
      <c r="Q144" s="60" t="s">
        <v>3959</v>
      </c>
      <c r="R144" s="60" t="s">
        <v>3960</v>
      </c>
      <c r="S144" s="60" t="s">
        <v>3961</v>
      </c>
      <c r="T144" s="60" t="s">
        <v>3962</v>
      </c>
      <c r="U144" s="60" t="s">
        <v>3963</v>
      </c>
      <c r="V144" s="60" t="s">
        <v>3964</v>
      </c>
      <c r="W144" s="60" t="s">
        <v>3965</v>
      </c>
      <c r="X144" s="60" t="s">
        <v>3966</v>
      </c>
      <c r="Y144" s="60" t="s">
        <v>3967</v>
      </c>
      <c r="Z144" s="60" t="s">
        <v>3968</v>
      </c>
      <c r="AA144" s="60" t="s">
        <v>3969</v>
      </c>
      <c r="AB144" s="60" t="s">
        <v>3970</v>
      </c>
      <c r="AC144" s="60" t="s">
        <v>3971</v>
      </c>
    </row>
    <row r="145">
      <c r="A145" s="59" t="s">
        <v>3972</v>
      </c>
      <c r="B145" s="60" t="s">
        <v>3973</v>
      </c>
      <c r="C145" s="61" t="s">
        <v>3974</v>
      </c>
      <c r="D145" s="60" t="s">
        <v>3975</v>
      </c>
      <c r="E145" s="60" t="s">
        <v>3976</v>
      </c>
      <c r="F145" s="60" t="s">
        <v>3977</v>
      </c>
      <c r="G145" s="60" t="s">
        <v>3978</v>
      </c>
      <c r="H145" s="60" t="s">
        <v>3979</v>
      </c>
      <c r="I145" s="60" t="s">
        <v>3980</v>
      </c>
      <c r="J145" s="60" t="s">
        <v>3981</v>
      </c>
      <c r="K145" s="60" t="s">
        <v>3982</v>
      </c>
      <c r="L145" s="60" t="s">
        <v>3983</v>
      </c>
      <c r="M145" s="60" t="s">
        <v>3984</v>
      </c>
      <c r="N145" s="60" t="s">
        <v>3985</v>
      </c>
      <c r="O145" s="60" t="s">
        <v>3986</v>
      </c>
      <c r="P145" s="60" t="s">
        <v>3987</v>
      </c>
      <c r="Q145" s="60" t="s">
        <v>3988</v>
      </c>
      <c r="R145" s="60" t="s">
        <v>3989</v>
      </c>
      <c r="S145" s="60" t="s">
        <v>3990</v>
      </c>
      <c r="T145" s="60" t="s">
        <v>3991</v>
      </c>
      <c r="U145" s="60" t="s">
        <v>3992</v>
      </c>
      <c r="V145" s="60" t="s">
        <v>3993</v>
      </c>
      <c r="W145" s="60" t="s">
        <v>3994</v>
      </c>
      <c r="X145" s="60" t="s">
        <v>3995</v>
      </c>
      <c r="Y145" s="60" t="s">
        <v>3996</v>
      </c>
      <c r="Z145" s="60" t="s">
        <v>3997</v>
      </c>
      <c r="AA145" s="60" t="s">
        <v>3998</v>
      </c>
      <c r="AB145" s="60" t="s">
        <v>3999</v>
      </c>
      <c r="AC145" s="60" t="s">
        <v>4000</v>
      </c>
    </row>
    <row r="146">
      <c r="A146" s="59" t="s">
        <v>4001</v>
      </c>
      <c r="B146" s="60" t="s">
        <v>4002</v>
      </c>
      <c r="C146" s="61" t="s">
        <v>4003</v>
      </c>
      <c r="D146" s="60" t="s">
        <v>4004</v>
      </c>
      <c r="E146" s="60" t="s">
        <v>4005</v>
      </c>
      <c r="F146" s="60" t="s">
        <v>4006</v>
      </c>
      <c r="G146" s="60" t="s">
        <v>4007</v>
      </c>
      <c r="H146" s="60" t="s">
        <v>4008</v>
      </c>
      <c r="I146" s="60" t="s">
        <v>4009</v>
      </c>
      <c r="J146" s="60" t="s">
        <v>4010</v>
      </c>
      <c r="K146" s="60" t="s">
        <v>4011</v>
      </c>
      <c r="L146" s="60" t="s">
        <v>4012</v>
      </c>
      <c r="M146" s="60" t="s">
        <v>4013</v>
      </c>
      <c r="N146" s="60" t="s">
        <v>4014</v>
      </c>
      <c r="O146" s="60" t="s">
        <v>4015</v>
      </c>
      <c r="P146" s="60" t="s">
        <v>4016</v>
      </c>
      <c r="Q146" s="60" t="s">
        <v>4017</v>
      </c>
      <c r="R146" s="60" t="s">
        <v>4018</v>
      </c>
      <c r="S146" s="60" t="s">
        <v>4019</v>
      </c>
      <c r="T146" s="60" t="s">
        <v>4020</v>
      </c>
      <c r="U146" s="60" t="s">
        <v>4021</v>
      </c>
      <c r="V146" s="60" t="s">
        <v>4022</v>
      </c>
      <c r="W146" s="60" t="s">
        <v>4023</v>
      </c>
      <c r="X146" s="60" t="s">
        <v>4024</v>
      </c>
      <c r="Y146" s="60" t="s">
        <v>4025</v>
      </c>
      <c r="Z146" s="60" t="s">
        <v>4026</v>
      </c>
      <c r="AA146" s="60" t="s">
        <v>4027</v>
      </c>
      <c r="AB146" s="60" t="s">
        <v>4028</v>
      </c>
      <c r="AC146" s="60" t="s">
        <v>4029</v>
      </c>
    </row>
    <row r="147">
      <c r="A147" s="59" t="s">
        <v>4030</v>
      </c>
      <c r="B147" s="60" t="s">
        <v>4031</v>
      </c>
      <c r="C147" s="61" t="s">
        <v>4032</v>
      </c>
      <c r="D147" s="60" t="s">
        <v>4031</v>
      </c>
      <c r="E147" s="60" t="s">
        <v>4033</v>
      </c>
      <c r="F147" s="60" t="s">
        <v>4034</v>
      </c>
      <c r="G147" s="60" t="s">
        <v>4035</v>
      </c>
      <c r="H147" s="60" t="s">
        <v>4036</v>
      </c>
      <c r="I147" s="60" t="s">
        <v>4037</v>
      </c>
      <c r="J147" s="60" t="s">
        <v>4038</v>
      </c>
      <c r="K147" s="60" t="s">
        <v>4039</v>
      </c>
      <c r="L147" s="60" t="s">
        <v>4040</v>
      </c>
      <c r="M147" s="60" t="s">
        <v>4031</v>
      </c>
      <c r="N147" s="60" t="s">
        <v>4041</v>
      </c>
      <c r="O147" s="60" t="s">
        <v>4042</v>
      </c>
      <c r="P147" s="60" t="s">
        <v>4043</v>
      </c>
      <c r="Q147" s="60" t="s">
        <v>4044</v>
      </c>
      <c r="R147" s="60" t="s">
        <v>4031</v>
      </c>
      <c r="S147" s="60" t="s">
        <v>4045</v>
      </c>
      <c r="T147" s="60" t="s">
        <v>4040</v>
      </c>
      <c r="U147" s="60" t="s">
        <v>4046</v>
      </c>
      <c r="V147" s="60" t="s">
        <v>4031</v>
      </c>
      <c r="W147" s="60" t="s">
        <v>4047</v>
      </c>
      <c r="X147" s="60" t="s">
        <v>4048</v>
      </c>
      <c r="Y147" s="60" t="s">
        <v>4049</v>
      </c>
      <c r="Z147" s="60" t="s">
        <v>4050</v>
      </c>
      <c r="AA147" s="60" t="s">
        <v>4051</v>
      </c>
      <c r="AB147" s="60" t="s">
        <v>1154</v>
      </c>
      <c r="AC147" s="60" t="s">
        <v>4052</v>
      </c>
    </row>
    <row r="148">
      <c r="A148" s="59" t="s">
        <v>4053</v>
      </c>
      <c r="B148" s="60" t="s">
        <v>1186</v>
      </c>
      <c r="C148" s="61" t="s">
        <v>1187</v>
      </c>
      <c r="D148" s="60" t="s">
        <v>1188</v>
      </c>
      <c r="E148" s="60" t="s">
        <v>1189</v>
      </c>
      <c r="F148" s="60" t="s">
        <v>1190</v>
      </c>
      <c r="G148" s="60" t="s">
        <v>1191</v>
      </c>
      <c r="H148" s="60" t="s">
        <v>1192</v>
      </c>
      <c r="I148" s="60" t="s">
        <v>1193</v>
      </c>
      <c r="J148" s="60" t="s">
        <v>1194</v>
      </c>
      <c r="K148" s="60" t="s">
        <v>1195</v>
      </c>
      <c r="L148" s="60" t="s">
        <v>1196</v>
      </c>
      <c r="M148" s="60" t="s">
        <v>1197</v>
      </c>
      <c r="N148" s="60" t="s">
        <v>1198</v>
      </c>
      <c r="O148" s="60" t="s">
        <v>1199</v>
      </c>
      <c r="P148" s="60" t="s">
        <v>1200</v>
      </c>
      <c r="Q148" s="60" t="s">
        <v>1201</v>
      </c>
      <c r="R148" s="60" t="s">
        <v>1202</v>
      </c>
      <c r="S148" s="60" t="s">
        <v>1203</v>
      </c>
      <c r="T148" s="60" t="s">
        <v>1196</v>
      </c>
      <c r="U148" s="60" t="s">
        <v>1204</v>
      </c>
      <c r="V148" s="60" t="s">
        <v>1205</v>
      </c>
      <c r="W148" s="60" t="s">
        <v>1191</v>
      </c>
      <c r="X148" s="60" t="s">
        <v>1206</v>
      </c>
      <c r="Y148" s="60" t="s">
        <v>1207</v>
      </c>
      <c r="Z148" s="60" t="s">
        <v>1208</v>
      </c>
      <c r="AA148" s="60" t="s">
        <v>1206</v>
      </c>
      <c r="AB148" s="60" t="s">
        <v>1209</v>
      </c>
      <c r="AC148" s="60" t="s">
        <v>1210</v>
      </c>
    </row>
    <row r="149">
      <c r="A149" s="59" t="s">
        <v>4054</v>
      </c>
      <c r="B149" s="60" t="s">
        <v>4055</v>
      </c>
      <c r="C149" s="61" t="s">
        <v>4056</v>
      </c>
      <c r="D149" s="60" t="s">
        <v>4057</v>
      </c>
      <c r="E149" s="60" t="s">
        <v>4058</v>
      </c>
      <c r="F149" s="60" t="s">
        <v>4059</v>
      </c>
      <c r="G149" s="60" t="s">
        <v>4060</v>
      </c>
      <c r="H149" s="60" t="s">
        <v>4061</v>
      </c>
      <c r="I149" s="60" t="s">
        <v>4062</v>
      </c>
      <c r="J149" s="60" t="s">
        <v>4063</v>
      </c>
      <c r="K149" s="60" t="s">
        <v>4064</v>
      </c>
      <c r="L149" s="60" t="s">
        <v>4065</v>
      </c>
      <c r="M149" s="60" t="s">
        <v>4066</v>
      </c>
      <c r="N149" s="60" t="s">
        <v>4067</v>
      </c>
      <c r="O149" s="60" t="s">
        <v>4068</v>
      </c>
      <c r="P149" s="60" t="s">
        <v>4069</v>
      </c>
      <c r="Q149" s="60" t="s">
        <v>4070</v>
      </c>
      <c r="R149" s="60" t="s">
        <v>4071</v>
      </c>
      <c r="S149" s="60" t="s">
        <v>4072</v>
      </c>
      <c r="T149" s="60" t="s">
        <v>4073</v>
      </c>
      <c r="U149" s="60" t="s">
        <v>4074</v>
      </c>
      <c r="V149" s="60" t="s">
        <v>4075</v>
      </c>
      <c r="W149" s="60" t="s">
        <v>4076</v>
      </c>
      <c r="X149" s="60" t="s">
        <v>4077</v>
      </c>
      <c r="Y149" s="60" t="s">
        <v>4078</v>
      </c>
      <c r="Z149" s="60" t="s">
        <v>4079</v>
      </c>
      <c r="AA149" s="60" t="s">
        <v>4080</v>
      </c>
      <c r="AB149" s="60" t="s">
        <v>4081</v>
      </c>
      <c r="AC149" s="60" t="s">
        <v>4082</v>
      </c>
    </row>
    <row r="150">
      <c r="A150" s="59" t="s">
        <v>4083</v>
      </c>
      <c r="B150" s="60" t="s">
        <v>4084</v>
      </c>
      <c r="C150" s="61" t="s">
        <v>4085</v>
      </c>
      <c r="D150" s="60" t="s">
        <v>4086</v>
      </c>
      <c r="E150" s="60" t="s">
        <v>4087</v>
      </c>
      <c r="F150" s="60" t="s">
        <v>4088</v>
      </c>
      <c r="G150" s="60" t="s">
        <v>4089</v>
      </c>
      <c r="H150" s="60" t="s">
        <v>4090</v>
      </c>
      <c r="I150" s="60" t="s">
        <v>4091</v>
      </c>
      <c r="J150" s="60" t="s">
        <v>4092</v>
      </c>
      <c r="K150" s="60" t="s">
        <v>4093</v>
      </c>
      <c r="L150" s="60" t="s">
        <v>4094</v>
      </c>
      <c r="M150" s="60" t="s">
        <v>4095</v>
      </c>
      <c r="N150" s="60" t="s">
        <v>4096</v>
      </c>
      <c r="O150" s="60" t="s">
        <v>4097</v>
      </c>
      <c r="P150" s="60" t="s">
        <v>4098</v>
      </c>
      <c r="Q150" s="60" t="s">
        <v>4099</v>
      </c>
      <c r="R150" s="60" t="s">
        <v>4100</v>
      </c>
      <c r="S150" s="60" t="s">
        <v>4101</v>
      </c>
      <c r="T150" s="60" t="s">
        <v>4102</v>
      </c>
      <c r="U150" s="60" t="s">
        <v>4103</v>
      </c>
      <c r="V150" s="60" t="s">
        <v>4104</v>
      </c>
      <c r="W150" s="60" t="s">
        <v>4105</v>
      </c>
      <c r="X150" s="60" t="s">
        <v>4106</v>
      </c>
      <c r="Y150" s="60" t="s">
        <v>4107</v>
      </c>
      <c r="Z150" s="60" t="s">
        <v>4108</v>
      </c>
      <c r="AA150" s="60" t="s">
        <v>4109</v>
      </c>
      <c r="AB150" s="60" t="s">
        <v>4110</v>
      </c>
      <c r="AC150" s="60" t="s">
        <v>4111</v>
      </c>
    </row>
    <row r="151">
      <c r="A151" s="59" t="s">
        <v>4112</v>
      </c>
      <c r="B151" s="60" t="s">
        <v>4113</v>
      </c>
      <c r="C151" s="61" t="s">
        <v>4114</v>
      </c>
      <c r="D151" s="60" t="s">
        <v>4115</v>
      </c>
      <c r="E151" s="60" t="s">
        <v>4116</v>
      </c>
      <c r="F151" s="60" t="s">
        <v>4117</v>
      </c>
      <c r="G151" s="60" t="s">
        <v>4118</v>
      </c>
      <c r="H151" s="60" t="s">
        <v>4119</v>
      </c>
      <c r="I151" s="60" t="s">
        <v>4120</v>
      </c>
      <c r="J151" s="60" t="s">
        <v>4121</v>
      </c>
      <c r="K151" s="60" t="s">
        <v>4122</v>
      </c>
      <c r="L151" s="60" t="s">
        <v>4123</v>
      </c>
      <c r="M151" s="60" t="s">
        <v>4124</v>
      </c>
      <c r="N151" s="60" t="s">
        <v>4125</v>
      </c>
      <c r="O151" s="60" t="s">
        <v>4126</v>
      </c>
      <c r="P151" s="60" t="s">
        <v>4127</v>
      </c>
      <c r="Q151" s="60" t="s">
        <v>4128</v>
      </c>
      <c r="R151" s="60" t="s">
        <v>4129</v>
      </c>
      <c r="S151" s="60" t="s">
        <v>4130</v>
      </c>
      <c r="T151" s="60" t="s">
        <v>4131</v>
      </c>
      <c r="U151" s="60" t="s">
        <v>4132</v>
      </c>
      <c r="V151" s="60" t="s">
        <v>4133</v>
      </c>
      <c r="W151" s="60" t="s">
        <v>4134</v>
      </c>
      <c r="X151" s="60" t="s">
        <v>4135</v>
      </c>
      <c r="Y151" s="60" t="s">
        <v>4136</v>
      </c>
      <c r="Z151" s="60" t="s">
        <v>4137</v>
      </c>
      <c r="AA151" s="60" t="s">
        <v>4138</v>
      </c>
      <c r="AB151" s="60" t="s">
        <v>4139</v>
      </c>
      <c r="AC151" s="60" t="s">
        <v>4140</v>
      </c>
    </row>
    <row r="152">
      <c r="A152" s="59" t="s">
        <v>4141</v>
      </c>
      <c r="B152" s="60" t="s">
        <v>1072</v>
      </c>
      <c r="C152" s="61" t="s">
        <v>1073</v>
      </c>
      <c r="D152" s="60" t="s">
        <v>1074</v>
      </c>
      <c r="E152" s="60" t="s">
        <v>1075</v>
      </c>
      <c r="F152" s="60" t="s">
        <v>1076</v>
      </c>
      <c r="G152" s="60" t="s">
        <v>1077</v>
      </c>
      <c r="H152" s="60" t="s">
        <v>1078</v>
      </c>
      <c r="I152" s="60" t="s">
        <v>1079</v>
      </c>
      <c r="J152" s="60" t="s">
        <v>1080</v>
      </c>
      <c r="K152" s="60" t="s">
        <v>1081</v>
      </c>
      <c r="L152" s="60" t="s">
        <v>1082</v>
      </c>
      <c r="M152" s="60" t="s">
        <v>1083</v>
      </c>
      <c r="N152" s="60" t="s">
        <v>1084</v>
      </c>
      <c r="O152" s="60" t="s">
        <v>1085</v>
      </c>
      <c r="P152" s="60" t="s">
        <v>1086</v>
      </c>
      <c r="Q152" s="60" t="s">
        <v>1087</v>
      </c>
      <c r="R152" s="60" t="s">
        <v>1088</v>
      </c>
      <c r="S152" s="60" t="s">
        <v>1089</v>
      </c>
      <c r="T152" s="60" t="s">
        <v>1090</v>
      </c>
      <c r="U152" s="60" t="s">
        <v>1091</v>
      </c>
      <c r="V152" s="60" t="s">
        <v>1092</v>
      </c>
      <c r="W152" s="60" t="s">
        <v>1093</v>
      </c>
      <c r="X152" s="60" t="s">
        <v>1094</v>
      </c>
      <c r="Y152" s="60" t="s">
        <v>1095</v>
      </c>
      <c r="Z152" s="60" t="s">
        <v>1096</v>
      </c>
      <c r="AA152" s="60" t="s">
        <v>1097</v>
      </c>
      <c r="AB152" s="60" t="s">
        <v>1098</v>
      </c>
      <c r="AC152" s="60" t="s">
        <v>1099</v>
      </c>
    </row>
    <row r="153">
      <c r="A153" s="59" t="s">
        <v>4142</v>
      </c>
      <c r="B153" s="60" t="s">
        <v>1072</v>
      </c>
      <c r="C153" s="61" t="s">
        <v>1073</v>
      </c>
      <c r="D153" s="60" t="s">
        <v>1074</v>
      </c>
      <c r="E153" s="60" t="s">
        <v>1075</v>
      </c>
      <c r="F153" s="60" t="s">
        <v>1076</v>
      </c>
      <c r="G153" s="60" t="s">
        <v>1077</v>
      </c>
      <c r="H153" s="60" t="s">
        <v>1078</v>
      </c>
      <c r="I153" s="60" t="s">
        <v>1079</v>
      </c>
      <c r="J153" s="60" t="s">
        <v>1080</v>
      </c>
      <c r="K153" s="60" t="s">
        <v>1081</v>
      </c>
      <c r="L153" s="60" t="s">
        <v>1082</v>
      </c>
      <c r="M153" s="60" t="s">
        <v>1083</v>
      </c>
      <c r="N153" s="60" t="s">
        <v>1084</v>
      </c>
      <c r="O153" s="60" t="s">
        <v>1085</v>
      </c>
      <c r="P153" s="60" t="s">
        <v>1086</v>
      </c>
      <c r="Q153" s="60" t="s">
        <v>1087</v>
      </c>
      <c r="R153" s="60" t="s">
        <v>1088</v>
      </c>
      <c r="S153" s="60" t="s">
        <v>1089</v>
      </c>
      <c r="T153" s="60" t="s">
        <v>1090</v>
      </c>
      <c r="U153" s="60" t="s">
        <v>1091</v>
      </c>
      <c r="V153" s="60" t="s">
        <v>1092</v>
      </c>
      <c r="W153" s="60" t="s">
        <v>1093</v>
      </c>
      <c r="X153" s="60" t="s">
        <v>1094</v>
      </c>
      <c r="Y153" s="60" t="s">
        <v>1095</v>
      </c>
      <c r="Z153" s="60" t="s">
        <v>1096</v>
      </c>
      <c r="AA153" s="60" t="s">
        <v>1097</v>
      </c>
      <c r="AB153" s="60" t="s">
        <v>1098</v>
      </c>
      <c r="AC153" s="60" t="s">
        <v>1099</v>
      </c>
    </row>
    <row r="154">
      <c r="A154" s="59" t="s">
        <v>4143</v>
      </c>
      <c r="B154" s="60" t="s">
        <v>4144</v>
      </c>
      <c r="C154" s="61" t="s">
        <v>4145</v>
      </c>
      <c r="D154" s="60" t="s">
        <v>4146</v>
      </c>
      <c r="E154" s="60" t="s">
        <v>4147</v>
      </c>
      <c r="F154" s="60" t="s">
        <v>4148</v>
      </c>
      <c r="G154" s="60" t="s">
        <v>4149</v>
      </c>
      <c r="H154" s="60" t="s">
        <v>4150</v>
      </c>
      <c r="I154" s="60" t="s">
        <v>4151</v>
      </c>
      <c r="J154" s="60" t="s">
        <v>4152</v>
      </c>
      <c r="K154" s="60" t="s">
        <v>4153</v>
      </c>
      <c r="L154" s="60" t="s">
        <v>4154</v>
      </c>
      <c r="M154" s="60" t="s">
        <v>4155</v>
      </c>
      <c r="N154" s="60" t="s">
        <v>4156</v>
      </c>
      <c r="O154" s="60" t="s">
        <v>4157</v>
      </c>
      <c r="P154" s="60" t="s">
        <v>4158</v>
      </c>
      <c r="Q154" s="60" t="s">
        <v>4159</v>
      </c>
      <c r="R154" s="60" t="s">
        <v>4160</v>
      </c>
      <c r="S154" s="60" t="s">
        <v>4161</v>
      </c>
      <c r="T154" s="60" t="s">
        <v>4162</v>
      </c>
      <c r="U154" s="60" t="s">
        <v>4163</v>
      </c>
      <c r="V154" s="60" t="s">
        <v>4164</v>
      </c>
      <c r="W154" s="60" t="s">
        <v>4165</v>
      </c>
      <c r="X154" s="60" t="s">
        <v>4166</v>
      </c>
      <c r="Y154" s="60" t="s">
        <v>4167</v>
      </c>
      <c r="Z154" s="60" t="s">
        <v>4168</v>
      </c>
      <c r="AA154" s="60" t="s">
        <v>4169</v>
      </c>
      <c r="AB154" s="60" t="s">
        <v>4170</v>
      </c>
      <c r="AC154" s="60" t="s">
        <v>4171</v>
      </c>
    </row>
    <row r="155">
      <c r="A155" s="59" t="s">
        <v>4172</v>
      </c>
      <c r="B155" s="60" t="s">
        <v>4173</v>
      </c>
      <c r="C155" s="61" t="s">
        <v>4174</v>
      </c>
      <c r="D155" s="60" t="s">
        <v>4175</v>
      </c>
      <c r="E155" s="60" t="s">
        <v>4176</v>
      </c>
      <c r="F155" s="60" t="s">
        <v>4177</v>
      </c>
      <c r="G155" s="60" t="s">
        <v>4178</v>
      </c>
      <c r="H155" s="60" t="s">
        <v>4179</v>
      </c>
      <c r="I155" s="60" t="s">
        <v>4180</v>
      </c>
      <c r="J155" s="60" t="s">
        <v>4181</v>
      </c>
      <c r="K155" s="60" t="s">
        <v>4182</v>
      </c>
      <c r="L155" s="60" t="s">
        <v>4183</v>
      </c>
      <c r="M155" s="60" t="s">
        <v>4184</v>
      </c>
      <c r="N155" s="60" t="s">
        <v>4185</v>
      </c>
      <c r="O155" s="60" t="s">
        <v>4186</v>
      </c>
      <c r="P155" s="60" t="s">
        <v>4187</v>
      </c>
      <c r="Q155" s="60" t="s">
        <v>4188</v>
      </c>
      <c r="R155" s="60" t="s">
        <v>4189</v>
      </c>
      <c r="S155" s="60" t="s">
        <v>4190</v>
      </c>
      <c r="T155" s="60" t="s">
        <v>4191</v>
      </c>
      <c r="U155" s="60" t="s">
        <v>4192</v>
      </c>
      <c r="V155" s="60" t="s">
        <v>4193</v>
      </c>
      <c r="W155" s="60" t="s">
        <v>4194</v>
      </c>
      <c r="X155" s="60" t="s">
        <v>4195</v>
      </c>
      <c r="Y155" s="60" t="s">
        <v>4196</v>
      </c>
      <c r="Z155" s="60" t="s">
        <v>4197</v>
      </c>
      <c r="AA155" s="60" t="s">
        <v>4198</v>
      </c>
      <c r="AB155" s="60" t="s">
        <v>4199</v>
      </c>
      <c r="AC155" s="60" t="s">
        <v>4200</v>
      </c>
    </row>
    <row r="156">
      <c r="A156" s="59" t="s">
        <v>4201</v>
      </c>
      <c r="B156" s="60" t="s">
        <v>4202</v>
      </c>
      <c r="C156" s="61" t="s">
        <v>4203</v>
      </c>
      <c r="D156" s="60" t="s">
        <v>4204</v>
      </c>
      <c r="E156" s="60" t="s">
        <v>4205</v>
      </c>
      <c r="F156" s="60" t="s">
        <v>4206</v>
      </c>
      <c r="G156" s="60" t="s">
        <v>4207</v>
      </c>
      <c r="H156" s="60" t="s">
        <v>4208</v>
      </c>
      <c r="I156" s="60" t="s">
        <v>4209</v>
      </c>
      <c r="J156" s="60" t="s">
        <v>4210</v>
      </c>
      <c r="K156" s="60" t="s">
        <v>4211</v>
      </c>
      <c r="L156" s="60" t="s">
        <v>4212</v>
      </c>
      <c r="M156" s="60" t="s">
        <v>4213</v>
      </c>
      <c r="N156" s="60" t="s">
        <v>4214</v>
      </c>
      <c r="O156" s="60" t="s">
        <v>4215</v>
      </c>
      <c r="P156" s="60" t="s">
        <v>4216</v>
      </c>
      <c r="Q156" s="60" t="s">
        <v>4217</v>
      </c>
      <c r="R156" s="60" t="s">
        <v>4218</v>
      </c>
      <c r="S156" s="60" t="s">
        <v>4219</v>
      </c>
      <c r="T156" s="60" t="s">
        <v>4220</v>
      </c>
      <c r="U156" s="60" t="s">
        <v>4221</v>
      </c>
      <c r="V156" s="60" t="s">
        <v>4222</v>
      </c>
      <c r="W156" s="60" t="s">
        <v>4223</v>
      </c>
      <c r="X156" s="60" t="s">
        <v>4224</v>
      </c>
      <c r="Y156" s="60" t="s">
        <v>4225</v>
      </c>
      <c r="Z156" s="60" t="s">
        <v>4226</v>
      </c>
      <c r="AA156" s="60" t="s">
        <v>4227</v>
      </c>
      <c r="AB156" s="60" t="s">
        <v>4228</v>
      </c>
      <c r="AC156" s="60" t="s">
        <v>4229</v>
      </c>
    </row>
    <row r="157">
      <c r="A157" s="59" t="s">
        <v>4230</v>
      </c>
      <c r="B157" s="60" t="s">
        <v>4231</v>
      </c>
      <c r="C157" s="61" t="s">
        <v>4232</v>
      </c>
      <c r="D157" s="60" t="s">
        <v>4231</v>
      </c>
      <c r="E157" s="60" t="s">
        <v>4233</v>
      </c>
      <c r="F157" s="60" t="s">
        <v>4234</v>
      </c>
      <c r="G157" s="60" t="s">
        <v>4235</v>
      </c>
      <c r="H157" s="60" t="s">
        <v>4236</v>
      </c>
      <c r="I157" s="60" t="s">
        <v>4237</v>
      </c>
      <c r="J157" s="60" t="s">
        <v>4238</v>
      </c>
      <c r="K157" s="60" t="s">
        <v>4239</v>
      </c>
      <c r="L157" s="60" t="s">
        <v>4240</v>
      </c>
      <c r="M157" s="60" t="s">
        <v>4241</v>
      </c>
      <c r="N157" s="60" t="s">
        <v>4242</v>
      </c>
      <c r="O157" s="60" t="s">
        <v>4243</v>
      </c>
      <c r="P157" s="60" t="s">
        <v>4244</v>
      </c>
      <c r="Q157" s="60" t="s">
        <v>4245</v>
      </c>
      <c r="R157" s="60" t="s">
        <v>4246</v>
      </c>
      <c r="S157" s="60" t="s">
        <v>4247</v>
      </c>
      <c r="T157" s="60" t="s">
        <v>4248</v>
      </c>
      <c r="U157" s="60" t="s">
        <v>4249</v>
      </c>
      <c r="V157" s="60" t="s">
        <v>4250</v>
      </c>
      <c r="W157" s="60" t="s">
        <v>4251</v>
      </c>
      <c r="X157" s="60" t="s">
        <v>4252</v>
      </c>
      <c r="Y157" s="60" t="s">
        <v>4253</v>
      </c>
      <c r="Z157" s="60" t="s">
        <v>4254</v>
      </c>
      <c r="AA157" s="60" t="s">
        <v>4255</v>
      </c>
      <c r="AB157" s="60" t="s">
        <v>4256</v>
      </c>
      <c r="AC157" s="60" t="s">
        <v>4257</v>
      </c>
    </row>
    <row r="158">
      <c r="A158" s="59" t="s">
        <v>4258</v>
      </c>
      <c r="B158" s="60" t="s">
        <v>4259</v>
      </c>
      <c r="C158" s="61" t="s">
        <v>4260</v>
      </c>
      <c r="D158" s="60" t="s">
        <v>4261</v>
      </c>
      <c r="E158" s="60" t="s">
        <v>4262</v>
      </c>
      <c r="F158" s="60" t="s">
        <v>4263</v>
      </c>
      <c r="G158" s="60" t="s">
        <v>4264</v>
      </c>
      <c r="H158" s="60" t="s">
        <v>4265</v>
      </c>
      <c r="I158" s="60" t="s">
        <v>4266</v>
      </c>
      <c r="J158" s="60" t="s">
        <v>4267</v>
      </c>
      <c r="K158" s="60" t="s">
        <v>4268</v>
      </c>
      <c r="L158" s="60" t="s">
        <v>4269</v>
      </c>
      <c r="M158" s="60" t="s">
        <v>4270</v>
      </c>
      <c r="N158" s="60" t="s">
        <v>4271</v>
      </c>
      <c r="O158" s="60" t="s">
        <v>4272</v>
      </c>
      <c r="P158" s="60" t="s">
        <v>4273</v>
      </c>
      <c r="Q158" s="60" t="s">
        <v>4274</v>
      </c>
      <c r="R158" s="60" t="s">
        <v>4275</v>
      </c>
      <c r="S158" s="60" t="s">
        <v>4276</v>
      </c>
      <c r="T158" s="60" t="s">
        <v>4269</v>
      </c>
      <c r="U158" s="60" t="s">
        <v>4277</v>
      </c>
      <c r="V158" s="60" t="s">
        <v>4278</v>
      </c>
      <c r="W158" s="60" t="s">
        <v>4279</v>
      </c>
      <c r="X158" s="60" t="s">
        <v>4280</v>
      </c>
      <c r="Y158" s="60" t="s">
        <v>4281</v>
      </c>
      <c r="Z158" s="60" t="s">
        <v>4282</v>
      </c>
      <c r="AA158" s="60" t="s">
        <v>4283</v>
      </c>
      <c r="AB158" s="60" t="s">
        <v>4284</v>
      </c>
      <c r="AC158" s="60" t="s">
        <v>4285</v>
      </c>
    </row>
    <row r="159">
      <c r="A159" s="59" t="s">
        <v>4286</v>
      </c>
      <c r="B159" s="60" t="s">
        <v>4287</v>
      </c>
      <c r="C159" s="61" t="s">
        <v>4288</v>
      </c>
      <c r="D159" s="60" t="s">
        <v>4289</v>
      </c>
      <c r="E159" s="60" t="s">
        <v>4290</v>
      </c>
      <c r="F159" s="60" t="s">
        <v>4291</v>
      </c>
      <c r="G159" s="60" t="s">
        <v>4292</v>
      </c>
      <c r="H159" s="60" t="s">
        <v>4293</v>
      </c>
      <c r="I159" s="60" t="s">
        <v>4294</v>
      </c>
      <c r="J159" s="60" t="s">
        <v>4295</v>
      </c>
      <c r="K159" s="60" t="s">
        <v>4296</v>
      </c>
      <c r="L159" s="60" t="s">
        <v>4297</v>
      </c>
      <c r="M159" s="60" t="s">
        <v>4298</v>
      </c>
      <c r="N159" s="60" t="s">
        <v>4299</v>
      </c>
      <c r="O159" s="60" t="s">
        <v>4300</v>
      </c>
      <c r="P159" s="60" t="s">
        <v>4301</v>
      </c>
      <c r="Q159" s="60" t="s">
        <v>4302</v>
      </c>
      <c r="R159" s="60" t="s">
        <v>4303</v>
      </c>
      <c r="S159" s="60" t="s">
        <v>4304</v>
      </c>
      <c r="T159" s="60" t="s">
        <v>4305</v>
      </c>
      <c r="U159" s="60" t="s">
        <v>4306</v>
      </c>
      <c r="V159" s="60" t="s">
        <v>4307</v>
      </c>
      <c r="W159" s="60" t="s">
        <v>4308</v>
      </c>
      <c r="X159" s="60" t="s">
        <v>4309</v>
      </c>
      <c r="Y159" s="60" t="s">
        <v>4310</v>
      </c>
      <c r="Z159" s="60" t="s">
        <v>4311</v>
      </c>
      <c r="AA159" s="60" t="s">
        <v>4312</v>
      </c>
      <c r="AB159" s="60" t="s">
        <v>4313</v>
      </c>
      <c r="AC159" s="60" t="s">
        <v>4314</v>
      </c>
    </row>
    <row r="160">
      <c r="A160" s="59" t="s">
        <v>4315</v>
      </c>
      <c r="B160" s="60" t="s">
        <v>4316</v>
      </c>
      <c r="C160" s="61" t="s">
        <v>4317</v>
      </c>
      <c r="D160" s="60" t="s">
        <v>4318</v>
      </c>
      <c r="E160" s="60" t="s">
        <v>4319</v>
      </c>
      <c r="F160" s="60" t="s">
        <v>4320</v>
      </c>
      <c r="G160" s="60" t="s">
        <v>4321</v>
      </c>
      <c r="H160" s="60" t="s">
        <v>4322</v>
      </c>
      <c r="I160" s="60" t="s">
        <v>4323</v>
      </c>
      <c r="J160" s="60" t="s">
        <v>4324</v>
      </c>
      <c r="K160" s="60" t="s">
        <v>4325</v>
      </c>
      <c r="L160" s="60" t="s">
        <v>4326</v>
      </c>
      <c r="M160" s="60" t="s">
        <v>4327</v>
      </c>
      <c r="N160" s="60" t="s">
        <v>4328</v>
      </c>
      <c r="O160" s="60" t="s">
        <v>4329</v>
      </c>
      <c r="P160" s="60" t="s">
        <v>4330</v>
      </c>
      <c r="Q160" s="60" t="s">
        <v>4331</v>
      </c>
      <c r="R160" s="60" t="s">
        <v>4332</v>
      </c>
      <c r="S160" s="60" t="s">
        <v>4333</v>
      </c>
      <c r="T160" s="60" t="s">
        <v>4334</v>
      </c>
      <c r="U160" s="60" t="s">
        <v>4335</v>
      </c>
      <c r="V160" s="60" t="s">
        <v>4336</v>
      </c>
      <c r="W160" s="60" t="s">
        <v>4337</v>
      </c>
      <c r="X160" s="60" t="s">
        <v>4338</v>
      </c>
      <c r="Y160" s="60" t="s">
        <v>4339</v>
      </c>
      <c r="Z160" s="60" t="s">
        <v>4340</v>
      </c>
      <c r="AA160" s="60" t="s">
        <v>4341</v>
      </c>
      <c r="AB160" s="60" t="s">
        <v>4342</v>
      </c>
      <c r="AC160" s="60" t="s">
        <v>4343</v>
      </c>
    </row>
    <row r="161">
      <c r="A161" s="59" t="s">
        <v>4344</v>
      </c>
      <c r="B161" s="60" t="s">
        <v>4345</v>
      </c>
      <c r="C161" s="61" t="s">
        <v>4346</v>
      </c>
      <c r="D161" s="60" t="s">
        <v>4347</v>
      </c>
      <c r="E161" s="60" t="s">
        <v>4348</v>
      </c>
      <c r="F161" s="60" t="s">
        <v>4349</v>
      </c>
      <c r="G161" s="60" t="s">
        <v>4350</v>
      </c>
      <c r="H161" s="60" t="s">
        <v>4351</v>
      </c>
      <c r="I161" s="60" t="s">
        <v>4352</v>
      </c>
      <c r="J161" s="60" t="s">
        <v>4353</v>
      </c>
      <c r="K161" s="60" t="s">
        <v>4354</v>
      </c>
      <c r="L161" s="60" t="s">
        <v>4355</v>
      </c>
      <c r="M161" s="60" t="s">
        <v>4356</v>
      </c>
      <c r="N161" s="60" t="s">
        <v>4357</v>
      </c>
      <c r="O161" s="60" t="s">
        <v>4358</v>
      </c>
      <c r="P161" s="60" t="s">
        <v>4359</v>
      </c>
      <c r="Q161" s="60" t="s">
        <v>4360</v>
      </c>
      <c r="R161" s="60" t="s">
        <v>4361</v>
      </c>
      <c r="S161" s="60" t="s">
        <v>4362</v>
      </c>
      <c r="T161" s="60" t="s">
        <v>4355</v>
      </c>
      <c r="U161" s="60" t="s">
        <v>4363</v>
      </c>
      <c r="V161" s="60" t="s">
        <v>4364</v>
      </c>
      <c r="W161" s="60" t="s">
        <v>4365</v>
      </c>
      <c r="X161" s="60" t="s">
        <v>4366</v>
      </c>
      <c r="Y161" s="60" t="s">
        <v>4367</v>
      </c>
      <c r="Z161" s="60" t="s">
        <v>4368</v>
      </c>
      <c r="AA161" s="60" t="s">
        <v>4369</v>
      </c>
      <c r="AB161" s="60" t="s">
        <v>4370</v>
      </c>
      <c r="AC161" s="60" t="s">
        <v>4371</v>
      </c>
    </row>
    <row r="162">
      <c r="A162" s="59" t="s">
        <v>4372</v>
      </c>
      <c r="B162" s="60" t="s">
        <v>4373</v>
      </c>
      <c r="C162" s="61" t="s">
        <v>4374</v>
      </c>
      <c r="D162" s="60" t="s">
        <v>4375</v>
      </c>
      <c r="E162" s="60" t="s">
        <v>4376</v>
      </c>
      <c r="F162" s="60" t="s">
        <v>4377</v>
      </c>
      <c r="G162" s="60" t="s">
        <v>4378</v>
      </c>
      <c r="H162" s="60" t="s">
        <v>4379</v>
      </c>
      <c r="I162" s="60" t="s">
        <v>4380</v>
      </c>
      <c r="J162" s="60" t="s">
        <v>4381</v>
      </c>
      <c r="K162" s="60" t="s">
        <v>4382</v>
      </c>
      <c r="L162" s="60" t="s">
        <v>4383</v>
      </c>
      <c r="M162" s="60" t="s">
        <v>4384</v>
      </c>
      <c r="N162" s="60" t="s">
        <v>4385</v>
      </c>
      <c r="O162" s="60" t="s">
        <v>4386</v>
      </c>
      <c r="P162" s="60" t="s">
        <v>4387</v>
      </c>
      <c r="Q162" s="60" t="s">
        <v>4388</v>
      </c>
      <c r="R162" s="60" t="s">
        <v>4389</v>
      </c>
      <c r="S162" s="60" t="s">
        <v>4390</v>
      </c>
      <c r="T162" s="60" t="s">
        <v>4391</v>
      </c>
      <c r="U162" s="60" t="s">
        <v>4392</v>
      </c>
      <c r="V162" s="60" t="s">
        <v>4393</v>
      </c>
      <c r="W162" s="60" t="s">
        <v>4394</v>
      </c>
      <c r="X162" s="60" t="s">
        <v>4395</v>
      </c>
      <c r="Y162" s="60" t="s">
        <v>4396</v>
      </c>
      <c r="Z162" s="60" t="s">
        <v>4397</v>
      </c>
      <c r="AA162" s="60" t="s">
        <v>4398</v>
      </c>
      <c r="AB162" s="60" t="s">
        <v>4399</v>
      </c>
      <c r="AC162" s="60" t="s">
        <v>4400</v>
      </c>
    </row>
    <row r="163">
      <c r="A163" s="59" t="s">
        <v>4401</v>
      </c>
      <c r="B163" s="60" t="s">
        <v>4402</v>
      </c>
      <c r="C163" s="61" t="s">
        <v>4403</v>
      </c>
      <c r="D163" s="60" t="s">
        <v>4404</v>
      </c>
      <c r="E163" s="60" t="s">
        <v>4405</v>
      </c>
      <c r="F163" s="60" t="s">
        <v>4406</v>
      </c>
      <c r="G163" s="60" t="s">
        <v>4407</v>
      </c>
      <c r="H163" s="60" t="s">
        <v>1745</v>
      </c>
      <c r="I163" s="60" t="s">
        <v>1745</v>
      </c>
      <c r="J163" s="60" t="s">
        <v>4408</v>
      </c>
      <c r="K163" s="60" t="s">
        <v>1747</v>
      </c>
      <c r="L163" s="60" t="s">
        <v>1748</v>
      </c>
      <c r="M163" s="60" t="s">
        <v>4409</v>
      </c>
      <c r="N163" s="60" t="s">
        <v>1750</v>
      </c>
      <c r="O163" s="60" t="s">
        <v>4410</v>
      </c>
      <c r="P163" s="60" t="s">
        <v>1752</v>
      </c>
      <c r="Q163" s="60" t="s">
        <v>1365</v>
      </c>
      <c r="R163" s="60" t="s">
        <v>1753</v>
      </c>
      <c r="S163" s="60" t="s">
        <v>1367</v>
      </c>
      <c r="T163" s="60" t="s">
        <v>1748</v>
      </c>
      <c r="U163" s="60" t="s">
        <v>4411</v>
      </c>
      <c r="V163" s="60" t="s">
        <v>1370</v>
      </c>
      <c r="W163" s="60" t="s">
        <v>4412</v>
      </c>
      <c r="X163" s="60" t="s">
        <v>1372</v>
      </c>
      <c r="Y163" s="60" t="s">
        <v>1757</v>
      </c>
      <c r="Z163" s="60" t="s">
        <v>1758</v>
      </c>
      <c r="AA163" s="60" t="s">
        <v>1375</v>
      </c>
      <c r="AB163" s="60" t="s">
        <v>4413</v>
      </c>
      <c r="AC163" s="60" t="s">
        <v>1377</v>
      </c>
    </row>
    <row r="164">
      <c r="A164" s="59" t="s">
        <v>4414</v>
      </c>
      <c r="B164" s="60" t="s">
        <v>4415</v>
      </c>
      <c r="C164" s="61" t="s">
        <v>4416</v>
      </c>
      <c r="D164" s="60" t="s">
        <v>4417</v>
      </c>
      <c r="E164" s="60" t="s">
        <v>4418</v>
      </c>
      <c r="F164" s="60" t="s">
        <v>4419</v>
      </c>
      <c r="G164" s="60" t="s">
        <v>4420</v>
      </c>
      <c r="H164" s="60" t="s">
        <v>4421</v>
      </c>
      <c r="I164" s="60" t="s">
        <v>4422</v>
      </c>
      <c r="J164" s="60" t="s">
        <v>4423</v>
      </c>
      <c r="K164" s="60" t="s">
        <v>4424</v>
      </c>
      <c r="L164" s="60" t="s">
        <v>4425</v>
      </c>
      <c r="M164" s="60" t="s">
        <v>4426</v>
      </c>
      <c r="N164" s="60" t="s">
        <v>4427</v>
      </c>
      <c r="O164" s="60" t="s">
        <v>4428</v>
      </c>
      <c r="P164" s="60" t="s">
        <v>4429</v>
      </c>
      <c r="Q164" s="60" t="s">
        <v>4430</v>
      </c>
      <c r="R164" s="60" t="s">
        <v>4431</v>
      </c>
      <c r="S164" s="60" t="s">
        <v>4432</v>
      </c>
      <c r="T164" s="60" t="s">
        <v>4433</v>
      </c>
      <c r="U164" s="60" t="s">
        <v>4434</v>
      </c>
      <c r="V164" s="60" t="s">
        <v>4435</v>
      </c>
      <c r="W164" s="60" t="s">
        <v>4436</v>
      </c>
      <c r="X164" s="60" t="s">
        <v>4437</v>
      </c>
      <c r="Y164" s="60" t="s">
        <v>4438</v>
      </c>
      <c r="Z164" s="60" t="s">
        <v>4439</v>
      </c>
      <c r="AA164" s="60" t="s">
        <v>4440</v>
      </c>
      <c r="AB164" s="60" t="s">
        <v>4441</v>
      </c>
      <c r="AC164" s="60" t="s">
        <v>4442</v>
      </c>
    </row>
    <row r="165">
      <c r="A165" s="59" t="s">
        <v>4443</v>
      </c>
      <c r="B165" s="60" t="s">
        <v>4444</v>
      </c>
      <c r="C165" s="61" t="s">
        <v>4445</v>
      </c>
      <c r="D165" s="60" t="s">
        <v>4446</v>
      </c>
      <c r="E165" s="60" t="s">
        <v>4447</v>
      </c>
      <c r="F165" s="60" t="s">
        <v>4448</v>
      </c>
      <c r="G165" s="60" t="s">
        <v>4449</v>
      </c>
      <c r="H165" s="60" t="s">
        <v>4450</v>
      </c>
      <c r="I165" s="60" t="s">
        <v>4451</v>
      </c>
      <c r="J165" s="60" t="s">
        <v>4452</v>
      </c>
      <c r="K165" s="60" t="s">
        <v>4453</v>
      </c>
      <c r="L165" s="60" t="s">
        <v>4454</v>
      </c>
      <c r="M165" s="60" t="s">
        <v>4455</v>
      </c>
      <c r="N165" s="60" t="s">
        <v>4456</v>
      </c>
      <c r="O165" s="60" t="s">
        <v>4457</v>
      </c>
      <c r="P165" s="60" t="s">
        <v>4458</v>
      </c>
      <c r="Q165" s="60" t="s">
        <v>4459</v>
      </c>
      <c r="R165" s="60" t="s">
        <v>4460</v>
      </c>
      <c r="S165" s="60" t="s">
        <v>4461</v>
      </c>
      <c r="T165" s="60" t="s">
        <v>4462</v>
      </c>
      <c r="U165" s="60" t="s">
        <v>4463</v>
      </c>
      <c r="V165" s="60" t="s">
        <v>4464</v>
      </c>
      <c r="W165" s="60" t="s">
        <v>4449</v>
      </c>
      <c r="X165" s="60" t="s">
        <v>4465</v>
      </c>
      <c r="Y165" s="60" t="s">
        <v>4466</v>
      </c>
      <c r="Z165" s="60" t="s">
        <v>4467</v>
      </c>
      <c r="AA165" s="60" t="s">
        <v>4468</v>
      </c>
      <c r="AB165" s="60" t="s">
        <v>4469</v>
      </c>
      <c r="AC165" s="60" t="s">
        <v>4470</v>
      </c>
    </row>
    <row r="166">
      <c r="A166" s="59" t="s">
        <v>4471</v>
      </c>
      <c r="B166" s="60" t="s">
        <v>4472</v>
      </c>
      <c r="C166" s="61" t="s">
        <v>4473</v>
      </c>
      <c r="D166" s="60" t="s">
        <v>4474</v>
      </c>
      <c r="E166" s="60" t="s">
        <v>4475</v>
      </c>
      <c r="F166" s="60" t="s">
        <v>4476</v>
      </c>
      <c r="G166" s="60" t="s">
        <v>4477</v>
      </c>
      <c r="H166" s="60" t="s">
        <v>4478</v>
      </c>
      <c r="I166" s="60" t="s">
        <v>4479</v>
      </c>
      <c r="J166" s="60" t="s">
        <v>4480</v>
      </c>
      <c r="K166" s="60" t="s">
        <v>4481</v>
      </c>
      <c r="L166" s="60" t="s">
        <v>4482</v>
      </c>
      <c r="M166" s="60" t="s">
        <v>4483</v>
      </c>
      <c r="N166" s="60" t="s">
        <v>4484</v>
      </c>
      <c r="O166" s="60" t="s">
        <v>4485</v>
      </c>
      <c r="P166" s="60" t="s">
        <v>4486</v>
      </c>
      <c r="Q166" s="60" t="s">
        <v>4487</v>
      </c>
      <c r="R166" s="60" t="s">
        <v>4488</v>
      </c>
      <c r="S166" s="60" t="s">
        <v>4489</v>
      </c>
      <c r="T166" s="60" t="s">
        <v>4490</v>
      </c>
      <c r="U166" s="60" t="s">
        <v>4491</v>
      </c>
      <c r="V166" s="60" t="s">
        <v>4492</v>
      </c>
      <c r="W166" s="60" t="s">
        <v>4493</v>
      </c>
      <c r="X166" s="60" t="s">
        <v>4494</v>
      </c>
      <c r="Y166" s="60" t="s">
        <v>4495</v>
      </c>
      <c r="Z166" s="60" t="s">
        <v>4496</v>
      </c>
      <c r="AA166" s="60" t="s">
        <v>4497</v>
      </c>
      <c r="AB166" s="60" t="s">
        <v>4498</v>
      </c>
      <c r="AC166" s="60" t="s">
        <v>4499</v>
      </c>
    </row>
    <row r="167">
      <c r="A167" s="59" t="s">
        <v>4500</v>
      </c>
      <c r="B167" s="60" t="s">
        <v>4500</v>
      </c>
      <c r="C167" s="61" t="s">
        <v>4501</v>
      </c>
      <c r="D167" s="60" t="s">
        <v>4502</v>
      </c>
      <c r="E167" s="60" t="s">
        <v>4503</v>
      </c>
      <c r="F167" s="60" t="s">
        <v>4504</v>
      </c>
      <c r="G167" s="60" t="s">
        <v>4505</v>
      </c>
      <c r="H167" s="60" t="s">
        <v>4506</v>
      </c>
      <c r="I167" s="60" t="s">
        <v>4507</v>
      </c>
      <c r="J167" s="60" t="s">
        <v>4508</v>
      </c>
      <c r="K167" s="60" t="s">
        <v>4509</v>
      </c>
      <c r="L167" s="60" t="s">
        <v>4510</v>
      </c>
      <c r="M167" s="60" t="s">
        <v>4511</v>
      </c>
      <c r="N167" s="60" t="s">
        <v>4512</v>
      </c>
      <c r="O167" s="60" t="s">
        <v>4513</v>
      </c>
      <c r="P167" s="60" t="s">
        <v>807</v>
      </c>
      <c r="Q167" s="60" t="s">
        <v>4514</v>
      </c>
      <c r="R167" s="60" t="s">
        <v>4515</v>
      </c>
      <c r="S167" s="60" t="s">
        <v>4516</v>
      </c>
      <c r="T167" s="60" t="s">
        <v>4500</v>
      </c>
      <c r="U167" s="60" t="s">
        <v>4500</v>
      </c>
      <c r="V167" s="60" t="s">
        <v>4517</v>
      </c>
      <c r="W167" s="60" t="s">
        <v>4500</v>
      </c>
      <c r="X167" s="60" t="s">
        <v>4518</v>
      </c>
      <c r="Y167" s="60" t="s">
        <v>4519</v>
      </c>
      <c r="Z167" s="60" t="s">
        <v>4520</v>
      </c>
      <c r="AA167" s="60" t="s">
        <v>4521</v>
      </c>
      <c r="AB167" s="60" t="s">
        <v>4522</v>
      </c>
      <c r="AC167" s="60" t="s">
        <v>4523</v>
      </c>
    </row>
    <row r="168">
      <c r="A168" s="59" t="s">
        <v>4524</v>
      </c>
      <c r="B168" s="60" t="s">
        <v>4524</v>
      </c>
      <c r="C168" s="61" t="s">
        <v>4525</v>
      </c>
      <c r="D168" s="60" t="s">
        <v>4526</v>
      </c>
      <c r="E168" s="60" t="s">
        <v>4503</v>
      </c>
      <c r="F168" s="60" t="s">
        <v>4527</v>
      </c>
      <c r="G168" s="60" t="s">
        <v>4528</v>
      </c>
      <c r="H168" s="60" t="s">
        <v>4529</v>
      </c>
      <c r="I168" s="60" t="s">
        <v>4530</v>
      </c>
      <c r="J168" s="60" t="s">
        <v>4531</v>
      </c>
      <c r="K168" s="60" t="s">
        <v>4532</v>
      </c>
      <c r="L168" s="60" t="s">
        <v>4500</v>
      </c>
      <c r="M168" s="60" t="s">
        <v>4533</v>
      </c>
      <c r="N168" s="60" t="s">
        <v>4512</v>
      </c>
      <c r="O168" s="60" t="s">
        <v>4534</v>
      </c>
      <c r="P168" s="60" t="s">
        <v>4535</v>
      </c>
      <c r="Q168" s="60" t="s">
        <v>4536</v>
      </c>
      <c r="R168" s="60" t="s">
        <v>4515</v>
      </c>
      <c r="S168" s="60" t="s">
        <v>4537</v>
      </c>
      <c r="T168" s="60" t="s">
        <v>4538</v>
      </c>
      <c r="U168" s="60" t="s">
        <v>4524</v>
      </c>
      <c r="V168" s="60" t="s">
        <v>4539</v>
      </c>
      <c r="W168" s="60" t="s">
        <v>4540</v>
      </c>
      <c r="X168" s="60" t="s">
        <v>4541</v>
      </c>
      <c r="Y168" s="60" t="s">
        <v>4519</v>
      </c>
      <c r="Z168" s="60" t="s">
        <v>4542</v>
      </c>
      <c r="AA168" s="60" t="s">
        <v>4543</v>
      </c>
      <c r="AB168" s="60" t="s">
        <v>4544</v>
      </c>
      <c r="AC168" s="60" t="s">
        <v>4523</v>
      </c>
    </row>
    <row r="169">
      <c r="A169" s="59" t="s">
        <v>4545</v>
      </c>
      <c r="B169" s="60" t="s">
        <v>4545</v>
      </c>
      <c r="C169" s="61" t="s">
        <v>4546</v>
      </c>
      <c r="D169" s="60" t="s">
        <v>4547</v>
      </c>
      <c r="E169" s="60" t="s">
        <v>4548</v>
      </c>
      <c r="F169" s="60" t="s">
        <v>4549</v>
      </c>
      <c r="G169" s="60" t="s">
        <v>4550</v>
      </c>
      <c r="H169" s="60" t="s">
        <v>4551</v>
      </c>
      <c r="I169" s="60" t="s">
        <v>4552</v>
      </c>
      <c r="J169" s="60" t="s">
        <v>4553</v>
      </c>
      <c r="K169" s="60" t="s">
        <v>4554</v>
      </c>
      <c r="L169" s="60" t="s">
        <v>4555</v>
      </c>
      <c r="M169" s="60" t="s">
        <v>4556</v>
      </c>
      <c r="N169" s="60" t="s">
        <v>4557</v>
      </c>
      <c r="O169" s="60" t="s">
        <v>4558</v>
      </c>
      <c r="P169" s="60" t="s">
        <v>4559</v>
      </c>
      <c r="Q169" s="60" t="s">
        <v>4560</v>
      </c>
      <c r="R169" s="60" t="s">
        <v>4561</v>
      </c>
      <c r="S169" s="60" t="s">
        <v>4562</v>
      </c>
      <c r="T169" s="60" t="s">
        <v>4563</v>
      </c>
      <c r="U169" s="60" t="s">
        <v>4564</v>
      </c>
      <c r="V169" s="60" t="s">
        <v>4565</v>
      </c>
      <c r="W169" s="60" t="s">
        <v>4566</v>
      </c>
      <c r="X169" s="60" t="s">
        <v>4567</v>
      </c>
      <c r="Y169" s="60" t="s">
        <v>4568</v>
      </c>
      <c r="Z169" s="60" t="s">
        <v>4569</v>
      </c>
      <c r="AA169" s="60" t="s">
        <v>4570</v>
      </c>
      <c r="AB169" s="60" t="s">
        <v>4557</v>
      </c>
      <c r="AC169" s="60" t="s">
        <v>4571</v>
      </c>
    </row>
    <row r="170">
      <c r="A170" s="59" t="s">
        <v>4572</v>
      </c>
      <c r="B170" s="60" t="s">
        <v>4572</v>
      </c>
      <c r="C170" s="61" t="s">
        <v>4573</v>
      </c>
      <c r="D170" s="60" t="s">
        <v>4574</v>
      </c>
      <c r="E170" s="60" t="s">
        <v>4575</v>
      </c>
      <c r="F170" s="60" t="s">
        <v>4576</v>
      </c>
      <c r="G170" s="60" t="s">
        <v>4577</v>
      </c>
      <c r="H170" s="60" t="s">
        <v>4578</v>
      </c>
      <c r="I170" s="60" t="s">
        <v>4579</v>
      </c>
      <c r="J170" s="60" t="s">
        <v>4580</v>
      </c>
      <c r="K170" s="60" t="s">
        <v>4581</v>
      </c>
      <c r="L170" s="60" t="s">
        <v>4582</v>
      </c>
      <c r="M170" s="60" t="s">
        <v>4583</v>
      </c>
      <c r="N170" s="60" t="s">
        <v>4584</v>
      </c>
      <c r="O170" s="60" t="s">
        <v>4585</v>
      </c>
      <c r="P170" s="60" t="s">
        <v>4586</v>
      </c>
      <c r="Q170" s="60" t="s">
        <v>4587</v>
      </c>
      <c r="R170" s="60" t="s">
        <v>4588</v>
      </c>
      <c r="S170" s="60" t="s">
        <v>4589</v>
      </c>
      <c r="T170" s="60" t="s">
        <v>4582</v>
      </c>
      <c r="U170" s="60" t="s">
        <v>4590</v>
      </c>
      <c r="V170" s="60" t="s">
        <v>4574</v>
      </c>
      <c r="W170" s="60" t="s">
        <v>4591</v>
      </c>
      <c r="X170" s="60" t="s">
        <v>4592</v>
      </c>
      <c r="Y170" s="60" t="s">
        <v>4593</v>
      </c>
      <c r="Z170" s="60" t="s">
        <v>4594</v>
      </c>
      <c r="AA170" s="60" t="s">
        <v>4595</v>
      </c>
      <c r="AB170" s="60" t="s">
        <v>4596</v>
      </c>
      <c r="AC170" s="60" t="s">
        <v>4597</v>
      </c>
    </row>
    <row r="171">
      <c r="A171" s="59" t="s">
        <v>4598</v>
      </c>
      <c r="B171" s="60" t="s">
        <v>4599</v>
      </c>
      <c r="C171" s="61" t="s">
        <v>4600</v>
      </c>
      <c r="D171" s="60" t="s">
        <v>4601</v>
      </c>
      <c r="E171" s="60" t="s">
        <v>4602</v>
      </c>
      <c r="F171" s="60" t="s">
        <v>4603</v>
      </c>
      <c r="G171" s="60" t="s">
        <v>4604</v>
      </c>
      <c r="H171" s="60" t="s">
        <v>4605</v>
      </c>
      <c r="I171" s="60" t="s">
        <v>4606</v>
      </c>
      <c r="J171" s="60" t="s">
        <v>4607</v>
      </c>
      <c r="K171" s="60" t="s">
        <v>4608</v>
      </c>
      <c r="L171" s="60" t="s">
        <v>4609</v>
      </c>
      <c r="M171" s="60" t="s">
        <v>4610</v>
      </c>
      <c r="N171" s="60" t="s">
        <v>2573</v>
      </c>
      <c r="O171" s="60" t="s">
        <v>4611</v>
      </c>
      <c r="P171" s="60" t="s">
        <v>4612</v>
      </c>
      <c r="Q171" s="60" t="s">
        <v>4613</v>
      </c>
      <c r="R171" s="60" t="s">
        <v>4614</v>
      </c>
      <c r="S171" s="60" t="s">
        <v>4615</v>
      </c>
      <c r="T171" s="60" t="s">
        <v>4616</v>
      </c>
      <c r="U171" s="60" t="s">
        <v>4617</v>
      </c>
      <c r="V171" s="60" t="s">
        <v>4618</v>
      </c>
      <c r="W171" s="60" t="s">
        <v>4619</v>
      </c>
      <c r="X171" s="60" t="s">
        <v>4620</v>
      </c>
      <c r="Y171" s="60" t="s">
        <v>4621</v>
      </c>
      <c r="Z171" s="60" t="s">
        <v>4622</v>
      </c>
      <c r="AA171" s="60" t="s">
        <v>4623</v>
      </c>
      <c r="AB171" s="60" t="s">
        <v>4624</v>
      </c>
      <c r="AC171" s="60" t="s">
        <v>4625</v>
      </c>
    </row>
    <row r="172">
      <c r="A172" s="59" t="s">
        <v>4626</v>
      </c>
      <c r="B172" s="60" t="s">
        <v>4627</v>
      </c>
      <c r="C172" s="61" t="s">
        <v>4628</v>
      </c>
      <c r="D172" s="60" t="s">
        <v>4629</v>
      </c>
      <c r="E172" s="60" t="s">
        <v>4630</v>
      </c>
      <c r="F172" s="60" t="s">
        <v>4631</v>
      </c>
      <c r="G172" s="60" t="s">
        <v>4632</v>
      </c>
      <c r="H172" s="60" t="s">
        <v>4633</v>
      </c>
      <c r="I172" s="60" t="s">
        <v>4634</v>
      </c>
      <c r="J172" s="60" t="s">
        <v>4635</v>
      </c>
      <c r="K172" s="60" t="s">
        <v>4636</v>
      </c>
      <c r="L172" s="60" t="s">
        <v>4637</v>
      </c>
      <c r="M172" s="60" t="s">
        <v>4638</v>
      </c>
      <c r="N172" s="60" t="s">
        <v>4639</v>
      </c>
      <c r="O172" s="60" t="s">
        <v>4640</v>
      </c>
      <c r="P172" s="60" t="s">
        <v>4641</v>
      </c>
      <c r="Q172" s="60" t="s">
        <v>4642</v>
      </c>
      <c r="R172" s="60" t="s">
        <v>4643</v>
      </c>
      <c r="S172" s="60" t="s">
        <v>4644</v>
      </c>
      <c r="T172" s="60" t="s">
        <v>4645</v>
      </c>
      <c r="U172" s="60" t="s">
        <v>4646</v>
      </c>
      <c r="V172" s="60" t="s">
        <v>4647</v>
      </c>
      <c r="W172" s="60" t="s">
        <v>4648</v>
      </c>
      <c r="X172" s="60" t="s">
        <v>4649</v>
      </c>
      <c r="Y172" s="60" t="s">
        <v>4650</v>
      </c>
      <c r="Z172" s="60" t="s">
        <v>4651</v>
      </c>
      <c r="AA172" s="60" t="s">
        <v>4652</v>
      </c>
      <c r="AB172" s="60" t="s">
        <v>4653</v>
      </c>
      <c r="AC172" s="60" t="s">
        <v>4654</v>
      </c>
    </row>
    <row r="173">
      <c r="A173" s="59" t="s">
        <v>4655</v>
      </c>
      <c r="B173" s="60" t="s">
        <v>4655</v>
      </c>
      <c r="C173" s="61" t="s">
        <v>4656</v>
      </c>
      <c r="D173" s="60" t="s">
        <v>4657</v>
      </c>
      <c r="E173" s="60" t="s">
        <v>4658</v>
      </c>
      <c r="F173" s="60" t="s">
        <v>4659</v>
      </c>
      <c r="G173" s="60" t="s">
        <v>4660</v>
      </c>
      <c r="H173" s="60" t="s">
        <v>4661</v>
      </c>
      <c r="I173" s="60" t="s">
        <v>4662</v>
      </c>
      <c r="J173" s="60" t="s">
        <v>4663</v>
      </c>
      <c r="K173" s="60" t="s">
        <v>4664</v>
      </c>
      <c r="L173" s="60" t="s">
        <v>308</v>
      </c>
      <c r="M173" s="60" t="s">
        <v>4665</v>
      </c>
      <c r="N173" s="60" t="s">
        <v>4666</v>
      </c>
      <c r="O173" s="60" t="s">
        <v>4667</v>
      </c>
      <c r="P173" s="60" t="s">
        <v>4668</v>
      </c>
      <c r="Q173" s="60" t="s">
        <v>4669</v>
      </c>
      <c r="R173" s="60" t="s">
        <v>4670</v>
      </c>
      <c r="S173" s="60" t="s">
        <v>4671</v>
      </c>
      <c r="T173" s="60" t="s">
        <v>4672</v>
      </c>
      <c r="U173" s="60" t="s">
        <v>317</v>
      </c>
      <c r="V173" s="60" t="s">
        <v>4673</v>
      </c>
      <c r="W173" s="60" t="s">
        <v>4674</v>
      </c>
      <c r="X173" s="60" t="s">
        <v>4675</v>
      </c>
      <c r="Y173" s="60" t="s">
        <v>321</v>
      </c>
      <c r="Z173" s="60" t="s">
        <v>4676</v>
      </c>
      <c r="AA173" s="60" t="s">
        <v>4677</v>
      </c>
      <c r="AB173" s="60" t="s">
        <v>4678</v>
      </c>
      <c r="AC173" s="60" t="s">
        <v>325</v>
      </c>
    </row>
    <row r="174">
      <c r="A174" s="59" t="s">
        <v>4679</v>
      </c>
      <c r="B174" s="60" t="s">
        <v>4680</v>
      </c>
      <c r="C174" s="61" t="s">
        <v>4681</v>
      </c>
      <c r="D174" s="60" t="s">
        <v>4682</v>
      </c>
      <c r="E174" s="60" t="s">
        <v>4683</v>
      </c>
      <c r="F174" s="60" t="s">
        <v>4684</v>
      </c>
      <c r="G174" s="60" t="s">
        <v>4685</v>
      </c>
      <c r="H174" s="60" t="s">
        <v>4686</v>
      </c>
      <c r="I174" s="60" t="s">
        <v>4687</v>
      </c>
      <c r="J174" s="60" t="s">
        <v>4688</v>
      </c>
      <c r="K174" s="60" t="s">
        <v>4689</v>
      </c>
      <c r="L174" s="60" t="s">
        <v>4690</v>
      </c>
      <c r="M174" s="60" t="s">
        <v>4691</v>
      </c>
      <c r="N174" s="60" t="s">
        <v>4692</v>
      </c>
      <c r="O174" s="60" t="s">
        <v>4693</v>
      </c>
      <c r="P174" s="60" t="s">
        <v>4694</v>
      </c>
      <c r="Q174" s="60" t="s">
        <v>4695</v>
      </c>
      <c r="R174" s="60" t="s">
        <v>4696</v>
      </c>
      <c r="S174" s="60" t="s">
        <v>4697</v>
      </c>
      <c r="T174" s="60" t="s">
        <v>4698</v>
      </c>
      <c r="U174" s="60" t="s">
        <v>4699</v>
      </c>
      <c r="V174" s="60" t="s">
        <v>4700</v>
      </c>
      <c r="W174" s="60" t="s">
        <v>4701</v>
      </c>
      <c r="X174" s="60" t="s">
        <v>4702</v>
      </c>
      <c r="Y174" s="60" t="s">
        <v>4703</v>
      </c>
      <c r="Z174" s="60" t="s">
        <v>4704</v>
      </c>
      <c r="AA174" s="60" t="s">
        <v>4705</v>
      </c>
      <c r="AB174" s="60" t="s">
        <v>4706</v>
      </c>
      <c r="AC174" s="60" t="s">
        <v>4052</v>
      </c>
    </row>
    <row r="175">
      <c r="A175" s="59" t="s">
        <v>4707</v>
      </c>
      <c r="B175" s="60" t="s">
        <v>4707</v>
      </c>
      <c r="C175" s="61" t="s">
        <v>4708</v>
      </c>
      <c r="D175" s="60" t="s">
        <v>4709</v>
      </c>
      <c r="E175" s="60" t="s">
        <v>4710</v>
      </c>
      <c r="F175" s="60" t="s">
        <v>4711</v>
      </c>
      <c r="G175" s="60" t="s">
        <v>4712</v>
      </c>
      <c r="H175" s="60" t="s">
        <v>4713</v>
      </c>
      <c r="I175" s="60" t="s">
        <v>4714</v>
      </c>
      <c r="J175" s="60" t="s">
        <v>4715</v>
      </c>
      <c r="K175" s="60" t="s">
        <v>4716</v>
      </c>
      <c r="L175" s="60" t="s">
        <v>4717</v>
      </c>
      <c r="M175" s="60" t="s">
        <v>4718</v>
      </c>
      <c r="N175" s="60" t="s">
        <v>4719</v>
      </c>
      <c r="O175" s="60" t="s">
        <v>4720</v>
      </c>
      <c r="P175" s="60" t="s">
        <v>4721</v>
      </c>
      <c r="Q175" s="60" t="s">
        <v>4722</v>
      </c>
      <c r="R175" s="60" t="s">
        <v>4723</v>
      </c>
      <c r="S175" s="60" t="s">
        <v>4724</v>
      </c>
      <c r="T175" s="60" t="s">
        <v>4725</v>
      </c>
      <c r="U175" s="60" t="s">
        <v>4726</v>
      </c>
      <c r="V175" s="60" t="s">
        <v>4727</v>
      </c>
      <c r="W175" s="60" t="s">
        <v>4728</v>
      </c>
      <c r="X175" s="60" t="s">
        <v>4729</v>
      </c>
      <c r="Y175" s="60" t="s">
        <v>4730</v>
      </c>
      <c r="Z175" s="60" t="s">
        <v>4731</v>
      </c>
      <c r="AA175" s="60" t="s">
        <v>4732</v>
      </c>
      <c r="AB175" s="60" t="s">
        <v>4733</v>
      </c>
      <c r="AC175" s="60" t="s">
        <v>4734</v>
      </c>
    </row>
    <row r="176">
      <c r="A176" s="59" t="s">
        <v>4735</v>
      </c>
      <c r="B176" s="60" t="s">
        <v>4735</v>
      </c>
      <c r="C176" s="61" t="s">
        <v>4736</v>
      </c>
      <c r="D176" s="60" t="s">
        <v>4737</v>
      </c>
      <c r="E176" s="60" t="s">
        <v>4738</v>
      </c>
      <c r="F176" s="60" t="s">
        <v>4739</v>
      </c>
      <c r="G176" s="60" t="s">
        <v>4740</v>
      </c>
      <c r="H176" s="60" t="s">
        <v>4741</v>
      </c>
      <c r="I176" s="60" t="s">
        <v>4742</v>
      </c>
      <c r="J176" s="60" t="s">
        <v>4743</v>
      </c>
      <c r="K176" s="60" t="s">
        <v>4744</v>
      </c>
      <c r="L176" s="60" t="s">
        <v>4745</v>
      </c>
      <c r="M176" s="60" t="s">
        <v>4746</v>
      </c>
      <c r="N176" s="60" t="s">
        <v>4747</v>
      </c>
      <c r="O176" s="60" t="s">
        <v>4748</v>
      </c>
      <c r="P176" s="60" t="s">
        <v>4749</v>
      </c>
      <c r="Q176" s="60" t="s">
        <v>4750</v>
      </c>
      <c r="R176" s="60" t="s">
        <v>4751</v>
      </c>
      <c r="S176" s="60" t="s">
        <v>4752</v>
      </c>
      <c r="T176" s="60" t="s">
        <v>4745</v>
      </c>
      <c r="U176" s="60" t="s">
        <v>4753</v>
      </c>
      <c r="V176" s="60" t="s">
        <v>4754</v>
      </c>
      <c r="W176" s="60" t="s">
        <v>4740</v>
      </c>
      <c r="X176" s="60" t="s">
        <v>4755</v>
      </c>
      <c r="Y176" s="60" t="s">
        <v>4756</v>
      </c>
      <c r="Z176" s="60" t="s">
        <v>4757</v>
      </c>
      <c r="AA176" s="60" t="s">
        <v>4758</v>
      </c>
      <c r="AB176" s="60" t="s">
        <v>4759</v>
      </c>
      <c r="AC176" s="60" t="s">
        <v>4760</v>
      </c>
    </row>
    <row r="177">
      <c r="A177" s="59" t="s">
        <v>4761</v>
      </c>
      <c r="B177" s="60" t="s">
        <v>4762</v>
      </c>
      <c r="C177" s="61" t="s">
        <v>4763</v>
      </c>
      <c r="D177" s="60" t="s">
        <v>4764</v>
      </c>
      <c r="E177" s="60" t="s">
        <v>4765</v>
      </c>
      <c r="F177" s="60" t="s">
        <v>4766</v>
      </c>
      <c r="G177" s="60" t="s">
        <v>4767</v>
      </c>
      <c r="H177" s="60" t="s">
        <v>4768</v>
      </c>
      <c r="I177" s="60" t="s">
        <v>4769</v>
      </c>
      <c r="J177" s="60" t="s">
        <v>4770</v>
      </c>
      <c r="K177" s="60" t="s">
        <v>4771</v>
      </c>
      <c r="L177" s="60" t="s">
        <v>4772</v>
      </c>
      <c r="M177" s="60" t="s">
        <v>4773</v>
      </c>
      <c r="N177" s="60" t="s">
        <v>4774</v>
      </c>
      <c r="O177" s="60" t="s">
        <v>4775</v>
      </c>
      <c r="P177" s="60" t="s">
        <v>4776</v>
      </c>
      <c r="Q177" s="60" t="s">
        <v>4777</v>
      </c>
      <c r="R177" s="60" t="s">
        <v>4778</v>
      </c>
      <c r="S177" s="60" t="s">
        <v>4779</v>
      </c>
      <c r="T177" s="60" t="s">
        <v>4780</v>
      </c>
      <c r="U177" s="60" t="s">
        <v>4781</v>
      </c>
      <c r="V177" s="60" t="s">
        <v>4782</v>
      </c>
      <c r="W177" s="60" t="s">
        <v>4783</v>
      </c>
      <c r="X177" s="60" t="s">
        <v>4784</v>
      </c>
      <c r="Y177" s="60" t="s">
        <v>4785</v>
      </c>
      <c r="Z177" s="60" t="s">
        <v>4786</v>
      </c>
      <c r="AA177" s="60" t="s">
        <v>4787</v>
      </c>
      <c r="AB177" s="60" t="s">
        <v>4788</v>
      </c>
      <c r="AC177" s="60" t="s">
        <v>4789</v>
      </c>
    </row>
    <row r="178">
      <c r="A178" s="59" t="s">
        <v>4790</v>
      </c>
      <c r="B178" s="60" t="s">
        <v>4791</v>
      </c>
      <c r="C178" s="61" t="s">
        <v>4792</v>
      </c>
      <c r="D178" s="60" t="s">
        <v>4793</v>
      </c>
      <c r="E178" s="60" t="s">
        <v>4794</v>
      </c>
      <c r="F178" s="60" t="s">
        <v>4795</v>
      </c>
      <c r="G178" s="60" t="s">
        <v>4796</v>
      </c>
      <c r="H178" s="60" t="s">
        <v>4797</v>
      </c>
      <c r="I178" s="60" t="s">
        <v>4798</v>
      </c>
      <c r="J178" s="60" t="s">
        <v>4799</v>
      </c>
      <c r="K178" s="60" t="s">
        <v>4800</v>
      </c>
      <c r="L178" s="60" t="s">
        <v>4801</v>
      </c>
      <c r="M178" s="60" t="s">
        <v>4802</v>
      </c>
      <c r="N178" s="60" t="s">
        <v>4803</v>
      </c>
      <c r="O178" s="60" t="s">
        <v>4804</v>
      </c>
      <c r="P178" s="60" t="s">
        <v>4805</v>
      </c>
      <c r="Q178" s="60" t="s">
        <v>4806</v>
      </c>
      <c r="R178" s="60" t="s">
        <v>4807</v>
      </c>
      <c r="S178" s="60" t="s">
        <v>4808</v>
      </c>
      <c r="T178" s="60" t="s">
        <v>4809</v>
      </c>
      <c r="U178" s="60" t="s">
        <v>4810</v>
      </c>
      <c r="V178" s="60" t="s">
        <v>4811</v>
      </c>
      <c r="W178" s="60" t="s">
        <v>4812</v>
      </c>
      <c r="X178" s="60" t="s">
        <v>4813</v>
      </c>
      <c r="Y178" s="60" t="s">
        <v>4814</v>
      </c>
      <c r="Z178" s="60" t="s">
        <v>4815</v>
      </c>
      <c r="AA178" s="60" t="s">
        <v>4816</v>
      </c>
      <c r="AB178" s="60" t="s">
        <v>4817</v>
      </c>
      <c r="AC178" s="60" t="s">
        <v>4818</v>
      </c>
    </row>
    <row r="179">
      <c r="A179" s="59" t="s">
        <v>4819</v>
      </c>
      <c r="B179" s="60" t="s">
        <v>4820</v>
      </c>
      <c r="C179" s="61" t="s">
        <v>4821</v>
      </c>
      <c r="D179" s="60" t="s">
        <v>4822</v>
      </c>
      <c r="E179" s="60" t="s">
        <v>4823</v>
      </c>
      <c r="F179" s="60" t="s">
        <v>4824</v>
      </c>
      <c r="G179" s="60" t="s">
        <v>4825</v>
      </c>
      <c r="H179" s="60" t="s">
        <v>4826</v>
      </c>
      <c r="I179" s="60" t="s">
        <v>4827</v>
      </c>
      <c r="J179" s="60" t="s">
        <v>4828</v>
      </c>
      <c r="K179" s="60" t="s">
        <v>4829</v>
      </c>
      <c r="L179" s="60" t="s">
        <v>4830</v>
      </c>
      <c r="M179" s="60" t="s">
        <v>4831</v>
      </c>
      <c r="N179" s="60" t="s">
        <v>4832</v>
      </c>
      <c r="O179" s="60" t="s">
        <v>4833</v>
      </c>
      <c r="P179" s="60" t="s">
        <v>4834</v>
      </c>
      <c r="Q179" s="60" t="s">
        <v>4835</v>
      </c>
      <c r="R179" s="60" t="s">
        <v>4836</v>
      </c>
      <c r="S179" s="60" t="s">
        <v>4837</v>
      </c>
      <c r="T179" s="60" t="s">
        <v>4838</v>
      </c>
      <c r="U179" s="60" t="s">
        <v>4839</v>
      </c>
      <c r="V179" s="60" t="s">
        <v>4840</v>
      </c>
      <c r="W179" s="60" t="s">
        <v>4841</v>
      </c>
      <c r="X179" s="60" t="s">
        <v>4842</v>
      </c>
      <c r="Y179" s="60" t="s">
        <v>4843</v>
      </c>
      <c r="Z179" s="60" t="s">
        <v>4844</v>
      </c>
      <c r="AA179" s="60" t="s">
        <v>4845</v>
      </c>
      <c r="AB179" s="60" t="s">
        <v>4846</v>
      </c>
      <c r="AC179" s="60" t="s">
        <v>4847</v>
      </c>
    </row>
    <row r="180">
      <c r="A180" s="59" t="s">
        <v>4848</v>
      </c>
      <c r="B180" s="60" t="s">
        <v>4849</v>
      </c>
      <c r="C180" s="61" t="s">
        <v>4850</v>
      </c>
      <c r="D180" s="60" t="s">
        <v>4851</v>
      </c>
      <c r="E180" s="60" t="s">
        <v>4852</v>
      </c>
      <c r="F180" s="60" t="s">
        <v>4853</v>
      </c>
      <c r="G180" s="60" t="s">
        <v>4854</v>
      </c>
      <c r="H180" s="60" t="s">
        <v>4855</v>
      </c>
      <c r="I180" s="60" t="s">
        <v>4856</v>
      </c>
      <c r="J180" s="60" t="s">
        <v>4857</v>
      </c>
      <c r="K180" s="60" t="s">
        <v>4858</v>
      </c>
      <c r="L180" s="60" t="s">
        <v>4859</v>
      </c>
      <c r="M180" s="60" t="s">
        <v>4860</v>
      </c>
      <c r="N180" s="60" t="s">
        <v>4861</v>
      </c>
      <c r="O180" s="60" t="s">
        <v>4862</v>
      </c>
      <c r="P180" s="60" t="s">
        <v>4863</v>
      </c>
      <c r="Q180" s="60" t="s">
        <v>4864</v>
      </c>
      <c r="R180" s="60" t="s">
        <v>4865</v>
      </c>
      <c r="S180" s="60" t="s">
        <v>4866</v>
      </c>
      <c r="T180" s="60" t="s">
        <v>4867</v>
      </c>
      <c r="U180" s="60" t="s">
        <v>4868</v>
      </c>
      <c r="V180" s="60" t="s">
        <v>4869</v>
      </c>
      <c r="W180" s="60" t="s">
        <v>4870</v>
      </c>
      <c r="X180" s="60" t="s">
        <v>4871</v>
      </c>
      <c r="Y180" s="60" t="s">
        <v>4872</v>
      </c>
      <c r="Z180" s="60" t="s">
        <v>4873</v>
      </c>
      <c r="AA180" s="60" t="s">
        <v>4874</v>
      </c>
      <c r="AB180" s="60" t="s">
        <v>4875</v>
      </c>
      <c r="AC180" s="60" t="s">
        <v>4876</v>
      </c>
    </row>
    <row r="181">
      <c r="A181" s="59" t="s">
        <v>4877</v>
      </c>
      <c r="B181" s="60" t="s">
        <v>4878</v>
      </c>
      <c r="C181" s="61" t="s">
        <v>4879</v>
      </c>
      <c r="D181" s="60" t="s">
        <v>4880</v>
      </c>
      <c r="E181" s="60" t="s">
        <v>4881</v>
      </c>
      <c r="F181" s="60" t="s">
        <v>4882</v>
      </c>
      <c r="G181" s="60" t="s">
        <v>4883</v>
      </c>
      <c r="H181" s="60" t="s">
        <v>4884</v>
      </c>
      <c r="I181" s="60" t="s">
        <v>4885</v>
      </c>
      <c r="J181" s="60" t="s">
        <v>4886</v>
      </c>
      <c r="K181" s="60" t="s">
        <v>4887</v>
      </c>
      <c r="L181" s="60" t="s">
        <v>4888</v>
      </c>
      <c r="M181" s="60" t="s">
        <v>4889</v>
      </c>
      <c r="N181" s="60" t="s">
        <v>4890</v>
      </c>
      <c r="O181" s="60" t="s">
        <v>4891</v>
      </c>
      <c r="P181" s="60" t="s">
        <v>4892</v>
      </c>
      <c r="Q181" s="60" t="s">
        <v>4893</v>
      </c>
      <c r="R181" s="60" t="s">
        <v>4894</v>
      </c>
      <c r="S181" s="60" t="s">
        <v>4895</v>
      </c>
      <c r="T181" s="60" t="s">
        <v>4896</v>
      </c>
      <c r="U181" s="60" t="s">
        <v>4897</v>
      </c>
      <c r="V181" s="60" t="s">
        <v>4898</v>
      </c>
      <c r="W181" s="60" t="s">
        <v>4899</v>
      </c>
      <c r="X181" s="60" t="s">
        <v>4900</v>
      </c>
      <c r="Y181" s="60" t="s">
        <v>4901</v>
      </c>
      <c r="Z181" s="60" t="s">
        <v>4902</v>
      </c>
      <c r="AA181" s="60" t="s">
        <v>4903</v>
      </c>
      <c r="AB181" s="60" t="s">
        <v>4904</v>
      </c>
      <c r="AC181" s="60" t="s">
        <v>4905</v>
      </c>
    </row>
    <row r="182">
      <c r="A182" s="59" t="s">
        <v>4906</v>
      </c>
      <c r="B182" s="60" t="s">
        <v>4907</v>
      </c>
      <c r="C182" s="61" t="s">
        <v>4908</v>
      </c>
      <c r="D182" s="60" t="s">
        <v>4909</v>
      </c>
      <c r="E182" s="60" t="s">
        <v>4910</v>
      </c>
      <c r="F182" s="60" t="s">
        <v>4911</v>
      </c>
      <c r="G182" s="60" t="s">
        <v>4912</v>
      </c>
      <c r="H182" s="60" t="s">
        <v>4913</v>
      </c>
      <c r="I182" s="60" t="s">
        <v>4914</v>
      </c>
      <c r="J182" s="60" t="s">
        <v>4915</v>
      </c>
      <c r="K182" s="60" t="s">
        <v>4916</v>
      </c>
      <c r="L182" s="60" t="s">
        <v>4917</v>
      </c>
      <c r="M182" s="60" t="s">
        <v>4918</v>
      </c>
      <c r="N182" s="60" t="s">
        <v>4919</v>
      </c>
      <c r="O182" s="60" t="s">
        <v>4920</v>
      </c>
      <c r="P182" s="60" t="s">
        <v>4921</v>
      </c>
      <c r="Q182" s="60" t="s">
        <v>4922</v>
      </c>
      <c r="R182" s="60" t="s">
        <v>4923</v>
      </c>
      <c r="S182" s="60" t="s">
        <v>4924</v>
      </c>
      <c r="T182" s="60" t="s">
        <v>4925</v>
      </c>
      <c r="U182" s="60" t="s">
        <v>4926</v>
      </c>
      <c r="V182" s="60" t="s">
        <v>4927</v>
      </c>
      <c r="W182" s="60" t="s">
        <v>4928</v>
      </c>
      <c r="X182" s="60" t="s">
        <v>4929</v>
      </c>
      <c r="Y182" s="60" t="s">
        <v>4930</v>
      </c>
      <c r="Z182" s="60" t="s">
        <v>4931</v>
      </c>
      <c r="AA182" s="60" t="s">
        <v>4932</v>
      </c>
      <c r="AB182" s="60" t="s">
        <v>4933</v>
      </c>
      <c r="AC182" s="60" t="s">
        <v>4934</v>
      </c>
    </row>
    <row r="183">
      <c r="A183" s="59" t="s">
        <v>4935</v>
      </c>
      <c r="B183" s="60" t="s">
        <v>4936</v>
      </c>
      <c r="C183" s="61" t="s">
        <v>4937</v>
      </c>
      <c r="D183" s="60" t="s">
        <v>4938</v>
      </c>
      <c r="E183" s="60" t="s">
        <v>4939</v>
      </c>
      <c r="F183" s="60" t="s">
        <v>4940</v>
      </c>
      <c r="G183" s="60" t="s">
        <v>4941</v>
      </c>
      <c r="H183" s="60" t="s">
        <v>4942</v>
      </c>
      <c r="I183" s="60" t="s">
        <v>4943</v>
      </c>
      <c r="J183" s="60" t="s">
        <v>4944</v>
      </c>
      <c r="K183" s="60" t="s">
        <v>4945</v>
      </c>
      <c r="L183" s="60" t="s">
        <v>4946</v>
      </c>
      <c r="M183" s="60" t="s">
        <v>4947</v>
      </c>
      <c r="N183" s="60" t="s">
        <v>4948</v>
      </c>
      <c r="O183" s="60" t="s">
        <v>4949</v>
      </c>
      <c r="P183" s="60" t="s">
        <v>4950</v>
      </c>
      <c r="Q183" s="60" t="s">
        <v>4951</v>
      </c>
      <c r="R183" s="60" t="s">
        <v>4952</v>
      </c>
      <c r="S183" s="60" t="s">
        <v>4953</v>
      </c>
      <c r="T183" s="60" t="s">
        <v>4954</v>
      </c>
      <c r="U183" s="60" t="s">
        <v>4955</v>
      </c>
      <c r="V183" s="60" t="s">
        <v>4956</v>
      </c>
      <c r="W183" s="60" t="s">
        <v>4957</v>
      </c>
      <c r="X183" s="60" t="s">
        <v>4958</v>
      </c>
      <c r="Y183" s="60" t="s">
        <v>4959</v>
      </c>
      <c r="Z183" s="60" t="s">
        <v>4960</v>
      </c>
      <c r="AA183" s="60" t="s">
        <v>4961</v>
      </c>
      <c r="AB183" s="60" t="s">
        <v>4962</v>
      </c>
      <c r="AC183" s="60" t="s">
        <v>4963</v>
      </c>
    </row>
    <row r="184">
      <c r="A184" s="59" t="s">
        <v>4964</v>
      </c>
      <c r="B184" s="60" t="s">
        <v>4965</v>
      </c>
      <c r="C184" s="61" t="s">
        <v>4966</v>
      </c>
      <c r="D184" s="60" t="s">
        <v>4967</v>
      </c>
      <c r="E184" s="60" t="s">
        <v>4968</v>
      </c>
      <c r="F184" s="60" t="s">
        <v>4969</v>
      </c>
      <c r="G184" s="60" t="s">
        <v>4970</v>
      </c>
      <c r="H184" s="60" t="s">
        <v>4971</v>
      </c>
      <c r="I184" s="60" t="s">
        <v>4972</v>
      </c>
      <c r="J184" s="60" t="s">
        <v>4973</v>
      </c>
      <c r="K184" s="60" t="s">
        <v>4974</v>
      </c>
      <c r="L184" s="60" t="s">
        <v>4975</v>
      </c>
      <c r="M184" s="60" t="s">
        <v>4976</v>
      </c>
      <c r="N184" s="60" t="s">
        <v>4977</v>
      </c>
      <c r="O184" s="60" t="s">
        <v>4978</v>
      </c>
      <c r="P184" s="60" t="s">
        <v>4979</v>
      </c>
      <c r="Q184" s="60" t="s">
        <v>4980</v>
      </c>
      <c r="R184" s="60" t="s">
        <v>4981</v>
      </c>
      <c r="S184" s="60" t="s">
        <v>4982</v>
      </c>
      <c r="T184" s="60" t="s">
        <v>4983</v>
      </c>
      <c r="U184" s="60" t="s">
        <v>4984</v>
      </c>
      <c r="V184" s="60" t="s">
        <v>4985</v>
      </c>
      <c r="W184" s="60" t="s">
        <v>4986</v>
      </c>
      <c r="X184" s="60" t="s">
        <v>4987</v>
      </c>
      <c r="Y184" s="60" t="s">
        <v>4988</v>
      </c>
      <c r="Z184" s="60" t="s">
        <v>4989</v>
      </c>
      <c r="AA184" s="60" t="s">
        <v>4990</v>
      </c>
      <c r="AB184" s="60" t="s">
        <v>4991</v>
      </c>
      <c r="AC184" s="60" t="s">
        <v>4992</v>
      </c>
    </row>
    <row r="185">
      <c r="A185" s="59" t="s">
        <v>4993</v>
      </c>
      <c r="B185" s="60" t="s">
        <v>4994</v>
      </c>
      <c r="C185" s="61" t="s">
        <v>4995</v>
      </c>
      <c r="D185" s="60" t="s">
        <v>4996</v>
      </c>
      <c r="E185" s="60" t="s">
        <v>4997</v>
      </c>
      <c r="F185" s="60" t="s">
        <v>4998</v>
      </c>
      <c r="G185" s="60" t="s">
        <v>4999</v>
      </c>
      <c r="H185" s="60" t="s">
        <v>5000</v>
      </c>
      <c r="I185" s="60" t="s">
        <v>5001</v>
      </c>
      <c r="J185" s="60" t="s">
        <v>5002</v>
      </c>
      <c r="K185" s="60" t="s">
        <v>5003</v>
      </c>
      <c r="L185" s="60" t="s">
        <v>5004</v>
      </c>
      <c r="M185" s="60" t="s">
        <v>5005</v>
      </c>
      <c r="N185" s="60" t="s">
        <v>5006</v>
      </c>
      <c r="O185" s="60" t="s">
        <v>5007</v>
      </c>
      <c r="P185" s="60" t="s">
        <v>5008</v>
      </c>
      <c r="Q185" s="60" t="s">
        <v>5009</v>
      </c>
      <c r="R185" s="60" t="s">
        <v>5010</v>
      </c>
      <c r="S185" s="60" t="s">
        <v>5011</v>
      </c>
      <c r="T185" s="60" t="s">
        <v>5012</v>
      </c>
      <c r="U185" s="60" t="s">
        <v>5013</v>
      </c>
      <c r="V185" s="60" t="s">
        <v>5014</v>
      </c>
      <c r="W185" s="60" t="s">
        <v>5015</v>
      </c>
      <c r="X185" s="60" t="s">
        <v>5016</v>
      </c>
      <c r="Y185" s="60" t="s">
        <v>5017</v>
      </c>
      <c r="Z185" s="60" t="s">
        <v>5018</v>
      </c>
      <c r="AA185" s="60" t="s">
        <v>5019</v>
      </c>
      <c r="AB185" s="60" t="s">
        <v>5020</v>
      </c>
      <c r="AC185" s="60" t="s">
        <v>5021</v>
      </c>
    </row>
    <row r="186">
      <c r="A186" s="59" t="s">
        <v>5022</v>
      </c>
      <c r="B186" s="60" t="s">
        <v>5023</v>
      </c>
      <c r="C186" s="61" t="s">
        <v>5024</v>
      </c>
      <c r="D186" s="60" t="s">
        <v>5025</v>
      </c>
      <c r="E186" s="60" t="s">
        <v>5026</v>
      </c>
      <c r="F186" s="60" t="s">
        <v>5027</v>
      </c>
      <c r="G186" s="60" t="s">
        <v>5028</v>
      </c>
      <c r="H186" s="60" t="s">
        <v>5029</v>
      </c>
      <c r="I186" s="60" t="s">
        <v>5030</v>
      </c>
      <c r="J186" s="60" t="s">
        <v>5031</v>
      </c>
      <c r="K186" s="60" t="s">
        <v>5032</v>
      </c>
      <c r="L186" s="60" t="s">
        <v>5033</v>
      </c>
      <c r="M186" s="60" t="s">
        <v>5034</v>
      </c>
      <c r="N186" s="60" t="s">
        <v>5035</v>
      </c>
      <c r="O186" s="60" t="s">
        <v>5036</v>
      </c>
      <c r="P186" s="60" t="s">
        <v>5037</v>
      </c>
      <c r="Q186" s="60" t="s">
        <v>5038</v>
      </c>
      <c r="R186" s="60" t="s">
        <v>5039</v>
      </c>
      <c r="S186" s="60" t="s">
        <v>5040</v>
      </c>
      <c r="T186" s="60" t="s">
        <v>5041</v>
      </c>
      <c r="U186" s="60" t="s">
        <v>5042</v>
      </c>
      <c r="V186" s="60" t="s">
        <v>5043</v>
      </c>
      <c r="W186" s="60" t="s">
        <v>5044</v>
      </c>
      <c r="X186" s="60" t="s">
        <v>5045</v>
      </c>
      <c r="Y186" s="60" t="s">
        <v>5046</v>
      </c>
      <c r="Z186" s="60" t="s">
        <v>5047</v>
      </c>
      <c r="AA186" s="60" t="s">
        <v>5048</v>
      </c>
      <c r="AB186" s="60" t="s">
        <v>5049</v>
      </c>
      <c r="AC186" s="60" t="s">
        <v>5050</v>
      </c>
    </row>
    <row r="187">
      <c r="A187" s="59" t="s">
        <v>5051</v>
      </c>
      <c r="B187" s="60" t="s">
        <v>5052</v>
      </c>
      <c r="C187" s="61" t="s">
        <v>5053</v>
      </c>
      <c r="D187" s="60" t="s">
        <v>5054</v>
      </c>
      <c r="E187" s="60" t="s">
        <v>5055</v>
      </c>
      <c r="F187" s="60" t="s">
        <v>5056</v>
      </c>
      <c r="G187" s="60" t="s">
        <v>5057</v>
      </c>
      <c r="H187" s="60" t="s">
        <v>5058</v>
      </c>
      <c r="I187" s="60" t="s">
        <v>5059</v>
      </c>
      <c r="J187" s="60" t="s">
        <v>5060</v>
      </c>
      <c r="K187" s="60" t="s">
        <v>5061</v>
      </c>
      <c r="L187" s="60" t="s">
        <v>5062</v>
      </c>
      <c r="M187" s="60" t="s">
        <v>5063</v>
      </c>
      <c r="N187" s="60" t="s">
        <v>5064</v>
      </c>
      <c r="O187" s="60" t="s">
        <v>5065</v>
      </c>
      <c r="P187" s="60" t="s">
        <v>5066</v>
      </c>
      <c r="Q187" s="60" t="s">
        <v>5067</v>
      </c>
      <c r="R187" s="60" t="s">
        <v>5068</v>
      </c>
      <c r="S187" s="60" t="s">
        <v>5069</v>
      </c>
      <c r="T187" s="60" t="s">
        <v>5070</v>
      </c>
      <c r="U187" s="60" t="s">
        <v>5071</v>
      </c>
      <c r="V187" s="60" t="s">
        <v>5072</v>
      </c>
      <c r="W187" s="60" t="s">
        <v>5073</v>
      </c>
      <c r="X187" s="60" t="s">
        <v>5074</v>
      </c>
      <c r="Y187" s="60" t="s">
        <v>5075</v>
      </c>
      <c r="Z187" s="60" t="s">
        <v>5076</v>
      </c>
      <c r="AA187" s="60" t="s">
        <v>5077</v>
      </c>
      <c r="AB187" s="60" t="s">
        <v>5078</v>
      </c>
      <c r="AC187" s="60" t="s">
        <v>5079</v>
      </c>
    </row>
    <row r="188">
      <c r="A188" s="59" t="s">
        <v>5080</v>
      </c>
      <c r="B188" s="60" t="s">
        <v>5081</v>
      </c>
      <c r="C188" s="61" t="s">
        <v>5082</v>
      </c>
      <c r="D188" s="60" t="s">
        <v>5083</v>
      </c>
      <c r="E188" s="60" t="s">
        <v>5084</v>
      </c>
      <c r="F188" s="60" t="s">
        <v>5085</v>
      </c>
      <c r="G188" s="60" t="s">
        <v>5086</v>
      </c>
      <c r="H188" s="60" t="s">
        <v>5087</v>
      </c>
      <c r="I188" s="60" t="s">
        <v>5088</v>
      </c>
      <c r="J188" s="60" t="s">
        <v>5089</v>
      </c>
      <c r="K188" s="60" t="s">
        <v>5090</v>
      </c>
      <c r="L188" s="60" t="s">
        <v>5091</v>
      </c>
      <c r="M188" s="60" t="s">
        <v>5092</v>
      </c>
      <c r="N188" s="60" t="s">
        <v>5093</v>
      </c>
      <c r="O188" s="60" t="s">
        <v>5094</v>
      </c>
      <c r="P188" s="60" t="s">
        <v>5095</v>
      </c>
      <c r="Q188" s="60" t="s">
        <v>5096</v>
      </c>
      <c r="R188" s="60" t="s">
        <v>5097</v>
      </c>
      <c r="S188" s="60" t="s">
        <v>5098</v>
      </c>
      <c r="T188" s="60" t="s">
        <v>5099</v>
      </c>
      <c r="U188" s="60" t="s">
        <v>5100</v>
      </c>
      <c r="V188" s="60" t="s">
        <v>5101</v>
      </c>
      <c r="W188" s="60" t="s">
        <v>5102</v>
      </c>
      <c r="X188" s="60" t="s">
        <v>5103</v>
      </c>
      <c r="Y188" s="60" t="s">
        <v>5104</v>
      </c>
      <c r="Z188" s="60" t="s">
        <v>5105</v>
      </c>
      <c r="AA188" s="60" t="s">
        <v>5106</v>
      </c>
      <c r="AB188" s="60" t="s">
        <v>5107</v>
      </c>
      <c r="AC188" s="60" t="s">
        <v>5108</v>
      </c>
    </row>
    <row r="189">
      <c r="A189" s="59" t="s">
        <v>5109</v>
      </c>
      <c r="B189" s="60" t="s">
        <v>5110</v>
      </c>
      <c r="C189" s="61" t="s">
        <v>5111</v>
      </c>
      <c r="D189" s="60" t="s">
        <v>5112</v>
      </c>
      <c r="E189" s="60" t="s">
        <v>5113</v>
      </c>
      <c r="F189" s="60" t="s">
        <v>5114</v>
      </c>
      <c r="G189" s="60" t="s">
        <v>5115</v>
      </c>
      <c r="H189" s="60" t="s">
        <v>5116</v>
      </c>
      <c r="I189" s="60" t="s">
        <v>5117</v>
      </c>
      <c r="J189" s="60" t="s">
        <v>5118</v>
      </c>
      <c r="K189" s="60" t="s">
        <v>5119</v>
      </c>
      <c r="L189" s="60" t="s">
        <v>5120</v>
      </c>
      <c r="M189" s="60" t="s">
        <v>5121</v>
      </c>
      <c r="N189" s="60" t="s">
        <v>5122</v>
      </c>
      <c r="O189" s="60" t="s">
        <v>5123</v>
      </c>
      <c r="P189" s="60" t="s">
        <v>5124</v>
      </c>
      <c r="Q189" s="60" t="s">
        <v>5125</v>
      </c>
      <c r="R189" s="60" t="s">
        <v>5126</v>
      </c>
      <c r="S189" s="60" t="s">
        <v>5127</v>
      </c>
      <c r="T189" s="60" t="s">
        <v>5120</v>
      </c>
      <c r="U189" s="60" t="s">
        <v>5128</v>
      </c>
      <c r="V189" s="60" t="s">
        <v>5129</v>
      </c>
      <c r="W189" s="60" t="s">
        <v>5130</v>
      </c>
      <c r="X189" s="60" t="s">
        <v>5131</v>
      </c>
      <c r="Y189" s="60" t="s">
        <v>5132</v>
      </c>
      <c r="Z189" s="60" t="s">
        <v>5133</v>
      </c>
      <c r="AA189" s="60" t="s">
        <v>5134</v>
      </c>
      <c r="AB189" s="60" t="s">
        <v>5135</v>
      </c>
      <c r="AC189" s="60" t="s">
        <v>5136</v>
      </c>
    </row>
    <row r="190">
      <c r="A190" s="59" t="s">
        <v>3220</v>
      </c>
      <c r="B190" s="60" t="s">
        <v>3220</v>
      </c>
      <c r="C190" s="61" t="s">
        <v>3221</v>
      </c>
      <c r="D190" s="60" t="s">
        <v>3222</v>
      </c>
      <c r="E190" s="60" t="s">
        <v>3223</v>
      </c>
      <c r="F190" s="60" t="s">
        <v>3224</v>
      </c>
      <c r="G190" s="60" t="s">
        <v>3225</v>
      </c>
      <c r="H190" s="60" t="s">
        <v>3226</v>
      </c>
      <c r="I190" s="60" t="s">
        <v>3227</v>
      </c>
      <c r="J190" s="60" t="s">
        <v>3228</v>
      </c>
      <c r="K190" s="60" t="s">
        <v>3229</v>
      </c>
      <c r="L190" s="60" t="s">
        <v>3230</v>
      </c>
      <c r="M190" s="60" t="s">
        <v>3225</v>
      </c>
      <c r="N190" s="60" t="s">
        <v>3231</v>
      </c>
      <c r="O190" s="60" t="s">
        <v>3232</v>
      </c>
      <c r="P190" s="60" t="s">
        <v>3233</v>
      </c>
      <c r="Q190" s="60" t="s">
        <v>3234</v>
      </c>
      <c r="R190" s="60" t="s">
        <v>3235</v>
      </c>
      <c r="S190" s="60" t="s">
        <v>3236</v>
      </c>
      <c r="T190" s="60" t="s">
        <v>3237</v>
      </c>
      <c r="U190" s="60" t="s">
        <v>3238</v>
      </c>
      <c r="V190" s="60" t="s">
        <v>3239</v>
      </c>
      <c r="W190" s="60" t="s">
        <v>3225</v>
      </c>
      <c r="X190" s="60" t="s">
        <v>3240</v>
      </c>
      <c r="Y190" s="60" t="s">
        <v>3241</v>
      </c>
      <c r="Z190" s="60" t="s">
        <v>3237</v>
      </c>
      <c r="AA190" s="60" t="s">
        <v>3242</v>
      </c>
      <c r="AB190" s="60" t="s">
        <v>3243</v>
      </c>
      <c r="AC190" s="60" t="s">
        <v>3244</v>
      </c>
    </row>
    <row r="191">
      <c r="A191" s="59" t="s">
        <v>3191</v>
      </c>
      <c r="B191" s="60" t="s">
        <v>3191</v>
      </c>
      <c r="C191" s="61" t="s">
        <v>3192</v>
      </c>
      <c r="D191" s="60" t="s">
        <v>3193</v>
      </c>
      <c r="E191" s="60" t="s">
        <v>3194</v>
      </c>
      <c r="F191" s="60" t="s">
        <v>3195</v>
      </c>
      <c r="G191" s="60" t="s">
        <v>3196</v>
      </c>
      <c r="H191" s="60" t="s">
        <v>3197</v>
      </c>
      <c r="I191" s="60" t="s">
        <v>3198</v>
      </c>
      <c r="J191" s="60" t="s">
        <v>3199</v>
      </c>
      <c r="K191" s="60" t="s">
        <v>3200</v>
      </c>
      <c r="L191" s="60" t="s">
        <v>3201</v>
      </c>
      <c r="M191" s="60" t="s">
        <v>3202</v>
      </c>
      <c r="N191" s="60" t="s">
        <v>3203</v>
      </c>
      <c r="O191" s="60" t="s">
        <v>3204</v>
      </c>
      <c r="P191" s="60" t="s">
        <v>3205</v>
      </c>
      <c r="Q191" s="60" t="s">
        <v>3206</v>
      </c>
      <c r="R191" s="60" t="s">
        <v>3207</v>
      </c>
      <c r="S191" s="60" t="s">
        <v>3208</v>
      </c>
      <c r="T191" s="60" t="s">
        <v>3209</v>
      </c>
      <c r="U191" s="60" t="s">
        <v>3210</v>
      </c>
      <c r="V191" s="60" t="s">
        <v>3211</v>
      </c>
      <c r="W191" s="60" t="s">
        <v>3212</v>
      </c>
      <c r="X191" s="60" t="s">
        <v>3213</v>
      </c>
      <c r="Y191" s="60" t="s">
        <v>3214</v>
      </c>
      <c r="Z191" s="60" t="s">
        <v>3215</v>
      </c>
      <c r="AA191" s="60" t="s">
        <v>3216</v>
      </c>
      <c r="AB191" s="60" t="s">
        <v>3217</v>
      </c>
      <c r="AC191" s="60" t="s">
        <v>3218</v>
      </c>
    </row>
    <row r="192">
      <c r="A192" s="59" t="s">
        <v>5137</v>
      </c>
      <c r="B192" s="60" t="s">
        <v>5137</v>
      </c>
      <c r="C192" s="61" t="s">
        <v>5138</v>
      </c>
      <c r="D192" s="60" t="s">
        <v>5139</v>
      </c>
      <c r="E192" s="60" t="s">
        <v>5140</v>
      </c>
      <c r="F192" s="60" t="s">
        <v>5141</v>
      </c>
      <c r="G192" s="60" t="s">
        <v>5142</v>
      </c>
      <c r="H192" s="60" t="s">
        <v>5143</v>
      </c>
      <c r="I192" s="60" t="s">
        <v>5144</v>
      </c>
      <c r="J192" s="60" t="s">
        <v>5137</v>
      </c>
      <c r="K192" s="60" t="s">
        <v>5145</v>
      </c>
      <c r="L192" s="60" t="s">
        <v>5146</v>
      </c>
      <c r="M192" s="60" t="s">
        <v>5147</v>
      </c>
      <c r="N192" s="60" t="s">
        <v>5148</v>
      </c>
      <c r="O192" s="60" t="s">
        <v>5149</v>
      </c>
      <c r="P192" s="60" t="s">
        <v>5150</v>
      </c>
      <c r="Q192" s="60" t="s">
        <v>5151</v>
      </c>
      <c r="R192" s="60" t="s">
        <v>5152</v>
      </c>
      <c r="S192" s="60" t="s">
        <v>5153</v>
      </c>
      <c r="T192" s="60" t="s">
        <v>5154</v>
      </c>
      <c r="U192" s="60" t="s">
        <v>5140</v>
      </c>
      <c r="V192" s="60" t="s">
        <v>5147</v>
      </c>
      <c r="W192" s="60" t="s">
        <v>5147</v>
      </c>
      <c r="X192" s="60" t="s">
        <v>5155</v>
      </c>
      <c r="Y192" s="60" t="s">
        <v>5156</v>
      </c>
      <c r="Z192" s="60" t="s">
        <v>5157</v>
      </c>
      <c r="AA192" s="60" t="s">
        <v>5155</v>
      </c>
      <c r="AB192" s="60" t="s">
        <v>5158</v>
      </c>
      <c r="AC192" s="60" t="s">
        <v>5159</v>
      </c>
    </row>
    <row r="193">
      <c r="A193" s="59" t="s">
        <v>5160</v>
      </c>
      <c r="B193" s="60" t="s">
        <v>5160</v>
      </c>
      <c r="C193" s="61" t="s">
        <v>5161</v>
      </c>
      <c r="D193" s="60" t="s">
        <v>5162</v>
      </c>
      <c r="E193" s="60" t="s">
        <v>5163</v>
      </c>
      <c r="F193" s="60" t="s">
        <v>5164</v>
      </c>
      <c r="G193" s="60" t="s">
        <v>5165</v>
      </c>
      <c r="H193" s="60" t="s">
        <v>5166</v>
      </c>
      <c r="I193" s="60" t="s">
        <v>5167</v>
      </c>
      <c r="J193" s="60" t="s">
        <v>5168</v>
      </c>
      <c r="K193" s="60" t="s">
        <v>5169</v>
      </c>
      <c r="L193" s="60" t="s">
        <v>5170</v>
      </c>
      <c r="M193" s="60" t="s">
        <v>5171</v>
      </c>
      <c r="N193" s="60" t="s">
        <v>5172</v>
      </c>
      <c r="O193" s="60" t="s">
        <v>5173</v>
      </c>
      <c r="P193" s="60" t="s">
        <v>5174</v>
      </c>
      <c r="Q193" s="60" t="s">
        <v>5175</v>
      </c>
      <c r="R193" s="60" t="s">
        <v>5176</v>
      </c>
      <c r="S193" s="60" t="s">
        <v>5177</v>
      </c>
      <c r="T193" s="60" t="s">
        <v>5178</v>
      </c>
      <c r="U193" s="60" t="s">
        <v>5179</v>
      </c>
      <c r="V193" s="60" t="s">
        <v>5180</v>
      </c>
      <c r="W193" s="60" t="s">
        <v>5181</v>
      </c>
      <c r="X193" s="60" t="s">
        <v>5182</v>
      </c>
      <c r="Y193" s="60" t="s">
        <v>5183</v>
      </c>
      <c r="Z193" s="60" t="s">
        <v>5184</v>
      </c>
      <c r="AA193" s="60" t="s">
        <v>5185</v>
      </c>
      <c r="AB193" s="60" t="s">
        <v>5186</v>
      </c>
      <c r="AC193" s="60" t="s">
        <v>5187</v>
      </c>
    </row>
    <row r="194">
      <c r="A194" s="59" t="s">
        <v>1740</v>
      </c>
      <c r="B194" s="60" t="s">
        <v>1740</v>
      </c>
      <c r="C194" s="61" t="s">
        <v>1741</v>
      </c>
      <c r="D194" s="60" t="s">
        <v>1742</v>
      </c>
      <c r="E194" s="60" t="s">
        <v>1740</v>
      </c>
      <c r="F194" s="60" t="s">
        <v>1354</v>
      </c>
      <c r="G194" s="60" t="s">
        <v>1743</v>
      </c>
      <c r="H194" s="60" t="s">
        <v>1744</v>
      </c>
      <c r="I194" s="60" t="s">
        <v>1745</v>
      </c>
      <c r="J194" s="60" t="s">
        <v>1746</v>
      </c>
      <c r="K194" s="60" t="s">
        <v>1747</v>
      </c>
      <c r="L194" s="60" t="s">
        <v>1748</v>
      </c>
      <c r="M194" s="60" t="s">
        <v>1749</v>
      </c>
      <c r="N194" s="60" t="s">
        <v>1750</v>
      </c>
      <c r="O194" s="60" t="s">
        <v>1751</v>
      </c>
      <c r="P194" s="60" t="s">
        <v>1752</v>
      </c>
      <c r="Q194" s="60" t="s">
        <v>1365</v>
      </c>
      <c r="R194" s="60" t="s">
        <v>1753</v>
      </c>
      <c r="S194" s="60" t="s">
        <v>1754</v>
      </c>
      <c r="T194" s="60" t="s">
        <v>1748</v>
      </c>
      <c r="U194" s="60" t="s">
        <v>1755</v>
      </c>
      <c r="V194" s="60" t="s">
        <v>1756</v>
      </c>
      <c r="W194" s="60" t="s">
        <v>1749</v>
      </c>
      <c r="X194" s="60" t="s">
        <v>1372</v>
      </c>
      <c r="Y194" s="60" t="s">
        <v>1757</v>
      </c>
      <c r="Z194" s="60" t="s">
        <v>1758</v>
      </c>
      <c r="AA194" s="60" t="s">
        <v>1759</v>
      </c>
      <c r="AB194" s="60" t="s">
        <v>1760</v>
      </c>
      <c r="AC194" s="60" t="s">
        <v>1377</v>
      </c>
    </row>
    <row r="195">
      <c r="A195" s="59" t="s">
        <v>5188</v>
      </c>
      <c r="B195" s="60" t="s">
        <v>5189</v>
      </c>
      <c r="C195" s="61" t="s">
        <v>5190</v>
      </c>
      <c r="D195" s="60" t="s">
        <v>5191</v>
      </c>
      <c r="E195" s="60" t="s">
        <v>5192</v>
      </c>
      <c r="F195" s="60" t="s">
        <v>5193</v>
      </c>
      <c r="G195" s="60" t="s">
        <v>5194</v>
      </c>
      <c r="H195" s="60" t="s">
        <v>5195</v>
      </c>
      <c r="I195" s="60" t="s">
        <v>5196</v>
      </c>
      <c r="J195" s="60" t="s">
        <v>5197</v>
      </c>
      <c r="K195" s="60" t="s">
        <v>5198</v>
      </c>
      <c r="L195" s="60" t="s">
        <v>5199</v>
      </c>
      <c r="M195" s="60" t="s">
        <v>5200</v>
      </c>
      <c r="N195" s="60" t="s">
        <v>5201</v>
      </c>
      <c r="O195" s="60" t="s">
        <v>5202</v>
      </c>
      <c r="P195" s="60" t="s">
        <v>5203</v>
      </c>
      <c r="Q195" s="60" t="s">
        <v>5204</v>
      </c>
      <c r="R195" s="60" t="s">
        <v>5205</v>
      </c>
      <c r="S195" s="60" t="s">
        <v>5206</v>
      </c>
      <c r="T195" s="60" t="s">
        <v>5207</v>
      </c>
      <c r="U195" s="60" t="s">
        <v>5208</v>
      </c>
      <c r="V195" s="60" t="s">
        <v>5209</v>
      </c>
      <c r="W195" s="60" t="s">
        <v>5210</v>
      </c>
      <c r="X195" s="60" t="s">
        <v>5211</v>
      </c>
      <c r="Y195" s="60" t="s">
        <v>5212</v>
      </c>
      <c r="Z195" s="60" t="s">
        <v>5213</v>
      </c>
      <c r="AA195" s="60" t="s">
        <v>5214</v>
      </c>
      <c r="AB195" s="60" t="s">
        <v>5215</v>
      </c>
      <c r="AC195" s="60" t="s">
        <v>5216</v>
      </c>
    </row>
    <row r="196">
      <c r="A196" s="59" t="s">
        <v>5217</v>
      </c>
      <c r="B196" s="60" t="s">
        <v>5218</v>
      </c>
      <c r="C196" s="61" t="s">
        <v>5219</v>
      </c>
      <c r="D196" s="60" t="s">
        <v>5220</v>
      </c>
      <c r="E196" s="60" t="s">
        <v>5221</v>
      </c>
      <c r="F196" s="60" t="s">
        <v>5222</v>
      </c>
      <c r="G196" s="60" t="s">
        <v>5223</v>
      </c>
      <c r="H196" s="60" t="s">
        <v>5224</v>
      </c>
      <c r="I196" s="60" t="s">
        <v>5225</v>
      </c>
      <c r="J196" s="60" t="s">
        <v>5226</v>
      </c>
      <c r="K196" s="60" t="s">
        <v>5227</v>
      </c>
      <c r="L196" s="60" t="s">
        <v>5228</v>
      </c>
      <c r="M196" s="60" t="s">
        <v>5229</v>
      </c>
      <c r="N196" s="60" t="s">
        <v>5230</v>
      </c>
      <c r="O196" s="60" t="s">
        <v>5231</v>
      </c>
      <c r="P196" s="60" t="s">
        <v>5232</v>
      </c>
      <c r="Q196" s="60" t="s">
        <v>5233</v>
      </c>
      <c r="R196" s="60" t="s">
        <v>5234</v>
      </c>
      <c r="S196" s="60" t="s">
        <v>5235</v>
      </c>
      <c r="T196" s="60" t="s">
        <v>5236</v>
      </c>
      <c r="U196" s="60" t="s">
        <v>5237</v>
      </c>
      <c r="V196" s="60" t="s">
        <v>5238</v>
      </c>
      <c r="W196" s="60" t="s">
        <v>5239</v>
      </c>
      <c r="X196" s="60" t="s">
        <v>5240</v>
      </c>
      <c r="Y196" s="60" t="s">
        <v>5241</v>
      </c>
      <c r="Z196" s="60" t="s">
        <v>5242</v>
      </c>
      <c r="AA196" s="60" t="s">
        <v>5243</v>
      </c>
      <c r="AB196" s="60" t="s">
        <v>5244</v>
      </c>
      <c r="AC196" s="60" t="s">
        <v>5245</v>
      </c>
    </row>
    <row r="197">
      <c r="A197" s="59" t="s">
        <v>5246</v>
      </c>
      <c r="B197" s="60" t="s">
        <v>5247</v>
      </c>
      <c r="C197" s="61" t="s">
        <v>5248</v>
      </c>
      <c r="D197" s="60" t="s">
        <v>5249</v>
      </c>
      <c r="E197" s="60" t="s">
        <v>5250</v>
      </c>
      <c r="F197" s="60" t="s">
        <v>5251</v>
      </c>
      <c r="G197" s="60" t="s">
        <v>5252</v>
      </c>
      <c r="H197" s="60" t="s">
        <v>5253</v>
      </c>
      <c r="I197" s="60" t="s">
        <v>5254</v>
      </c>
      <c r="J197" s="60" t="s">
        <v>5255</v>
      </c>
      <c r="K197" s="60" t="s">
        <v>5256</v>
      </c>
      <c r="L197" s="60" t="s">
        <v>5257</v>
      </c>
      <c r="M197" s="60" t="s">
        <v>5258</v>
      </c>
      <c r="N197" s="60" t="s">
        <v>5259</v>
      </c>
      <c r="O197" s="60" t="s">
        <v>5260</v>
      </c>
      <c r="P197" s="60" t="s">
        <v>5261</v>
      </c>
      <c r="Q197" s="60" t="s">
        <v>5262</v>
      </c>
      <c r="R197" s="60" t="s">
        <v>5263</v>
      </c>
      <c r="S197" s="60" t="s">
        <v>5264</v>
      </c>
      <c r="T197" s="60" t="s">
        <v>5265</v>
      </c>
      <c r="U197" s="60" t="s">
        <v>5266</v>
      </c>
      <c r="V197" s="60" t="s">
        <v>5267</v>
      </c>
      <c r="W197" s="60" t="s">
        <v>5268</v>
      </c>
      <c r="X197" s="60" t="s">
        <v>5269</v>
      </c>
      <c r="Y197" s="60" t="s">
        <v>5270</v>
      </c>
      <c r="Z197" s="60" t="s">
        <v>5271</v>
      </c>
      <c r="AA197" s="60" t="s">
        <v>5272</v>
      </c>
      <c r="AB197" s="60" t="s">
        <v>5273</v>
      </c>
      <c r="AC197" s="60" t="s">
        <v>5274</v>
      </c>
    </row>
    <row r="198">
      <c r="A198" s="59" t="s">
        <v>5275</v>
      </c>
      <c r="B198" s="60" t="s">
        <v>5276</v>
      </c>
      <c r="C198" s="61" t="s">
        <v>5277</v>
      </c>
      <c r="D198" s="60" t="s">
        <v>5278</v>
      </c>
      <c r="E198" s="60" t="s">
        <v>5279</v>
      </c>
      <c r="F198" s="60" t="s">
        <v>5280</v>
      </c>
      <c r="G198" s="60" t="s">
        <v>5281</v>
      </c>
      <c r="H198" s="60" t="s">
        <v>5282</v>
      </c>
      <c r="I198" s="60" t="s">
        <v>5283</v>
      </c>
      <c r="J198" s="60" t="s">
        <v>5284</v>
      </c>
      <c r="K198" s="60" t="s">
        <v>5285</v>
      </c>
      <c r="L198" s="60" t="s">
        <v>5286</v>
      </c>
      <c r="M198" s="60" t="s">
        <v>5287</v>
      </c>
      <c r="N198" s="60" t="s">
        <v>5288</v>
      </c>
      <c r="O198" s="60" t="s">
        <v>5289</v>
      </c>
      <c r="P198" s="60" t="s">
        <v>5290</v>
      </c>
      <c r="Q198" s="60" t="s">
        <v>5291</v>
      </c>
      <c r="R198" s="60" t="s">
        <v>5292</v>
      </c>
      <c r="S198" s="60" t="s">
        <v>5293</v>
      </c>
      <c r="T198" s="60" t="s">
        <v>5294</v>
      </c>
      <c r="U198" s="60" t="s">
        <v>5295</v>
      </c>
      <c r="V198" s="60" t="s">
        <v>5296</v>
      </c>
      <c r="W198" s="60" t="s">
        <v>5297</v>
      </c>
      <c r="X198" s="60" t="s">
        <v>5298</v>
      </c>
      <c r="Y198" s="60" t="s">
        <v>5299</v>
      </c>
      <c r="Z198" s="60" t="s">
        <v>5300</v>
      </c>
      <c r="AA198" s="60" t="s">
        <v>5301</v>
      </c>
      <c r="AB198" s="60" t="s">
        <v>5302</v>
      </c>
      <c r="AC198" s="60" t="s">
        <v>5303</v>
      </c>
    </row>
    <row r="199">
      <c r="A199" s="59" t="s">
        <v>5304</v>
      </c>
      <c r="B199" s="60" t="s">
        <v>5305</v>
      </c>
      <c r="C199" s="61" t="s">
        <v>5306</v>
      </c>
      <c r="D199" s="60" t="s">
        <v>5307</v>
      </c>
      <c r="E199" s="60" t="s">
        <v>5308</v>
      </c>
      <c r="F199" s="60" t="s">
        <v>5309</v>
      </c>
      <c r="G199" s="60" t="s">
        <v>5310</v>
      </c>
      <c r="H199" s="60" t="s">
        <v>5311</v>
      </c>
      <c r="I199" s="60" t="s">
        <v>5312</v>
      </c>
      <c r="J199" s="60" t="s">
        <v>5313</v>
      </c>
      <c r="K199" s="60" t="s">
        <v>5314</v>
      </c>
      <c r="L199" s="60" t="s">
        <v>5315</v>
      </c>
      <c r="M199" s="60" t="s">
        <v>5316</v>
      </c>
      <c r="N199" s="60" t="s">
        <v>5317</v>
      </c>
      <c r="O199" s="60" t="s">
        <v>5318</v>
      </c>
      <c r="P199" s="60" t="s">
        <v>5319</v>
      </c>
      <c r="Q199" s="60" t="s">
        <v>5320</v>
      </c>
      <c r="R199" s="60" t="s">
        <v>5321</v>
      </c>
      <c r="S199" s="60" t="s">
        <v>5322</v>
      </c>
      <c r="T199" s="60" t="s">
        <v>5323</v>
      </c>
      <c r="U199" s="60" t="s">
        <v>5324</v>
      </c>
      <c r="V199" s="60" t="s">
        <v>5325</v>
      </c>
      <c r="W199" s="60" t="s">
        <v>5326</v>
      </c>
      <c r="X199" s="60" t="s">
        <v>5327</v>
      </c>
      <c r="Y199" s="60" t="s">
        <v>5328</v>
      </c>
      <c r="Z199" s="60" t="s">
        <v>5329</v>
      </c>
      <c r="AA199" s="60" t="s">
        <v>5330</v>
      </c>
      <c r="AB199" s="60" t="s">
        <v>5331</v>
      </c>
      <c r="AC199" s="60" t="s">
        <v>5332</v>
      </c>
    </row>
    <row r="200">
      <c r="A200" s="59" t="s">
        <v>5333</v>
      </c>
      <c r="B200" s="60" t="s">
        <v>5334</v>
      </c>
      <c r="C200" s="61" t="s">
        <v>5335</v>
      </c>
      <c r="D200" s="60" t="s">
        <v>5336</v>
      </c>
      <c r="E200" s="60" t="s">
        <v>5337</v>
      </c>
      <c r="F200" s="60" t="s">
        <v>5338</v>
      </c>
      <c r="G200" s="60" t="s">
        <v>5339</v>
      </c>
      <c r="H200" s="60" t="s">
        <v>5340</v>
      </c>
      <c r="I200" s="60" t="s">
        <v>5341</v>
      </c>
      <c r="J200" s="60" t="s">
        <v>5342</v>
      </c>
      <c r="K200" s="60" t="s">
        <v>5343</v>
      </c>
      <c r="L200" s="60" t="s">
        <v>5344</v>
      </c>
      <c r="M200" s="60" t="s">
        <v>5345</v>
      </c>
      <c r="N200" s="60" t="s">
        <v>5346</v>
      </c>
      <c r="O200" s="60" t="s">
        <v>5347</v>
      </c>
      <c r="P200" s="60" t="s">
        <v>5348</v>
      </c>
      <c r="Q200" s="60" t="s">
        <v>5349</v>
      </c>
      <c r="R200" s="60" t="s">
        <v>5350</v>
      </c>
      <c r="S200" s="60" t="s">
        <v>5351</v>
      </c>
      <c r="T200" s="60" t="s">
        <v>5352</v>
      </c>
      <c r="U200" s="60" t="s">
        <v>5353</v>
      </c>
      <c r="V200" s="60" t="s">
        <v>5354</v>
      </c>
      <c r="W200" s="60" t="s">
        <v>5355</v>
      </c>
      <c r="X200" s="60" t="s">
        <v>5356</v>
      </c>
      <c r="Y200" s="60" t="s">
        <v>5357</v>
      </c>
      <c r="Z200" s="60" t="s">
        <v>5358</v>
      </c>
      <c r="AA200" s="60" t="s">
        <v>5359</v>
      </c>
      <c r="AB200" s="60" t="s">
        <v>5360</v>
      </c>
      <c r="AC200" s="60" t="s">
        <v>5361</v>
      </c>
    </row>
    <row r="201">
      <c r="A201" s="59" t="s">
        <v>5362</v>
      </c>
      <c r="B201" s="60" t="s">
        <v>5363</v>
      </c>
      <c r="C201" s="61" t="s">
        <v>5364</v>
      </c>
      <c r="D201" s="60" t="s">
        <v>5365</v>
      </c>
      <c r="E201" s="60" t="s">
        <v>5366</v>
      </c>
      <c r="F201" s="60" t="s">
        <v>5367</v>
      </c>
      <c r="G201" s="60" t="s">
        <v>5368</v>
      </c>
      <c r="H201" s="60" t="s">
        <v>5369</v>
      </c>
      <c r="I201" s="60" t="s">
        <v>5370</v>
      </c>
      <c r="J201" s="60" t="s">
        <v>5371</v>
      </c>
      <c r="K201" s="60" t="s">
        <v>5372</v>
      </c>
      <c r="L201" s="60" t="s">
        <v>5373</v>
      </c>
      <c r="M201" s="60" t="s">
        <v>5374</v>
      </c>
      <c r="N201" s="60" t="s">
        <v>5375</v>
      </c>
      <c r="O201" s="60" t="s">
        <v>5376</v>
      </c>
      <c r="P201" s="60" t="s">
        <v>5377</v>
      </c>
      <c r="Q201" s="60" t="s">
        <v>5378</v>
      </c>
      <c r="R201" s="60" t="s">
        <v>5379</v>
      </c>
      <c r="S201" s="60" t="s">
        <v>5380</v>
      </c>
      <c r="T201" s="60" t="s">
        <v>5381</v>
      </c>
      <c r="U201" s="60" t="s">
        <v>5382</v>
      </c>
      <c r="V201" s="60" t="s">
        <v>5383</v>
      </c>
      <c r="W201" s="60" t="s">
        <v>5384</v>
      </c>
      <c r="X201" s="60" t="s">
        <v>5385</v>
      </c>
      <c r="Y201" s="60" t="s">
        <v>5386</v>
      </c>
      <c r="Z201" s="60" t="s">
        <v>5387</v>
      </c>
      <c r="AA201" s="60" t="s">
        <v>5388</v>
      </c>
      <c r="AB201" s="60" t="s">
        <v>5389</v>
      </c>
      <c r="AC201" s="60" t="s">
        <v>5390</v>
      </c>
    </row>
    <row r="202">
      <c r="A202" s="59" t="s">
        <v>5391</v>
      </c>
      <c r="B202" s="60" t="s">
        <v>5392</v>
      </c>
      <c r="C202" s="61" t="s">
        <v>5393</v>
      </c>
      <c r="D202" s="60" t="s">
        <v>5394</v>
      </c>
      <c r="E202" s="60" t="s">
        <v>5395</v>
      </c>
      <c r="F202" s="60" t="s">
        <v>5396</v>
      </c>
      <c r="G202" s="60" t="s">
        <v>5397</v>
      </c>
      <c r="H202" s="60" t="s">
        <v>5398</v>
      </c>
      <c r="I202" s="60" t="s">
        <v>5399</v>
      </c>
      <c r="J202" s="60" t="s">
        <v>5400</v>
      </c>
      <c r="K202" s="60" t="s">
        <v>5401</v>
      </c>
      <c r="L202" s="60" t="s">
        <v>5402</v>
      </c>
      <c r="M202" s="60" t="s">
        <v>5403</v>
      </c>
      <c r="N202" s="60" t="s">
        <v>5404</v>
      </c>
      <c r="O202" s="60" t="s">
        <v>5405</v>
      </c>
      <c r="P202" s="60" t="s">
        <v>5406</v>
      </c>
      <c r="Q202" s="60" t="s">
        <v>5407</v>
      </c>
      <c r="R202" s="60" t="s">
        <v>5408</v>
      </c>
      <c r="S202" s="60" t="s">
        <v>5409</v>
      </c>
      <c r="T202" s="60" t="s">
        <v>5410</v>
      </c>
      <c r="U202" s="60" t="s">
        <v>5411</v>
      </c>
      <c r="V202" s="60" t="s">
        <v>5412</v>
      </c>
      <c r="W202" s="60" t="s">
        <v>5413</v>
      </c>
      <c r="X202" s="60" t="s">
        <v>5414</v>
      </c>
      <c r="Y202" s="60" t="s">
        <v>5415</v>
      </c>
      <c r="Z202" s="60" t="s">
        <v>5416</v>
      </c>
      <c r="AA202" s="60" t="s">
        <v>5417</v>
      </c>
      <c r="AB202" s="60" t="s">
        <v>5418</v>
      </c>
      <c r="AC202" s="60" t="s">
        <v>5419</v>
      </c>
    </row>
    <row r="203">
      <c r="A203" s="59" t="s">
        <v>5420</v>
      </c>
      <c r="B203" s="60" t="s">
        <v>5421</v>
      </c>
      <c r="C203" s="61" t="s">
        <v>5422</v>
      </c>
      <c r="D203" s="60" t="s">
        <v>5423</v>
      </c>
      <c r="E203" s="60" t="s">
        <v>5424</v>
      </c>
      <c r="F203" s="60" t="s">
        <v>5425</v>
      </c>
      <c r="G203" s="60" t="s">
        <v>5426</v>
      </c>
      <c r="H203" s="60" t="s">
        <v>5427</v>
      </c>
      <c r="I203" s="60" t="s">
        <v>5428</v>
      </c>
      <c r="J203" s="60" t="s">
        <v>5429</v>
      </c>
      <c r="K203" s="60" t="s">
        <v>5430</v>
      </c>
      <c r="L203" s="60" t="s">
        <v>5431</v>
      </c>
      <c r="M203" s="60" t="s">
        <v>5432</v>
      </c>
      <c r="N203" s="60" t="s">
        <v>5433</v>
      </c>
      <c r="O203" s="60" t="s">
        <v>5434</v>
      </c>
      <c r="P203" s="60" t="s">
        <v>5435</v>
      </c>
      <c r="Q203" s="60" t="s">
        <v>5436</v>
      </c>
      <c r="R203" s="60" t="s">
        <v>5437</v>
      </c>
      <c r="S203" s="60" t="s">
        <v>5438</v>
      </c>
      <c r="T203" s="60" t="s">
        <v>5439</v>
      </c>
      <c r="U203" s="60" t="s">
        <v>5440</v>
      </c>
      <c r="V203" s="60" t="s">
        <v>5441</v>
      </c>
      <c r="W203" s="60" t="s">
        <v>5442</v>
      </c>
      <c r="X203" s="60" t="s">
        <v>5443</v>
      </c>
      <c r="Y203" s="60" t="s">
        <v>5444</v>
      </c>
      <c r="Z203" s="60" t="s">
        <v>5445</v>
      </c>
      <c r="AA203" s="60" t="s">
        <v>5446</v>
      </c>
      <c r="AB203" s="60" t="s">
        <v>5447</v>
      </c>
      <c r="AC203" s="60" t="s">
        <v>5448</v>
      </c>
    </row>
    <row r="204">
      <c r="A204" s="59" t="s">
        <v>5449</v>
      </c>
      <c r="B204" s="60" t="s">
        <v>5449</v>
      </c>
      <c r="C204" s="61" t="s">
        <v>5450</v>
      </c>
      <c r="D204" s="60" t="s">
        <v>5451</v>
      </c>
      <c r="E204" s="60" t="s">
        <v>5452</v>
      </c>
      <c r="F204" s="60" t="s">
        <v>5453</v>
      </c>
      <c r="G204" s="60" t="s">
        <v>5454</v>
      </c>
      <c r="H204" s="60" t="s">
        <v>5455</v>
      </c>
      <c r="I204" s="60" t="s">
        <v>5456</v>
      </c>
      <c r="J204" s="60" t="s">
        <v>5457</v>
      </c>
      <c r="K204" s="60" t="s">
        <v>5458</v>
      </c>
      <c r="L204" s="60" t="s">
        <v>5459</v>
      </c>
      <c r="M204" s="60" t="s">
        <v>5460</v>
      </c>
      <c r="N204" s="60" t="s">
        <v>5461</v>
      </c>
      <c r="O204" s="60" t="s">
        <v>5462</v>
      </c>
      <c r="P204" s="60" t="s">
        <v>5463</v>
      </c>
      <c r="Q204" s="60" t="s">
        <v>5464</v>
      </c>
      <c r="R204" s="60" t="s">
        <v>5465</v>
      </c>
      <c r="S204" s="60" t="s">
        <v>5466</v>
      </c>
      <c r="T204" s="60" t="s">
        <v>5467</v>
      </c>
      <c r="U204" s="60" t="s">
        <v>5468</v>
      </c>
      <c r="V204" s="60" t="s">
        <v>5469</v>
      </c>
      <c r="W204" s="60" t="s">
        <v>5470</v>
      </c>
      <c r="X204" s="60" t="s">
        <v>5471</v>
      </c>
      <c r="Y204" s="60" t="s">
        <v>5472</v>
      </c>
      <c r="Z204" s="60" t="s">
        <v>5473</v>
      </c>
      <c r="AA204" s="60" t="s">
        <v>5474</v>
      </c>
      <c r="AB204" s="60" t="s">
        <v>5475</v>
      </c>
      <c r="AC204" s="60" t="s">
        <v>5476</v>
      </c>
    </row>
    <row r="205">
      <c r="A205" s="59" t="s">
        <v>5477</v>
      </c>
      <c r="B205" s="60" t="s">
        <v>5477</v>
      </c>
      <c r="C205" s="61" t="s">
        <v>5478</v>
      </c>
      <c r="D205" s="60" t="s">
        <v>5479</v>
      </c>
      <c r="E205" s="60" t="s">
        <v>5480</v>
      </c>
      <c r="F205" s="60" t="s">
        <v>5481</v>
      </c>
      <c r="G205" s="60" t="s">
        <v>5482</v>
      </c>
      <c r="H205" s="60" t="s">
        <v>5483</v>
      </c>
      <c r="I205" s="60" t="s">
        <v>5484</v>
      </c>
      <c r="J205" s="60" t="s">
        <v>5485</v>
      </c>
      <c r="K205" s="60" t="s">
        <v>5486</v>
      </c>
      <c r="L205" s="60" t="s">
        <v>5477</v>
      </c>
      <c r="M205" s="60" t="s">
        <v>5477</v>
      </c>
      <c r="N205" s="60" t="s">
        <v>5487</v>
      </c>
      <c r="O205" s="60" t="s">
        <v>5488</v>
      </c>
      <c r="P205" s="60" t="s">
        <v>5489</v>
      </c>
      <c r="Q205" s="60" t="s">
        <v>5490</v>
      </c>
      <c r="R205" s="60" t="s">
        <v>5491</v>
      </c>
      <c r="S205" s="60" t="s">
        <v>5492</v>
      </c>
      <c r="T205" s="60" t="s">
        <v>5477</v>
      </c>
      <c r="U205" s="60" t="s">
        <v>5493</v>
      </c>
      <c r="V205" s="60" t="s">
        <v>5494</v>
      </c>
      <c r="W205" s="60" t="s">
        <v>5495</v>
      </c>
      <c r="X205" s="60" t="s">
        <v>5496</v>
      </c>
      <c r="Y205" s="60" t="s">
        <v>5497</v>
      </c>
      <c r="Z205" s="60" t="s">
        <v>5498</v>
      </c>
      <c r="AA205" s="60" t="s">
        <v>5499</v>
      </c>
      <c r="AB205" s="60" t="s">
        <v>5500</v>
      </c>
      <c r="AC205" s="60" t="s">
        <v>5501</v>
      </c>
    </row>
    <row r="206">
      <c r="A206" s="59" t="s">
        <v>5502</v>
      </c>
      <c r="B206" s="60" t="s">
        <v>5502</v>
      </c>
      <c r="C206" s="61" t="s">
        <v>5503</v>
      </c>
      <c r="D206" s="60" t="s">
        <v>5504</v>
      </c>
      <c r="E206" s="60" t="s">
        <v>5505</v>
      </c>
      <c r="F206" s="60" t="s">
        <v>5506</v>
      </c>
      <c r="G206" s="60" t="s">
        <v>5507</v>
      </c>
      <c r="H206" s="60" t="s">
        <v>5508</v>
      </c>
      <c r="I206" s="60" t="s">
        <v>5509</v>
      </c>
      <c r="J206" s="60" t="s">
        <v>5510</v>
      </c>
      <c r="K206" s="60" t="s">
        <v>5511</v>
      </c>
      <c r="L206" s="60" t="s">
        <v>5512</v>
      </c>
      <c r="M206" s="60" t="s">
        <v>5513</v>
      </c>
      <c r="N206" s="60" t="s">
        <v>5514</v>
      </c>
      <c r="O206" s="60" t="s">
        <v>5515</v>
      </c>
      <c r="P206" s="60" t="s">
        <v>5516</v>
      </c>
      <c r="Q206" s="60" t="s">
        <v>5517</v>
      </c>
      <c r="R206" s="60" t="s">
        <v>5518</v>
      </c>
      <c r="S206" s="60" t="s">
        <v>5519</v>
      </c>
      <c r="T206" s="60" t="s">
        <v>5520</v>
      </c>
      <c r="U206" s="60" t="s">
        <v>5521</v>
      </c>
      <c r="V206" s="60" t="s">
        <v>5522</v>
      </c>
      <c r="W206" s="60" t="s">
        <v>5507</v>
      </c>
      <c r="X206" s="60" t="s">
        <v>5523</v>
      </c>
      <c r="Y206" s="60" t="s">
        <v>5524</v>
      </c>
      <c r="Z206" s="60" t="s">
        <v>5525</v>
      </c>
      <c r="AA206" s="60" t="s">
        <v>5526</v>
      </c>
      <c r="AB206" s="60" t="s">
        <v>5527</v>
      </c>
      <c r="AC206" s="60" t="s">
        <v>5528</v>
      </c>
    </row>
    <row r="207">
      <c r="A207" s="59" t="s">
        <v>5529</v>
      </c>
      <c r="B207" s="60" t="s">
        <v>5530</v>
      </c>
      <c r="C207" s="61" t="s">
        <v>5531</v>
      </c>
      <c r="D207" s="60" t="s">
        <v>5532</v>
      </c>
      <c r="E207" s="60" t="s">
        <v>5533</v>
      </c>
      <c r="F207" s="60" t="s">
        <v>5534</v>
      </c>
      <c r="G207" s="60" t="s">
        <v>5535</v>
      </c>
      <c r="H207" s="60" t="s">
        <v>5536</v>
      </c>
      <c r="I207" s="60" t="s">
        <v>5537</v>
      </c>
      <c r="J207" s="60" t="s">
        <v>5538</v>
      </c>
      <c r="K207" s="60" t="s">
        <v>5539</v>
      </c>
      <c r="L207" s="60" t="s">
        <v>5540</v>
      </c>
      <c r="M207" s="60" t="s">
        <v>5541</v>
      </c>
      <c r="N207" s="60" t="s">
        <v>5542</v>
      </c>
      <c r="O207" s="60" t="s">
        <v>5543</v>
      </c>
      <c r="P207" s="60" t="s">
        <v>5544</v>
      </c>
      <c r="Q207" s="60" t="s">
        <v>5545</v>
      </c>
      <c r="R207" s="60" t="s">
        <v>5546</v>
      </c>
      <c r="S207" s="60" t="s">
        <v>5547</v>
      </c>
      <c r="T207" s="60" t="s">
        <v>5548</v>
      </c>
      <c r="U207" s="60" t="s">
        <v>5549</v>
      </c>
      <c r="V207" s="60" t="s">
        <v>5550</v>
      </c>
      <c r="W207" s="60" t="s">
        <v>5551</v>
      </c>
      <c r="X207" s="60" t="s">
        <v>5552</v>
      </c>
      <c r="Y207" s="60" t="s">
        <v>5553</v>
      </c>
      <c r="Z207" s="60" t="s">
        <v>5554</v>
      </c>
      <c r="AA207" s="60" t="s">
        <v>5555</v>
      </c>
      <c r="AB207" s="60" t="s">
        <v>5556</v>
      </c>
      <c r="AC207" s="60" t="s">
        <v>5557</v>
      </c>
    </row>
    <row r="208">
      <c r="A208" s="59" t="s">
        <v>5558</v>
      </c>
      <c r="B208" s="60" t="s">
        <v>5559</v>
      </c>
      <c r="C208" s="61" t="s">
        <v>5560</v>
      </c>
      <c r="D208" s="60" t="s">
        <v>5561</v>
      </c>
      <c r="E208" s="60" t="s">
        <v>5562</v>
      </c>
      <c r="F208" s="60" t="s">
        <v>5563</v>
      </c>
      <c r="G208" s="60" t="s">
        <v>5564</v>
      </c>
      <c r="H208" s="60" t="s">
        <v>5565</v>
      </c>
      <c r="I208" s="60" t="s">
        <v>5566</v>
      </c>
      <c r="J208" s="60" t="s">
        <v>5567</v>
      </c>
      <c r="K208" s="60" t="s">
        <v>5568</v>
      </c>
      <c r="L208" s="60" t="s">
        <v>5569</v>
      </c>
      <c r="M208" s="60" t="s">
        <v>5570</v>
      </c>
      <c r="N208" s="60" t="s">
        <v>5571</v>
      </c>
      <c r="O208" s="60" t="s">
        <v>5572</v>
      </c>
      <c r="P208" s="60" t="s">
        <v>5573</v>
      </c>
      <c r="Q208" s="60" t="s">
        <v>5574</v>
      </c>
      <c r="R208" s="60" t="s">
        <v>5575</v>
      </c>
      <c r="S208" s="60" t="s">
        <v>5576</v>
      </c>
      <c r="T208" s="60" t="s">
        <v>5577</v>
      </c>
      <c r="U208" s="60" t="s">
        <v>5578</v>
      </c>
      <c r="V208" s="60" t="s">
        <v>5579</v>
      </c>
      <c r="W208" s="60" t="s">
        <v>5580</v>
      </c>
      <c r="X208" s="60" t="s">
        <v>5581</v>
      </c>
      <c r="Y208" s="60" t="s">
        <v>5582</v>
      </c>
      <c r="Z208" s="60" t="s">
        <v>5583</v>
      </c>
      <c r="AA208" s="60" t="s">
        <v>5584</v>
      </c>
      <c r="AB208" s="60" t="s">
        <v>5585</v>
      </c>
      <c r="AC208" s="60" t="s">
        <v>5586</v>
      </c>
    </row>
    <row r="209">
      <c r="A209" s="59" t="s">
        <v>5587</v>
      </c>
      <c r="B209" s="60" t="s">
        <v>5587</v>
      </c>
      <c r="C209" s="61" t="s">
        <v>5588</v>
      </c>
      <c r="D209" s="60" t="s">
        <v>5589</v>
      </c>
      <c r="E209" s="60" t="s">
        <v>5590</v>
      </c>
      <c r="F209" s="60" t="s">
        <v>5591</v>
      </c>
      <c r="G209" s="60" t="s">
        <v>5592</v>
      </c>
      <c r="H209" s="60" t="s">
        <v>5593</v>
      </c>
      <c r="I209" s="60" t="s">
        <v>5594</v>
      </c>
      <c r="J209" s="60" t="s">
        <v>5595</v>
      </c>
      <c r="K209" s="60" t="s">
        <v>5596</v>
      </c>
      <c r="L209" s="60" t="s">
        <v>5597</v>
      </c>
      <c r="M209" s="60" t="s">
        <v>5598</v>
      </c>
      <c r="N209" s="60" t="s">
        <v>5599</v>
      </c>
      <c r="O209" s="60" t="s">
        <v>5600</v>
      </c>
      <c r="P209" s="60" t="s">
        <v>5601</v>
      </c>
      <c r="Q209" s="60" t="s">
        <v>5602</v>
      </c>
      <c r="R209" s="60" t="s">
        <v>5603</v>
      </c>
      <c r="S209" s="60" t="s">
        <v>5604</v>
      </c>
      <c r="T209" s="60" t="s">
        <v>5605</v>
      </c>
      <c r="U209" s="60" t="s">
        <v>5606</v>
      </c>
      <c r="V209" s="60" t="s">
        <v>5607</v>
      </c>
      <c r="W209" s="60" t="s">
        <v>5592</v>
      </c>
      <c r="X209" s="60" t="s">
        <v>5608</v>
      </c>
      <c r="Y209" s="60" t="s">
        <v>5609</v>
      </c>
      <c r="Z209" s="60" t="s">
        <v>5610</v>
      </c>
      <c r="AA209" s="60" t="s">
        <v>5611</v>
      </c>
      <c r="AB209" s="60" t="s">
        <v>5612</v>
      </c>
      <c r="AC209" s="60" t="s">
        <v>5613</v>
      </c>
    </row>
    <row r="210">
      <c r="A210" s="59" t="s">
        <v>5614</v>
      </c>
      <c r="B210" s="60" t="s">
        <v>5614</v>
      </c>
      <c r="C210" s="61" t="s">
        <v>5615</v>
      </c>
      <c r="D210" s="60" t="s">
        <v>5616</v>
      </c>
      <c r="E210" s="60" t="s">
        <v>5617</v>
      </c>
      <c r="F210" s="60" t="s">
        <v>5618</v>
      </c>
      <c r="G210" s="60" t="s">
        <v>5619</v>
      </c>
      <c r="H210" s="60" t="s">
        <v>5620</v>
      </c>
      <c r="I210" s="60" t="s">
        <v>5621</v>
      </c>
      <c r="J210" s="60" t="s">
        <v>5622</v>
      </c>
      <c r="K210" s="60" t="s">
        <v>5623</v>
      </c>
      <c r="L210" s="60" t="s">
        <v>5624</v>
      </c>
      <c r="M210" s="60" t="s">
        <v>5625</v>
      </c>
      <c r="N210" s="60" t="s">
        <v>5626</v>
      </c>
      <c r="O210" s="60" t="s">
        <v>5627</v>
      </c>
      <c r="P210" s="60" t="s">
        <v>5628</v>
      </c>
      <c r="Q210" s="60" t="s">
        <v>5629</v>
      </c>
      <c r="R210" s="60" t="s">
        <v>5630</v>
      </c>
      <c r="S210" s="60" t="s">
        <v>5631</v>
      </c>
      <c r="T210" s="60" t="s">
        <v>5624</v>
      </c>
      <c r="U210" s="60" t="s">
        <v>5632</v>
      </c>
      <c r="V210" s="60" t="s">
        <v>5616</v>
      </c>
      <c r="W210" s="60" t="s">
        <v>5633</v>
      </c>
      <c r="X210" s="60" t="s">
        <v>5634</v>
      </c>
      <c r="Y210" s="60" t="s">
        <v>5635</v>
      </c>
      <c r="Z210" s="60" t="s">
        <v>5636</v>
      </c>
      <c r="AA210" s="60" t="s">
        <v>5637</v>
      </c>
      <c r="AB210" s="60" t="s">
        <v>5638</v>
      </c>
      <c r="AC210" s="60" t="s">
        <v>5639</v>
      </c>
    </row>
    <row r="211">
      <c r="A211" s="59" t="s">
        <v>5640</v>
      </c>
      <c r="B211" s="60" t="s">
        <v>5641</v>
      </c>
      <c r="C211" s="61" t="s">
        <v>5642</v>
      </c>
      <c r="D211" s="60" t="s">
        <v>5643</v>
      </c>
      <c r="E211" s="60" t="s">
        <v>5644</v>
      </c>
      <c r="F211" s="60" t="s">
        <v>5645</v>
      </c>
      <c r="G211" s="60" t="s">
        <v>5646</v>
      </c>
      <c r="H211" s="60" t="s">
        <v>5647</v>
      </c>
      <c r="I211" s="60" t="s">
        <v>5648</v>
      </c>
      <c r="J211" s="60" t="s">
        <v>5649</v>
      </c>
      <c r="K211" s="60" t="s">
        <v>5650</v>
      </c>
      <c r="L211" s="60" t="s">
        <v>5651</v>
      </c>
      <c r="M211" s="60" t="s">
        <v>5652</v>
      </c>
      <c r="N211" s="60" t="s">
        <v>5653</v>
      </c>
      <c r="O211" s="60" t="s">
        <v>5654</v>
      </c>
      <c r="P211" s="60" t="s">
        <v>5655</v>
      </c>
      <c r="Q211" s="60" t="s">
        <v>5656</v>
      </c>
      <c r="R211" s="60" t="s">
        <v>5657</v>
      </c>
      <c r="S211" s="60" t="s">
        <v>5658</v>
      </c>
      <c r="T211" s="60" t="s">
        <v>5659</v>
      </c>
      <c r="U211" s="60" t="s">
        <v>5660</v>
      </c>
      <c r="V211" s="60" t="s">
        <v>5661</v>
      </c>
      <c r="W211" s="60" t="s">
        <v>5662</v>
      </c>
      <c r="X211" s="60" t="s">
        <v>5663</v>
      </c>
      <c r="Y211" s="60" t="s">
        <v>5664</v>
      </c>
      <c r="Z211" s="60" t="s">
        <v>5665</v>
      </c>
      <c r="AA211" s="60" t="s">
        <v>5666</v>
      </c>
      <c r="AB211" s="60" t="s">
        <v>5667</v>
      </c>
      <c r="AC211" s="60" t="s">
        <v>5668</v>
      </c>
    </row>
    <row r="212">
      <c r="A212" s="59" t="s">
        <v>5669</v>
      </c>
      <c r="B212" s="60" t="s">
        <v>5670</v>
      </c>
      <c r="C212" s="61" t="s">
        <v>5671</v>
      </c>
      <c r="D212" s="60" t="s">
        <v>5672</v>
      </c>
      <c r="E212" s="60" t="s">
        <v>5673</v>
      </c>
      <c r="F212" s="60" t="s">
        <v>5674</v>
      </c>
      <c r="G212" s="60" t="s">
        <v>5675</v>
      </c>
      <c r="H212" s="60" t="s">
        <v>5676</v>
      </c>
      <c r="I212" s="60" t="s">
        <v>5677</v>
      </c>
      <c r="J212" s="60" t="s">
        <v>5678</v>
      </c>
      <c r="K212" s="60" t="s">
        <v>5679</v>
      </c>
      <c r="L212" s="60" t="s">
        <v>5680</v>
      </c>
      <c r="M212" s="60" t="s">
        <v>5681</v>
      </c>
      <c r="N212" s="60" t="s">
        <v>5682</v>
      </c>
      <c r="O212" s="60" t="s">
        <v>5683</v>
      </c>
      <c r="P212" s="60" t="s">
        <v>5684</v>
      </c>
      <c r="Q212" s="60" t="s">
        <v>5685</v>
      </c>
      <c r="R212" s="60" t="s">
        <v>5686</v>
      </c>
      <c r="S212" s="60" t="s">
        <v>5687</v>
      </c>
      <c r="T212" s="60" t="s">
        <v>5688</v>
      </c>
      <c r="U212" s="60" t="s">
        <v>5689</v>
      </c>
      <c r="V212" s="60" t="s">
        <v>5690</v>
      </c>
      <c r="W212" s="60" t="s">
        <v>5691</v>
      </c>
      <c r="X212" s="60" t="s">
        <v>5692</v>
      </c>
      <c r="Y212" s="60" t="s">
        <v>5693</v>
      </c>
      <c r="Z212" s="60" t="s">
        <v>5694</v>
      </c>
      <c r="AA212" s="60" t="s">
        <v>5695</v>
      </c>
      <c r="AB212" s="60" t="s">
        <v>5696</v>
      </c>
      <c r="AC212" s="60" t="s">
        <v>5697</v>
      </c>
    </row>
    <row r="213">
      <c r="A213" s="59" t="s">
        <v>5709</v>
      </c>
      <c r="B213" s="60" t="s">
        <v>5710</v>
      </c>
      <c r="C213" s="61" t="s">
        <v>5711</v>
      </c>
      <c r="D213" s="60" t="s">
        <v>5712</v>
      </c>
      <c r="E213" s="60" t="s">
        <v>5713</v>
      </c>
      <c r="F213" s="60" t="s">
        <v>5714</v>
      </c>
      <c r="G213" s="60" t="s">
        <v>5715</v>
      </c>
      <c r="H213" s="60" t="s">
        <v>5716</v>
      </c>
      <c r="I213" s="60" t="s">
        <v>5717</v>
      </c>
      <c r="J213" s="60" t="s">
        <v>5718</v>
      </c>
      <c r="K213" s="60" t="s">
        <v>5719</v>
      </c>
      <c r="L213" s="60" t="s">
        <v>5720</v>
      </c>
      <c r="M213" s="60" t="s">
        <v>5721</v>
      </c>
      <c r="N213" s="60" t="s">
        <v>5722</v>
      </c>
      <c r="O213" s="60" t="s">
        <v>5723</v>
      </c>
      <c r="P213" s="60" t="s">
        <v>5724</v>
      </c>
      <c r="Q213" s="60" t="s">
        <v>5725</v>
      </c>
      <c r="R213" s="60" t="s">
        <v>5726</v>
      </c>
      <c r="S213" s="60" t="s">
        <v>5727</v>
      </c>
      <c r="T213" s="60" t="s">
        <v>5728</v>
      </c>
      <c r="U213" s="60" t="s">
        <v>5729</v>
      </c>
      <c r="V213" s="60" t="s">
        <v>5730</v>
      </c>
      <c r="W213" s="60" t="s">
        <v>5731</v>
      </c>
      <c r="X213" s="60" t="s">
        <v>5732</v>
      </c>
      <c r="Y213" s="60" t="s">
        <v>5733</v>
      </c>
      <c r="Z213" s="60" t="s">
        <v>5734</v>
      </c>
      <c r="AA213" s="60" t="s">
        <v>5735</v>
      </c>
      <c r="AB213" s="60" t="s">
        <v>5736</v>
      </c>
      <c r="AC213" s="60" t="s">
        <v>5737</v>
      </c>
    </row>
    <row r="214">
      <c r="A214" s="59" t="s">
        <v>5766</v>
      </c>
      <c r="B214" s="60" t="s">
        <v>5766</v>
      </c>
      <c r="C214" s="61" t="s">
        <v>5767</v>
      </c>
      <c r="D214" s="60" t="s">
        <v>5768</v>
      </c>
      <c r="E214" s="60" t="s">
        <v>5769</v>
      </c>
      <c r="F214" s="60" t="s">
        <v>5770</v>
      </c>
      <c r="G214" s="60" t="s">
        <v>5771</v>
      </c>
      <c r="H214" s="60" t="s">
        <v>5772</v>
      </c>
      <c r="I214" s="60" t="s">
        <v>5773</v>
      </c>
      <c r="J214" s="60" t="s">
        <v>5774</v>
      </c>
      <c r="K214" s="60" t="s">
        <v>5775</v>
      </c>
      <c r="L214" s="60" t="s">
        <v>5776</v>
      </c>
      <c r="M214" s="60" t="s">
        <v>5777</v>
      </c>
      <c r="N214" s="60" t="s">
        <v>5778</v>
      </c>
      <c r="O214" s="60" t="s">
        <v>5779</v>
      </c>
      <c r="P214" s="60" t="s">
        <v>5780</v>
      </c>
      <c r="Q214" s="60" t="s">
        <v>5781</v>
      </c>
      <c r="R214" s="60" t="s">
        <v>5782</v>
      </c>
      <c r="S214" s="60" t="s">
        <v>5783</v>
      </c>
      <c r="T214" s="60" t="s">
        <v>5784</v>
      </c>
      <c r="U214" s="60" t="s">
        <v>5785</v>
      </c>
      <c r="V214" s="60" t="s">
        <v>5786</v>
      </c>
      <c r="W214" s="60" t="s">
        <v>5787</v>
      </c>
      <c r="X214" s="60" t="s">
        <v>5788</v>
      </c>
      <c r="Y214" s="60" t="s">
        <v>5789</v>
      </c>
      <c r="Z214" s="60" t="s">
        <v>5790</v>
      </c>
      <c r="AA214" s="60" t="s">
        <v>5791</v>
      </c>
      <c r="AB214" s="60" t="s">
        <v>5778</v>
      </c>
      <c r="AC214" s="60" t="s">
        <v>5792</v>
      </c>
    </row>
    <row r="215">
      <c r="A215" s="59" t="s">
        <v>5793</v>
      </c>
      <c r="B215" s="60" t="s">
        <v>5794</v>
      </c>
      <c r="C215" s="61" t="s">
        <v>5795</v>
      </c>
      <c r="D215" s="60" t="s">
        <v>5796</v>
      </c>
      <c r="E215" s="60" t="s">
        <v>5797</v>
      </c>
      <c r="F215" s="60" t="s">
        <v>5798</v>
      </c>
      <c r="G215" s="60" t="s">
        <v>5799</v>
      </c>
      <c r="H215" s="60" t="s">
        <v>5800</v>
      </c>
      <c r="I215" s="60" t="s">
        <v>5801</v>
      </c>
      <c r="J215" s="60" t="s">
        <v>5802</v>
      </c>
      <c r="K215" s="60" t="s">
        <v>5803</v>
      </c>
      <c r="L215" s="60" t="s">
        <v>5804</v>
      </c>
      <c r="M215" s="60" t="s">
        <v>5805</v>
      </c>
      <c r="N215" s="60" t="s">
        <v>5806</v>
      </c>
      <c r="O215" s="60" t="s">
        <v>5807</v>
      </c>
      <c r="P215" s="60" t="s">
        <v>5808</v>
      </c>
      <c r="Q215" s="60" t="s">
        <v>5809</v>
      </c>
      <c r="R215" s="60" t="s">
        <v>5810</v>
      </c>
      <c r="S215" s="60" t="s">
        <v>5811</v>
      </c>
      <c r="T215" s="60" t="s">
        <v>5812</v>
      </c>
      <c r="U215" s="60" t="s">
        <v>5813</v>
      </c>
      <c r="V215" s="60" t="s">
        <v>5814</v>
      </c>
      <c r="W215" s="60" t="s">
        <v>5815</v>
      </c>
      <c r="X215" s="60" t="s">
        <v>5816</v>
      </c>
      <c r="Y215" s="60" t="s">
        <v>5817</v>
      </c>
      <c r="Z215" s="60" t="s">
        <v>5818</v>
      </c>
      <c r="AA215" s="60" t="s">
        <v>5819</v>
      </c>
      <c r="AB215" s="60" t="s">
        <v>5820</v>
      </c>
      <c r="AC215" s="60" t="s">
        <v>5821</v>
      </c>
    </row>
    <row r="216">
      <c r="A216" s="59" t="s">
        <v>5822</v>
      </c>
      <c r="B216" s="60" t="s">
        <v>5823</v>
      </c>
      <c r="C216" s="61" t="s">
        <v>5824</v>
      </c>
      <c r="D216" s="60" t="s">
        <v>5825</v>
      </c>
      <c r="E216" s="60" t="s">
        <v>5826</v>
      </c>
      <c r="F216" s="60" t="s">
        <v>5827</v>
      </c>
      <c r="G216" s="60" t="s">
        <v>5828</v>
      </c>
      <c r="H216" s="60" t="s">
        <v>5829</v>
      </c>
      <c r="I216" s="60" t="s">
        <v>5830</v>
      </c>
      <c r="J216" s="60" t="s">
        <v>5831</v>
      </c>
      <c r="K216" s="60" t="s">
        <v>5832</v>
      </c>
      <c r="L216" s="60" t="s">
        <v>5833</v>
      </c>
      <c r="M216" s="60" t="s">
        <v>5834</v>
      </c>
      <c r="N216" s="60" t="s">
        <v>5835</v>
      </c>
      <c r="O216" s="60" t="s">
        <v>5836</v>
      </c>
      <c r="P216" s="60" t="s">
        <v>5837</v>
      </c>
      <c r="Q216" s="60" t="s">
        <v>5838</v>
      </c>
      <c r="R216" s="60" t="s">
        <v>5839</v>
      </c>
      <c r="S216" s="60" t="s">
        <v>5840</v>
      </c>
      <c r="T216" s="60" t="s">
        <v>5841</v>
      </c>
      <c r="U216" s="60" t="s">
        <v>5842</v>
      </c>
      <c r="V216" s="60" t="s">
        <v>5843</v>
      </c>
      <c r="W216" s="60" t="s">
        <v>5844</v>
      </c>
      <c r="X216" s="60" t="s">
        <v>5845</v>
      </c>
      <c r="Y216" s="60" t="s">
        <v>5846</v>
      </c>
      <c r="Z216" s="60" t="s">
        <v>5847</v>
      </c>
      <c r="AA216" s="60" t="s">
        <v>5848</v>
      </c>
      <c r="AB216" s="60" t="s">
        <v>5849</v>
      </c>
      <c r="AC216" s="60" t="s">
        <v>5850</v>
      </c>
    </row>
    <row r="217">
      <c r="A217" s="59" t="s">
        <v>5851</v>
      </c>
      <c r="B217" s="60" t="s">
        <v>5852</v>
      </c>
      <c r="C217" s="61" t="s">
        <v>5853</v>
      </c>
      <c r="D217" s="60" t="s">
        <v>5854</v>
      </c>
      <c r="E217" s="60" t="s">
        <v>5855</v>
      </c>
      <c r="F217" s="60" t="s">
        <v>5856</v>
      </c>
      <c r="G217" s="60" t="s">
        <v>5857</v>
      </c>
      <c r="H217" s="60" t="s">
        <v>5858</v>
      </c>
      <c r="I217" s="60" t="s">
        <v>5859</v>
      </c>
      <c r="J217" s="60" t="s">
        <v>5860</v>
      </c>
      <c r="K217" s="60" t="s">
        <v>5861</v>
      </c>
      <c r="L217" s="60" t="s">
        <v>5862</v>
      </c>
      <c r="M217" s="60" t="s">
        <v>5863</v>
      </c>
      <c r="N217" s="60" t="s">
        <v>5864</v>
      </c>
      <c r="O217" s="60" t="s">
        <v>5865</v>
      </c>
      <c r="P217" s="60" t="s">
        <v>5866</v>
      </c>
      <c r="Q217" s="60" t="s">
        <v>5867</v>
      </c>
      <c r="R217" s="60" t="s">
        <v>5868</v>
      </c>
      <c r="S217" s="60" t="s">
        <v>5869</v>
      </c>
      <c r="T217" s="60" t="s">
        <v>5870</v>
      </c>
      <c r="U217" s="60" t="s">
        <v>5871</v>
      </c>
      <c r="V217" s="60" t="s">
        <v>5872</v>
      </c>
      <c r="W217" s="60" t="s">
        <v>5873</v>
      </c>
      <c r="X217" s="60" t="s">
        <v>5874</v>
      </c>
      <c r="Y217" s="60" t="s">
        <v>5875</v>
      </c>
      <c r="Z217" s="60" t="s">
        <v>5876</v>
      </c>
      <c r="AA217" s="60" t="s">
        <v>5877</v>
      </c>
      <c r="AB217" s="60" t="s">
        <v>5878</v>
      </c>
      <c r="AC217" s="60" t="s">
        <v>5879</v>
      </c>
    </row>
    <row r="218">
      <c r="A218" s="59" t="s">
        <v>5880</v>
      </c>
      <c r="B218" s="60" t="s">
        <v>5881</v>
      </c>
      <c r="C218" s="61" t="s">
        <v>5882</v>
      </c>
      <c r="D218" s="60" t="s">
        <v>5883</v>
      </c>
      <c r="E218" s="60" t="s">
        <v>5884</v>
      </c>
      <c r="F218" s="60" t="s">
        <v>5885</v>
      </c>
      <c r="G218" s="60" t="s">
        <v>5886</v>
      </c>
      <c r="H218" s="60" t="s">
        <v>5887</v>
      </c>
      <c r="I218" s="60" t="s">
        <v>5888</v>
      </c>
      <c r="J218" s="60" t="s">
        <v>5889</v>
      </c>
      <c r="K218" s="60" t="s">
        <v>5890</v>
      </c>
      <c r="L218" s="60" t="s">
        <v>5891</v>
      </c>
      <c r="M218" s="60" t="s">
        <v>5892</v>
      </c>
      <c r="N218" s="60" t="s">
        <v>5893</v>
      </c>
      <c r="O218" s="60" t="s">
        <v>5894</v>
      </c>
      <c r="P218" s="60" t="s">
        <v>5895</v>
      </c>
      <c r="Q218" s="60" t="s">
        <v>5896</v>
      </c>
      <c r="R218" s="60" t="s">
        <v>5897</v>
      </c>
      <c r="S218" s="60" t="s">
        <v>5898</v>
      </c>
      <c r="T218" s="60" t="s">
        <v>5899</v>
      </c>
      <c r="U218" s="60" t="s">
        <v>5900</v>
      </c>
      <c r="V218" s="60" t="s">
        <v>5901</v>
      </c>
      <c r="W218" s="60" t="s">
        <v>5902</v>
      </c>
      <c r="X218" s="60" t="s">
        <v>5903</v>
      </c>
      <c r="Y218" s="60" t="s">
        <v>5904</v>
      </c>
      <c r="Z218" s="60" t="s">
        <v>5905</v>
      </c>
      <c r="AA218" s="60" t="s">
        <v>5906</v>
      </c>
      <c r="AB218" s="60" t="s">
        <v>5907</v>
      </c>
      <c r="AC218" s="60" t="s">
        <v>5908</v>
      </c>
    </row>
    <row r="219">
      <c r="A219" s="59" t="s">
        <v>5909</v>
      </c>
      <c r="B219" s="60" t="s">
        <v>5910</v>
      </c>
      <c r="C219" s="61" t="s">
        <v>5911</v>
      </c>
      <c r="D219" s="60" t="s">
        <v>5912</v>
      </c>
      <c r="E219" s="60" t="s">
        <v>5913</v>
      </c>
      <c r="F219" s="60" t="s">
        <v>5914</v>
      </c>
      <c r="G219" s="60" t="s">
        <v>5915</v>
      </c>
      <c r="H219" s="60" t="s">
        <v>5916</v>
      </c>
      <c r="I219" s="60" t="s">
        <v>5917</v>
      </c>
      <c r="J219" s="60" t="s">
        <v>5918</v>
      </c>
      <c r="K219" s="60" t="s">
        <v>5919</v>
      </c>
      <c r="L219" s="60" t="s">
        <v>5920</v>
      </c>
      <c r="M219" s="60" t="s">
        <v>5921</v>
      </c>
      <c r="N219" s="60" t="s">
        <v>5922</v>
      </c>
      <c r="O219" s="60" t="s">
        <v>5923</v>
      </c>
      <c r="P219" s="60" t="s">
        <v>5924</v>
      </c>
      <c r="Q219" s="60" t="s">
        <v>5925</v>
      </c>
      <c r="R219" s="60" t="s">
        <v>5926</v>
      </c>
      <c r="S219" s="60" t="s">
        <v>5927</v>
      </c>
      <c r="T219" s="60" t="s">
        <v>5928</v>
      </c>
      <c r="U219" s="60" t="s">
        <v>5929</v>
      </c>
      <c r="V219" s="60" t="s">
        <v>5930</v>
      </c>
      <c r="W219" s="60" t="s">
        <v>5931</v>
      </c>
      <c r="X219" s="60" t="s">
        <v>5932</v>
      </c>
      <c r="Y219" s="60" t="s">
        <v>5933</v>
      </c>
      <c r="Z219" s="60" t="s">
        <v>5934</v>
      </c>
      <c r="AA219" s="60" t="s">
        <v>5935</v>
      </c>
      <c r="AB219" s="60" t="s">
        <v>5936</v>
      </c>
      <c r="AC219" s="60" t="s">
        <v>5937</v>
      </c>
    </row>
    <row r="220">
      <c r="A220" s="59" t="s">
        <v>5938</v>
      </c>
      <c r="B220" s="60" t="s">
        <v>5939</v>
      </c>
      <c r="C220" s="61" t="s">
        <v>5940</v>
      </c>
      <c r="D220" s="60" t="s">
        <v>5941</v>
      </c>
      <c r="E220" s="60" t="s">
        <v>5942</v>
      </c>
      <c r="F220" s="60" t="s">
        <v>5943</v>
      </c>
      <c r="G220" s="60" t="s">
        <v>5944</v>
      </c>
      <c r="H220" s="60" t="s">
        <v>5945</v>
      </c>
      <c r="I220" s="60" t="s">
        <v>5946</v>
      </c>
      <c r="J220" s="60" t="s">
        <v>5947</v>
      </c>
      <c r="K220" s="60" t="s">
        <v>5948</v>
      </c>
      <c r="L220" s="60" t="s">
        <v>5949</v>
      </c>
      <c r="M220" s="60" t="s">
        <v>5950</v>
      </c>
      <c r="N220" s="60" t="s">
        <v>5951</v>
      </c>
      <c r="O220" s="60" t="s">
        <v>5952</v>
      </c>
      <c r="P220" s="60" t="s">
        <v>5953</v>
      </c>
      <c r="Q220" s="60" t="s">
        <v>5954</v>
      </c>
      <c r="R220" s="60" t="s">
        <v>5955</v>
      </c>
      <c r="S220" s="60" t="s">
        <v>5956</v>
      </c>
      <c r="T220" s="60" t="s">
        <v>5957</v>
      </c>
      <c r="U220" s="60" t="s">
        <v>5958</v>
      </c>
      <c r="V220" s="60" t="s">
        <v>5959</v>
      </c>
      <c r="W220" s="60" t="s">
        <v>5960</v>
      </c>
      <c r="X220" s="60" t="s">
        <v>5961</v>
      </c>
      <c r="Y220" s="60" t="s">
        <v>5962</v>
      </c>
      <c r="Z220" s="60" t="s">
        <v>5963</v>
      </c>
      <c r="AA220" s="60" t="s">
        <v>5964</v>
      </c>
      <c r="AB220" s="60" t="s">
        <v>5965</v>
      </c>
      <c r="AC220" s="60" t="s">
        <v>5966</v>
      </c>
    </row>
    <row r="221">
      <c r="A221" s="59" t="s">
        <v>5967</v>
      </c>
      <c r="B221" s="60" t="s">
        <v>5967</v>
      </c>
      <c r="C221" s="61" t="s">
        <v>5968</v>
      </c>
      <c r="D221" s="60" t="s">
        <v>5969</v>
      </c>
      <c r="E221" s="60" t="s">
        <v>5970</v>
      </c>
      <c r="F221" s="60" t="s">
        <v>5971</v>
      </c>
      <c r="G221" s="60" t="s">
        <v>5972</v>
      </c>
      <c r="H221" s="60" t="s">
        <v>5973</v>
      </c>
      <c r="I221" s="60" t="s">
        <v>5974</v>
      </c>
      <c r="J221" s="60" t="s">
        <v>5975</v>
      </c>
      <c r="K221" s="60" t="s">
        <v>5976</v>
      </c>
      <c r="L221" s="60" t="s">
        <v>5977</v>
      </c>
      <c r="M221" s="60" t="s">
        <v>5978</v>
      </c>
      <c r="N221" s="60" t="s">
        <v>5979</v>
      </c>
      <c r="O221" s="60" t="s">
        <v>5980</v>
      </c>
      <c r="P221" s="60" t="s">
        <v>5981</v>
      </c>
      <c r="Q221" s="60" t="s">
        <v>5982</v>
      </c>
      <c r="R221" s="60" t="s">
        <v>5983</v>
      </c>
      <c r="S221" s="60" t="s">
        <v>5984</v>
      </c>
      <c r="T221" s="60" t="s">
        <v>5985</v>
      </c>
      <c r="U221" s="60" t="s">
        <v>5967</v>
      </c>
      <c r="V221" s="60" t="s">
        <v>5986</v>
      </c>
      <c r="W221" s="60" t="s">
        <v>5987</v>
      </c>
      <c r="X221" s="60" t="s">
        <v>5988</v>
      </c>
      <c r="Y221" s="60" t="s">
        <v>5989</v>
      </c>
      <c r="Z221" s="60" t="s">
        <v>5990</v>
      </c>
      <c r="AA221" s="60" t="s">
        <v>5991</v>
      </c>
      <c r="AB221" s="60" t="s">
        <v>5992</v>
      </c>
      <c r="AC221" s="60" t="s">
        <v>5993</v>
      </c>
    </row>
    <row r="222">
      <c r="A222" s="59" t="s">
        <v>5994</v>
      </c>
      <c r="B222" s="60" t="s">
        <v>5994</v>
      </c>
      <c r="C222" s="61" t="s">
        <v>5995</v>
      </c>
      <c r="D222" s="60" t="s">
        <v>5996</v>
      </c>
      <c r="E222" s="60" t="s">
        <v>5997</v>
      </c>
      <c r="F222" s="60" t="s">
        <v>5998</v>
      </c>
      <c r="G222" s="60" t="s">
        <v>5999</v>
      </c>
      <c r="H222" s="60" t="s">
        <v>6000</v>
      </c>
      <c r="I222" s="60" t="s">
        <v>6001</v>
      </c>
      <c r="J222" s="60" t="s">
        <v>6002</v>
      </c>
      <c r="K222" s="60" t="s">
        <v>6003</v>
      </c>
      <c r="L222" s="60" t="s">
        <v>6004</v>
      </c>
      <c r="M222" s="60" t="s">
        <v>6005</v>
      </c>
      <c r="N222" s="60" t="s">
        <v>6006</v>
      </c>
      <c r="O222" s="60" t="s">
        <v>6007</v>
      </c>
      <c r="P222" s="60" t="s">
        <v>6008</v>
      </c>
      <c r="Q222" s="60" t="s">
        <v>6009</v>
      </c>
      <c r="R222" s="60" t="s">
        <v>6010</v>
      </c>
      <c r="S222" s="60" t="s">
        <v>6011</v>
      </c>
      <c r="T222" s="60" t="s">
        <v>6012</v>
      </c>
      <c r="U222" s="60" t="s">
        <v>6013</v>
      </c>
      <c r="V222" s="60" t="s">
        <v>6014</v>
      </c>
      <c r="W222" s="60" t="s">
        <v>6005</v>
      </c>
      <c r="X222" s="60" t="s">
        <v>6015</v>
      </c>
      <c r="Y222" s="60" t="s">
        <v>6016</v>
      </c>
      <c r="Z222" s="60" t="s">
        <v>6017</v>
      </c>
      <c r="AA222" s="60" t="s">
        <v>6018</v>
      </c>
      <c r="AB222" s="60" t="s">
        <v>6019</v>
      </c>
      <c r="AC222" s="60" t="s">
        <v>6020</v>
      </c>
    </row>
    <row r="223">
      <c r="A223" s="59" t="s">
        <v>6021</v>
      </c>
      <c r="B223" s="60" t="s">
        <v>6021</v>
      </c>
      <c r="C223" s="61" t="s">
        <v>6022</v>
      </c>
      <c r="D223" s="60" t="s">
        <v>6023</v>
      </c>
      <c r="E223" s="60" t="s">
        <v>6024</v>
      </c>
      <c r="F223" s="60" t="s">
        <v>6025</v>
      </c>
      <c r="G223" s="60" t="s">
        <v>6026</v>
      </c>
      <c r="H223" s="60" t="s">
        <v>6027</v>
      </c>
      <c r="I223" s="60" t="s">
        <v>6028</v>
      </c>
      <c r="J223" s="60" t="s">
        <v>6029</v>
      </c>
      <c r="K223" s="60" t="s">
        <v>6030</v>
      </c>
      <c r="L223" s="60" t="s">
        <v>6031</v>
      </c>
      <c r="M223" s="60" t="s">
        <v>6032</v>
      </c>
      <c r="N223" s="60" t="s">
        <v>6033</v>
      </c>
      <c r="O223" s="60" t="s">
        <v>6034</v>
      </c>
      <c r="P223" s="60" t="s">
        <v>6035</v>
      </c>
      <c r="Q223" s="60" t="s">
        <v>6036</v>
      </c>
      <c r="R223" s="60" t="s">
        <v>6037</v>
      </c>
      <c r="S223" s="60" t="s">
        <v>6038</v>
      </c>
      <c r="T223" s="60" t="s">
        <v>6039</v>
      </c>
      <c r="U223" s="60" t="s">
        <v>6040</v>
      </c>
      <c r="V223" s="60" t="s">
        <v>6041</v>
      </c>
      <c r="W223" s="60" t="s">
        <v>6042</v>
      </c>
      <c r="X223" s="60" t="s">
        <v>6043</v>
      </c>
      <c r="Y223" s="60" t="s">
        <v>6044</v>
      </c>
      <c r="Z223" s="60" t="s">
        <v>6045</v>
      </c>
      <c r="AA223" s="60" t="s">
        <v>6046</v>
      </c>
      <c r="AB223" s="60" t="s">
        <v>6047</v>
      </c>
      <c r="AC223" s="60" t="s">
        <v>6048</v>
      </c>
    </row>
    <row r="224">
      <c r="A224" s="59" t="s">
        <v>6049</v>
      </c>
      <c r="B224" s="60" t="s">
        <v>6049</v>
      </c>
      <c r="C224" s="61" t="s">
        <v>6050</v>
      </c>
      <c r="D224" s="60" t="s">
        <v>6051</v>
      </c>
      <c r="E224" s="60" t="s">
        <v>6052</v>
      </c>
      <c r="F224" s="60" t="s">
        <v>6053</v>
      </c>
      <c r="G224" s="60" t="s">
        <v>6054</v>
      </c>
      <c r="H224" s="60" t="s">
        <v>6055</v>
      </c>
      <c r="I224" s="60" t="s">
        <v>6056</v>
      </c>
      <c r="J224" s="60" t="s">
        <v>6057</v>
      </c>
      <c r="K224" s="60" t="s">
        <v>6058</v>
      </c>
      <c r="L224" s="60" t="s">
        <v>6059</v>
      </c>
      <c r="M224" s="60" t="s">
        <v>6060</v>
      </c>
      <c r="N224" s="60" t="s">
        <v>6061</v>
      </c>
      <c r="O224" s="60" t="s">
        <v>2862</v>
      </c>
      <c r="P224" s="60" t="s">
        <v>6062</v>
      </c>
      <c r="Q224" s="60" t="s">
        <v>6063</v>
      </c>
      <c r="R224" s="60" t="s">
        <v>6064</v>
      </c>
      <c r="S224" s="60" t="s">
        <v>6065</v>
      </c>
      <c r="T224" s="60" t="s">
        <v>6066</v>
      </c>
      <c r="U224" s="60" t="s">
        <v>3097</v>
      </c>
      <c r="V224" s="60" t="s">
        <v>6067</v>
      </c>
      <c r="W224" s="60" t="s">
        <v>6054</v>
      </c>
      <c r="X224" s="60" t="s">
        <v>6068</v>
      </c>
      <c r="Y224" s="60" t="s">
        <v>6069</v>
      </c>
      <c r="Z224" s="60" t="s">
        <v>6070</v>
      </c>
      <c r="AA224" s="60" t="s">
        <v>6071</v>
      </c>
      <c r="AB224" s="60" t="s">
        <v>6072</v>
      </c>
      <c r="AC224" s="60" t="s">
        <v>6073</v>
      </c>
    </row>
    <row r="225">
      <c r="A225" s="59" t="s">
        <v>6074</v>
      </c>
      <c r="B225" s="60" t="s">
        <v>6075</v>
      </c>
      <c r="C225" s="61" t="s">
        <v>6076</v>
      </c>
      <c r="D225" s="60" t="s">
        <v>6077</v>
      </c>
      <c r="E225" s="60" t="s">
        <v>6078</v>
      </c>
      <c r="F225" s="60" t="s">
        <v>6079</v>
      </c>
      <c r="G225" s="60" t="s">
        <v>6080</v>
      </c>
      <c r="H225" s="60" t="s">
        <v>6081</v>
      </c>
      <c r="I225" s="60" t="s">
        <v>6082</v>
      </c>
      <c r="J225" s="60" t="s">
        <v>6083</v>
      </c>
      <c r="K225" s="60" t="s">
        <v>6084</v>
      </c>
      <c r="L225" s="60" t="s">
        <v>6085</v>
      </c>
      <c r="M225" s="60" t="s">
        <v>6086</v>
      </c>
      <c r="N225" s="60" t="s">
        <v>6087</v>
      </c>
      <c r="O225" s="60" t="s">
        <v>6088</v>
      </c>
      <c r="P225" s="60" t="s">
        <v>6089</v>
      </c>
      <c r="Q225" s="60" t="s">
        <v>6090</v>
      </c>
      <c r="R225" s="60" t="s">
        <v>6091</v>
      </c>
      <c r="S225" s="60" t="s">
        <v>6092</v>
      </c>
      <c r="T225" s="60" t="s">
        <v>6085</v>
      </c>
      <c r="U225" s="60" t="s">
        <v>6093</v>
      </c>
      <c r="V225" s="60" t="s">
        <v>6094</v>
      </c>
      <c r="W225" s="60" t="s">
        <v>6095</v>
      </c>
      <c r="X225" s="60" t="s">
        <v>6096</v>
      </c>
      <c r="Y225" s="60" t="s">
        <v>6097</v>
      </c>
      <c r="Z225" s="60" t="s">
        <v>6098</v>
      </c>
      <c r="AA225" s="60" t="s">
        <v>6099</v>
      </c>
      <c r="AB225" s="60" t="s">
        <v>6100</v>
      </c>
      <c r="AC225" s="60" t="s">
        <v>6101</v>
      </c>
    </row>
    <row r="226">
      <c r="A226" s="59" t="s">
        <v>6102</v>
      </c>
      <c r="B226" s="60" t="s">
        <v>6102</v>
      </c>
      <c r="C226" s="61" t="s">
        <v>6103</v>
      </c>
      <c r="D226" s="60" t="s">
        <v>6104</v>
      </c>
      <c r="E226" s="60" t="s">
        <v>6105</v>
      </c>
      <c r="F226" s="60" t="s">
        <v>6106</v>
      </c>
      <c r="G226" s="60" t="s">
        <v>4577</v>
      </c>
      <c r="H226" s="60" t="s">
        <v>6107</v>
      </c>
      <c r="I226" s="60" t="s">
        <v>6102</v>
      </c>
      <c r="J226" s="60" t="s">
        <v>6108</v>
      </c>
      <c r="K226" s="60" t="s">
        <v>6109</v>
      </c>
      <c r="L226" s="60" t="s">
        <v>6110</v>
      </c>
      <c r="M226" s="60" t="s">
        <v>6111</v>
      </c>
      <c r="N226" s="60" t="s">
        <v>6112</v>
      </c>
      <c r="O226" s="60" t="s">
        <v>6113</v>
      </c>
      <c r="P226" s="60" t="s">
        <v>6114</v>
      </c>
      <c r="Q226" s="60" t="s">
        <v>6115</v>
      </c>
      <c r="R226" s="60" t="s">
        <v>6116</v>
      </c>
      <c r="S226" s="60" t="s">
        <v>6117</v>
      </c>
      <c r="T226" s="60" t="s">
        <v>6110</v>
      </c>
      <c r="U226" s="60" t="s">
        <v>6118</v>
      </c>
      <c r="V226" s="60" t="s">
        <v>6119</v>
      </c>
      <c r="W226" s="60" t="s">
        <v>6120</v>
      </c>
      <c r="X226" s="60" t="s">
        <v>4592</v>
      </c>
      <c r="Y226" s="60" t="s">
        <v>6121</v>
      </c>
      <c r="Z226" s="60" t="s">
        <v>6122</v>
      </c>
      <c r="AA226" s="60" t="s">
        <v>4592</v>
      </c>
      <c r="AB226" s="60" t="s">
        <v>6123</v>
      </c>
      <c r="AC226" s="60" t="s">
        <v>6124</v>
      </c>
    </row>
    <row r="227">
      <c r="A227" s="59" t="s">
        <v>6125</v>
      </c>
      <c r="B227" s="60" t="s">
        <v>6126</v>
      </c>
      <c r="C227" s="61" t="s">
        <v>6127</v>
      </c>
      <c r="D227" s="60" t="s">
        <v>6128</v>
      </c>
      <c r="E227" s="60" t="s">
        <v>6129</v>
      </c>
      <c r="F227" s="60" t="s">
        <v>6130</v>
      </c>
      <c r="G227" s="60" t="s">
        <v>6131</v>
      </c>
      <c r="H227" s="60" t="s">
        <v>6132</v>
      </c>
      <c r="I227" s="60" t="s">
        <v>6133</v>
      </c>
      <c r="J227" s="60" t="s">
        <v>6134</v>
      </c>
      <c r="K227" s="60" t="s">
        <v>6135</v>
      </c>
      <c r="L227" s="60" t="s">
        <v>6136</v>
      </c>
      <c r="M227" s="60" t="s">
        <v>6137</v>
      </c>
      <c r="N227" s="60" t="s">
        <v>6138</v>
      </c>
      <c r="O227" s="60" t="s">
        <v>6139</v>
      </c>
      <c r="P227" s="60" t="s">
        <v>6140</v>
      </c>
      <c r="Q227" s="60" t="s">
        <v>6141</v>
      </c>
      <c r="R227" s="60" t="s">
        <v>6142</v>
      </c>
      <c r="S227" s="60" t="s">
        <v>6143</v>
      </c>
      <c r="T227" s="60" t="s">
        <v>6144</v>
      </c>
      <c r="U227" s="60" t="s">
        <v>6145</v>
      </c>
      <c r="V227" s="60" t="s">
        <v>6146</v>
      </c>
      <c r="W227" s="60" t="s">
        <v>6147</v>
      </c>
      <c r="X227" s="60" t="s">
        <v>6148</v>
      </c>
      <c r="Y227" s="60" t="s">
        <v>6149</v>
      </c>
      <c r="Z227" s="60" t="s">
        <v>6150</v>
      </c>
      <c r="AA227" s="60" t="s">
        <v>6151</v>
      </c>
      <c r="AB227" s="60" t="s">
        <v>6152</v>
      </c>
      <c r="AC227" s="60" t="s">
        <v>6153</v>
      </c>
    </row>
    <row r="228">
      <c r="A228" s="59" t="s">
        <v>6154</v>
      </c>
      <c r="B228" s="60" t="s">
        <v>6155</v>
      </c>
      <c r="C228" s="61" t="s">
        <v>6156</v>
      </c>
      <c r="D228" s="60" t="s">
        <v>6157</v>
      </c>
      <c r="E228" s="60" t="s">
        <v>6158</v>
      </c>
      <c r="F228" s="60" t="s">
        <v>6159</v>
      </c>
      <c r="G228" s="60" t="s">
        <v>6160</v>
      </c>
      <c r="H228" s="60" t="s">
        <v>6161</v>
      </c>
      <c r="I228" s="60" t="s">
        <v>6162</v>
      </c>
      <c r="J228" s="60" t="s">
        <v>6163</v>
      </c>
      <c r="K228" s="60" t="s">
        <v>6164</v>
      </c>
      <c r="L228" s="60" t="s">
        <v>6165</v>
      </c>
      <c r="M228" s="60" t="s">
        <v>6166</v>
      </c>
      <c r="N228" s="60" t="s">
        <v>6167</v>
      </c>
      <c r="O228" s="60" t="s">
        <v>6168</v>
      </c>
      <c r="P228" s="60" t="s">
        <v>6169</v>
      </c>
      <c r="Q228" s="60" t="s">
        <v>6170</v>
      </c>
      <c r="R228" s="60" t="s">
        <v>6171</v>
      </c>
      <c r="S228" s="60" t="s">
        <v>6172</v>
      </c>
      <c r="T228" s="60" t="s">
        <v>6173</v>
      </c>
      <c r="U228" s="60" t="s">
        <v>6174</v>
      </c>
      <c r="V228" s="60" t="s">
        <v>6175</v>
      </c>
      <c r="W228" s="60" t="s">
        <v>6176</v>
      </c>
      <c r="X228" s="60" t="s">
        <v>6177</v>
      </c>
      <c r="Y228" s="60" t="s">
        <v>6178</v>
      </c>
      <c r="Z228" s="60" t="s">
        <v>6179</v>
      </c>
      <c r="AA228" s="60" t="s">
        <v>6180</v>
      </c>
      <c r="AB228" s="60" t="s">
        <v>6181</v>
      </c>
      <c r="AC228" s="60" t="s">
        <v>6182</v>
      </c>
    </row>
    <row r="229">
      <c r="A229" s="59" t="s">
        <v>6183</v>
      </c>
      <c r="B229" s="60" t="s">
        <v>6184</v>
      </c>
      <c r="C229" s="61" t="s">
        <v>6185</v>
      </c>
      <c r="D229" s="60" t="s">
        <v>6186</v>
      </c>
      <c r="E229" s="60" t="s">
        <v>6187</v>
      </c>
      <c r="F229" s="60" t="s">
        <v>6188</v>
      </c>
      <c r="G229" s="60" t="s">
        <v>6189</v>
      </c>
      <c r="H229" s="60" t="s">
        <v>6190</v>
      </c>
      <c r="I229" s="60" t="s">
        <v>6191</v>
      </c>
      <c r="J229" s="60" t="s">
        <v>6192</v>
      </c>
      <c r="K229" s="60" t="s">
        <v>6193</v>
      </c>
      <c r="L229" s="60" t="s">
        <v>6194</v>
      </c>
      <c r="M229" s="60" t="s">
        <v>6195</v>
      </c>
      <c r="N229" s="60" t="s">
        <v>6196</v>
      </c>
      <c r="O229" s="60" t="s">
        <v>6197</v>
      </c>
      <c r="P229" s="60" t="s">
        <v>6198</v>
      </c>
      <c r="Q229" s="60" t="s">
        <v>6199</v>
      </c>
      <c r="R229" s="60" t="s">
        <v>6200</v>
      </c>
      <c r="S229" s="60" t="s">
        <v>6201</v>
      </c>
      <c r="T229" s="60" t="s">
        <v>6202</v>
      </c>
      <c r="U229" s="60" t="s">
        <v>6203</v>
      </c>
      <c r="V229" s="60" t="s">
        <v>6204</v>
      </c>
      <c r="W229" s="60" t="s">
        <v>6205</v>
      </c>
      <c r="X229" s="60" t="s">
        <v>6206</v>
      </c>
      <c r="Y229" s="60" t="s">
        <v>6207</v>
      </c>
      <c r="Z229" s="60" t="s">
        <v>6208</v>
      </c>
      <c r="AA229" s="60" t="s">
        <v>6209</v>
      </c>
      <c r="AB229" s="60" t="s">
        <v>6210</v>
      </c>
      <c r="AC229" s="60" t="s">
        <v>6211</v>
      </c>
    </row>
    <row r="230">
      <c r="A230" s="59" t="s">
        <v>6212</v>
      </c>
      <c r="B230" s="60" t="s">
        <v>6213</v>
      </c>
      <c r="C230" s="61" t="s">
        <v>6214</v>
      </c>
      <c r="D230" s="60" t="s">
        <v>6215</v>
      </c>
      <c r="E230" s="60" t="s">
        <v>6216</v>
      </c>
      <c r="F230" s="60" t="s">
        <v>6217</v>
      </c>
      <c r="G230" s="60" t="s">
        <v>6218</v>
      </c>
      <c r="H230" s="60" t="s">
        <v>6219</v>
      </c>
      <c r="I230" s="60" t="s">
        <v>6220</v>
      </c>
      <c r="J230" s="60" t="s">
        <v>6221</v>
      </c>
      <c r="K230" s="60" t="s">
        <v>6222</v>
      </c>
      <c r="L230" s="60" t="s">
        <v>6223</v>
      </c>
      <c r="M230" s="60" t="s">
        <v>6224</v>
      </c>
      <c r="N230" s="60" t="s">
        <v>6225</v>
      </c>
      <c r="O230" s="60" t="s">
        <v>6226</v>
      </c>
      <c r="P230" s="60" t="s">
        <v>6227</v>
      </c>
      <c r="Q230" s="60" t="s">
        <v>6228</v>
      </c>
      <c r="R230" s="60" t="s">
        <v>6229</v>
      </c>
      <c r="S230" s="60" t="s">
        <v>6230</v>
      </c>
      <c r="T230" s="60" t="s">
        <v>6231</v>
      </c>
      <c r="U230" s="60" t="s">
        <v>6232</v>
      </c>
      <c r="V230" s="60" t="s">
        <v>6233</v>
      </c>
      <c r="W230" s="60" t="s">
        <v>6234</v>
      </c>
      <c r="X230" s="60" t="s">
        <v>6235</v>
      </c>
      <c r="Y230" s="60" t="s">
        <v>6236</v>
      </c>
      <c r="Z230" s="60" t="s">
        <v>6237</v>
      </c>
      <c r="AA230" s="60" t="s">
        <v>6238</v>
      </c>
      <c r="AB230" s="60" t="s">
        <v>6239</v>
      </c>
      <c r="AC230" s="60" t="s">
        <v>6240</v>
      </c>
    </row>
    <row r="231">
      <c r="A231" s="59" t="s">
        <v>6241</v>
      </c>
      <c r="B231" s="60" t="s">
        <v>6242</v>
      </c>
      <c r="C231" s="61" t="s">
        <v>6243</v>
      </c>
      <c r="D231" s="60" t="s">
        <v>6244</v>
      </c>
      <c r="E231" s="60" t="s">
        <v>6245</v>
      </c>
      <c r="F231" s="60" t="s">
        <v>6246</v>
      </c>
      <c r="G231" s="60" t="s">
        <v>6247</v>
      </c>
      <c r="H231" s="60" t="s">
        <v>6248</v>
      </c>
      <c r="I231" s="60" t="s">
        <v>6249</v>
      </c>
      <c r="J231" s="60" t="s">
        <v>6250</v>
      </c>
      <c r="K231" s="60" t="s">
        <v>6251</v>
      </c>
      <c r="L231" s="60" t="s">
        <v>6252</v>
      </c>
      <c r="M231" s="60" t="s">
        <v>6253</v>
      </c>
      <c r="N231" s="60" t="s">
        <v>6254</v>
      </c>
      <c r="O231" s="60" t="s">
        <v>6255</v>
      </c>
      <c r="P231" s="60" t="s">
        <v>6256</v>
      </c>
      <c r="Q231" s="60" t="s">
        <v>6257</v>
      </c>
      <c r="R231" s="60" t="s">
        <v>6258</v>
      </c>
      <c r="S231" s="60" t="s">
        <v>6259</v>
      </c>
      <c r="T231" s="60" t="s">
        <v>6260</v>
      </c>
      <c r="U231" s="60" t="s">
        <v>6261</v>
      </c>
      <c r="V231" s="60" t="s">
        <v>6262</v>
      </c>
      <c r="W231" s="60" t="s">
        <v>6263</v>
      </c>
      <c r="X231" s="60" t="s">
        <v>6264</v>
      </c>
      <c r="Y231" s="60" t="s">
        <v>6265</v>
      </c>
      <c r="Z231" s="60" t="s">
        <v>6266</v>
      </c>
      <c r="AA231" s="60" t="s">
        <v>6267</v>
      </c>
      <c r="AB231" s="60" t="s">
        <v>6268</v>
      </c>
      <c r="AC231" s="60" t="s">
        <v>6269</v>
      </c>
    </row>
    <row r="232">
      <c r="A232" s="59" t="s">
        <v>6270</v>
      </c>
      <c r="B232" s="60" t="s">
        <v>6271</v>
      </c>
      <c r="C232" s="61" t="s">
        <v>6272</v>
      </c>
      <c r="D232" s="60" t="s">
        <v>6273</v>
      </c>
      <c r="E232" s="60" t="s">
        <v>6274</v>
      </c>
      <c r="F232" s="60" t="s">
        <v>6275</v>
      </c>
      <c r="G232" s="60" t="s">
        <v>6276</v>
      </c>
      <c r="H232" s="60" t="s">
        <v>6277</v>
      </c>
      <c r="I232" s="60" t="s">
        <v>6278</v>
      </c>
      <c r="J232" s="60" t="s">
        <v>6279</v>
      </c>
      <c r="K232" s="60" t="s">
        <v>6280</v>
      </c>
      <c r="L232" s="60" t="s">
        <v>6281</v>
      </c>
      <c r="M232" s="60" t="s">
        <v>6282</v>
      </c>
      <c r="N232" s="60" t="s">
        <v>6283</v>
      </c>
      <c r="O232" s="60" t="s">
        <v>6284</v>
      </c>
      <c r="P232" s="60" t="s">
        <v>6285</v>
      </c>
      <c r="Q232" s="60" t="s">
        <v>6286</v>
      </c>
      <c r="R232" s="60" t="s">
        <v>6287</v>
      </c>
      <c r="S232" s="60" t="s">
        <v>6288</v>
      </c>
      <c r="T232" s="60" t="s">
        <v>6289</v>
      </c>
      <c r="U232" s="60" t="s">
        <v>6290</v>
      </c>
      <c r="V232" s="60" t="s">
        <v>6291</v>
      </c>
      <c r="W232" s="60" t="s">
        <v>6292</v>
      </c>
      <c r="X232" s="60" t="s">
        <v>6293</v>
      </c>
      <c r="Y232" s="60" t="s">
        <v>6294</v>
      </c>
      <c r="Z232" s="60" t="s">
        <v>6295</v>
      </c>
      <c r="AA232" s="60" t="s">
        <v>6296</v>
      </c>
      <c r="AB232" s="60" t="s">
        <v>6297</v>
      </c>
      <c r="AC232" s="60" t="s">
        <v>6298</v>
      </c>
    </row>
    <row r="233">
      <c r="A233" s="59" t="s">
        <v>6299</v>
      </c>
      <c r="B233" s="60" t="s">
        <v>6300</v>
      </c>
      <c r="C233" s="61" t="s">
        <v>6301</v>
      </c>
      <c r="D233" s="60" t="s">
        <v>6302</v>
      </c>
      <c r="E233" s="60" t="s">
        <v>6303</v>
      </c>
      <c r="F233" s="60" t="s">
        <v>6304</v>
      </c>
      <c r="G233" s="60" t="s">
        <v>6305</v>
      </c>
      <c r="H233" s="60" t="s">
        <v>6306</v>
      </c>
      <c r="I233" s="60" t="s">
        <v>6307</v>
      </c>
      <c r="J233" s="60" t="s">
        <v>6308</v>
      </c>
      <c r="K233" s="60" t="s">
        <v>6309</v>
      </c>
      <c r="L233" s="60" t="s">
        <v>6310</v>
      </c>
      <c r="M233" s="60" t="s">
        <v>6311</v>
      </c>
      <c r="N233" s="60" t="s">
        <v>6312</v>
      </c>
      <c r="O233" s="60" t="s">
        <v>6313</v>
      </c>
      <c r="P233" s="60" t="s">
        <v>6314</v>
      </c>
      <c r="Q233" s="60" t="s">
        <v>6315</v>
      </c>
      <c r="R233" s="60" t="s">
        <v>6316</v>
      </c>
      <c r="S233" s="60" t="s">
        <v>6317</v>
      </c>
      <c r="T233" s="60" t="s">
        <v>6318</v>
      </c>
      <c r="U233" s="60" t="s">
        <v>6319</v>
      </c>
      <c r="V233" s="60" t="s">
        <v>6320</v>
      </c>
      <c r="W233" s="60" t="s">
        <v>6321</v>
      </c>
      <c r="X233" s="60" t="s">
        <v>6322</v>
      </c>
      <c r="Y233" s="60" t="s">
        <v>6323</v>
      </c>
      <c r="Z233" s="60" t="s">
        <v>6324</v>
      </c>
      <c r="AA233" s="60" t="s">
        <v>6325</v>
      </c>
      <c r="AB233" s="60" t="s">
        <v>6326</v>
      </c>
      <c r="AC233" s="60" t="s">
        <v>6327</v>
      </c>
    </row>
    <row r="234">
      <c r="A234" s="59" t="s">
        <v>6328</v>
      </c>
      <c r="B234" s="60" t="s">
        <v>6329</v>
      </c>
      <c r="C234" s="61" t="s">
        <v>6330</v>
      </c>
      <c r="D234" s="60" t="s">
        <v>6331</v>
      </c>
      <c r="E234" s="60" t="s">
        <v>6332</v>
      </c>
      <c r="F234" s="60" t="s">
        <v>6333</v>
      </c>
      <c r="G234" s="60" t="s">
        <v>6334</v>
      </c>
      <c r="H234" s="60" t="s">
        <v>6335</v>
      </c>
      <c r="I234" s="60" t="s">
        <v>6336</v>
      </c>
      <c r="J234" s="60" t="s">
        <v>6337</v>
      </c>
      <c r="K234" s="60" t="s">
        <v>6338</v>
      </c>
      <c r="L234" s="60" t="s">
        <v>6339</v>
      </c>
      <c r="M234" s="60" t="s">
        <v>6340</v>
      </c>
      <c r="N234" s="60" t="s">
        <v>6341</v>
      </c>
      <c r="O234" s="60" t="s">
        <v>6342</v>
      </c>
      <c r="P234" s="60" t="s">
        <v>6343</v>
      </c>
      <c r="Q234" s="60" t="s">
        <v>6344</v>
      </c>
      <c r="R234" s="60" t="s">
        <v>6345</v>
      </c>
      <c r="S234" s="60" t="s">
        <v>6346</v>
      </c>
      <c r="T234" s="60" t="s">
        <v>6347</v>
      </c>
      <c r="U234" s="60" t="s">
        <v>6348</v>
      </c>
      <c r="V234" s="60" t="s">
        <v>6349</v>
      </c>
      <c r="W234" s="60" t="s">
        <v>6350</v>
      </c>
      <c r="X234" s="60" t="s">
        <v>2612</v>
      </c>
      <c r="Y234" s="60" t="s">
        <v>664</v>
      </c>
      <c r="Z234" s="60" t="s">
        <v>6351</v>
      </c>
      <c r="AA234" s="60" t="s">
        <v>6352</v>
      </c>
      <c r="AB234" s="60" t="s">
        <v>6353</v>
      </c>
      <c r="AC234" s="60" t="s">
        <v>2617</v>
      </c>
    </row>
    <row r="235">
      <c r="A235" s="59" t="s">
        <v>6354</v>
      </c>
      <c r="B235" s="60" t="s">
        <v>6355</v>
      </c>
      <c r="C235" s="61" t="s">
        <v>6356</v>
      </c>
      <c r="D235" s="60" t="s">
        <v>6357</v>
      </c>
      <c r="E235" s="60" t="s">
        <v>6358</v>
      </c>
      <c r="F235" s="60" t="s">
        <v>6359</v>
      </c>
      <c r="G235" s="60" t="s">
        <v>6360</v>
      </c>
      <c r="H235" s="60" t="s">
        <v>6361</v>
      </c>
      <c r="I235" s="60" t="s">
        <v>6362</v>
      </c>
      <c r="J235" s="60" t="s">
        <v>6363</v>
      </c>
      <c r="K235" s="60" t="s">
        <v>6364</v>
      </c>
      <c r="L235" s="60" t="s">
        <v>6365</v>
      </c>
      <c r="M235" s="60" t="s">
        <v>6366</v>
      </c>
      <c r="N235" s="60" t="s">
        <v>6367</v>
      </c>
      <c r="O235" s="60" t="s">
        <v>6368</v>
      </c>
      <c r="P235" s="60" t="s">
        <v>6369</v>
      </c>
      <c r="Q235" s="60" t="s">
        <v>6370</v>
      </c>
      <c r="R235" s="60" t="s">
        <v>6371</v>
      </c>
      <c r="S235" s="60" t="s">
        <v>6372</v>
      </c>
      <c r="T235" s="60" t="s">
        <v>6373</v>
      </c>
      <c r="U235" s="60" t="s">
        <v>6374</v>
      </c>
      <c r="V235" s="60" t="s">
        <v>6375</v>
      </c>
      <c r="W235" s="60" t="s">
        <v>6376</v>
      </c>
      <c r="X235" s="60" t="s">
        <v>6377</v>
      </c>
      <c r="Y235" s="60" t="s">
        <v>6378</v>
      </c>
      <c r="Z235" s="60" t="s">
        <v>6379</v>
      </c>
      <c r="AA235" s="60" t="s">
        <v>6380</v>
      </c>
      <c r="AB235" s="60" t="s">
        <v>6381</v>
      </c>
      <c r="AC235" s="60" t="s">
        <v>6382</v>
      </c>
    </row>
    <row r="236">
      <c r="A236" s="59" t="s">
        <v>6383</v>
      </c>
      <c r="B236" s="60" t="s">
        <v>6384</v>
      </c>
      <c r="C236" s="61" t="s">
        <v>6385</v>
      </c>
      <c r="D236" s="60" t="s">
        <v>750</v>
      </c>
      <c r="E236" s="60" t="s">
        <v>751</v>
      </c>
      <c r="F236" s="60" t="s">
        <v>6386</v>
      </c>
      <c r="G236" s="60" t="s">
        <v>753</v>
      </c>
      <c r="H236" s="60" t="s">
        <v>6387</v>
      </c>
      <c r="I236" s="60" t="s">
        <v>755</v>
      </c>
      <c r="J236" s="60" t="s">
        <v>6388</v>
      </c>
      <c r="K236" s="60" t="s">
        <v>6389</v>
      </c>
      <c r="L236" s="60" t="s">
        <v>758</v>
      </c>
      <c r="M236" s="60" t="s">
        <v>759</v>
      </c>
      <c r="N236" s="60" t="s">
        <v>760</v>
      </c>
      <c r="O236" s="60" t="s">
        <v>6390</v>
      </c>
      <c r="P236" s="60" t="s">
        <v>762</v>
      </c>
      <c r="Q236" s="60" t="s">
        <v>6391</v>
      </c>
      <c r="R236" s="60" t="s">
        <v>764</v>
      </c>
      <c r="S236" s="60" t="s">
        <v>765</v>
      </c>
      <c r="T236" s="60" t="s">
        <v>766</v>
      </c>
      <c r="U236" s="60" t="s">
        <v>751</v>
      </c>
      <c r="V236" s="60" t="s">
        <v>6392</v>
      </c>
      <c r="W236" s="60" t="s">
        <v>6393</v>
      </c>
      <c r="X236" s="60" t="s">
        <v>6394</v>
      </c>
      <c r="Y236" s="60" t="s">
        <v>771</v>
      </c>
      <c r="Z236" s="60" t="s">
        <v>6395</v>
      </c>
      <c r="AA236" s="60" t="s">
        <v>6396</v>
      </c>
      <c r="AB236" s="60" t="s">
        <v>6397</v>
      </c>
      <c r="AC236" s="60" t="s">
        <v>775</v>
      </c>
    </row>
    <row r="237">
      <c r="A237" s="59" t="s">
        <v>6398</v>
      </c>
      <c r="B237" s="60" t="s">
        <v>6399</v>
      </c>
      <c r="C237" s="61" t="s">
        <v>6400</v>
      </c>
      <c r="D237" s="60" t="s">
        <v>6401</v>
      </c>
      <c r="E237" s="60" t="s">
        <v>6402</v>
      </c>
      <c r="F237" s="60" t="s">
        <v>6403</v>
      </c>
      <c r="G237" s="60" t="s">
        <v>6404</v>
      </c>
      <c r="H237" s="60" t="s">
        <v>6405</v>
      </c>
      <c r="I237" s="60" t="s">
        <v>6406</v>
      </c>
      <c r="J237" s="60" t="s">
        <v>6407</v>
      </c>
      <c r="K237" s="60" t="s">
        <v>6408</v>
      </c>
      <c r="L237" s="60" t="s">
        <v>6409</v>
      </c>
      <c r="M237" s="60" t="s">
        <v>6410</v>
      </c>
      <c r="N237" s="60" t="s">
        <v>6411</v>
      </c>
      <c r="O237" s="60" t="s">
        <v>6412</v>
      </c>
      <c r="P237" s="60" t="s">
        <v>6413</v>
      </c>
      <c r="Q237" s="60" t="s">
        <v>6414</v>
      </c>
      <c r="R237" s="60" t="s">
        <v>6415</v>
      </c>
      <c r="S237" s="60" t="s">
        <v>6416</v>
      </c>
      <c r="T237" s="60" t="s">
        <v>6417</v>
      </c>
      <c r="U237" s="60" t="s">
        <v>6418</v>
      </c>
      <c r="V237" s="60" t="s">
        <v>6419</v>
      </c>
      <c r="W237" s="60" t="s">
        <v>6420</v>
      </c>
      <c r="X237" s="60" t="s">
        <v>6421</v>
      </c>
      <c r="Y237" s="60" t="s">
        <v>6422</v>
      </c>
      <c r="Z237" s="60" t="s">
        <v>6423</v>
      </c>
      <c r="AA237" s="60" t="s">
        <v>6424</v>
      </c>
      <c r="AB237" s="60" t="s">
        <v>6425</v>
      </c>
      <c r="AC237" s="60" t="s">
        <v>6426</v>
      </c>
    </row>
    <row r="238">
      <c r="A238" s="59" t="s">
        <v>6427</v>
      </c>
      <c r="B238" s="60" t="s">
        <v>6428</v>
      </c>
      <c r="C238" s="60" t="s">
        <v>6428</v>
      </c>
      <c r="D238" s="60" t="s">
        <v>6428</v>
      </c>
      <c r="E238" s="60" t="s">
        <v>6428</v>
      </c>
      <c r="F238" s="60" t="s">
        <v>6428</v>
      </c>
      <c r="G238" s="60" t="s">
        <v>6429</v>
      </c>
      <c r="H238" s="60" t="s">
        <v>6428</v>
      </c>
      <c r="I238" s="60" t="s">
        <v>6428</v>
      </c>
      <c r="J238" s="60" t="s">
        <v>6428</v>
      </c>
      <c r="K238" s="60" t="s">
        <v>6428</v>
      </c>
      <c r="L238" s="60" t="s">
        <v>6428</v>
      </c>
      <c r="M238" s="60" t="s">
        <v>6428</v>
      </c>
      <c r="N238" s="60" t="s">
        <v>6428</v>
      </c>
      <c r="O238" s="60" t="s">
        <v>6430</v>
      </c>
      <c r="P238" s="60" t="s">
        <v>6428</v>
      </c>
      <c r="Q238" s="60" t="s">
        <v>6428</v>
      </c>
      <c r="R238" s="60" t="s">
        <v>6428</v>
      </c>
      <c r="S238" s="60" t="s">
        <v>6431</v>
      </c>
      <c r="T238" s="60" t="s">
        <v>6428</v>
      </c>
      <c r="U238" s="60" t="s">
        <v>6428</v>
      </c>
      <c r="V238" s="60" t="s">
        <v>6428</v>
      </c>
      <c r="W238" s="60" t="s">
        <v>6428</v>
      </c>
      <c r="X238" s="60" t="s">
        <v>6428</v>
      </c>
      <c r="Y238" s="60" t="s">
        <v>6428</v>
      </c>
      <c r="Z238" s="60" t="s">
        <v>6428</v>
      </c>
      <c r="AA238" s="60" t="s">
        <v>6428</v>
      </c>
      <c r="AB238" s="60" t="s">
        <v>6428</v>
      </c>
      <c r="AC238" s="60" t="s">
        <v>6432</v>
      </c>
    </row>
    <row r="239">
      <c r="A239" s="59" t="s">
        <v>6433</v>
      </c>
      <c r="B239" s="60" t="s">
        <v>6434</v>
      </c>
      <c r="C239" s="61" t="s">
        <v>6435</v>
      </c>
      <c r="D239" s="60" t="s">
        <v>6436</v>
      </c>
      <c r="E239" s="60" t="s">
        <v>6437</v>
      </c>
      <c r="F239" s="60" t="s">
        <v>6438</v>
      </c>
      <c r="G239" s="60" t="s">
        <v>6439</v>
      </c>
      <c r="H239" s="60" t="s">
        <v>6440</v>
      </c>
      <c r="I239" s="60" t="s">
        <v>6441</v>
      </c>
      <c r="J239" s="60" t="s">
        <v>6442</v>
      </c>
      <c r="K239" s="60" t="s">
        <v>6443</v>
      </c>
      <c r="L239" s="60" t="s">
        <v>6444</v>
      </c>
      <c r="M239" s="60" t="s">
        <v>6445</v>
      </c>
      <c r="N239" s="60" t="s">
        <v>6446</v>
      </c>
      <c r="O239" s="60" t="s">
        <v>6447</v>
      </c>
      <c r="P239" s="60" t="s">
        <v>807</v>
      </c>
      <c r="Q239" s="60" t="s">
        <v>6448</v>
      </c>
      <c r="R239" s="60" t="s">
        <v>6449</v>
      </c>
      <c r="S239" s="60" t="s">
        <v>6450</v>
      </c>
      <c r="T239" s="60" t="s">
        <v>6444</v>
      </c>
      <c r="U239" s="60" t="s">
        <v>6451</v>
      </c>
      <c r="V239" s="60" t="s">
        <v>6452</v>
      </c>
      <c r="W239" s="60" t="s">
        <v>6453</v>
      </c>
      <c r="X239" s="60" t="s">
        <v>6454</v>
      </c>
      <c r="Y239" s="60" t="s">
        <v>6455</v>
      </c>
      <c r="Z239" s="60" t="s">
        <v>6456</v>
      </c>
      <c r="AA239" s="60" t="s">
        <v>6457</v>
      </c>
      <c r="AB239" s="60" t="s">
        <v>6458</v>
      </c>
      <c r="AC239" s="60" t="s">
        <v>6459</v>
      </c>
    </row>
    <row r="240">
      <c r="A240" s="59" t="s">
        <v>6460</v>
      </c>
      <c r="B240" s="60" t="s">
        <v>6461</v>
      </c>
      <c r="C240" s="61" t="s">
        <v>6462</v>
      </c>
      <c r="D240" s="60" t="s">
        <v>6463</v>
      </c>
      <c r="E240" s="60" t="s">
        <v>6464</v>
      </c>
      <c r="F240" s="60" t="s">
        <v>6465</v>
      </c>
      <c r="G240" s="60" t="s">
        <v>6466</v>
      </c>
      <c r="H240" s="60" t="s">
        <v>6467</v>
      </c>
      <c r="I240" s="60" t="s">
        <v>6468</v>
      </c>
      <c r="J240" s="60" t="s">
        <v>6469</v>
      </c>
      <c r="K240" s="60" t="s">
        <v>6470</v>
      </c>
      <c r="L240" s="60" t="s">
        <v>6471</v>
      </c>
      <c r="M240" s="60" t="s">
        <v>6472</v>
      </c>
      <c r="N240" s="60" t="s">
        <v>6473</v>
      </c>
      <c r="O240" s="60" t="s">
        <v>6474</v>
      </c>
      <c r="P240" s="60" t="s">
        <v>6475</v>
      </c>
      <c r="Q240" s="60" t="s">
        <v>6476</v>
      </c>
      <c r="R240" s="60" t="s">
        <v>6477</v>
      </c>
      <c r="S240" s="60" t="s">
        <v>6478</v>
      </c>
      <c r="T240" s="60" t="s">
        <v>6471</v>
      </c>
      <c r="U240" s="60" t="s">
        <v>6451</v>
      </c>
      <c r="V240" s="60" t="s">
        <v>6479</v>
      </c>
      <c r="W240" s="60" t="s">
        <v>6480</v>
      </c>
      <c r="X240" s="60" t="s">
        <v>6481</v>
      </c>
      <c r="Y240" s="60" t="s">
        <v>6482</v>
      </c>
      <c r="Z240" s="60" t="s">
        <v>6483</v>
      </c>
      <c r="AA240" s="60" t="s">
        <v>6484</v>
      </c>
      <c r="AB240" s="60" t="s">
        <v>6485</v>
      </c>
      <c r="AC240" s="60" t="s">
        <v>6486</v>
      </c>
    </row>
    <row r="241">
      <c r="A241" s="59" t="s">
        <v>6487</v>
      </c>
      <c r="B241" s="60" t="s">
        <v>6488</v>
      </c>
      <c r="C241" s="61" t="s">
        <v>6489</v>
      </c>
      <c r="D241" s="60" t="s">
        <v>6490</v>
      </c>
      <c r="E241" s="60" t="s">
        <v>6491</v>
      </c>
      <c r="F241" s="60" t="s">
        <v>6492</v>
      </c>
      <c r="G241" s="60" t="s">
        <v>6488</v>
      </c>
      <c r="H241" s="60" t="s">
        <v>6493</v>
      </c>
      <c r="I241" s="60" t="s">
        <v>6494</v>
      </c>
      <c r="J241" s="60" t="s">
        <v>6495</v>
      </c>
      <c r="K241" s="60" t="s">
        <v>6496</v>
      </c>
      <c r="L241" s="60" t="s">
        <v>6497</v>
      </c>
      <c r="M241" s="60" t="s">
        <v>6498</v>
      </c>
      <c r="N241" s="60" t="s">
        <v>6499</v>
      </c>
      <c r="O241" s="60" t="s">
        <v>6500</v>
      </c>
      <c r="P241" s="60" t="s">
        <v>6501</v>
      </c>
      <c r="Q241" s="60" t="s">
        <v>6502</v>
      </c>
      <c r="R241" s="60" t="s">
        <v>6503</v>
      </c>
      <c r="S241" s="60" t="s">
        <v>6504</v>
      </c>
      <c r="T241" s="60" t="s">
        <v>6505</v>
      </c>
      <c r="U241" s="60" t="s">
        <v>6506</v>
      </c>
      <c r="V241" s="60" t="s">
        <v>6507</v>
      </c>
      <c r="W241" s="60" t="s">
        <v>6508</v>
      </c>
      <c r="X241" s="60" t="s">
        <v>6509</v>
      </c>
      <c r="Y241" s="60" t="s">
        <v>6510</v>
      </c>
      <c r="Z241" s="60" t="s">
        <v>6511</v>
      </c>
      <c r="AA241" s="60" t="s">
        <v>6512</v>
      </c>
      <c r="AB241" s="60" t="s">
        <v>6513</v>
      </c>
      <c r="AC241" s="60" t="s">
        <v>6514</v>
      </c>
    </row>
    <row r="242">
      <c r="A242" s="59" t="s">
        <v>6515</v>
      </c>
      <c r="B242" s="60" t="s">
        <v>6516</v>
      </c>
      <c r="C242" s="61" t="s">
        <v>6517</v>
      </c>
      <c r="D242" s="60" t="s">
        <v>6518</v>
      </c>
      <c r="E242" s="60" t="s">
        <v>6519</v>
      </c>
      <c r="F242" s="60" t="s">
        <v>6520</v>
      </c>
      <c r="G242" s="60" t="s">
        <v>6521</v>
      </c>
      <c r="H242" s="60" t="s">
        <v>6522</v>
      </c>
      <c r="I242" s="60" t="s">
        <v>6523</v>
      </c>
      <c r="J242" s="60" t="s">
        <v>6524</v>
      </c>
      <c r="K242" s="60" t="s">
        <v>6525</v>
      </c>
      <c r="L242" s="60" t="s">
        <v>6526</v>
      </c>
      <c r="M242" s="60" t="s">
        <v>6527</v>
      </c>
      <c r="N242" s="60" t="s">
        <v>6528</v>
      </c>
      <c r="O242" s="60" t="s">
        <v>6529</v>
      </c>
      <c r="P242" s="60" t="s">
        <v>6530</v>
      </c>
      <c r="Q242" s="60" t="s">
        <v>6531</v>
      </c>
      <c r="R242" s="60" t="s">
        <v>6532</v>
      </c>
      <c r="S242" s="60" t="s">
        <v>6533</v>
      </c>
      <c r="T242" s="60" t="s">
        <v>6534</v>
      </c>
      <c r="U242" s="60" t="s">
        <v>6535</v>
      </c>
      <c r="V242" s="60" t="s">
        <v>6536</v>
      </c>
      <c r="W242" s="60" t="s">
        <v>6537</v>
      </c>
      <c r="X242" s="60" t="s">
        <v>6538</v>
      </c>
      <c r="Y242" s="60" t="s">
        <v>6539</v>
      </c>
      <c r="Z242" s="60" t="s">
        <v>6540</v>
      </c>
      <c r="AA242" s="60" t="s">
        <v>6541</v>
      </c>
      <c r="AB242" s="60" t="s">
        <v>6542</v>
      </c>
      <c r="AC242" s="60" t="s">
        <v>6543</v>
      </c>
    </row>
    <row r="243">
      <c r="A243" s="59" t="s">
        <v>6544</v>
      </c>
      <c r="B243" s="60" t="s">
        <v>6545</v>
      </c>
      <c r="C243" s="61" t="s">
        <v>6546</v>
      </c>
      <c r="D243" s="60" t="s">
        <v>6547</v>
      </c>
      <c r="E243" s="60" t="s">
        <v>6548</v>
      </c>
      <c r="F243" s="60" t="s">
        <v>6549</v>
      </c>
      <c r="G243" s="60" t="s">
        <v>6550</v>
      </c>
      <c r="H243" s="60" t="s">
        <v>6551</v>
      </c>
      <c r="I243" s="60" t="s">
        <v>6552</v>
      </c>
      <c r="J243" s="60" t="s">
        <v>6553</v>
      </c>
      <c r="K243" s="60" t="s">
        <v>6554</v>
      </c>
      <c r="L243" s="60" t="s">
        <v>6555</v>
      </c>
      <c r="M243" s="60" t="s">
        <v>6556</v>
      </c>
      <c r="N243" s="60" t="s">
        <v>6557</v>
      </c>
      <c r="O243" s="60" t="s">
        <v>6558</v>
      </c>
      <c r="P243" s="60" t="s">
        <v>6559</v>
      </c>
      <c r="Q243" s="60" t="s">
        <v>6560</v>
      </c>
      <c r="R243" s="60" t="s">
        <v>6561</v>
      </c>
      <c r="S243" s="60" t="s">
        <v>6562</v>
      </c>
      <c r="T243" s="60" t="s">
        <v>6563</v>
      </c>
      <c r="U243" s="60" t="s">
        <v>6564</v>
      </c>
      <c r="V243" s="60" t="s">
        <v>6565</v>
      </c>
      <c r="W243" s="60" t="s">
        <v>6566</v>
      </c>
      <c r="X243" s="60" t="s">
        <v>6567</v>
      </c>
      <c r="Y243" s="60" t="s">
        <v>6568</v>
      </c>
      <c r="Z243" s="60" t="s">
        <v>6569</v>
      </c>
      <c r="AA243" s="60" t="s">
        <v>6570</v>
      </c>
      <c r="AB243" s="60" t="s">
        <v>6571</v>
      </c>
      <c r="AC243" s="60" t="s">
        <v>6572</v>
      </c>
    </row>
    <row r="244">
      <c r="A244" s="59" t="s">
        <v>6573</v>
      </c>
      <c r="B244" s="60" t="s">
        <v>6574</v>
      </c>
      <c r="C244" s="61" t="s">
        <v>6575</v>
      </c>
      <c r="D244" s="60" t="s">
        <v>6576</v>
      </c>
      <c r="E244" s="60" t="s">
        <v>6577</v>
      </c>
      <c r="F244" s="60" t="s">
        <v>6578</v>
      </c>
      <c r="G244" s="60" t="s">
        <v>6579</v>
      </c>
      <c r="H244" s="60" t="s">
        <v>6580</v>
      </c>
      <c r="I244" s="60" t="s">
        <v>6581</v>
      </c>
      <c r="J244" s="60" t="s">
        <v>6582</v>
      </c>
      <c r="K244" s="60" t="s">
        <v>6583</v>
      </c>
      <c r="L244" s="60" t="s">
        <v>6584</v>
      </c>
      <c r="M244" s="60" t="s">
        <v>6585</v>
      </c>
      <c r="N244" s="60" t="s">
        <v>6586</v>
      </c>
      <c r="O244" s="60" t="s">
        <v>6587</v>
      </c>
      <c r="P244" s="60" t="s">
        <v>6588</v>
      </c>
      <c r="Q244" s="60" t="s">
        <v>6589</v>
      </c>
      <c r="R244" s="60" t="s">
        <v>6590</v>
      </c>
      <c r="S244" s="60" t="s">
        <v>6591</v>
      </c>
      <c r="T244" s="60" t="s">
        <v>6592</v>
      </c>
      <c r="U244" s="60" t="s">
        <v>6593</v>
      </c>
      <c r="V244" s="60" t="s">
        <v>6594</v>
      </c>
      <c r="W244" s="60" t="s">
        <v>6595</v>
      </c>
      <c r="X244" s="60" t="s">
        <v>6596</v>
      </c>
      <c r="Y244" s="60" t="s">
        <v>6597</v>
      </c>
      <c r="Z244" s="60" t="s">
        <v>6598</v>
      </c>
      <c r="AA244" s="60" t="s">
        <v>6599</v>
      </c>
      <c r="AB244" s="60" t="s">
        <v>6600</v>
      </c>
      <c r="AC244" s="60" t="s">
        <v>6601</v>
      </c>
    </row>
    <row r="245">
      <c r="A245" s="59" t="s">
        <v>6602</v>
      </c>
      <c r="B245" s="60" t="s">
        <v>6603</v>
      </c>
      <c r="C245" s="61" t="s">
        <v>6604</v>
      </c>
      <c r="D245" s="60" t="s">
        <v>6605</v>
      </c>
      <c r="E245" s="60" t="s">
        <v>6606</v>
      </c>
      <c r="F245" s="60" t="s">
        <v>6607</v>
      </c>
      <c r="G245" s="60" t="s">
        <v>6608</v>
      </c>
      <c r="H245" s="60" t="s">
        <v>6609</v>
      </c>
      <c r="I245" s="60" t="s">
        <v>6610</v>
      </c>
      <c r="J245" s="60" t="s">
        <v>6611</v>
      </c>
      <c r="K245" s="60" t="s">
        <v>6612</v>
      </c>
      <c r="L245" s="60" t="s">
        <v>6613</v>
      </c>
      <c r="M245" s="60" t="s">
        <v>6614</v>
      </c>
      <c r="N245" s="60" t="s">
        <v>6615</v>
      </c>
      <c r="O245" s="60" t="s">
        <v>6616</v>
      </c>
      <c r="P245" s="60" t="s">
        <v>6617</v>
      </c>
      <c r="Q245" s="60" t="s">
        <v>6618</v>
      </c>
      <c r="R245" s="60" t="s">
        <v>6619</v>
      </c>
      <c r="S245" s="60" t="s">
        <v>6620</v>
      </c>
      <c r="T245" s="60" t="s">
        <v>6621</v>
      </c>
      <c r="U245" s="60" t="s">
        <v>6622</v>
      </c>
      <c r="V245" s="60" t="s">
        <v>6623</v>
      </c>
      <c r="W245" s="60" t="s">
        <v>6624</v>
      </c>
      <c r="X245" s="60" t="s">
        <v>6625</v>
      </c>
      <c r="Y245" s="60" t="s">
        <v>6626</v>
      </c>
      <c r="Z245" s="60" t="s">
        <v>6627</v>
      </c>
      <c r="AA245" s="60" t="s">
        <v>6628</v>
      </c>
      <c r="AB245" s="60" t="s">
        <v>6629</v>
      </c>
      <c r="AC245" s="60" t="s">
        <v>6630</v>
      </c>
    </row>
    <row r="246">
      <c r="A246" s="59" t="s">
        <v>6631</v>
      </c>
      <c r="B246" s="60" t="s">
        <v>1072</v>
      </c>
      <c r="C246" s="61" t="s">
        <v>1073</v>
      </c>
      <c r="D246" s="60" t="s">
        <v>1074</v>
      </c>
      <c r="E246" s="60" t="s">
        <v>6632</v>
      </c>
      <c r="F246" s="60" t="s">
        <v>1076</v>
      </c>
      <c r="G246" s="60" t="s">
        <v>1077</v>
      </c>
      <c r="H246" s="60" t="s">
        <v>6633</v>
      </c>
      <c r="I246" s="60" t="s">
        <v>1079</v>
      </c>
      <c r="J246" s="60" t="s">
        <v>1080</v>
      </c>
      <c r="K246" s="60" t="s">
        <v>1081</v>
      </c>
      <c r="L246" s="60" t="s">
        <v>1082</v>
      </c>
      <c r="M246" s="60" t="s">
        <v>1083</v>
      </c>
      <c r="N246" s="60" t="s">
        <v>1084</v>
      </c>
      <c r="O246" s="60" t="s">
        <v>1085</v>
      </c>
      <c r="P246" s="60" t="s">
        <v>1086</v>
      </c>
      <c r="Q246" s="60" t="s">
        <v>6634</v>
      </c>
      <c r="R246" s="60" t="s">
        <v>1088</v>
      </c>
      <c r="S246" s="60" t="s">
        <v>1089</v>
      </c>
      <c r="T246" s="60" t="s">
        <v>1090</v>
      </c>
      <c r="U246" s="60" t="s">
        <v>1091</v>
      </c>
      <c r="V246" s="60" t="s">
        <v>1092</v>
      </c>
      <c r="W246" s="60" t="s">
        <v>1093</v>
      </c>
      <c r="X246" s="60" t="s">
        <v>1094</v>
      </c>
      <c r="Y246" s="60" t="s">
        <v>1095</v>
      </c>
      <c r="Z246" s="60" t="s">
        <v>1096</v>
      </c>
      <c r="AA246" s="60" t="s">
        <v>1097</v>
      </c>
      <c r="AB246" s="60" t="s">
        <v>1098</v>
      </c>
      <c r="AC246" s="60" t="s">
        <v>1099</v>
      </c>
    </row>
    <row r="247">
      <c r="A247" s="59" t="s">
        <v>6635</v>
      </c>
      <c r="B247" s="60" t="s">
        <v>6636</v>
      </c>
      <c r="C247" s="61" t="s">
        <v>6637</v>
      </c>
      <c r="D247" s="60" t="s">
        <v>6638</v>
      </c>
      <c r="E247" s="60" t="s">
        <v>6639</v>
      </c>
      <c r="F247" s="60" t="s">
        <v>6640</v>
      </c>
      <c r="G247" s="60" t="s">
        <v>6641</v>
      </c>
      <c r="H247" s="60" t="s">
        <v>6642</v>
      </c>
      <c r="I247" s="60" t="s">
        <v>6643</v>
      </c>
      <c r="J247" s="60" t="s">
        <v>6636</v>
      </c>
      <c r="K247" s="60" t="s">
        <v>6644</v>
      </c>
      <c r="L247" s="60" t="s">
        <v>6645</v>
      </c>
      <c r="M247" s="60" t="s">
        <v>6646</v>
      </c>
      <c r="N247" s="60" t="s">
        <v>6647</v>
      </c>
      <c r="O247" s="60" t="s">
        <v>6648</v>
      </c>
      <c r="P247" s="60" t="s">
        <v>6649</v>
      </c>
      <c r="Q247" s="60" t="s">
        <v>6650</v>
      </c>
      <c r="R247" s="60" t="s">
        <v>6651</v>
      </c>
      <c r="S247" s="60" t="s">
        <v>6652</v>
      </c>
      <c r="T247" s="60" t="s">
        <v>6653</v>
      </c>
      <c r="U247" s="60" t="s">
        <v>6654</v>
      </c>
      <c r="V247" s="60" t="s">
        <v>6655</v>
      </c>
      <c r="W247" s="60" t="s">
        <v>6656</v>
      </c>
      <c r="X247" s="60" t="s">
        <v>6657</v>
      </c>
      <c r="Y247" s="60" t="s">
        <v>6658</v>
      </c>
      <c r="Z247" s="60" t="s">
        <v>6659</v>
      </c>
      <c r="AA247" s="60" t="s">
        <v>6660</v>
      </c>
      <c r="AB247" s="60" t="s">
        <v>6661</v>
      </c>
      <c r="AC247" s="60" t="s">
        <v>6662</v>
      </c>
    </row>
    <row r="248">
      <c r="A248" s="59" t="s">
        <v>6663</v>
      </c>
      <c r="B248" s="60" t="s">
        <v>6664</v>
      </c>
      <c r="C248" s="61" t="s">
        <v>6665</v>
      </c>
      <c r="D248" s="60" t="s">
        <v>6666</v>
      </c>
      <c r="E248" s="60" t="s">
        <v>6667</v>
      </c>
      <c r="F248" s="60" t="s">
        <v>6668</v>
      </c>
      <c r="G248" s="60" t="s">
        <v>6669</v>
      </c>
      <c r="H248" s="60" t="s">
        <v>6670</v>
      </c>
      <c r="I248" s="60" t="s">
        <v>6671</v>
      </c>
      <c r="J248" s="60" t="s">
        <v>6672</v>
      </c>
      <c r="K248" s="60" t="s">
        <v>6673</v>
      </c>
      <c r="L248" s="60" t="s">
        <v>6674</v>
      </c>
      <c r="M248" s="60" t="s">
        <v>6675</v>
      </c>
      <c r="N248" s="60" t="s">
        <v>6676</v>
      </c>
      <c r="O248" s="60" t="s">
        <v>6677</v>
      </c>
      <c r="P248" s="60" t="s">
        <v>6678</v>
      </c>
      <c r="Q248" s="60" t="s">
        <v>6679</v>
      </c>
      <c r="R248" s="60" t="s">
        <v>6680</v>
      </c>
      <c r="S248" s="60" t="s">
        <v>6681</v>
      </c>
      <c r="T248" s="60" t="s">
        <v>6682</v>
      </c>
      <c r="U248" s="60" t="s">
        <v>6683</v>
      </c>
      <c r="V248" s="60" t="s">
        <v>6684</v>
      </c>
      <c r="W248" s="60" t="s">
        <v>6685</v>
      </c>
      <c r="X248" s="60" t="s">
        <v>6686</v>
      </c>
      <c r="Y248" s="60" t="s">
        <v>6687</v>
      </c>
      <c r="Z248" s="60" t="s">
        <v>6688</v>
      </c>
      <c r="AA248" s="60" t="s">
        <v>6689</v>
      </c>
      <c r="AB248" s="60" t="s">
        <v>6690</v>
      </c>
      <c r="AC248" s="60" t="s">
        <v>6691</v>
      </c>
    </row>
    <row r="249">
      <c r="A249" s="59" t="s">
        <v>6692</v>
      </c>
      <c r="B249" s="60" t="s">
        <v>6693</v>
      </c>
      <c r="C249" s="61" t="s">
        <v>6694</v>
      </c>
      <c r="D249" s="60" t="s">
        <v>6695</v>
      </c>
      <c r="E249" s="60" t="s">
        <v>6696</v>
      </c>
      <c r="F249" s="60" t="s">
        <v>6697</v>
      </c>
      <c r="G249" s="60" t="s">
        <v>6698</v>
      </c>
      <c r="H249" s="60" t="s">
        <v>6699</v>
      </c>
      <c r="I249" s="60" t="s">
        <v>6700</v>
      </c>
      <c r="J249" s="60" t="s">
        <v>6701</v>
      </c>
      <c r="K249" s="60" t="s">
        <v>6702</v>
      </c>
      <c r="L249" s="60" t="s">
        <v>6703</v>
      </c>
      <c r="M249" s="60" t="s">
        <v>6704</v>
      </c>
      <c r="N249" s="60" t="s">
        <v>6705</v>
      </c>
      <c r="O249" s="60" t="s">
        <v>6706</v>
      </c>
      <c r="P249" s="60" t="s">
        <v>6707</v>
      </c>
      <c r="Q249" s="60" t="s">
        <v>6708</v>
      </c>
      <c r="R249" s="60" t="s">
        <v>6709</v>
      </c>
      <c r="S249" s="60" t="s">
        <v>6699</v>
      </c>
      <c r="T249" s="60" t="s">
        <v>6703</v>
      </c>
      <c r="U249" s="60" t="s">
        <v>6710</v>
      </c>
      <c r="V249" s="60" t="s">
        <v>6711</v>
      </c>
      <c r="W249" s="60" t="s">
        <v>6712</v>
      </c>
      <c r="X249" s="60" t="s">
        <v>6713</v>
      </c>
      <c r="Y249" s="60" t="s">
        <v>6714</v>
      </c>
      <c r="Z249" s="60" t="s">
        <v>6715</v>
      </c>
      <c r="AA249" s="60" t="s">
        <v>6716</v>
      </c>
      <c r="AB249" s="60" t="s">
        <v>6717</v>
      </c>
      <c r="AC249" s="60" t="s">
        <v>6718</v>
      </c>
    </row>
    <row r="250">
      <c r="A250" s="59" t="s">
        <v>6719</v>
      </c>
      <c r="B250" s="60" t="s">
        <v>6720</v>
      </c>
      <c r="C250" s="61" t="s">
        <v>6721</v>
      </c>
      <c r="D250" s="60" t="s">
        <v>6722</v>
      </c>
      <c r="E250" s="60" t="s">
        <v>6723</v>
      </c>
      <c r="F250" s="60" t="s">
        <v>6724</v>
      </c>
      <c r="G250" s="60" t="s">
        <v>6725</v>
      </c>
      <c r="H250" s="60" t="s">
        <v>6726</v>
      </c>
      <c r="I250" s="60" t="s">
        <v>6727</v>
      </c>
      <c r="J250" s="60" t="s">
        <v>6728</v>
      </c>
      <c r="K250" s="60" t="s">
        <v>6729</v>
      </c>
      <c r="L250" s="60" t="s">
        <v>6730</v>
      </c>
      <c r="M250" s="60" t="s">
        <v>6731</v>
      </c>
      <c r="N250" s="60" t="s">
        <v>6732</v>
      </c>
      <c r="O250" s="60" t="s">
        <v>6733</v>
      </c>
      <c r="P250" s="60" t="s">
        <v>6734</v>
      </c>
      <c r="Q250" s="60" t="s">
        <v>6735</v>
      </c>
      <c r="R250" s="60" t="s">
        <v>6736</v>
      </c>
      <c r="S250" s="60" t="s">
        <v>6737</v>
      </c>
      <c r="T250" s="60" t="s">
        <v>6738</v>
      </c>
      <c r="U250" s="60" t="s">
        <v>6739</v>
      </c>
      <c r="V250" s="60" t="s">
        <v>6740</v>
      </c>
      <c r="W250" s="60" t="s">
        <v>6741</v>
      </c>
      <c r="X250" s="60" t="s">
        <v>6742</v>
      </c>
      <c r="Y250" s="60" t="s">
        <v>6743</v>
      </c>
      <c r="Z250" s="60" t="s">
        <v>6744</v>
      </c>
      <c r="AA250" s="60" t="s">
        <v>6745</v>
      </c>
      <c r="AB250" s="60" t="s">
        <v>6746</v>
      </c>
      <c r="AC250" s="60" t="s">
        <v>6747</v>
      </c>
    </row>
    <row r="251">
      <c r="A251" s="59" t="s">
        <v>6748</v>
      </c>
      <c r="B251" s="60" t="s">
        <v>6749</v>
      </c>
      <c r="C251" s="61" t="s">
        <v>6750</v>
      </c>
      <c r="D251" s="60" t="s">
        <v>6751</v>
      </c>
      <c r="E251" s="60" t="s">
        <v>6752</v>
      </c>
      <c r="F251" s="60" t="s">
        <v>6753</v>
      </c>
      <c r="G251" s="60" t="s">
        <v>6754</v>
      </c>
      <c r="H251" s="60" t="s">
        <v>6755</v>
      </c>
      <c r="I251" s="60" t="s">
        <v>6756</v>
      </c>
      <c r="J251" s="60" t="s">
        <v>6757</v>
      </c>
      <c r="K251" s="60" t="s">
        <v>6758</v>
      </c>
      <c r="L251" s="60" t="s">
        <v>6759</v>
      </c>
      <c r="M251" s="60" t="s">
        <v>6760</v>
      </c>
      <c r="N251" s="60" t="s">
        <v>6761</v>
      </c>
      <c r="O251" s="60" t="s">
        <v>6762</v>
      </c>
      <c r="P251" s="60" t="s">
        <v>6763</v>
      </c>
      <c r="Q251" s="60" t="s">
        <v>6764</v>
      </c>
      <c r="R251" s="60" t="s">
        <v>6765</v>
      </c>
      <c r="S251" s="60" t="s">
        <v>6766</v>
      </c>
      <c r="T251" s="60" t="s">
        <v>6767</v>
      </c>
      <c r="U251" s="60" t="s">
        <v>6768</v>
      </c>
      <c r="V251" s="60" t="s">
        <v>6769</v>
      </c>
      <c r="W251" s="60" t="s">
        <v>6770</v>
      </c>
      <c r="X251" s="60" t="s">
        <v>6771</v>
      </c>
      <c r="Y251" s="60" t="s">
        <v>6772</v>
      </c>
      <c r="Z251" s="60" t="s">
        <v>6773</v>
      </c>
      <c r="AA251" s="60" t="s">
        <v>6774</v>
      </c>
      <c r="AB251" s="60" t="s">
        <v>6775</v>
      </c>
      <c r="AC251" s="60" t="s">
        <v>6776</v>
      </c>
    </row>
    <row r="252">
      <c r="A252" s="59" t="s">
        <v>6777</v>
      </c>
      <c r="B252" s="60" t="s">
        <v>6749</v>
      </c>
      <c r="C252" s="61" t="s">
        <v>6750</v>
      </c>
      <c r="D252" s="60" t="s">
        <v>6751</v>
      </c>
      <c r="E252" s="60" t="s">
        <v>6752</v>
      </c>
      <c r="F252" s="60" t="s">
        <v>6753</v>
      </c>
      <c r="G252" s="60" t="s">
        <v>6754</v>
      </c>
      <c r="H252" s="60" t="s">
        <v>6755</v>
      </c>
      <c r="I252" s="60" t="s">
        <v>6756</v>
      </c>
      <c r="J252" s="60" t="s">
        <v>6757</v>
      </c>
      <c r="K252" s="60" t="s">
        <v>6758</v>
      </c>
      <c r="L252" s="60" t="s">
        <v>6759</v>
      </c>
      <c r="M252" s="60" t="s">
        <v>6760</v>
      </c>
      <c r="N252" s="60" t="s">
        <v>6761</v>
      </c>
      <c r="O252" s="60" t="s">
        <v>6762</v>
      </c>
      <c r="P252" s="60" t="s">
        <v>6763</v>
      </c>
      <c r="Q252" s="60" t="s">
        <v>6764</v>
      </c>
      <c r="R252" s="60" t="s">
        <v>6765</v>
      </c>
      <c r="S252" s="60" t="s">
        <v>6766</v>
      </c>
      <c r="T252" s="60" t="s">
        <v>6767</v>
      </c>
      <c r="U252" s="60" t="s">
        <v>6768</v>
      </c>
      <c r="V252" s="60" t="s">
        <v>6769</v>
      </c>
      <c r="W252" s="60" t="s">
        <v>6770</v>
      </c>
      <c r="X252" s="60" t="s">
        <v>6771</v>
      </c>
      <c r="Y252" s="60" t="s">
        <v>6772</v>
      </c>
      <c r="Z252" s="60" t="s">
        <v>6773</v>
      </c>
      <c r="AA252" s="60" t="s">
        <v>6774</v>
      </c>
      <c r="AB252" s="60" t="s">
        <v>6775</v>
      </c>
      <c r="AC252" s="60" t="s">
        <v>6776</v>
      </c>
    </row>
    <row r="253">
      <c r="A253" s="59" t="s">
        <v>6778</v>
      </c>
      <c r="B253" s="60" t="s">
        <v>6779</v>
      </c>
      <c r="C253" s="61" t="s">
        <v>6780</v>
      </c>
      <c r="D253" s="60" t="s">
        <v>6781</v>
      </c>
      <c r="E253" s="60" t="s">
        <v>6782</v>
      </c>
      <c r="F253" s="60" t="s">
        <v>6783</v>
      </c>
      <c r="G253" s="60" t="s">
        <v>6784</v>
      </c>
      <c r="H253" s="60" t="s">
        <v>6785</v>
      </c>
      <c r="I253" s="60" t="s">
        <v>6786</v>
      </c>
      <c r="J253" s="60" t="s">
        <v>6787</v>
      </c>
      <c r="K253" s="60" t="s">
        <v>6788</v>
      </c>
      <c r="L253" s="60" t="s">
        <v>6789</v>
      </c>
      <c r="M253" s="60" t="s">
        <v>6790</v>
      </c>
      <c r="N253" s="60" t="s">
        <v>6791</v>
      </c>
      <c r="O253" s="60" t="s">
        <v>6792</v>
      </c>
      <c r="P253" s="60" t="s">
        <v>6793</v>
      </c>
      <c r="Q253" s="60" t="s">
        <v>6794</v>
      </c>
      <c r="R253" s="60" t="s">
        <v>6795</v>
      </c>
      <c r="S253" s="60" t="s">
        <v>6796</v>
      </c>
      <c r="T253" s="60" t="s">
        <v>6797</v>
      </c>
      <c r="U253" s="60" t="s">
        <v>6798</v>
      </c>
      <c r="V253" s="60" t="s">
        <v>6799</v>
      </c>
      <c r="W253" s="60" t="s">
        <v>6800</v>
      </c>
      <c r="X253" s="60" t="s">
        <v>6801</v>
      </c>
      <c r="Y253" s="60" t="s">
        <v>6802</v>
      </c>
      <c r="Z253" s="60" t="s">
        <v>6803</v>
      </c>
      <c r="AA253" s="60" t="s">
        <v>6804</v>
      </c>
      <c r="AB253" s="60" t="s">
        <v>6805</v>
      </c>
      <c r="AC253" s="60" t="s">
        <v>6806</v>
      </c>
    </row>
    <row r="254">
      <c r="A254" s="59" t="s">
        <v>6807</v>
      </c>
      <c r="B254" s="60" t="s">
        <v>6808</v>
      </c>
      <c r="C254" s="61" t="s">
        <v>6809</v>
      </c>
      <c r="D254" s="60" t="s">
        <v>6810</v>
      </c>
      <c r="E254" s="60" t="s">
        <v>6811</v>
      </c>
      <c r="F254" s="60" t="s">
        <v>6812</v>
      </c>
      <c r="G254" s="60" t="s">
        <v>6813</v>
      </c>
      <c r="H254" s="60" t="s">
        <v>6814</v>
      </c>
      <c r="I254" s="60" t="s">
        <v>6815</v>
      </c>
      <c r="J254" s="60" t="s">
        <v>6816</v>
      </c>
      <c r="K254" s="60" t="s">
        <v>6817</v>
      </c>
      <c r="L254" s="60" t="s">
        <v>6818</v>
      </c>
      <c r="M254" s="60" t="s">
        <v>6819</v>
      </c>
      <c r="N254" s="60" t="s">
        <v>6820</v>
      </c>
      <c r="O254" s="60" t="s">
        <v>6821</v>
      </c>
      <c r="P254" s="60" t="s">
        <v>6822</v>
      </c>
      <c r="Q254" s="60" t="s">
        <v>6823</v>
      </c>
      <c r="R254" s="60" t="s">
        <v>6824</v>
      </c>
      <c r="S254" s="60" t="s">
        <v>6825</v>
      </c>
      <c r="T254" s="60" t="s">
        <v>6826</v>
      </c>
      <c r="U254" s="60" t="s">
        <v>6827</v>
      </c>
      <c r="V254" s="60" t="s">
        <v>6828</v>
      </c>
      <c r="W254" s="60" t="s">
        <v>6829</v>
      </c>
      <c r="X254" s="60" t="s">
        <v>6830</v>
      </c>
      <c r="Y254" s="60" t="s">
        <v>6831</v>
      </c>
      <c r="Z254" s="60" t="s">
        <v>6832</v>
      </c>
      <c r="AA254" s="60" t="s">
        <v>6833</v>
      </c>
      <c r="AB254" s="60" t="s">
        <v>6834</v>
      </c>
      <c r="AC254" s="60" t="s">
        <v>6835</v>
      </c>
    </row>
    <row r="255">
      <c r="A255" s="59" t="s">
        <v>6836</v>
      </c>
      <c r="B255" s="60" t="s">
        <v>6837</v>
      </c>
      <c r="C255" s="61" t="s">
        <v>6838</v>
      </c>
      <c r="D255" s="60" t="s">
        <v>6839</v>
      </c>
      <c r="E255" s="60" t="s">
        <v>6840</v>
      </c>
      <c r="F255" s="60" t="s">
        <v>6841</v>
      </c>
      <c r="G255" s="60" t="s">
        <v>6842</v>
      </c>
      <c r="H255" s="60" t="s">
        <v>6843</v>
      </c>
      <c r="I255" s="60" t="s">
        <v>6844</v>
      </c>
      <c r="J255" s="60" t="s">
        <v>6845</v>
      </c>
      <c r="K255" s="60" t="s">
        <v>6846</v>
      </c>
      <c r="L255" s="60" t="s">
        <v>6847</v>
      </c>
      <c r="M255" s="60" t="s">
        <v>6848</v>
      </c>
      <c r="N255" s="60" t="s">
        <v>6849</v>
      </c>
      <c r="O255" s="60" t="s">
        <v>6850</v>
      </c>
      <c r="P255" s="60" t="s">
        <v>6851</v>
      </c>
      <c r="Q255" s="60" t="s">
        <v>6852</v>
      </c>
      <c r="R255" s="60" t="s">
        <v>6853</v>
      </c>
      <c r="S255" s="60" t="s">
        <v>6854</v>
      </c>
      <c r="T255" s="60" t="s">
        <v>6855</v>
      </c>
      <c r="U255" s="60" t="s">
        <v>6856</v>
      </c>
      <c r="V255" s="60" t="s">
        <v>6857</v>
      </c>
      <c r="W255" s="60" t="s">
        <v>6858</v>
      </c>
      <c r="X255" s="60" t="s">
        <v>6859</v>
      </c>
      <c r="Y255" s="60" t="s">
        <v>6860</v>
      </c>
      <c r="Z255" s="60" t="s">
        <v>6861</v>
      </c>
      <c r="AA255" s="60" t="s">
        <v>6862</v>
      </c>
      <c r="AB255" s="60" t="s">
        <v>6863</v>
      </c>
      <c r="AC255" s="60" t="s">
        <v>6864</v>
      </c>
    </row>
    <row r="256">
      <c r="A256" s="59" t="s">
        <v>6865</v>
      </c>
      <c r="B256" s="60" t="s">
        <v>6866</v>
      </c>
      <c r="C256" s="61" t="s">
        <v>6867</v>
      </c>
      <c r="D256" s="60" t="s">
        <v>6868</v>
      </c>
      <c r="E256" s="60" t="s">
        <v>6869</v>
      </c>
      <c r="F256" s="60" t="s">
        <v>6870</v>
      </c>
      <c r="G256" s="60" t="s">
        <v>6871</v>
      </c>
      <c r="H256" s="60" t="s">
        <v>6872</v>
      </c>
      <c r="I256" s="60" t="s">
        <v>6873</v>
      </c>
      <c r="J256" s="60" t="s">
        <v>6874</v>
      </c>
      <c r="K256" s="60" t="s">
        <v>6875</v>
      </c>
      <c r="L256" s="60" t="s">
        <v>6876</v>
      </c>
      <c r="M256" s="60" t="s">
        <v>6877</v>
      </c>
      <c r="N256" s="60" t="s">
        <v>6878</v>
      </c>
      <c r="O256" s="60" t="s">
        <v>6879</v>
      </c>
      <c r="P256" s="60" t="s">
        <v>6880</v>
      </c>
      <c r="Q256" s="60" t="s">
        <v>6881</v>
      </c>
      <c r="R256" s="60" t="s">
        <v>6882</v>
      </c>
      <c r="S256" s="60" t="s">
        <v>6883</v>
      </c>
      <c r="T256" s="60" t="s">
        <v>6876</v>
      </c>
      <c r="U256" s="60" t="s">
        <v>6869</v>
      </c>
      <c r="V256" s="60" t="s">
        <v>6884</v>
      </c>
      <c r="W256" s="60" t="s">
        <v>6885</v>
      </c>
      <c r="X256" s="60" t="s">
        <v>6886</v>
      </c>
      <c r="Y256" s="60" t="s">
        <v>6887</v>
      </c>
      <c r="Z256" s="60" t="s">
        <v>6888</v>
      </c>
      <c r="AA256" s="60" t="s">
        <v>6886</v>
      </c>
      <c r="AB256" s="60" t="s">
        <v>6889</v>
      </c>
      <c r="AC256" s="60" t="s">
        <v>6890</v>
      </c>
    </row>
    <row r="257">
      <c r="A257" s="59" t="s">
        <v>6891</v>
      </c>
      <c r="B257" s="60" t="s">
        <v>6892</v>
      </c>
      <c r="C257" s="61" t="s">
        <v>6893</v>
      </c>
      <c r="D257" s="60" t="s">
        <v>6894</v>
      </c>
      <c r="E257" s="60" t="s">
        <v>6895</v>
      </c>
      <c r="F257" s="60" t="s">
        <v>6896</v>
      </c>
      <c r="G257" s="60" t="s">
        <v>6897</v>
      </c>
      <c r="H257" s="60" t="s">
        <v>6898</v>
      </c>
      <c r="I257" s="60" t="s">
        <v>6899</v>
      </c>
      <c r="J257" s="60" t="s">
        <v>6900</v>
      </c>
      <c r="K257" s="60" t="s">
        <v>6901</v>
      </c>
      <c r="L257" s="60" t="s">
        <v>6902</v>
      </c>
      <c r="M257" s="60" t="s">
        <v>6903</v>
      </c>
      <c r="N257" s="60" t="s">
        <v>6904</v>
      </c>
      <c r="O257" s="60" t="s">
        <v>6905</v>
      </c>
      <c r="P257" s="60" t="s">
        <v>6906</v>
      </c>
      <c r="Q257" s="60" t="s">
        <v>6907</v>
      </c>
      <c r="R257" s="60" t="s">
        <v>6908</v>
      </c>
      <c r="S257" s="60" t="s">
        <v>6909</v>
      </c>
      <c r="T257" s="60" t="s">
        <v>6910</v>
      </c>
      <c r="U257" s="60" t="s">
        <v>6911</v>
      </c>
      <c r="V257" s="60" t="s">
        <v>6912</v>
      </c>
      <c r="W257" s="60" t="s">
        <v>6913</v>
      </c>
      <c r="X257" s="60" t="s">
        <v>6914</v>
      </c>
      <c r="Y257" s="60" t="s">
        <v>6915</v>
      </c>
      <c r="Z257" s="60" t="s">
        <v>6916</v>
      </c>
      <c r="AA257" s="60" t="s">
        <v>6917</v>
      </c>
      <c r="AB257" s="60" t="s">
        <v>6918</v>
      </c>
      <c r="AC257" s="60" t="s">
        <v>6919</v>
      </c>
    </row>
    <row r="258">
      <c r="A258" s="59" t="s">
        <v>6920</v>
      </c>
      <c r="B258" s="60" t="s">
        <v>6921</v>
      </c>
      <c r="C258" s="61" t="s">
        <v>6922</v>
      </c>
      <c r="D258" s="60" t="s">
        <v>6923</v>
      </c>
      <c r="E258" s="60" t="s">
        <v>6924</v>
      </c>
      <c r="F258" s="60" t="s">
        <v>6925</v>
      </c>
      <c r="G258" s="60" t="s">
        <v>6926</v>
      </c>
      <c r="H258" s="60" t="s">
        <v>6927</v>
      </c>
      <c r="I258" s="60" t="s">
        <v>6928</v>
      </c>
      <c r="J258" s="60" t="s">
        <v>6929</v>
      </c>
      <c r="K258" s="60" t="s">
        <v>6930</v>
      </c>
      <c r="L258" s="60" t="s">
        <v>6931</v>
      </c>
      <c r="M258" s="60" t="s">
        <v>6932</v>
      </c>
      <c r="N258" s="60" t="s">
        <v>6933</v>
      </c>
      <c r="O258" s="60" t="s">
        <v>6934</v>
      </c>
      <c r="P258" s="60" t="s">
        <v>6935</v>
      </c>
      <c r="Q258" s="60" t="s">
        <v>6936</v>
      </c>
      <c r="R258" s="60" t="s">
        <v>6937</v>
      </c>
      <c r="S258" s="60" t="s">
        <v>6938</v>
      </c>
      <c r="T258" s="60" t="s">
        <v>6939</v>
      </c>
      <c r="U258" s="60" t="s">
        <v>6940</v>
      </c>
      <c r="V258" s="60" t="s">
        <v>6941</v>
      </c>
      <c r="W258" s="60" t="s">
        <v>6942</v>
      </c>
      <c r="X258" s="60" t="s">
        <v>6943</v>
      </c>
      <c r="Y258" s="60" t="s">
        <v>6944</v>
      </c>
      <c r="Z258" s="60" t="s">
        <v>6945</v>
      </c>
      <c r="AA258" s="60" t="s">
        <v>6946</v>
      </c>
      <c r="AB258" s="60" t="s">
        <v>6947</v>
      </c>
      <c r="AC258" s="60" t="s">
        <v>6948</v>
      </c>
    </row>
    <row r="259">
      <c r="A259" s="59" t="s">
        <v>6949</v>
      </c>
      <c r="B259" s="60" t="s">
        <v>6950</v>
      </c>
      <c r="C259" s="61" t="s">
        <v>6951</v>
      </c>
      <c r="D259" s="60" t="s">
        <v>6952</v>
      </c>
      <c r="E259" s="60" t="s">
        <v>6953</v>
      </c>
      <c r="F259" s="60" t="s">
        <v>6954</v>
      </c>
      <c r="G259" s="60" t="s">
        <v>6955</v>
      </c>
      <c r="H259" s="60" t="s">
        <v>6956</v>
      </c>
      <c r="I259" s="60" t="s">
        <v>6957</v>
      </c>
      <c r="J259" s="60" t="s">
        <v>6958</v>
      </c>
      <c r="K259" s="60" t="s">
        <v>6959</v>
      </c>
      <c r="L259" s="60" t="s">
        <v>6960</v>
      </c>
      <c r="M259" s="60" t="s">
        <v>6961</v>
      </c>
      <c r="N259" s="60" t="s">
        <v>6962</v>
      </c>
      <c r="O259" s="60" t="s">
        <v>6963</v>
      </c>
      <c r="P259" s="60" t="s">
        <v>6964</v>
      </c>
      <c r="Q259" s="60" t="s">
        <v>6965</v>
      </c>
      <c r="R259" s="60" t="s">
        <v>6966</v>
      </c>
      <c r="S259" s="60" t="s">
        <v>6967</v>
      </c>
      <c r="T259" s="60" t="s">
        <v>6960</v>
      </c>
      <c r="U259" s="60" t="s">
        <v>6968</v>
      </c>
      <c r="V259" s="60" t="s">
        <v>6969</v>
      </c>
      <c r="W259" s="60" t="s">
        <v>6970</v>
      </c>
      <c r="X259" s="60" t="s">
        <v>6971</v>
      </c>
      <c r="Y259" s="60" t="s">
        <v>6972</v>
      </c>
      <c r="Z259" s="60" t="s">
        <v>6973</v>
      </c>
      <c r="AA259" s="60" t="s">
        <v>6974</v>
      </c>
      <c r="AB259" s="60" t="s">
        <v>6975</v>
      </c>
      <c r="AC259" s="60" t="s">
        <v>6976</v>
      </c>
    </row>
    <row r="260">
      <c r="A260" s="59" t="s">
        <v>6977</v>
      </c>
      <c r="B260" s="60" t="s">
        <v>6978</v>
      </c>
      <c r="C260" s="61" t="s">
        <v>6979</v>
      </c>
      <c r="D260" s="60" t="s">
        <v>6980</v>
      </c>
      <c r="E260" s="60" t="s">
        <v>6981</v>
      </c>
      <c r="F260" s="60" t="s">
        <v>6982</v>
      </c>
      <c r="G260" s="60" t="s">
        <v>6983</v>
      </c>
      <c r="H260" s="60" t="s">
        <v>6984</v>
      </c>
      <c r="I260" s="60" t="s">
        <v>6985</v>
      </c>
      <c r="J260" s="60" t="s">
        <v>6986</v>
      </c>
      <c r="K260" s="60" t="s">
        <v>6987</v>
      </c>
      <c r="L260" s="60" t="s">
        <v>6988</v>
      </c>
      <c r="M260" s="60" t="s">
        <v>6989</v>
      </c>
      <c r="N260" s="60" t="s">
        <v>6990</v>
      </c>
      <c r="O260" s="60" t="s">
        <v>6991</v>
      </c>
      <c r="P260" s="60" t="s">
        <v>6992</v>
      </c>
      <c r="Q260" s="60" t="s">
        <v>6993</v>
      </c>
      <c r="R260" s="60" t="s">
        <v>6994</v>
      </c>
      <c r="S260" s="60" t="s">
        <v>6995</v>
      </c>
      <c r="T260" s="60" t="s">
        <v>6996</v>
      </c>
      <c r="U260" s="60" t="s">
        <v>6997</v>
      </c>
      <c r="V260" s="60" t="s">
        <v>6998</v>
      </c>
      <c r="W260" s="60" t="s">
        <v>6999</v>
      </c>
      <c r="X260" s="60" t="s">
        <v>7000</v>
      </c>
      <c r="Y260" s="60" t="s">
        <v>7001</v>
      </c>
      <c r="Z260" s="60" t="s">
        <v>7002</v>
      </c>
      <c r="AA260" s="60" t="s">
        <v>7003</v>
      </c>
      <c r="AB260" s="60" t="s">
        <v>7004</v>
      </c>
      <c r="AC260" s="60" t="s">
        <v>7005</v>
      </c>
    </row>
    <row r="261">
      <c r="A261" s="59" t="s">
        <v>7006</v>
      </c>
      <c r="B261" s="60" t="s">
        <v>7007</v>
      </c>
      <c r="C261" s="61" t="s">
        <v>7008</v>
      </c>
      <c r="D261" s="60" t="s">
        <v>7009</v>
      </c>
      <c r="E261" s="60" t="s">
        <v>7010</v>
      </c>
      <c r="F261" s="60" t="s">
        <v>7011</v>
      </c>
      <c r="G261" s="60" t="s">
        <v>7012</v>
      </c>
      <c r="H261" s="60" t="s">
        <v>7013</v>
      </c>
      <c r="I261" s="60" t="s">
        <v>7014</v>
      </c>
      <c r="J261" s="60" t="s">
        <v>7015</v>
      </c>
      <c r="K261" s="60" t="s">
        <v>7016</v>
      </c>
      <c r="L261" s="60" t="s">
        <v>7017</v>
      </c>
      <c r="M261" s="60" t="s">
        <v>7018</v>
      </c>
      <c r="N261" s="60" t="s">
        <v>7019</v>
      </c>
      <c r="O261" s="60" t="s">
        <v>7020</v>
      </c>
      <c r="P261" s="60" t="s">
        <v>7021</v>
      </c>
      <c r="Q261" s="60" t="s">
        <v>7022</v>
      </c>
      <c r="R261" s="60" t="s">
        <v>7023</v>
      </c>
      <c r="S261" s="60" t="s">
        <v>7024</v>
      </c>
      <c r="T261" s="60" t="s">
        <v>7017</v>
      </c>
      <c r="U261" s="60" t="s">
        <v>7025</v>
      </c>
      <c r="V261" s="60" t="s">
        <v>7026</v>
      </c>
      <c r="W261" s="60" t="s">
        <v>7027</v>
      </c>
      <c r="X261" s="60" t="s">
        <v>7028</v>
      </c>
      <c r="Y261" s="60" t="s">
        <v>7029</v>
      </c>
      <c r="Z261" s="60" t="s">
        <v>7030</v>
      </c>
      <c r="AA261" s="60" t="s">
        <v>7031</v>
      </c>
      <c r="AB261" s="60" t="s">
        <v>7032</v>
      </c>
      <c r="AC261" s="60" t="s">
        <v>7033</v>
      </c>
    </row>
    <row r="262">
      <c r="A262" s="59" t="s">
        <v>7034</v>
      </c>
      <c r="B262" s="60" t="s">
        <v>7035</v>
      </c>
      <c r="C262" s="61" t="s">
        <v>7036</v>
      </c>
      <c r="D262" s="60" t="s">
        <v>7037</v>
      </c>
      <c r="E262" s="60" t="s">
        <v>7038</v>
      </c>
      <c r="F262" s="60" t="s">
        <v>7039</v>
      </c>
      <c r="G262" s="60" t="s">
        <v>7040</v>
      </c>
      <c r="H262" s="60" t="s">
        <v>7041</v>
      </c>
      <c r="I262" s="60" t="s">
        <v>7042</v>
      </c>
      <c r="J262" s="60" t="s">
        <v>7043</v>
      </c>
      <c r="K262" s="60" t="s">
        <v>7044</v>
      </c>
      <c r="L262" s="60" t="s">
        <v>7045</v>
      </c>
      <c r="M262" s="60" t="s">
        <v>7046</v>
      </c>
      <c r="N262" s="60" t="s">
        <v>7047</v>
      </c>
      <c r="O262" s="60" t="s">
        <v>7048</v>
      </c>
      <c r="P262" s="60" t="s">
        <v>7049</v>
      </c>
      <c r="Q262" s="60" t="s">
        <v>7050</v>
      </c>
      <c r="R262" s="60" t="s">
        <v>7051</v>
      </c>
      <c r="S262" s="60" t="s">
        <v>7052</v>
      </c>
      <c r="T262" s="60" t="s">
        <v>7053</v>
      </c>
      <c r="U262" s="60" t="s">
        <v>7054</v>
      </c>
      <c r="V262" s="60" t="s">
        <v>7055</v>
      </c>
      <c r="W262" s="60" t="s">
        <v>7035</v>
      </c>
      <c r="X262" s="60" t="s">
        <v>7056</v>
      </c>
      <c r="Y262" s="60" t="s">
        <v>7057</v>
      </c>
      <c r="Z262" s="60" t="s">
        <v>7058</v>
      </c>
      <c r="AA262" s="60" t="s">
        <v>7059</v>
      </c>
      <c r="AB262" s="60" t="s">
        <v>7060</v>
      </c>
      <c r="AC262" s="60" t="s">
        <v>7061</v>
      </c>
    </row>
    <row r="263">
      <c r="A263" s="59" t="s">
        <v>7062</v>
      </c>
      <c r="B263" s="60" t="s">
        <v>7063</v>
      </c>
      <c r="C263" s="61" t="s">
        <v>7064</v>
      </c>
      <c r="D263" s="60" t="s">
        <v>7065</v>
      </c>
      <c r="E263" s="60" t="s">
        <v>7066</v>
      </c>
      <c r="F263" s="60" t="s">
        <v>7067</v>
      </c>
      <c r="G263" s="60" t="s">
        <v>7068</v>
      </c>
      <c r="H263" s="60" t="s">
        <v>7069</v>
      </c>
      <c r="I263" s="60" t="s">
        <v>7070</v>
      </c>
      <c r="J263" s="60" t="s">
        <v>7071</v>
      </c>
      <c r="K263" s="60" t="s">
        <v>7072</v>
      </c>
      <c r="L263" s="60" t="s">
        <v>7073</v>
      </c>
      <c r="M263" s="60" t="s">
        <v>7074</v>
      </c>
      <c r="N263" s="60" t="s">
        <v>7075</v>
      </c>
      <c r="O263" s="60" t="s">
        <v>7076</v>
      </c>
      <c r="P263" s="60" t="s">
        <v>7077</v>
      </c>
      <c r="Q263" s="60" t="s">
        <v>7078</v>
      </c>
      <c r="R263" s="60" t="s">
        <v>7079</v>
      </c>
      <c r="S263" s="60" t="s">
        <v>7080</v>
      </c>
      <c r="T263" s="60" t="s">
        <v>7081</v>
      </c>
      <c r="U263" s="60" t="s">
        <v>7082</v>
      </c>
      <c r="V263" s="60" t="s">
        <v>7083</v>
      </c>
      <c r="W263" s="60" t="s">
        <v>7084</v>
      </c>
      <c r="X263" s="60" t="s">
        <v>7085</v>
      </c>
      <c r="Y263" s="60" t="s">
        <v>7086</v>
      </c>
      <c r="Z263" s="60" t="s">
        <v>7087</v>
      </c>
      <c r="AA263" s="60" t="s">
        <v>7088</v>
      </c>
      <c r="AB263" s="60" t="s">
        <v>7089</v>
      </c>
      <c r="AC263" s="60" t="s">
        <v>7090</v>
      </c>
    </row>
    <row r="264">
      <c r="A264" s="59" t="s">
        <v>7091</v>
      </c>
      <c r="B264" s="60" t="s">
        <v>7092</v>
      </c>
      <c r="C264" s="61" t="s">
        <v>7093</v>
      </c>
      <c r="D264" s="60" t="s">
        <v>7094</v>
      </c>
      <c r="E264" s="60" t="s">
        <v>7095</v>
      </c>
      <c r="F264" s="60" t="s">
        <v>7096</v>
      </c>
      <c r="G264" s="60" t="s">
        <v>7097</v>
      </c>
      <c r="H264" s="60" t="s">
        <v>7098</v>
      </c>
      <c r="I264" s="60" t="s">
        <v>7099</v>
      </c>
      <c r="J264" s="60" t="s">
        <v>7100</v>
      </c>
      <c r="K264" s="60" t="s">
        <v>7101</v>
      </c>
      <c r="L264" s="60" t="s">
        <v>7102</v>
      </c>
      <c r="M264" s="60" t="s">
        <v>7103</v>
      </c>
      <c r="N264" s="60" t="s">
        <v>7104</v>
      </c>
      <c r="O264" s="60" t="s">
        <v>7105</v>
      </c>
      <c r="P264" s="60" t="s">
        <v>7106</v>
      </c>
      <c r="Q264" s="60" t="s">
        <v>7107</v>
      </c>
      <c r="R264" s="60" t="s">
        <v>7108</v>
      </c>
      <c r="S264" s="60" t="s">
        <v>7109</v>
      </c>
      <c r="T264" s="60" t="s">
        <v>7102</v>
      </c>
      <c r="U264" s="60" t="s">
        <v>7110</v>
      </c>
      <c r="V264" s="60" t="s">
        <v>7111</v>
      </c>
      <c r="W264" s="60" t="s">
        <v>7112</v>
      </c>
      <c r="X264" s="60" t="s">
        <v>7113</v>
      </c>
      <c r="Y264" s="60" t="s">
        <v>7114</v>
      </c>
      <c r="Z264" s="60" t="s">
        <v>7115</v>
      </c>
      <c r="AA264" s="60" t="s">
        <v>7116</v>
      </c>
      <c r="AB264" s="60" t="s">
        <v>7117</v>
      </c>
      <c r="AC264" s="60" t="s">
        <v>7118</v>
      </c>
    </row>
    <row r="265">
      <c r="A265" s="59" t="s">
        <v>7119</v>
      </c>
      <c r="B265" s="60" t="s">
        <v>7120</v>
      </c>
      <c r="C265" s="61" t="s">
        <v>7121</v>
      </c>
      <c r="D265" s="60" t="s">
        <v>7122</v>
      </c>
      <c r="E265" s="60" t="s">
        <v>7123</v>
      </c>
      <c r="F265" s="60" t="s">
        <v>7124</v>
      </c>
      <c r="G265" s="60" t="s">
        <v>7125</v>
      </c>
      <c r="H265" s="60" t="s">
        <v>7126</v>
      </c>
      <c r="I265" s="60" t="s">
        <v>7127</v>
      </c>
      <c r="J265" s="60" t="s">
        <v>7128</v>
      </c>
      <c r="K265" s="60" t="s">
        <v>7129</v>
      </c>
      <c r="L265" s="60" t="s">
        <v>7130</v>
      </c>
      <c r="M265" s="60" t="s">
        <v>7131</v>
      </c>
      <c r="N265" s="60" t="s">
        <v>7132</v>
      </c>
      <c r="O265" s="60" t="s">
        <v>7133</v>
      </c>
      <c r="P265" s="60" t="s">
        <v>7134</v>
      </c>
      <c r="Q265" s="60" t="s">
        <v>7135</v>
      </c>
      <c r="R265" s="60" t="s">
        <v>7136</v>
      </c>
      <c r="S265" s="60" t="s">
        <v>7137</v>
      </c>
      <c r="T265" s="60" t="s">
        <v>7138</v>
      </c>
      <c r="U265" s="60" t="s">
        <v>7139</v>
      </c>
      <c r="V265" s="60" t="s">
        <v>7140</v>
      </c>
      <c r="W265" s="60" t="s">
        <v>7141</v>
      </c>
      <c r="X265" s="60" t="s">
        <v>7142</v>
      </c>
      <c r="Y265" s="60" t="s">
        <v>7143</v>
      </c>
      <c r="Z265" s="60" t="s">
        <v>7144</v>
      </c>
      <c r="AA265" s="60" t="s">
        <v>7145</v>
      </c>
      <c r="AB265" s="60" t="s">
        <v>7146</v>
      </c>
      <c r="AC265" s="60" t="s">
        <v>7147</v>
      </c>
    </row>
    <row r="266">
      <c r="A266" s="59" t="s">
        <v>7148</v>
      </c>
      <c r="B266" s="60" t="s">
        <v>7149</v>
      </c>
      <c r="C266" s="61" t="s">
        <v>7150</v>
      </c>
      <c r="D266" s="60" t="s">
        <v>7151</v>
      </c>
      <c r="E266" s="60" t="s">
        <v>7152</v>
      </c>
      <c r="F266" s="60" t="s">
        <v>7153</v>
      </c>
      <c r="G266" s="60" t="s">
        <v>7154</v>
      </c>
      <c r="H266" s="60" t="s">
        <v>7155</v>
      </c>
      <c r="I266" s="60" t="s">
        <v>7156</v>
      </c>
      <c r="J266" s="60" t="s">
        <v>7157</v>
      </c>
      <c r="K266" s="60" t="s">
        <v>7158</v>
      </c>
      <c r="L266" s="60" t="s">
        <v>7159</v>
      </c>
      <c r="M266" s="60" t="s">
        <v>7160</v>
      </c>
      <c r="N266" s="60" t="s">
        <v>7161</v>
      </c>
      <c r="O266" s="60" t="s">
        <v>7162</v>
      </c>
      <c r="P266" s="60" t="s">
        <v>7163</v>
      </c>
      <c r="Q266" s="60" t="s">
        <v>7164</v>
      </c>
      <c r="R266" s="60" t="s">
        <v>7165</v>
      </c>
      <c r="S266" s="60" t="s">
        <v>7166</v>
      </c>
      <c r="T266" s="60" t="s">
        <v>7167</v>
      </c>
      <c r="U266" s="60" t="s">
        <v>7168</v>
      </c>
      <c r="V266" s="60" t="s">
        <v>7169</v>
      </c>
      <c r="W266" s="60" t="s">
        <v>7170</v>
      </c>
      <c r="X266" s="60" t="s">
        <v>7171</v>
      </c>
      <c r="Y266" s="60" t="s">
        <v>7172</v>
      </c>
      <c r="Z266" s="60" t="s">
        <v>7173</v>
      </c>
      <c r="AA266" s="60" t="s">
        <v>7174</v>
      </c>
      <c r="AB266" s="60" t="s">
        <v>7175</v>
      </c>
      <c r="AC266" s="60" t="s">
        <v>7176</v>
      </c>
    </row>
    <row r="267">
      <c r="A267" s="59" t="s">
        <v>7177</v>
      </c>
      <c r="B267" s="60" t="s">
        <v>7178</v>
      </c>
      <c r="C267" s="61" t="s">
        <v>7179</v>
      </c>
      <c r="D267" s="60" t="s">
        <v>7180</v>
      </c>
      <c r="E267" s="60" t="s">
        <v>7181</v>
      </c>
      <c r="F267" s="60" t="s">
        <v>7182</v>
      </c>
      <c r="G267" s="60" t="s">
        <v>7183</v>
      </c>
      <c r="H267" s="60" t="s">
        <v>7184</v>
      </c>
      <c r="I267" s="60" t="s">
        <v>7185</v>
      </c>
      <c r="J267" s="60" t="s">
        <v>7186</v>
      </c>
      <c r="K267" s="60" t="s">
        <v>7187</v>
      </c>
      <c r="L267" s="60" t="s">
        <v>7188</v>
      </c>
      <c r="M267" s="60" t="s">
        <v>7189</v>
      </c>
      <c r="N267" s="60" t="s">
        <v>7190</v>
      </c>
      <c r="O267" s="60" t="s">
        <v>7191</v>
      </c>
      <c r="P267" s="60" t="s">
        <v>7192</v>
      </c>
      <c r="Q267" s="60" t="s">
        <v>7193</v>
      </c>
      <c r="R267" s="60" t="s">
        <v>7194</v>
      </c>
      <c r="S267" s="60" t="s">
        <v>7195</v>
      </c>
      <c r="T267" s="60" t="s">
        <v>7196</v>
      </c>
      <c r="U267" s="60" t="s">
        <v>7197</v>
      </c>
      <c r="V267" s="60" t="s">
        <v>7198</v>
      </c>
      <c r="W267" s="60" t="s">
        <v>7199</v>
      </c>
      <c r="X267" s="60" t="s">
        <v>7200</v>
      </c>
      <c r="Y267" s="60" t="s">
        <v>7201</v>
      </c>
      <c r="Z267" s="60" t="s">
        <v>7202</v>
      </c>
      <c r="AA267" s="60" t="s">
        <v>7203</v>
      </c>
      <c r="AB267" s="60" t="s">
        <v>7190</v>
      </c>
      <c r="AC267" s="60" t="s">
        <v>7204</v>
      </c>
    </row>
    <row r="268">
      <c r="A268" s="59" t="s">
        <v>7205</v>
      </c>
      <c r="B268" s="60" t="s">
        <v>7206</v>
      </c>
      <c r="C268" s="61" t="s">
        <v>7207</v>
      </c>
      <c r="D268" s="60" t="s">
        <v>7208</v>
      </c>
      <c r="E268" s="60" t="s">
        <v>7209</v>
      </c>
      <c r="F268" s="60" t="s">
        <v>7210</v>
      </c>
      <c r="G268" s="60" t="s">
        <v>7211</v>
      </c>
      <c r="H268" s="60" t="s">
        <v>7212</v>
      </c>
      <c r="I268" s="60" t="s">
        <v>7213</v>
      </c>
      <c r="J268" s="60" t="s">
        <v>7214</v>
      </c>
      <c r="K268" s="60" t="s">
        <v>7215</v>
      </c>
      <c r="L268" s="60" t="s">
        <v>7216</v>
      </c>
      <c r="M268" s="60" t="s">
        <v>7217</v>
      </c>
      <c r="N268" s="60" t="s">
        <v>7218</v>
      </c>
      <c r="O268" s="60" t="s">
        <v>7219</v>
      </c>
      <c r="P268" s="60" t="s">
        <v>7220</v>
      </c>
      <c r="Q268" s="60" t="s">
        <v>7221</v>
      </c>
      <c r="R268" s="60" t="s">
        <v>7222</v>
      </c>
      <c r="S268" s="60" t="s">
        <v>7223</v>
      </c>
      <c r="T268" s="60" t="s">
        <v>7224</v>
      </c>
      <c r="U268" s="60" t="s">
        <v>7225</v>
      </c>
      <c r="V268" s="60" t="s">
        <v>7226</v>
      </c>
      <c r="W268" s="60" t="s">
        <v>7227</v>
      </c>
      <c r="X268" s="60" t="s">
        <v>7228</v>
      </c>
      <c r="Y268" s="60" t="s">
        <v>7229</v>
      </c>
      <c r="Z268" s="60" t="s">
        <v>7230</v>
      </c>
      <c r="AA268" s="60" t="s">
        <v>7231</v>
      </c>
      <c r="AB268" s="60" t="s">
        <v>7232</v>
      </c>
      <c r="AC268" s="60" t="s">
        <v>7233</v>
      </c>
    </row>
    <row r="269">
      <c r="A269" s="59" t="s">
        <v>7234</v>
      </c>
      <c r="B269" s="60" t="s">
        <v>7235</v>
      </c>
      <c r="C269" s="61" t="s">
        <v>7236</v>
      </c>
      <c r="D269" s="60" t="s">
        <v>7237</v>
      </c>
      <c r="E269" s="60" t="s">
        <v>7238</v>
      </c>
      <c r="F269" s="60" t="s">
        <v>7239</v>
      </c>
      <c r="G269" s="60" t="s">
        <v>7240</v>
      </c>
      <c r="H269" s="60" t="s">
        <v>7241</v>
      </c>
      <c r="I269" s="60" t="s">
        <v>7242</v>
      </c>
      <c r="J269" s="60" t="s">
        <v>7243</v>
      </c>
      <c r="K269" s="60" t="s">
        <v>7244</v>
      </c>
      <c r="L269" s="60" t="s">
        <v>7245</v>
      </c>
      <c r="M269" s="60" t="s">
        <v>7246</v>
      </c>
      <c r="N269" s="60" t="s">
        <v>7247</v>
      </c>
      <c r="O269" s="60" t="s">
        <v>7248</v>
      </c>
      <c r="P269" s="60" t="s">
        <v>7249</v>
      </c>
      <c r="Q269" s="60" t="s">
        <v>7250</v>
      </c>
      <c r="R269" s="60" t="s">
        <v>7251</v>
      </c>
      <c r="S269" s="60" t="s">
        <v>7252</v>
      </c>
      <c r="T269" s="60" t="s">
        <v>7253</v>
      </c>
      <c r="U269" s="60" t="s">
        <v>7254</v>
      </c>
      <c r="V269" s="60" t="s">
        <v>7255</v>
      </c>
      <c r="W269" s="60" t="s">
        <v>7256</v>
      </c>
      <c r="X269" s="60" t="s">
        <v>7257</v>
      </c>
      <c r="Y269" s="60" t="s">
        <v>7258</v>
      </c>
      <c r="Z269" s="60" t="s">
        <v>7259</v>
      </c>
      <c r="AA269" s="60" t="s">
        <v>7260</v>
      </c>
      <c r="AB269" s="60" t="s">
        <v>7261</v>
      </c>
      <c r="AC269" s="60" t="s">
        <v>7262</v>
      </c>
    </row>
    <row r="270">
      <c r="A270" s="59" t="s">
        <v>7263</v>
      </c>
      <c r="B270" s="60" t="s">
        <v>7264</v>
      </c>
      <c r="C270" s="61" t="s">
        <v>7265</v>
      </c>
      <c r="D270" s="60" t="s">
        <v>7266</v>
      </c>
      <c r="E270" s="60" t="s">
        <v>7267</v>
      </c>
      <c r="F270" s="60" t="s">
        <v>7268</v>
      </c>
      <c r="G270" s="60" t="s">
        <v>7269</v>
      </c>
      <c r="H270" s="60" t="s">
        <v>7270</v>
      </c>
      <c r="I270" s="60" t="s">
        <v>7271</v>
      </c>
      <c r="J270" s="60" t="s">
        <v>7272</v>
      </c>
      <c r="K270" s="60" t="s">
        <v>7273</v>
      </c>
      <c r="L270" s="60" t="s">
        <v>7274</v>
      </c>
      <c r="M270" s="60" t="s">
        <v>7275</v>
      </c>
      <c r="N270" s="60" t="s">
        <v>7276</v>
      </c>
      <c r="O270" s="60" t="s">
        <v>7277</v>
      </c>
      <c r="P270" s="60" t="s">
        <v>7278</v>
      </c>
      <c r="Q270" s="60" t="s">
        <v>7279</v>
      </c>
      <c r="R270" s="60" t="s">
        <v>7280</v>
      </c>
      <c r="S270" s="60" t="s">
        <v>7281</v>
      </c>
      <c r="T270" s="60" t="s">
        <v>7282</v>
      </c>
      <c r="U270" s="60" t="s">
        <v>7283</v>
      </c>
      <c r="V270" s="60" t="s">
        <v>7284</v>
      </c>
      <c r="W270" s="60" t="s">
        <v>7285</v>
      </c>
      <c r="X270" s="60" t="s">
        <v>7286</v>
      </c>
      <c r="Y270" s="60" t="s">
        <v>7287</v>
      </c>
      <c r="Z270" s="60" t="s">
        <v>7288</v>
      </c>
      <c r="AA270" s="60" t="s">
        <v>7289</v>
      </c>
      <c r="AB270" s="60" t="s">
        <v>7290</v>
      </c>
      <c r="AC270" s="60" t="s">
        <v>7291</v>
      </c>
    </row>
    <row r="271">
      <c r="A271" s="59" t="s">
        <v>7292</v>
      </c>
      <c r="B271" s="60" t="s">
        <v>7293</v>
      </c>
      <c r="C271" s="61" t="s">
        <v>7294</v>
      </c>
      <c r="D271" s="60" t="s">
        <v>7295</v>
      </c>
      <c r="E271" s="60" t="s">
        <v>7296</v>
      </c>
      <c r="F271" s="60" t="s">
        <v>7297</v>
      </c>
      <c r="G271" s="60" t="s">
        <v>7298</v>
      </c>
      <c r="H271" s="60" t="s">
        <v>7299</v>
      </c>
      <c r="I271" s="60" t="s">
        <v>7300</v>
      </c>
      <c r="J271" s="60" t="s">
        <v>7301</v>
      </c>
      <c r="K271" s="60" t="s">
        <v>7302</v>
      </c>
      <c r="L271" s="60" t="s">
        <v>7303</v>
      </c>
      <c r="M271" s="60" t="s">
        <v>7304</v>
      </c>
      <c r="N271" s="60" t="s">
        <v>7305</v>
      </c>
      <c r="O271" s="60" t="s">
        <v>7306</v>
      </c>
      <c r="P271" s="60" t="s">
        <v>7307</v>
      </c>
      <c r="Q271" s="60" t="s">
        <v>7308</v>
      </c>
      <c r="R271" s="60" t="s">
        <v>7309</v>
      </c>
      <c r="S271" s="60" t="s">
        <v>7310</v>
      </c>
      <c r="T271" s="60" t="s">
        <v>7311</v>
      </c>
      <c r="U271" s="60" t="s">
        <v>7312</v>
      </c>
      <c r="V271" s="60" t="s">
        <v>7313</v>
      </c>
      <c r="W271" s="60" t="s">
        <v>7314</v>
      </c>
      <c r="X271" s="60" t="s">
        <v>7315</v>
      </c>
      <c r="Y271" s="60" t="s">
        <v>7316</v>
      </c>
      <c r="Z271" s="60" t="s">
        <v>7317</v>
      </c>
      <c r="AA271" s="60" t="s">
        <v>7318</v>
      </c>
      <c r="AB271" s="60" t="s">
        <v>7319</v>
      </c>
      <c r="AC271" s="60" t="s">
        <v>7320</v>
      </c>
    </row>
    <row r="272">
      <c r="A272" s="59" t="s">
        <v>7321</v>
      </c>
      <c r="B272" s="60" t="s">
        <v>7322</v>
      </c>
      <c r="C272" s="61" t="s">
        <v>7323</v>
      </c>
      <c r="D272" s="60" t="s">
        <v>7324</v>
      </c>
      <c r="E272" s="60" t="s">
        <v>7325</v>
      </c>
      <c r="F272" s="60" t="s">
        <v>7326</v>
      </c>
      <c r="G272" s="60" t="s">
        <v>7327</v>
      </c>
      <c r="H272" s="60" t="s">
        <v>7328</v>
      </c>
      <c r="I272" s="60" t="s">
        <v>7329</v>
      </c>
      <c r="J272" s="60" t="s">
        <v>7330</v>
      </c>
      <c r="K272" s="60" t="s">
        <v>7331</v>
      </c>
      <c r="L272" s="60" t="s">
        <v>7332</v>
      </c>
      <c r="M272" s="60" t="s">
        <v>7333</v>
      </c>
      <c r="N272" s="60" t="s">
        <v>7334</v>
      </c>
      <c r="O272" s="60" t="s">
        <v>7335</v>
      </c>
      <c r="P272" s="60" t="s">
        <v>7336</v>
      </c>
      <c r="Q272" s="60" t="s">
        <v>7337</v>
      </c>
      <c r="R272" s="60" t="s">
        <v>7338</v>
      </c>
      <c r="S272" s="60" t="s">
        <v>7339</v>
      </c>
      <c r="T272" s="60" t="s">
        <v>7332</v>
      </c>
      <c r="U272" s="60" t="s">
        <v>7340</v>
      </c>
      <c r="V272" s="60" t="s">
        <v>7341</v>
      </c>
      <c r="W272" s="60" t="s">
        <v>7342</v>
      </c>
      <c r="X272" s="60" t="s">
        <v>7343</v>
      </c>
      <c r="Y272" s="60" t="s">
        <v>7344</v>
      </c>
      <c r="Z272" s="60" t="s">
        <v>7345</v>
      </c>
      <c r="AA272" s="60" t="s">
        <v>7346</v>
      </c>
      <c r="AB272" s="60" t="s">
        <v>7347</v>
      </c>
      <c r="AC272" s="60" t="s">
        <v>7348</v>
      </c>
    </row>
    <row r="273">
      <c r="A273" s="59" t="s">
        <v>7349</v>
      </c>
      <c r="B273" s="60" t="s">
        <v>7350</v>
      </c>
      <c r="C273" s="61" t="s">
        <v>7351</v>
      </c>
      <c r="D273" s="60" t="s">
        <v>7352</v>
      </c>
      <c r="E273" s="60" t="s">
        <v>7353</v>
      </c>
      <c r="F273" s="60" t="s">
        <v>7354</v>
      </c>
      <c r="G273" s="60" t="s">
        <v>7355</v>
      </c>
      <c r="H273" s="60" t="s">
        <v>7356</v>
      </c>
      <c r="I273" s="60" t="s">
        <v>7357</v>
      </c>
      <c r="J273" s="60" t="s">
        <v>7358</v>
      </c>
      <c r="K273" s="60" t="s">
        <v>7359</v>
      </c>
      <c r="L273" s="60" t="s">
        <v>7360</v>
      </c>
      <c r="M273" s="60" t="s">
        <v>7361</v>
      </c>
      <c r="N273" s="60" t="s">
        <v>7362</v>
      </c>
      <c r="O273" s="60" t="s">
        <v>7363</v>
      </c>
      <c r="P273" s="60" t="s">
        <v>7364</v>
      </c>
      <c r="Q273" s="60" t="s">
        <v>7365</v>
      </c>
      <c r="R273" s="60" t="s">
        <v>7366</v>
      </c>
      <c r="S273" s="60" t="s">
        <v>7367</v>
      </c>
      <c r="T273" s="60" t="s">
        <v>7368</v>
      </c>
      <c r="U273" s="60" t="s">
        <v>7369</v>
      </c>
      <c r="V273" s="60" t="s">
        <v>7370</v>
      </c>
      <c r="W273" s="60" t="s">
        <v>7371</v>
      </c>
      <c r="X273" s="60" t="s">
        <v>7372</v>
      </c>
      <c r="Y273" s="60" t="s">
        <v>7373</v>
      </c>
      <c r="Z273" s="60" t="s">
        <v>7374</v>
      </c>
      <c r="AA273" s="60" t="s">
        <v>7375</v>
      </c>
      <c r="AB273" s="60" t="s">
        <v>7362</v>
      </c>
      <c r="AC273" s="60" t="s">
        <v>7376</v>
      </c>
    </row>
    <row r="274">
      <c r="A274" s="59" t="s">
        <v>7377</v>
      </c>
      <c r="B274" s="60" t="s">
        <v>7378</v>
      </c>
      <c r="C274" s="61" t="s">
        <v>7379</v>
      </c>
      <c r="D274" s="60" t="s">
        <v>7380</v>
      </c>
      <c r="E274" s="60" t="s">
        <v>7381</v>
      </c>
      <c r="F274" s="60" t="s">
        <v>7382</v>
      </c>
      <c r="G274" s="60" t="s">
        <v>7383</v>
      </c>
      <c r="H274" s="60" t="s">
        <v>7384</v>
      </c>
      <c r="I274" s="60" t="s">
        <v>7385</v>
      </c>
      <c r="J274" s="60" t="s">
        <v>7386</v>
      </c>
      <c r="K274" s="60" t="s">
        <v>7387</v>
      </c>
      <c r="L274" s="60" t="s">
        <v>7388</v>
      </c>
      <c r="M274" s="60" t="s">
        <v>7389</v>
      </c>
      <c r="N274" s="60" t="s">
        <v>7390</v>
      </c>
      <c r="O274" s="60" t="s">
        <v>7391</v>
      </c>
      <c r="P274" s="60" t="s">
        <v>7392</v>
      </c>
      <c r="Q274" s="60" t="s">
        <v>7393</v>
      </c>
      <c r="R274" s="60" t="s">
        <v>7394</v>
      </c>
      <c r="S274" s="60" t="s">
        <v>7395</v>
      </c>
      <c r="T274" s="60" t="s">
        <v>7388</v>
      </c>
      <c r="U274" s="60" t="s">
        <v>7381</v>
      </c>
      <c r="V274" s="60" t="s">
        <v>7396</v>
      </c>
      <c r="W274" s="60" t="s">
        <v>7397</v>
      </c>
      <c r="X274" s="60" t="s">
        <v>7398</v>
      </c>
      <c r="Y274" s="60" t="s">
        <v>7399</v>
      </c>
      <c r="Z274" s="60" t="s">
        <v>7400</v>
      </c>
      <c r="AA274" s="60" t="s">
        <v>7401</v>
      </c>
      <c r="AB274" s="60" t="s">
        <v>7402</v>
      </c>
      <c r="AC274" s="60" t="s">
        <v>7403</v>
      </c>
    </row>
    <row r="275">
      <c r="A275" s="59" t="s">
        <v>7404</v>
      </c>
      <c r="B275" s="60" t="s">
        <v>7405</v>
      </c>
      <c r="C275" s="61" t="s">
        <v>7406</v>
      </c>
      <c r="D275" s="60" t="s">
        <v>7407</v>
      </c>
      <c r="E275" s="60" t="s">
        <v>7408</v>
      </c>
      <c r="F275" s="60" t="s">
        <v>7409</v>
      </c>
      <c r="G275" s="60" t="s">
        <v>7410</v>
      </c>
      <c r="H275" s="60" t="s">
        <v>7411</v>
      </c>
      <c r="I275" s="60" t="s">
        <v>7412</v>
      </c>
      <c r="J275" s="60" t="s">
        <v>7413</v>
      </c>
      <c r="K275" s="60" t="s">
        <v>7414</v>
      </c>
      <c r="L275" s="60" t="s">
        <v>7415</v>
      </c>
      <c r="M275" s="60" t="s">
        <v>7416</v>
      </c>
      <c r="N275" s="60" t="s">
        <v>7417</v>
      </c>
      <c r="O275" s="60" t="s">
        <v>7418</v>
      </c>
      <c r="P275" s="60" t="s">
        <v>7419</v>
      </c>
      <c r="Q275" s="60" t="s">
        <v>7420</v>
      </c>
      <c r="R275" s="60" t="s">
        <v>7421</v>
      </c>
      <c r="S275" s="60" t="s">
        <v>7422</v>
      </c>
      <c r="T275" s="60" t="s">
        <v>7423</v>
      </c>
      <c r="U275" s="60" t="s">
        <v>7424</v>
      </c>
      <c r="V275" s="60" t="s">
        <v>7425</v>
      </c>
      <c r="W275" s="60" t="s">
        <v>7426</v>
      </c>
      <c r="X275" s="60" t="s">
        <v>7427</v>
      </c>
      <c r="Y275" s="60" t="s">
        <v>7428</v>
      </c>
      <c r="Z275" s="60" t="s">
        <v>7429</v>
      </c>
      <c r="AA275" s="60" t="s">
        <v>7430</v>
      </c>
      <c r="AB275" s="60" t="s">
        <v>7431</v>
      </c>
      <c r="AC275" s="60" t="s">
        <v>7432</v>
      </c>
    </row>
    <row r="276">
      <c r="A276" s="59" t="s">
        <v>7433</v>
      </c>
      <c r="B276" s="60" t="s">
        <v>7434</v>
      </c>
      <c r="C276" s="61" t="s">
        <v>7435</v>
      </c>
      <c r="D276" s="60" t="s">
        <v>7436</v>
      </c>
      <c r="E276" s="60" t="s">
        <v>7437</v>
      </c>
      <c r="F276" s="60" t="s">
        <v>7438</v>
      </c>
      <c r="G276" s="60" t="s">
        <v>7439</v>
      </c>
      <c r="H276" s="60" t="s">
        <v>7440</v>
      </c>
      <c r="I276" s="60" t="s">
        <v>7441</v>
      </c>
      <c r="J276" s="60" t="s">
        <v>7442</v>
      </c>
      <c r="K276" s="60" t="s">
        <v>7443</v>
      </c>
      <c r="L276" s="60" t="s">
        <v>7444</v>
      </c>
      <c r="M276" s="60" t="s">
        <v>7445</v>
      </c>
      <c r="N276" s="60" t="s">
        <v>7446</v>
      </c>
      <c r="O276" s="60" t="s">
        <v>7447</v>
      </c>
      <c r="P276" s="60" t="s">
        <v>7448</v>
      </c>
      <c r="Q276" s="60" t="s">
        <v>7449</v>
      </c>
      <c r="R276" s="60" t="s">
        <v>7450</v>
      </c>
      <c r="S276" s="60" t="s">
        <v>7451</v>
      </c>
      <c r="T276" s="60" t="s">
        <v>7444</v>
      </c>
      <c r="U276" s="60" t="s">
        <v>7452</v>
      </c>
      <c r="V276" s="60" t="s">
        <v>7453</v>
      </c>
      <c r="W276" s="60" t="s">
        <v>7439</v>
      </c>
      <c r="X276" s="60" t="s">
        <v>7454</v>
      </c>
      <c r="Y276" s="60" t="s">
        <v>7455</v>
      </c>
      <c r="Z276" s="60" t="s">
        <v>7456</v>
      </c>
      <c r="AA276" s="60" t="s">
        <v>7457</v>
      </c>
      <c r="AB276" s="60" t="s">
        <v>7458</v>
      </c>
      <c r="AC276" s="60" t="s">
        <v>7459</v>
      </c>
    </row>
    <row r="277">
      <c r="A277" s="59" t="s">
        <v>7460</v>
      </c>
      <c r="B277" s="60" t="s">
        <v>7461</v>
      </c>
      <c r="C277" s="61" t="s">
        <v>7462</v>
      </c>
      <c r="D277" s="60" t="s">
        <v>7461</v>
      </c>
      <c r="E277" s="60" t="s">
        <v>7461</v>
      </c>
      <c r="F277" s="60" t="s">
        <v>7463</v>
      </c>
      <c r="G277" s="60" t="s">
        <v>7464</v>
      </c>
      <c r="H277" s="60" t="s">
        <v>7465</v>
      </c>
      <c r="I277" s="60" t="s">
        <v>7466</v>
      </c>
      <c r="J277" s="60" t="s">
        <v>7467</v>
      </c>
      <c r="K277" s="60" t="s">
        <v>7468</v>
      </c>
      <c r="L277" s="60" t="s">
        <v>7461</v>
      </c>
      <c r="M277" s="60" t="s">
        <v>7469</v>
      </c>
      <c r="N277" s="60" t="s">
        <v>7470</v>
      </c>
      <c r="O277" s="60" t="s">
        <v>7471</v>
      </c>
      <c r="P277" s="60" t="s">
        <v>7472</v>
      </c>
      <c r="Q277" s="60" t="s">
        <v>7473</v>
      </c>
      <c r="R277" s="60" t="s">
        <v>7474</v>
      </c>
      <c r="S277" s="60" t="s">
        <v>7475</v>
      </c>
      <c r="T277" s="60" t="s">
        <v>7461</v>
      </c>
      <c r="U277" s="60" t="s">
        <v>7476</v>
      </c>
      <c r="V277" s="60" t="s">
        <v>7477</v>
      </c>
      <c r="W277" s="60" t="s">
        <v>7478</v>
      </c>
      <c r="X277" s="60" t="s">
        <v>7479</v>
      </c>
      <c r="Y277" s="60" t="s">
        <v>7480</v>
      </c>
      <c r="Z277" s="60" t="s">
        <v>7481</v>
      </c>
      <c r="AA277" s="60" t="s">
        <v>7482</v>
      </c>
      <c r="AB277" s="60" t="s">
        <v>7483</v>
      </c>
      <c r="AC277" s="60" t="s">
        <v>7484</v>
      </c>
    </row>
    <row r="278">
      <c r="A278" s="59" t="s">
        <v>7485</v>
      </c>
      <c r="B278" s="60" t="s">
        <v>7486</v>
      </c>
      <c r="C278" s="61" t="s">
        <v>7487</v>
      </c>
      <c r="D278" s="60" t="s">
        <v>7488</v>
      </c>
      <c r="E278" s="60" t="s">
        <v>7489</v>
      </c>
      <c r="F278" s="60" t="s">
        <v>7490</v>
      </c>
      <c r="G278" s="60" t="s">
        <v>7491</v>
      </c>
      <c r="H278" s="60" t="s">
        <v>7492</v>
      </c>
      <c r="I278" s="60" t="s">
        <v>7493</v>
      </c>
      <c r="J278" s="60" t="s">
        <v>7494</v>
      </c>
      <c r="K278" s="60" t="s">
        <v>7495</v>
      </c>
      <c r="L278" s="60" t="s">
        <v>7496</v>
      </c>
      <c r="M278" s="60" t="s">
        <v>7497</v>
      </c>
      <c r="N278" s="60" t="s">
        <v>7498</v>
      </c>
      <c r="O278" s="60" t="s">
        <v>7499</v>
      </c>
      <c r="P278" s="60" t="s">
        <v>7500</v>
      </c>
      <c r="Q278" s="60" t="s">
        <v>7501</v>
      </c>
      <c r="R278" s="60" t="s">
        <v>7502</v>
      </c>
      <c r="S278" s="60" t="s">
        <v>7503</v>
      </c>
      <c r="T278" s="60" t="s">
        <v>7504</v>
      </c>
      <c r="U278" s="60" t="s">
        <v>7505</v>
      </c>
      <c r="V278" s="60" t="s">
        <v>7506</v>
      </c>
      <c r="W278" s="60" t="s">
        <v>7507</v>
      </c>
      <c r="X278" s="60" t="s">
        <v>7508</v>
      </c>
      <c r="Y278" s="60" t="s">
        <v>7509</v>
      </c>
      <c r="Z278" s="60" t="s">
        <v>7510</v>
      </c>
      <c r="AA278" s="60" t="s">
        <v>7511</v>
      </c>
      <c r="AB278" s="60" t="s">
        <v>7512</v>
      </c>
      <c r="AC278" s="60" t="s">
        <v>7513</v>
      </c>
    </row>
    <row r="279">
      <c r="A279" s="59" t="s">
        <v>7514</v>
      </c>
      <c r="B279" s="60" t="s">
        <v>7515</v>
      </c>
      <c r="C279" s="61" t="s">
        <v>7516</v>
      </c>
      <c r="D279" s="60" t="s">
        <v>7517</v>
      </c>
      <c r="E279" s="60" t="s">
        <v>7518</v>
      </c>
      <c r="F279" s="60" t="s">
        <v>7519</v>
      </c>
      <c r="G279" s="60" t="s">
        <v>7520</v>
      </c>
      <c r="H279" s="60" t="s">
        <v>7521</v>
      </c>
      <c r="I279" s="60" t="s">
        <v>7522</v>
      </c>
      <c r="J279" s="60" t="s">
        <v>7523</v>
      </c>
      <c r="K279" s="60" t="s">
        <v>7524</v>
      </c>
      <c r="L279" s="60" t="s">
        <v>7525</v>
      </c>
      <c r="M279" s="60" t="s">
        <v>7526</v>
      </c>
      <c r="N279" s="60" t="s">
        <v>7527</v>
      </c>
      <c r="O279" s="60" t="s">
        <v>7528</v>
      </c>
      <c r="P279" s="60" t="s">
        <v>7529</v>
      </c>
      <c r="Q279" s="60" t="s">
        <v>7530</v>
      </c>
      <c r="R279" s="60" t="s">
        <v>7531</v>
      </c>
      <c r="S279" s="60" t="s">
        <v>7532</v>
      </c>
      <c r="T279" s="60" t="s">
        <v>7525</v>
      </c>
      <c r="U279" s="60" t="s">
        <v>7518</v>
      </c>
      <c r="V279" s="60" t="s">
        <v>7533</v>
      </c>
      <c r="W279" s="60" t="s">
        <v>7526</v>
      </c>
      <c r="X279" s="60" t="s">
        <v>7534</v>
      </c>
      <c r="Y279" s="60" t="s">
        <v>7535</v>
      </c>
      <c r="Z279" s="60" t="s">
        <v>7536</v>
      </c>
      <c r="AA279" s="60" t="s">
        <v>7537</v>
      </c>
      <c r="AB279" s="60" t="s">
        <v>7538</v>
      </c>
      <c r="AC279" s="60" t="s">
        <v>7539</v>
      </c>
    </row>
    <row r="280">
      <c r="A280" s="59" t="s">
        <v>7540</v>
      </c>
      <c r="B280" s="60" t="s">
        <v>7541</v>
      </c>
      <c r="C280" s="61" t="s">
        <v>7542</v>
      </c>
      <c r="D280" s="60" t="s">
        <v>7543</v>
      </c>
      <c r="E280" s="60" t="s">
        <v>7544</v>
      </c>
      <c r="F280" s="60" t="s">
        <v>7545</v>
      </c>
      <c r="G280" s="60" t="s">
        <v>7546</v>
      </c>
      <c r="H280" s="60" t="s">
        <v>7547</v>
      </c>
      <c r="I280" s="60" t="s">
        <v>7548</v>
      </c>
      <c r="J280" s="60" t="s">
        <v>7549</v>
      </c>
      <c r="K280" s="60" t="s">
        <v>7550</v>
      </c>
      <c r="L280" s="60" t="s">
        <v>7551</v>
      </c>
      <c r="M280" s="60" t="s">
        <v>7552</v>
      </c>
      <c r="N280" s="60" t="s">
        <v>7553</v>
      </c>
      <c r="O280" s="60" t="s">
        <v>7554</v>
      </c>
      <c r="P280" s="60" t="s">
        <v>7555</v>
      </c>
      <c r="Q280" s="60" t="s">
        <v>7556</v>
      </c>
      <c r="R280" s="60" t="s">
        <v>7557</v>
      </c>
      <c r="S280" s="60" t="s">
        <v>7558</v>
      </c>
      <c r="T280" s="60" t="s">
        <v>7551</v>
      </c>
      <c r="U280" s="60" t="s">
        <v>7559</v>
      </c>
      <c r="V280" s="60" t="s">
        <v>7560</v>
      </c>
      <c r="W280" s="60" t="s">
        <v>7561</v>
      </c>
      <c r="X280" s="60" t="s">
        <v>7562</v>
      </c>
      <c r="Y280" s="60" t="s">
        <v>7563</v>
      </c>
      <c r="Z280" s="60" t="s">
        <v>7564</v>
      </c>
      <c r="AA280" s="60" t="s">
        <v>7565</v>
      </c>
      <c r="AB280" s="60" t="s">
        <v>7566</v>
      </c>
      <c r="AC280" s="60" t="s">
        <v>7567</v>
      </c>
    </row>
    <row r="281">
      <c r="A281" s="59" t="s">
        <v>7568</v>
      </c>
      <c r="B281" s="60" t="s">
        <v>7569</v>
      </c>
      <c r="C281" s="61" t="s">
        <v>7570</v>
      </c>
      <c r="D281" s="60" t="s">
        <v>7571</v>
      </c>
      <c r="E281" s="60" t="s">
        <v>7572</v>
      </c>
      <c r="F281" s="60" t="s">
        <v>7573</v>
      </c>
      <c r="G281" s="60" t="s">
        <v>7574</v>
      </c>
      <c r="H281" s="60" t="s">
        <v>7575</v>
      </c>
      <c r="I281" s="60" t="s">
        <v>7576</v>
      </c>
      <c r="J281" s="60" t="s">
        <v>7577</v>
      </c>
      <c r="K281" s="60" t="s">
        <v>7578</v>
      </c>
      <c r="L281" s="60" t="s">
        <v>7579</v>
      </c>
      <c r="M281" s="60" t="s">
        <v>7580</v>
      </c>
      <c r="N281" s="60" t="s">
        <v>7581</v>
      </c>
      <c r="O281" s="60" t="s">
        <v>7582</v>
      </c>
      <c r="P281" s="60" t="s">
        <v>7583</v>
      </c>
      <c r="Q281" s="60" t="s">
        <v>7584</v>
      </c>
      <c r="R281" s="60" t="s">
        <v>7585</v>
      </c>
      <c r="S281" s="60" t="s">
        <v>7586</v>
      </c>
      <c r="T281" s="60" t="s">
        <v>7587</v>
      </c>
      <c r="U281" s="60" t="s">
        <v>7588</v>
      </c>
      <c r="V281" s="60" t="s">
        <v>7589</v>
      </c>
      <c r="W281" s="60" t="s">
        <v>7590</v>
      </c>
      <c r="X281" s="60" t="s">
        <v>7591</v>
      </c>
      <c r="Y281" s="60" t="s">
        <v>7592</v>
      </c>
      <c r="Z281" s="60" t="s">
        <v>7593</v>
      </c>
      <c r="AA281" s="60" t="s">
        <v>7594</v>
      </c>
      <c r="AB281" s="60" t="s">
        <v>7595</v>
      </c>
      <c r="AC281" s="60" t="s">
        <v>7596</v>
      </c>
    </row>
    <row r="282">
      <c r="A282" s="59" t="s">
        <v>7597</v>
      </c>
      <c r="B282" s="60" t="s">
        <v>7598</v>
      </c>
      <c r="C282" s="61" t="s">
        <v>7599</v>
      </c>
      <c r="D282" s="60" t="s">
        <v>7600</v>
      </c>
      <c r="E282" s="60" t="s">
        <v>7601</v>
      </c>
      <c r="F282" s="60" t="s">
        <v>7602</v>
      </c>
      <c r="G282" s="60" t="s">
        <v>7603</v>
      </c>
      <c r="H282" s="60" t="s">
        <v>7604</v>
      </c>
      <c r="I282" s="60" t="s">
        <v>7605</v>
      </c>
      <c r="J282" s="60" t="s">
        <v>7606</v>
      </c>
      <c r="K282" s="60" t="s">
        <v>7607</v>
      </c>
      <c r="L282" s="60" t="s">
        <v>7608</v>
      </c>
      <c r="M282" s="60" t="s">
        <v>7609</v>
      </c>
      <c r="N282" s="60" t="s">
        <v>7610</v>
      </c>
      <c r="O282" s="60" t="s">
        <v>7611</v>
      </c>
      <c r="P282" s="60" t="s">
        <v>7612</v>
      </c>
      <c r="Q282" s="60" t="s">
        <v>7613</v>
      </c>
      <c r="R282" s="60" t="s">
        <v>7614</v>
      </c>
      <c r="S282" s="60" t="s">
        <v>7615</v>
      </c>
      <c r="T282" s="60" t="s">
        <v>7598</v>
      </c>
      <c r="U282" s="60" t="s">
        <v>7616</v>
      </c>
      <c r="V282" s="60" t="s">
        <v>7617</v>
      </c>
      <c r="W282" s="60" t="s">
        <v>7618</v>
      </c>
      <c r="X282" s="60" t="s">
        <v>7619</v>
      </c>
      <c r="Y282" s="60" t="s">
        <v>7620</v>
      </c>
      <c r="Z282" s="60" t="s">
        <v>7621</v>
      </c>
      <c r="AA282" s="60" t="s">
        <v>7622</v>
      </c>
      <c r="AB282" s="60" t="s">
        <v>7623</v>
      </c>
      <c r="AC282" s="60" t="s">
        <v>7624</v>
      </c>
    </row>
    <row r="283">
      <c r="A283" s="59" t="s">
        <v>7625</v>
      </c>
      <c r="B283" s="60" t="s">
        <v>7626</v>
      </c>
      <c r="C283" s="61" t="s">
        <v>7627</v>
      </c>
      <c r="D283" s="60" t="s">
        <v>7626</v>
      </c>
      <c r="E283" s="60" t="s">
        <v>7626</v>
      </c>
      <c r="F283" s="60" t="s">
        <v>7628</v>
      </c>
      <c r="G283" s="60" t="s">
        <v>7626</v>
      </c>
      <c r="H283" s="60" t="s">
        <v>7626</v>
      </c>
      <c r="I283" s="60" t="s">
        <v>7626</v>
      </c>
      <c r="J283" s="60" t="s">
        <v>7626</v>
      </c>
      <c r="K283" s="60" t="s">
        <v>7629</v>
      </c>
      <c r="L283" s="60" t="s">
        <v>7626</v>
      </c>
      <c r="M283" s="60" t="s">
        <v>7626</v>
      </c>
      <c r="N283" s="60" t="s">
        <v>7630</v>
      </c>
      <c r="O283" s="60" t="s">
        <v>7631</v>
      </c>
      <c r="P283" s="60" t="s">
        <v>7632</v>
      </c>
      <c r="Q283" s="60" t="s">
        <v>7633</v>
      </c>
      <c r="R283" s="60" t="s">
        <v>7634</v>
      </c>
      <c r="S283" s="60" t="s">
        <v>7626</v>
      </c>
      <c r="T283" s="60" t="s">
        <v>7626</v>
      </c>
      <c r="U283" s="60" t="s">
        <v>7626</v>
      </c>
      <c r="V283" s="60" t="s">
        <v>7626</v>
      </c>
      <c r="W283" s="60" t="s">
        <v>7635</v>
      </c>
      <c r="X283" s="60" t="s">
        <v>7636</v>
      </c>
      <c r="Y283" s="60" t="s">
        <v>7637</v>
      </c>
      <c r="Z283" s="60" t="s">
        <v>7626</v>
      </c>
      <c r="AA283" s="60" t="s">
        <v>7638</v>
      </c>
      <c r="AB283" s="60" t="s">
        <v>7639</v>
      </c>
      <c r="AC283" s="60" t="s">
        <v>7640</v>
      </c>
    </row>
    <row r="284">
      <c r="A284" s="59" t="s">
        <v>7641</v>
      </c>
      <c r="B284" s="60" t="s">
        <v>7642</v>
      </c>
      <c r="C284" s="61" t="s">
        <v>7643</v>
      </c>
      <c r="D284" s="60" t="s">
        <v>7642</v>
      </c>
      <c r="E284" s="60" t="s">
        <v>7644</v>
      </c>
      <c r="F284" s="60" t="s">
        <v>7645</v>
      </c>
      <c r="G284" s="60" t="s">
        <v>7646</v>
      </c>
      <c r="H284" s="60" t="s">
        <v>7647</v>
      </c>
      <c r="I284" s="60" t="s">
        <v>7648</v>
      </c>
      <c r="J284" s="60" t="s">
        <v>7649</v>
      </c>
      <c r="K284" s="60" t="s">
        <v>7650</v>
      </c>
      <c r="L284" s="60" t="s">
        <v>7651</v>
      </c>
      <c r="M284" s="60" t="s">
        <v>7652</v>
      </c>
      <c r="N284" s="60" t="s">
        <v>7653</v>
      </c>
      <c r="O284" s="60" t="s">
        <v>7654</v>
      </c>
      <c r="P284" s="60" t="s">
        <v>7655</v>
      </c>
      <c r="Q284" s="60" t="s">
        <v>7656</v>
      </c>
      <c r="R284" s="60" t="s">
        <v>7657</v>
      </c>
      <c r="S284" s="60" t="s">
        <v>7658</v>
      </c>
      <c r="T284" s="60" t="s">
        <v>7651</v>
      </c>
      <c r="U284" s="60" t="s">
        <v>7659</v>
      </c>
      <c r="V284" s="60" t="s">
        <v>7660</v>
      </c>
      <c r="W284" s="60" t="s">
        <v>7661</v>
      </c>
      <c r="X284" s="60" t="s">
        <v>7662</v>
      </c>
      <c r="Y284" s="60" t="s">
        <v>7663</v>
      </c>
      <c r="Z284" s="60" t="s">
        <v>7642</v>
      </c>
      <c r="AA284" s="60" t="s">
        <v>7664</v>
      </c>
      <c r="AB284" s="60" t="s">
        <v>7665</v>
      </c>
      <c r="AC284" s="60" t="s">
        <v>7666</v>
      </c>
    </row>
    <row r="285">
      <c r="A285" s="59" t="s">
        <v>7667</v>
      </c>
      <c r="B285" s="60" t="s">
        <v>7668</v>
      </c>
      <c r="C285" s="61" t="s">
        <v>7669</v>
      </c>
      <c r="D285" s="60" t="s">
        <v>7670</v>
      </c>
      <c r="E285" s="60" t="s">
        <v>7671</v>
      </c>
      <c r="F285" s="60" t="s">
        <v>7672</v>
      </c>
      <c r="G285" s="60" t="s">
        <v>7673</v>
      </c>
      <c r="H285" s="60" t="s">
        <v>7674</v>
      </c>
      <c r="I285" s="60" t="s">
        <v>7675</v>
      </c>
      <c r="J285" s="60" t="s">
        <v>7676</v>
      </c>
      <c r="K285" s="60" t="s">
        <v>7677</v>
      </c>
      <c r="L285" s="60" t="s">
        <v>7674</v>
      </c>
      <c r="M285" s="60" t="s">
        <v>7673</v>
      </c>
      <c r="N285" s="60" t="s">
        <v>7678</v>
      </c>
      <c r="O285" s="60" t="s">
        <v>7679</v>
      </c>
      <c r="P285" s="60" t="s">
        <v>7680</v>
      </c>
      <c r="Q285" s="60" t="s">
        <v>7681</v>
      </c>
      <c r="R285" s="60" t="s">
        <v>7682</v>
      </c>
      <c r="S285" s="60" t="s">
        <v>7683</v>
      </c>
      <c r="T285" s="60" t="s">
        <v>7674</v>
      </c>
      <c r="U285" s="60" t="s">
        <v>7684</v>
      </c>
      <c r="V285" s="60" t="s">
        <v>7685</v>
      </c>
      <c r="W285" s="60" t="s">
        <v>7673</v>
      </c>
      <c r="X285" s="60" t="s">
        <v>7686</v>
      </c>
      <c r="Y285" s="60" t="s">
        <v>7687</v>
      </c>
      <c r="Z285" s="60" t="s">
        <v>7688</v>
      </c>
      <c r="AA285" s="60" t="s">
        <v>7689</v>
      </c>
      <c r="AB285" s="60" t="s">
        <v>7690</v>
      </c>
      <c r="AC285" s="60" t="s">
        <v>7691</v>
      </c>
    </row>
    <row r="286">
      <c r="A286" s="59" t="s">
        <v>7692</v>
      </c>
      <c r="B286" s="60" t="s">
        <v>7693</v>
      </c>
      <c r="C286" s="61" t="s">
        <v>7694</v>
      </c>
      <c r="D286" s="60" t="s">
        <v>7693</v>
      </c>
      <c r="E286" s="60" t="s">
        <v>7693</v>
      </c>
      <c r="F286" s="60" t="s">
        <v>7695</v>
      </c>
      <c r="G286" s="60" t="s">
        <v>7696</v>
      </c>
      <c r="H286" s="60" t="s">
        <v>7697</v>
      </c>
      <c r="I286" s="60" t="s">
        <v>7693</v>
      </c>
      <c r="J286" s="60" t="s">
        <v>7693</v>
      </c>
      <c r="K286" s="60" t="s">
        <v>7698</v>
      </c>
      <c r="L286" s="60" t="s">
        <v>7693</v>
      </c>
      <c r="M286" s="60" t="s">
        <v>7693</v>
      </c>
      <c r="N286" s="60" t="s">
        <v>7699</v>
      </c>
      <c r="O286" s="60" t="s">
        <v>7700</v>
      </c>
      <c r="P286" s="60" t="s">
        <v>7701</v>
      </c>
      <c r="Q286" s="60" t="s">
        <v>7702</v>
      </c>
      <c r="R286" s="60" t="s">
        <v>7703</v>
      </c>
      <c r="S286" s="60" t="s">
        <v>7704</v>
      </c>
      <c r="T286" s="60" t="s">
        <v>7693</v>
      </c>
      <c r="U286" s="60" t="s">
        <v>7693</v>
      </c>
      <c r="V286" s="60" t="s">
        <v>7693</v>
      </c>
      <c r="W286" s="60" t="s">
        <v>7693</v>
      </c>
      <c r="X286" s="60" t="s">
        <v>7705</v>
      </c>
      <c r="Y286" s="60" t="s">
        <v>7706</v>
      </c>
      <c r="Z286" s="60" t="s">
        <v>7693</v>
      </c>
      <c r="AA286" s="60" t="s">
        <v>7705</v>
      </c>
      <c r="AB286" s="60" t="s">
        <v>7707</v>
      </c>
      <c r="AC286" s="60" t="s">
        <v>7708</v>
      </c>
    </row>
    <row r="287">
      <c r="A287" s="59" t="s">
        <v>7709</v>
      </c>
      <c r="B287" s="60" t="s">
        <v>7710</v>
      </c>
      <c r="C287" s="61" t="s">
        <v>7711</v>
      </c>
      <c r="D287" s="60" t="s">
        <v>7710</v>
      </c>
      <c r="E287" s="60" t="s">
        <v>7710</v>
      </c>
      <c r="F287" s="60" t="s">
        <v>7712</v>
      </c>
      <c r="G287" s="60" t="s">
        <v>7710</v>
      </c>
      <c r="H287" s="60" t="s">
        <v>7710</v>
      </c>
      <c r="I287" s="60" t="s">
        <v>7710</v>
      </c>
      <c r="J287" s="60" t="s">
        <v>7710</v>
      </c>
      <c r="K287" s="60" t="s">
        <v>7713</v>
      </c>
      <c r="L287" s="60" t="s">
        <v>7710</v>
      </c>
      <c r="M287" s="60" t="s">
        <v>7710</v>
      </c>
      <c r="N287" s="60" t="s">
        <v>7714</v>
      </c>
      <c r="O287" s="60" t="s">
        <v>7710</v>
      </c>
      <c r="P287" s="60" t="s">
        <v>7715</v>
      </c>
      <c r="Q287" s="60" t="s">
        <v>7716</v>
      </c>
      <c r="R287" s="60" t="s">
        <v>7710</v>
      </c>
      <c r="S287" s="60" t="s">
        <v>7717</v>
      </c>
      <c r="T287" s="60" t="s">
        <v>7710</v>
      </c>
      <c r="U287" s="60" t="s">
        <v>7710</v>
      </c>
      <c r="V287" s="60" t="s">
        <v>7710</v>
      </c>
      <c r="W287" s="60" t="s">
        <v>7710</v>
      </c>
      <c r="X287" s="60" t="s">
        <v>7718</v>
      </c>
      <c r="Y287" s="60" t="s">
        <v>7719</v>
      </c>
      <c r="Z287" s="60" t="s">
        <v>7710</v>
      </c>
      <c r="AA287" s="60" t="s">
        <v>7720</v>
      </c>
      <c r="AB287" s="60" t="s">
        <v>7721</v>
      </c>
      <c r="AC287" s="60" t="s">
        <v>7722</v>
      </c>
    </row>
    <row r="288">
      <c r="A288" s="59" t="s">
        <v>7723</v>
      </c>
      <c r="B288" s="60" t="s">
        <v>7724</v>
      </c>
      <c r="C288" s="61" t="s">
        <v>7725</v>
      </c>
      <c r="D288" s="60" t="s">
        <v>7726</v>
      </c>
      <c r="E288" s="60" t="s">
        <v>7727</v>
      </c>
      <c r="F288" s="60" t="s">
        <v>7728</v>
      </c>
      <c r="G288" s="60" t="s">
        <v>7729</v>
      </c>
      <c r="H288" s="60" t="s">
        <v>7730</v>
      </c>
      <c r="I288" s="60" t="s">
        <v>7731</v>
      </c>
      <c r="J288" s="60" t="s">
        <v>7732</v>
      </c>
      <c r="K288" s="60" t="s">
        <v>7733</v>
      </c>
      <c r="L288" s="60" t="s">
        <v>7734</v>
      </c>
      <c r="M288" s="60" t="s">
        <v>7735</v>
      </c>
      <c r="N288" s="60" t="s">
        <v>7736</v>
      </c>
      <c r="O288" s="60" t="s">
        <v>7737</v>
      </c>
      <c r="P288" s="60" t="s">
        <v>7738</v>
      </c>
      <c r="Q288" s="60" t="s">
        <v>7739</v>
      </c>
      <c r="R288" s="60" t="s">
        <v>7740</v>
      </c>
      <c r="S288" s="60" t="s">
        <v>7741</v>
      </c>
      <c r="T288" s="60" t="s">
        <v>7742</v>
      </c>
      <c r="U288" s="60" t="s">
        <v>7743</v>
      </c>
      <c r="V288" s="60" t="s">
        <v>7744</v>
      </c>
      <c r="W288" s="60" t="s">
        <v>7745</v>
      </c>
      <c r="X288" s="60" t="s">
        <v>7746</v>
      </c>
      <c r="Y288" s="60" t="s">
        <v>7747</v>
      </c>
      <c r="Z288" s="60" t="s">
        <v>7748</v>
      </c>
      <c r="AA288" s="60" t="s">
        <v>7749</v>
      </c>
      <c r="AB288" s="60" t="s">
        <v>7750</v>
      </c>
      <c r="AC288" s="60" t="s">
        <v>7751</v>
      </c>
    </row>
    <row r="289">
      <c r="A289" s="59" t="s">
        <v>7752</v>
      </c>
      <c r="B289" s="60" t="s">
        <v>7753</v>
      </c>
      <c r="C289" s="61" t="s">
        <v>7754</v>
      </c>
      <c r="D289" s="60" t="s">
        <v>7755</v>
      </c>
      <c r="E289" s="60" t="s">
        <v>7756</v>
      </c>
      <c r="F289" s="60" t="s">
        <v>7757</v>
      </c>
      <c r="G289" s="60" t="s">
        <v>7758</v>
      </c>
      <c r="H289" s="60" t="s">
        <v>7759</v>
      </c>
      <c r="I289" s="60" t="s">
        <v>7760</v>
      </c>
      <c r="J289" s="60" t="s">
        <v>7761</v>
      </c>
      <c r="K289" s="60" t="s">
        <v>7762</v>
      </c>
      <c r="L289" s="60" t="s">
        <v>7763</v>
      </c>
      <c r="M289" s="60" t="s">
        <v>7764</v>
      </c>
      <c r="N289" s="60" t="s">
        <v>7765</v>
      </c>
      <c r="O289" s="60" t="s">
        <v>7766</v>
      </c>
      <c r="P289" s="60" t="s">
        <v>7767</v>
      </c>
      <c r="Q289" s="60" t="s">
        <v>7768</v>
      </c>
      <c r="R289" s="60" t="s">
        <v>7769</v>
      </c>
      <c r="S289" s="60" t="s">
        <v>7770</v>
      </c>
      <c r="T289" s="60" t="s">
        <v>7771</v>
      </c>
      <c r="U289" s="60" t="s">
        <v>7772</v>
      </c>
      <c r="V289" s="60" t="s">
        <v>7773</v>
      </c>
      <c r="W289" s="60" t="s">
        <v>7758</v>
      </c>
      <c r="X289" s="60" t="s">
        <v>7774</v>
      </c>
      <c r="Y289" s="60" t="s">
        <v>7775</v>
      </c>
      <c r="Z289" s="60" t="s">
        <v>7776</v>
      </c>
      <c r="AA289" s="60" t="s">
        <v>7777</v>
      </c>
      <c r="AB289" s="60" t="s">
        <v>7778</v>
      </c>
      <c r="AC289" s="60" t="s">
        <v>7779</v>
      </c>
    </row>
    <row r="290">
      <c r="A290" s="59" t="s">
        <v>7780</v>
      </c>
      <c r="B290" s="60" t="s">
        <v>7781</v>
      </c>
      <c r="C290" s="61" t="s">
        <v>7782</v>
      </c>
      <c r="D290" s="60" t="s">
        <v>7783</v>
      </c>
      <c r="E290" s="60" t="s">
        <v>7784</v>
      </c>
      <c r="F290" s="60" t="s">
        <v>7785</v>
      </c>
      <c r="G290" s="60" t="s">
        <v>7786</v>
      </c>
      <c r="H290" s="60" t="s">
        <v>7787</v>
      </c>
      <c r="I290" s="60" t="s">
        <v>7788</v>
      </c>
      <c r="J290" s="60" t="s">
        <v>7789</v>
      </c>
      <c r="K290" s="60" t="s">
        <v>7790</v>
      </c>
      <c r="L290" s="60" t="s">
        <v>7791</v>
      </c>
      <c r="M290" s="60" t="s">
        <v>7792</v>
      </c>
      <c r="N290" s="60" t="s">
        <v>7793</v>
      </c>
      <c r="O290" s="60" t="s">
        <v>7794</v>
      </c>
      <c r="P290" s="60" t="s">
        <v>7795</v>
      </c>
      <c r="Q290" s="60" t="s">
        <v>7796</v>
      </c>
      <c r="R290" s="60" t="s">
        <v>7797</v>
      </c>
      <c r="S290" s="60" t="s">
        <v>7798</v>
      </c>
      <c r="T290" s="60" t="s">
        <v>7799</v>
      </c>
      <c r="U290" s="60" t="s">
        <v>7784</v>
      </c>
      <c r="V290" s="60" t="s">
        <v>7800</v>
      </c>
      <c r="W290" s="60" t="s">
        <v>7801</v>
      </c>
      <c r="X290" s="60" t="s">
        <v>7802</v>
      </c>
      <c r="Y290" s="60" t="s">
        <v>7803</v>
      </c>
      <c r="Z290" s="60" t="s">
        <v>7804</v>
      </c>
      <c r="AA290" s="60" t="s">
        <v>7805</v>
      </c>
      <c r="AB290" s="60" t="s">
        <v>7806</v>
      </c>
      <c r="AC290" s="60" t="s">
        <v>7807</v>
      </c>
    </row>
    <row r="291">
      <c r="A291" s="59" t="s">
        <v>7808</v>
      </c>
      <c r="B291" s="60" t="s">
        <v>7809</v>
      </c>
      <c r="C291" s="61" t="s">
        <v>7810</v>
      </c>
      <c r="D291" s="60" t="s">
        <v>7811</v>
      </c>
      <c r="E291" s="60" t="s">
        <v>7809</v>
      </c>
      <c r="F291" s="60" t="s">
        <v>7812</v>
      </c>
      <c r="G291" s="60" t="s">
        <v>7808</v>
      </c>
      <c r="H291" s="60" t="s">
        <v>7813</v>
      </c>
      <c r="I291" s="60" t="s">
        <v>7809</v>
      </c>
      <c r="J291" s="60" t="s">
        <v>7808</v>
      </c>
      <c r="K291" s="60" t="s">
        <v>7814</v>
      </c>
      <c r="L291" s="60" t="s">
        <v>7809</v>
      </c>
      <c r="M291" s="60" t="s">
        <v>7808</v>
      </c>
      <c r="N291" s="60" t="s">
        <v>7815</v>
      </c>
      <c r="O291" s="60" t="s">
        <v>7816</v>
      </c>
      <c r="P291" s="60" t="s">
        <v>7817</v>
      </c>
      <c r="Q291" s="60" t="s">
        <v>7818</v>
      </c>
      <c r="R291" s="60" t="s">
        <v>7819</v>
      </c>
      <c r="S291" s="60" t="s">
        <v>7820</v>
      </c>
      <c r="T291" s="60" t="s">
        <v>7809</v>
      </c>
      <c r="U291" s="60" t="s">
        <v>7809</v>
      </c>
      <c r="V291" s="60" t="s">
        <v>7821</v>
      </c>
      <c r="W291" s="60" t="s">
        <v>7808</v>
      </c>
      <c r="X291" s="60" t="s">
        <v>7822</v>
      </c>
      <c r="Y291" s="60" t="s">
        <v>7823</v>
      </c>
      <c r="Z291" s="60" t="s">
        <v>7824</v>
      </c>
      <c r="AA291" s="60" t="s">
        <v>7825</v>
      </c>
      <c r="AB291" s="60" t="s">
        <v>7826</v>
      </c>
      <c r="AC291" s="60" t="s">
        <v>7827</v>
      </c>
    </row>
    <row r="292">
      <c r="A292" s="59" t="s">
        <v>7828</v>
      </c>
      <c r="B292" s="60" t="s">
        <v>7829</v>
      </c>
      <c r="C292" s="61" t="s">
        <v>7830</v>
      </c>
      <c r="D292" s="60" t="s">
        <v>7831</v>
      </c>
      <c r="E292" s="60" t="s">
        <v>7832</v>
      </c>
      <c r="F292" s="60" t="s">
        <v>7833</v>
      </c>
      <c r="G292" s="60" t="s">
        <v>7834</v>
      </c>
      <c r="H292" s="60" t="s">
        <v>7835</v>
      </c>
      <c r="I292" s="60" t="s">
        <v>7836</v>
      </c>
      <c r="J292" s="60" t="s">
        <v>7837</v>
      </c>
      <c r="K292" s="60" t="s">
        <v>7838</v>
      </c>
      <c r="L292" s="60" t="s">
        <v>7839</v>
      </c>
      <c r="M292" s="60" t="s">
        <v>7840</v>
      </c>
      <c r="N292" s="60" t="s">
        <v>7841</v>
      </c>
      <c r="O292" s="60" t="s">
        <v>7842</v>
      </c>
      <c r="P292" s="60" t="s">
        <v>7843</v>
      </c>
      <c r="Q292" s="60" t="s">
        <v>7844</v>
      </c>
      <c r="R292" s="60" t="s">
        <v>7845</v>
      </c>
      <c r="S292" s="60" t="s">
        <v>7846</v>
      </c>
      <c r="T292" s="60" t="s">
        <v>7829</v>
      </c>
      <c r="U292" s="60" t="s">
        <v>7847</v>
      </c>
      <c r="V292" s="60" t="s">
        <v>7848</v>
      </c>
      <c r="W292" s="60" t="s">
        <v>7849</v>
      </c>
      <c r="X292" s="60" t="s">
        <v>7850</v>
      </c>
      <c r="Y292" s="60" t="s">
        <v>7851</v>
      </c>
      <c r="Z292" s="60" t="s">
        <v>7852</v>
      </c>
      <c r="AA292" s="60" t="s">
        <v>7853</v>
      </c>
      <c r="AB292" s="60" t="s">
        <v>7854</v>
      </c>
      <c r="AC292" s="60" t="s">
        <v>7855</v>
      </c>
    </row>
    <row r="293">
      <c r="A293" s="59" t="s">
        <v>7856</v>
      </c>
      <c r="B293" s="60" t="s">
        <v>7857</v>
      </c>
      <c r="C293" s="61" t="s">
        <v>7858</v>
      </c>
      <c r="D293" s="60" t="s">
        <v>7859</v>
      </c>
      <c r="E293" s="60" t="s">
        <v>7860</v>
      </c>
      <c r="F293" s="60" t="s">
        <v>7861</v>
      </c>
      <c r="G293" s="60" t="s">
        <v>7862</v>
      </c>
      <c r="H293" s="60" t="s">
        <v>7863</v>
      </c>
      <c r="I293" s="60" t="s">
        <v>7864</v>
      </c>
      <c r="J293" s="60" t="s">
        <v>7865</v>
      </c>
      <c r="K293" s="60" t="s">
        <v>7866</v>
      </c>
      <c r="L293" s="60" t="s">
        <v>7867</v>
      </c>
      <c r="M293" s="60" t="s">
        <v>7868</v>
      </c>
      <c r="N293" s="60" t="s">
        <v>7869</v>
      </c>
      <c r="O293" s="60" t="s">
        <v>7870</v>
      </c>
      <c r="P293" s="60" t="s">
        <v>7871</v>
      </c>
      <c r="Q293" s="60" t="s">
        <v>7872</v>
      </c>
      <c r="R293" s="60" t="s">
        <v>7873</v>
      </c>
      <c r="S293" s="60" t="s">
        <v>7874</v>
      </c>
      <c r="T293" s="60" t="s">
        <v>7867</v>
      </c>
      <c r="U293" s="60" t="s">
        <v>7875</v>
      </c>
      <c r="V293" s="60" t="s">
        <v>7876</v>
      </c>
      <c r="W293" s="60" t="s">
        <v>7877</v>
      </c>
      <c r="X293" s="60" t="s">
        <v>7878</v>
      </c>
      <c r="Y293" s="60" t="s">
        <v>7879</v>
      </c>
      <c r="Z293" s="60" t="s">
        <v>7880</v>
      </c>
      <c r="AA293" s="60" t="s">
        <v>7881</v>
      </c>
      <c r="AB293" s="60" t="s">
        <v>7882</v>
      </c>
      <c r="AC293" s="60" t="s">
        <v>7883</v>
      </c>
    </row>
    <row r="294">
      <c r="A294" s="59" t="s">
        <v>7884</v>
      </c>
      <c r="B294" s="60" t="s">
        <v>7885</v>
      </c>
      <c r="C294" s="61" t="s">
        <v>7886</v>
      </c>
      <c r="D294" s="60" t="s">
        <v>7887</v>
      </c>
      <c r="E294" s="60" t="s">
        <v>7888</v>
      </c>
      <c r="F294" s="60" t="s">
        <v>7889</v>
      </c>
      <c r="G294" s="60" t="s">
        <v>7890</v>
      </c>
      <c r="H294" s="60" t="s">
        <v>7891</v>
      </c>
      <c r="I294" s="60" t="s">
        <v>7892</v>
      </c>
      <c r="J294" s="60" t="s">
        <v>7893</v>
      </c>
      <c r="K294" s="60" t="s">
        <v>7894</v>
      </c>
      <c r="L294" s="60" t="s">
        <v>7895</v>
      </c>
      <c r="M294" s="60" t="s">
        <v>7896</v>
      </c>
      <c r="N294" s="60" t="s">
        <v>7897</v>
      </c>
      <c r="O294" s="60" t="s">
        <v>7898</v>
      </c>
      <c r="P294" s="60" t="s">
        <v>7899</v>
      </c>
      <c r="Q294" s="60" t="s">
        <v>7900</v>
      </c>
      <c r="R294" s="60" t="s">
        <v>7901</v>
      </c>
      <c r="S294" s="60" t="s">
        <v>7902</v>
      </c>
      <c r="T294" s="60" t="s">
        <v>7895</v>
      </c>
      <c r="U294" s="60" t="s">
        <v>7903</v>
      </c>
      <c r="V294" s="60" t="s">
        <v>7904</v>
      </c>
      <c r="W294" s="60" t="s">
        <v>7905</v>
      </c>
      <c r="X294" s="60" t="s">
        <v>7906</v>
      </c>
      <c r="Y294" s="60" t="s">
        <v>7907</v>
      </c>
      <c r="Z294" s="60" t="s">
        <v>7908</v>
      </c>
      <c r="AA294" s="60" t="s">
        <v>7909</v>
      </c>
      <c r="AB294" s="60" t="s">
        <v>7910</v>
      </c>
      <c r="AC294" s="60" t="s">
        <v>7911</v>
      </c>
    </row>
    <row r="295">
      <c r="A295" s="59" t="s">
        <v>7912</v>
      </c>
      <c r="B295" s="60" t="s">
        <v>7913</v>
      </c>
      <c r="C295" s="61" t="s">
        <v>7914</v>
      </c>
      <c r="D295" s="60" t="s">
        <v>7915</v>
      </c>
      <c r="E295" s="60" t="s">
        <v>7916</v>
      </c>
      <c r="F295" s="60" t="s">
        <v>7917</v>
      </c>
      <c r="G295" s="60" t="s">
        <v>7918</v>
      </c>
      <c r="H295" s="60" t="s">
        <v>7919</v>
      </c>
      <c r="I295" s="60" t="s">
        <v>7920</v>
      </c>
      <c r="J295" s="60" t="s">
        <v>7921</v>
      </c>
      <c r="K295" s="60" t="s">
        <v>7922</v>
      </c>
      <c r="L295" s="60" t="s">
        <v>7923</v>
      </c>
      <c r="M295" s="60" t="s">
        <v>7924</v>
      </c>
      <c r="N295" s="60" t="s">
        <v>7925</v>
      </c>
      <c r="O295" s="60" t="s">
        <v>7926</v>
      </c>
      <c r="P295" s="60" t="s">
        <v>7927</v>
      </c>
      <c r="Q295" s="60" t="s">
        <v>7928</v>
      </c>
      <c r="R295" s="60" t="s">
        <v>7929</v>
      </c>
      <c r="S295" s="60" t="s">
        <v>7930</v>
      </c>
      <c r="T295" s="60" t="s">
        <v>7931</v>
      </c>
      <c r="U295" s="60" t="s">
        <v>7932</v>
      </c>
      <c r="V295" s="60" t="s">
        <v>7933</v>
      </c>
      <c r="W295" s="60" t="s">
        <v>7934</v>
      </c>
      <c r="X295" s="60" t="s">
        <v>7935</v>
      </c>
      <c r="Y295" s="60" t="s">
        <v>7936</v>
      </c>
      <c r="Z295" s="60" t="s">
        <v>7937</v>
      </c>
      <c r="AA295" s="60" t="s">
        <v>7938</v>
      </c>
      <c r="AB295" s="60" t="s">
        <v>7939</v>
      </c>
      <c r="AC295" s="60" t="s">
        <v>7940</v>
      </c>
    </row>
    <row r="296">
      <c r="A296" s="59" t="s">
        <v>7941</v>
      </c>
      <c r="B296" s="60" t="s">
        <v>7942</v>
      </c>
      <c r="C296" s="61" t="s">
        <v>7943</v>
      </c>
      <c r="D296" s="60" t="s">
        <v>7944</v>
      </c>
      <c r="E296" s="60" t="s">
        <v>7945</v>
      </c>
      <c r="F296" s="60" t="s">
        <v>7946</v>
      </c>
      <c r="G296" s="60" t="s">
        <v>7947</v>
      </c>
      <c r="H296" s="60" t="s">
        <v>7948</v>
      </c>
      <c r="I296" s="60" t="s">
        <v>7949</v>
      </c>
      <c r="J296" s="60" t="s">
        <v>7950</v>
      </c>
      <c r="K296" s="60" t="s">
        <v>7951</v>
      </c>
      <c r="L296" s="60" t="s">
        <v>7952</v>
      </c>
      <c r="M296" s="60" t="s">
        <v>7953</v>
      </c>
      <c r="N296" s="60" t="s">
        <v>7954</v>
      </c>
      <c r="O296" s="60" t="s">
        <v>7955</v>
      </c>
      <c r="P296" s="60" t="s">
        <v>7956</v>
      </c>
      <c r="Q296" s="60" t="s">
        <v>7957</v>
      </c>
      <c r="R296" s="60" t="s">
        <v>7941</v>
      </c>
      <c r="S296" s="60" t="s">
        <v>7958</v>
      </c>
      <c r="T296" s="60" t="s">
        <v>7952</v>
      </c>
      <c r="U296" s="60" t="s">
        <v>7959</v>
      </c>
      <c r="V296" s="60" t="s">
        <v>7960</v>
      </c>
      <c r="W296" s="60" t="s">
        <v>7961</v>
      </c>
      <c r="X296" s="60" t="s">
        <v>7962</v>
      </c>
      <c r="Y296" s="60" t="s">
        <v>7963</v>
      </c>
      <c r="Z296" s="60" t="s">
        <v>7964</v>
      </c>
      <c r="AA296" s="60" t="s">
        <v>7965</v>
      </c>
      <c r="AB296" s="60" t="s">
        <v>7966</v>
      </c>
      <c r="AC296" s="60" t="s">
        <v>7967</v>
      </c>
    </row>
    <row r="297">
      <c r="A297" s="59" t="s">
        <v>7968</v>
      </c>
      <c r="B297" s="60" t="s">
        <v>7969</v>
      </c>
      <c r="C297" s="61" t="s">
        <v>7970</v>
      </c>
      <c r="D297" s="60" t="s">
        <v>7971</v>
      </c>
      <c r="E297" s="60" t="s">
        <v>7972</v>
      </c>
      <c r="F297" s="60" t="s">
        <v>7973</v>
      </c>
      <c r="G297" s="60" t="s">
        <v>7974</v>
      </c>
      <c r="H297" s="60" t="s">
        <v>7975</v>
      </c>
      <c r="I297" s="60" t="s">
        <v>7976</v>
      </c>
      <c r="J297" s="60" t="s">
        <v>7977</v>
      </c>
      <c r="K297" s="60" t="s">
        <v>7978</v>
      </c>
      <c r="L297" s="60" t="s">
        <v>7979</v>
      </c>
      <c r="M297" s="60" t="s">
        <v>7980</v>
      </c>
      <c r="N297" s="60" t="s">
        <v>7981</v>
      </c>
      <c r="O297" s="60" t="s">
        <v>7982</v>
      </c>
      <c r="P297" s="60" t="s">
        <v>7983</v>
      </c>
      <c r="Q297" s="60" t="s">
        <v>7984</v>
      </c>
      <c r="R297" s="60" t="s">
        <v>7985</v>
      </c>
      <c r="S297" s="60" t="s">
        <v>7986</v>
      </c>
      <c r="T297" s="60" t="s">
        <v>7979</v>
      </c>
      <c r="U297" s="60" t="s">
        <v>7987</v>
      </c>
      <c r="V297" s="60" t="s">
        <v>7988</v>
      </c>
      <c r="W297" s="60" t="s">
        <v>7989</v>
      </c>
      <c r="X297" s="60" t="s">
        <v>7990</v>
      </c>
      <c r="Y297" s="60" t="s">
        <v>7991</v>
      </c>
      <c r="Z297" s="60" t="s">
        <v>7992</v>
      </c>
      <c r="AA297" s="60" t="s">
        <v>7993</v>
      </c>
      <c r="AB297" s="60" t="s">
        <v>7994</v>
      </c>
      <c r="AC297" s="60" t="s">
        <v>7995</v>
      </c>
    </row>
    <row r="298">
      <c r="A298" s="59" t="s">
        <v>7996</v>
      </c>
      <c r="B298" s="60" t="s">
        <v>7997</v>
      </c>
      <c r="C298" s="61" t="s">
        <v>7998</v>
      </c>
      <c r="D298" s="60" t="s">
        <v>7999</v>
      </c>
      <c r="E298" s="60" t="s">
        <v>8000</v>
      </c>
      <c r="F298" s="60" t="s">
        <v>8001</v>
      </c>
      <c r="G298" s="60" t="s">
        <v>8002</v>
      </c>
      <c r="H298" s="60" t="s">
        <v>8003</v>
      </c>
      <c r="I298" s="60" t="s">
        <v>8004</v>
      </c>
      <c r="J298" s="60" t="s">
        <v>8005</v>
      </c>
      <c r="K298" s="60" t="s">
        <v>8006</v>
      </c>
      <c r="L298" s="60" t="s">
        <v>8007</v>
      </c>
      <c r="M298" s="60" t="s">
        <v>8008</v>
      </c>
      <c r="N298" s="60" t="s">
        <v>8009</v>
      </c>
      <c r="O298" s="60" t="s">
        <v>8010</v>
      </c>
      <c r="P298" s="60" t="s">
        <v>8011</v>
      </c>
      <c r="Q298" s="60" t="s">
        <v>8012</v>
      </c>
      <c r="R298" s="60" t="s">
        <v>8013</v>
      </c>
      <c r="S298" s="60" t="s">
        <v>8014</v>
      </c>
      <c r="T298" s="60" t="s">
        <v>7997</v>
      </c>
      <c r="U298" s="60" t="s">
        <v>8015</v>
      </c>
      <c r="V298" s="60" t="s">
        <v>7997</v>
      </c>
      <c r="W298" s="60" t="s">
        <v>8016</v>
      </c>
      <c r="X298" s="60" t="s">
        <v>8017</v>
      </c>
      <c r="Y298" s="60" t="s">
        <v>8018</v>
      </c>
      <c r="Z298" s="60" t="s">
        <v>8019</v>
      </c>
      <c r="AA298" s="60" t="s">
        <v>8020</v>
      </c>
      <c r="AB298" s="60" t="s">
        <v>8021</v>
      </c>
      <c r="AC298" s="60" t="s">
        <v>8022</v>
      </c>
    </row>
    <row r="299">
      <c r="A299" s="59" t="s">
        <v>8023</v>
      </c>
      <c r="B299" s="60" t="s">
        <v>8024</v>
      </c>
      <c r="C299" s="61" t="s">
        <v>8025</v>
      </c>
      <c r="D299" s="60" t="s">
        <v>8026</v>
      </c>
      <c r="E299" s="60" t="s">
        <v>8027</v>
      </c>
      <c r="F299" s="60" t="s">
        <v>8028</v>
      </c>
      <c r="G299" s="60" t="s">
        <v>8029</v>
      </c>
      <c r="H299" s="60" t="s">
        <v>8030</v>
      </c>
      <c r="I299" s="60" t="s">
        <v>8031</v>
      </c>
      <c r="J299" s="60" t="s">
        <v>8032</v>
      </c>
      <c r="K299" s="60" t="s">
        <v>8033</v>
      </c>
      <c r="L299" s="60" t="s">
        <v>8034</v>
      </c>
      <c r="M299" s="60" t="s">
        <v>8035</v>
      </c>
      <c r="N299" s="60" t="s">
        <v>8036</v>
      </c>
      <c r="O299" s="60" t="s">
        <v>8037</v>
      </c>
      <c r="P299" s="60" t="s">
        <v>8038</v>
      </c>
      <c r="Q299" s="60" t="s">
        <v>8039</v>
      </c>
      <c r="R299" s="60" t="s">
        <v>8040</v>
      </c>
      <c r="S299" s="60" t="s">
        <v>8041</v>
      </c>
      <c r="T299" s="60" t="s">
        <v>8034</v>
      </c>
      <c r="U299" s="60" t="s">
        <v>8024</v>
      </c>
      <c r="V299" s="60" t="s">
        <v>8042</v>
      </c>
      <c r="W299" s="60" t="s">
        <v>8043</v>
      </c>
      <c r="X299" s="60" t="s">
        <v>8044</v>
      </c>
      <c r="Y299" s="60" t="s">
        <v>8045</v>
      </c>
      <c r="Z299" s="60" t="s">
        <v>8046</v>
      </c>
      <c r="AA299" s="60" t="s">
        <v>8047</v>
      </c>
      <c r="AB299" s="60" t="s">
        <v>8048</v>
      </c>
      <c r="AC299" s="60" t="s">
        <v>8049</v>
      </c>
    </row>
    <row r="300">
      <c r="A300" s="59" t="s">
        <v>8050</v>
      </c>
      <c r="B300" s="60" t="s">
        <v>8051</v>
      </c>
      <c r="C300" s="61" t="s">
        <v>8052</v>
      </c>
      <c r="D300" s="60" t="s">
        <v>8053</v>
      </c>
      <c r="E300" s="60" t="s">
        <v>8054</v>
      </c>
      <c r="F300" s="60" t="s">
        <v>8055</v>
      </c>
      <c r="G300" s="60" t="s">
        <v>8056</v>
      </c>
      <c r="H300" s="60" t="s">
        <v>8057</v>
      </c>
      <c r="I300" s="60" t="s">
        <v>8058</v>
      </c>
      <c r="J300" s="60" t="s">
        <v>8059</v>
      </c>
      <c r="K300" s="60" t="s">
        <v>8060</v>
      </c>
      <c r="L300" s="60" t="s">
        <v>8061</v>
      </c>
      <c r="M300" s="60" t="s">
        <v>8062</v>
      </c>
      <c r="N300" s="60" t="s">
        <v>8063</v>
      </c>
      <c r="O300" s="60" t="s">
        <v>8064</v>
      </c>
      <c r="P300" s="60" t="s">
        <v>8065</v>
      </c>
      <c r="Q300" s="60" t="s">
        <v>8066</v>
      </c>
      <c r="R300" s="60" t="s">
        <v>8067</v>
      </c>
      <c r="S300" s="60" t="s">
        <v>8068</v>
      </c>
      <c r="T300" s="60" t="s">
        <v>8069</v>
      </c>
      <c r="U300" s="60" t="s">
        <v>8070</v>
      </c>
      <c r="V300" s="60" t="s">
        <v>8071</v>
      </c>
      <c r="W300" s="60" t="s">
        <v>8072</v>
      </c>
      <c r="X300" s="60" t="s">
        <v>8073</v>
      </c>
      <c r="Y300" s="60" t="s">
        <v>8074</v>
      </c>
      <c r="Z300" s="60" t="s">
        <v>8075</v>
      </c>
      <c r="AA300" s="60" t="s">
        <v>8076</v>
      </c>
      <c r="AB300" s="60" t="s">
        <v>8077</v>
      </c>
      <c r="AC300" s="60" t="s">
        <v>8078</v>
      </c>
    </row>
    <row r="301">
      <c r="A301" s="59" t="s">
        <v>8079</v>
      </c>
      <c r="B301" s="60" t="s">
        <v>8080</v>
      </c>
      <c r="C301" s="61" t="s">
        <v>8081</v>
      </c>
      <c r="D301" s="60" t="s">
        <v>8082</v>
      </c>
      <c r="E301" s="60" t="s">
        <v>8083</v>
      </c>
      <c r="F301" s="60" t="s">
        <v>8084</v>
      </c>
      <c r="G301" s="60" t="s">
        <v>8085</v>
      </c>
      <c r="H301" s="60" t="s">
        <v>8086</v>
      </c>
      <c r="I301" s="60" t="s">
        <v>8087</v>
      </c>
      <c r="J301" s="60" t="s">
        <v>8088</v>
      </c>
      <c r="K301" s="60" t="s">
        <v>8089</v>
      </c>
      <c r="L301" s="60" t="s">
        <v>8090</v>
      </c>
      <c r="M301" s="60" t="s">
        <v>8091</v>
      </c>
      <c r="N301" s="60" t="s">
        <v>8092</v>
      </c>
      <c r="O301" s="60" t="s">
        <v>8093</v>
      </c>
      <c r="P301" s="60" t="s">
        <v>8094</v>
      </c>
      <c r="Q301" s="60" t="s">
        <v>8095</v>
      </c>
      <c r="R301" s="60" t="s">
        <v>8096</v>
      </c>
      <c r="S301" s="60" t="s">
        <v>8097</v>
      </c>
      <c r="T301" s="60" t="s">
        <v>8098</v>
      </c>
      <c r="U301" s="60" t="s">
        <v>8099</v>
      </c>
      <c r="V301" s="60" t="s">
        <v>8100</v>
      </c>
      <c r="W301" s="60" t="s">
        <v>8101</v>
      </c>
      <c r="X301" s="60" t="s">
        <v>8102</v>
      </c>
      <c r="Y301" s="60" t="s">
        <v>8103</v>
      </c>
      <c r="Z301" s="60" t="s">
        <v>8104</v>
      </c>
      <c r="AA301" s="60" t="s">
        <v>8105</v>
      </c>
      <c r="AB301" s="60" t="s">
        <v>8106</v>
      </c>
      <c r="AC301" s="60" t="s">
        <v>8107</v>
      </c>
    </row>
    <row r="302">
      <c r="A302" s="59" t="s">
        <v>8108</v>
      </c>
      <c r="B302" s="60" t="s">
        <v>8109</v>
      </c>
      <c r="C302" s="61" t="s">
        <v>8110</v>
      </c>
      <c r="D302" s="60" t="s">
        <v>8111</v>
      </c>
      <c r="E302" s="60" t="s">
        <v>8112</v>
      </c>
      <c r="F302" s="60" t="s">
        <v>8113</v>
      </c>
      <c r="G302" s="60" t="s">
        <v>8114</v>
      </c>
      <c r="H302" s="60" t="s">
        <v>8115</v>
      </c>
      <c r="I302" s="60" t="s">
        <v>8116</v>
      </c>
      <c r="J302" s="60" t="s">
        <v>8117</v>
      </c>
      <c r="K302" s="60" t="s">
        <v>8118</v>
      </c>
      <c r="L302" s="60" t="s">
        <v>8119</v>
      </c>
      <c r="M302" s="60" t="s">
        <v>8120</v>
      </c>
      <c r="N302" s="60" t="s">
        <v>8121</v>
      </c>
      <c r="O302" s="60" t="s">
        <v>8122</v>
      </c>
      <c r="P302" s="60" t="s">
        <v>8123</v>
      </c>
      <c r="Q302" s="60" t="s">
        <v>8124</v>
      </c>
      <c r="R302" s="60" t="s">
        <v>8125</v>
      </c>
      <c r="S302" s="60" t="s">
        <v>8126</v>
      </c>
      <c r="T302" s="60" t="s">
        <v>8127</v>
      </c>
      <c r="U302" s="60" t="s">
        <v>8128</v>
      </c>
      <c r="V302" s="60" t="s">
        <v>8129</v>
      </c>
      <c r="W302" s="60" t="s">
        <v>8130</v>
      </c>
      <c r="X302" s="60" t="s">
        <v>8131</v>
      </c>
      <c r="Y302" s="60" t="s">
        <v>8132</v>
      </c>
      <c r="Z302" s="60" t="s">
        <v>8133</v>
      </c>
      <c r="AA302" s="60" t="s">
        <v>8134</v>
      </c>
      <c r="AB302" s="60" t="s">
        <v>8135</v>
      </c>
      <c r="AC302" s="60" t="s">
        <v>8136</v>
      </c>
    </row>
    <row r="303">
      <c r="A303" s="59" t="s">
        <v>8137</v>
      </c>
      <c r="B303" s="60" t="s">
        <v>8138</v>
      </c>
      <c r="C303" s="61" t="s">
        <v>8139</v>
      </c>
      <c r="D303" s="60" t="s">
        <v>8140</v>
      </c>
      <c r="E303" s="60" t="s">
        <v>8141</v>
      </c>
      <c r="F303" s="60" t="s">
        <v>8142</v>
      </c>
      <c r="G303" s="60" t="s">
        <v>8143</v>
      </c>
      <c r="H303" s="60" t="s">
        <v>8144</v>
      </c>
      <c r="I303" s="60" t="s">
        <v>8145</v>
      </c>
      <c r="J303" s="60" t="s">
        <v>8146</v>
      </c>
      <c r="K303" s="60" t="s">
        <v>8147</v>
      </c>
      <c r="L303" s="60" t="s">
        <v>8148</v>
      </c>
      <c r="M303" s="60" t="s">
        <v>8149</v>
      </c>
      <c r="N303" s="60" t="s">
        <v>8150</v>
      </c>
      <c r="O303" s="60" t="s">
        <v>8151</v>
      </c>
      <c r="P303" s="60" t="s">
        <v>8152</v>
      </c>
      <c r="Q303" s="60" t="s">
        <v>8153</v>
      </c>
      <c r="R303" s="60" t="s">
        <v>8154</v>
      </c>
      <c r="S303" s="60" t="s">
        <v>8155</v>
      </c>
      <c r="T303" s="60" t="s">
        <v>8148</v>
      </c>
      <c r="U303" s="60" t="s">
        <v>8156</v>
      </c>
      <c r="V303" s="60" t="s">
        <v>8157</v>
      </c>
      <c r="W303" s="60" t="s">
        <v>8158</v>
      </c>
      <c r="X303" s="60" t="s">
        <v>8159</v>
      </c>
      <c r="Y303" s="60" t="s">
        <v>8160</v>
      </c>
      <c r="Z303" s="60" t="s">
        <v>8161</v>
      </c>
      <c r="AA303" s="60" t="s">
        <v>8162</v>
      </c>
      <c r="AB303" s="60" t="s">
        <v>8163</v>
      </c>
      <c r="AC303" s="60" t="s">
        <v>8164</v>
      </c>
    </row>
    <row r="304">
      <c r="A304" s="62" t="s">
        <v>8165</v>
      </c>
      <c r="B304" s="63" t="s">
        <v>8852</v>
      </c>
      <c r="C304" s="64" t="s">
        <v>8853</v>
      </c>
      <c r="D304" s="63" t="s">
        <v>8854</v>
      </c>
      <c r="E304" s="63" t="s">
        <v>8855</v>
      </c>
      <c r="F304" s="63" t="s">
        <v>8856</v>
      </c>
      <c r="G304" s="63" t="s">
        <v>8857</v>
      </c>
      <c r="H304" s="63" t="s">
        <v>8858</v>
      </c>
      <c r="I304" s="63" t="s">
        <v>8859</v>
      </c>
      <c r="J304" s="63" t="s">
        <v>8860</v>
      </c>
      <c r="K304" s="63" t="s">
        <v>8861</v>
      </c>
      <c r="L304" s="63" t="s">
        <v>8862</v>
      </c>
      <c r="M304" s="63" t="s">
        <v>8863</v>
      </c>
      <c r="N304" s="63" t="s">
        <v>8864</v>
      </c>
      <c r="O304" s="63" t="s">
        <v>8865</v>
      </c>
      <c r="P304" s="63" t="s">
        <v>8866</v>
      </c>
      <c r="Q304" s="63" t="s">
        <v>8867</v>
      </c>
      <c r="R304" s="63" t="s">
        <v>8868</v>
      </c>
      <c r="S304" s="63" t="s">
        <v>8869</v>
      </c>
      <c r="T304" s="63" t="s">
        <v>8870</v>
      </c>
      <c r="U304" s="63" t="s">
        <v>8871</v>
      </c>
      <c r="V304" s="63" t="s">
        <v>8872</v>
      </c>
      <c r="W304" s="63" t="s">
        <v>8873</v>
      </c>
      <c r="X304" s="63" t="s">
        <v>8874</v>
      </c>
      <c r="Y304" s="63" t="s">
        <v>8875</v>
      </c>
      <c r="Z304" s="63" t="s">
        <v>8876</v>
      </c>
      <c r="AA304" s="63" t="s">
        <v>8877</v>
      </c>
      <c r="AB304" s="63" t="s">
        <v>8878</v>
      </c>
      <c r="AC304" s="63" t="s">
        <v>8879</v>
      </c>
    </row>
    <row r="305">
      <c r="A305" s="62" t="s">
        <v>8194</v>
      </c>
      <c r="B305" s="63" t="s">
        <v>8880</v>
      </c>
      <c r="C305" s="64" t="s">
        <v>8881</v>
      </c>
      <c r="D305" s="63" t="s">
        <v>8880</v>
      </c>
      <c r="E305" s="63" t="s">
        <v>8882</v>
      </c>
      <c r="F305" s="63" t="s">
        <v>8883</v>
      </c>
      <c r="G305" s="63" t="s">
        <v>8884</v>
      </c>
      <c r="H305" s="63" t="s">
        <v>8880</v>
      </c>
      <c r="I305" s="63" t="s">
        <v>8880</v>
      </c>
      <c r="J305" s="63" t="s">
        <v>8885</v>
      </c>
      <c r="K305" s="63" t="s">
        <v>8886</v>
      </c>
      <c r="L305" s="63" t="s">
        <v>8887</v>
      </c>
      <c r="M305" s="63" t="s">
        <v>8888</v>
      </c>
      <c r="N305" s="63" t="s">
        <v>8889</v>
      </c>
      <c r="O305" s="63" t="s">
        <v>8890</v>
      </c>
      <c r="P305" s="63" t="s">
        <v>8891</v>
      </c>
      <c r="Q305" s="63" t="s">
        <v>8892</v>
      </c>
      <c r="R305" s="63" t="s">
        <v>8893</v>
      </c>
      <c r="S305" s="63" t="s">
        <v>8894</v>
      </c>
      <c r="T305" s="63" t="s">
        <v>8895</v>
      </c>
      <c r="U305" s="63" t="s">
        <v>8896</v>
      </c>
      <c r="V305" s="63" t="s">
        <v>8897</v>
      </c>
      <c r="W305" s="63" t="s">
        <v>8898</v>
      </c>
      <c r="X305" s="63" t="s">
        <v>8899</v>
      </c>
      <c r="Y305" s="63" t="s">
        <v>8900</v>
      </c>
      <c r="Z305" s="63" t="s">
        <v>8901</v>
      </c>
      <c r="AA305" s="63" t="s">
        <v>8902</v>
      </c>
      <c r="AB305" s="63" t="s">
        <v>8903</v>
      </c>
      <c r="AC305" s="63" t="s">
        <v>8904</v>
      </c>
    </row>
    <row r="306">
      <c r="A306" s="59" t="s">
        <v>8222</v>
      </c>
      <c r="B306" s="60" t="s">
        <v>8223</v>
      </c>
      <c r="C306" s="61" t="s">
        <v>8224</v>
      </c>
      <c r="D306" s="60" t="s">
        <v>8225</v>
      </c>
      <c r="E306" s="60" t="s">
        <v>8226</v>
      </c>
      <c r="F306" s="60" t="s">
        <v>8227</v>
      </c>
      <c r="G306" s="60" t="s">
        <v>8228</v>
      </c>
      <c r="H306" s="60" t="s">
        <v>8229</v>
      </c>
      <c r="I306" s="60" t="s">
        <v>8230</v>
      </c>
      <c r="J306" s="60" t="s">
        <v>8231</v>
      </c>
      <c r="K306" s="60" t="s">
        <v>8232</v>
      </c>
      <c r="L306" s="60" t="s">
        <v>8233</v>
      </c>
      <c r="M306" s="60" t="s">
        <v>8234</v>
      </c>
      <c r="N306" s="60" t="s">
        <v>8235</v>
      </c>
      <c r="O306" s="60" t="s">
        <v>8236</v>
      </c>
      <c r="P306" s="60" t="s">
        <v>8237</v>
      </c>
      <c r="Q306" s="60" t="s">
        <v>8238</v>
      </c>
      <c r="R306" s="60" t="s">
        <v>8239</v>
      </c>
      <c r="S306" s="60" t="s">
        <v>8240</v>
      </c>
      <c r="T306" s="60" t="s">
        <v>8233</v>
      </c>
      <c r="U306" s="60" t="s">
        <v>8241</v>
      </c>
      <c r="V306" s="60" t="s">
        <v>8242</v>
      </c>
      <c r="W306" s="60" t="s">
        <v>8243</v>
      </c>
      <c r="X306" s="60" t="s">
        <v>8244</v>
      </c>
      <c r="Y306" s="60" t="s">
        <v>8245</v>
      </c>
      <c r="Z306" s="60" t="s">
        <v>8246</v>
      </c>
      <c r="AA306" s="60" t="s">
        <v>8247</v>
      </c>
      <c r="AB306" s="60" t="s">
        <v>8248</v>
      </c>
      <c r="AC306" s="60" t="s">
        <v>8249</v>
      </c>
    </row>
    <row r="307">
      <c r="A307" s="59" t="s">
        <v>8250</v>
      </c>
      <c r="B307" s="60" t="s">
        <v>8251</v>
      </c>
      <c r="C307" s="61" t="s">
        <v>8252</v>
      </c>
      <c r="D307" s="60" t="s">
        <v>8253</v>
      </c>
      <c r="E307" s="60" t="s">
        <v>8254</v>
      </c>
      <c r="F307" s="60" t="s">
        <v>8255</v>
      </c>
      <c r="G307" s="60" t="s">
        <v>8256</v>
      </c>
      <c r="H307" s="60" t="s">
        <v>8257</v>
      </c>
      <c r="I307" s="60" t="s">
        <v>8258</v>
      </c>
      <c r="J307" s="60" t="s">
        <v>8259</v>
      </c>
      <c r="K307" s="60" t="s">
        <v>8260</v>
      </c>
      <c r="L307" s="60" t="s">
        <v>8261</v>
      </c>
      <c r="M307" s="60" t="s">
        <v>8262</v>
      </c>
      <c r="N307" s="60" t="s">
        <v>8263</v>
      </c>
      <c r="O307" s="60" t="s">
        <v>8264</v>
      </c>
      <c r="P307" s="60" t="s">
        <v>8265</v>
      </c>
      <c r="Q307" s="60" t="s">
        <v>8266</v>
      </c>
      <c r="R307" s="60" t="s">
        <v>8267</v>
      </c>
      <c r="S307" s="60" t="s">
        <v>8268</v>
      </c>
      <c r="T307" s="60" t="s">
        <v>8269</v>
      </c>
      <c r="U307" s="60" t="s">
        <v>8270</v>
      </c>
      <c r="V307" s="60" t="s">
        <v>8271</v>
      </c>
      <c r="W307" s="60" t="s">
        <v>8272</v>
      </c>
      <c r="X307" s="60" t="s">
        <v>8273</v>
      </c>
      <c r="Y307" s="60" t="s">
        <v>8274</v>
      </c>
      <c r="Z307" s="60" t="s">
        <v>8275</v>
      </c>
      <c r="AA307" s="60" t="s">
        <v>8276</v>
      </c>
      <c r="AB307" s="60" t="s">
        <v>8277</v>
      </c>
      <c r="AC307" s="60" t="s">
        <v>8278</v>
      </c>
    </row>
    <row r="308">
      <c r="A308" s="59" t="s">
        <v>8279</v>
      </c>
      <c r="B308" s="60" t="s">
        <v>8280</v>
      </c>
      <c r="C308" s="61" t="s">
        <v>8281</v>
      </c>
      <c r="D308" s="60" t="s">
        <v>8282</v>
      </c>
      <c r="E308" s="60" t="s">
        <v>8283</v>
      </c>
      <c r="F308" s="60" t="s">
        <v>8284</v>
      </c>
      <c r="G308" s="60" t="s">
        <v>8285</v>
      </c>
      <c r="H308" s="60" t="s">
        <v>8286</v>
      </c>
      <c r="I308" s="60" t="s">
        <v>8287</v>
      </c>
      <c r="J308" s="60" t="s">
        <v>8288</v>
      </c>
      <c r="K308" s="60" t="s">
        <v>8289</v>
      </c>
      <c r="L308" s="60" t="s">
        <v>8290</v>
      </c>
      <c r="M308" s="60" t="s">
        <v>8291</v>
      </c>
      <c r="N308" s="60" t="s">
        <v>8292</v>
      </c>
      <c r="O308" s="60" t="s">
        <v>8293</v>
      </c>
      <c r="P308" s="60" t="s">
        <v>8294</v>
      </c>
      <c r="Q308" s="60" t="s">
        <v>8295</v>
      </c>
      <c r="R308" s="60" t="s">
        <v>8296</v>
      </c>
      <c r="S308" s="60" t="s">
        <v>8297</v>
      </c>
      <c r="T308" s="60" t="s">
        <v>8298</v>
      </c>
      <c r="U308" s="60" t="s">
        <v>8299</v>
      </c>
      <c r="V308" s="60" t="s">
        <v>8300</v>
      </c>
      <c r="W308" s="60" t="s">
        <v>8301</v>
      </c>
      <c r="X308" s="60" t="s">
        <v>8302</v>
      </c>
      <c r="Y308" s="60" t="s">
        <v>8303</v>
      </c>
      <c r="Z308" s="60" t="s">
        <v>8304</v>
      </c>
      <c r="AA308" s="60" t="s">
        <v>8305</v>
      </c>
      <c r="AB308" s="60" t="s">
        <v>8306</v>
      </c>
      <c r="AC308" s="60" t="s">
        <v>8307</v>
      </c>
    </row>
    <row r="309">
      <c r="A309" s="59" t="s">
        <v>8308</v>
      </c>
      <c r="B309" s="60" t="s">
        <v>8309</v>
      </c>
      <c r="C309" s="61" t="s">
        <v>8310</v>
      </c>
      <c r="D309" s="60" t="s">
        <v>8311</v>
      </c>
      <c r="E309" s="60" t="s">
        <v>8312</v>
      </c>
      <c r="F309" s="60" t="s">
        <v>8313</v>
      </c>
      <c r="G309" s="60" t="s">
        <v>8314</v>
      </c>
      <c r="H309" s="60" t="s">
        <v>8315</v>
      </c>
      <c r="I309" s="60" t="s">
        <v>8316</v>
      </c>
      <c r="J309" s="60" t="s">
        <v>8317</v>
      </c>
      <c r="K309" s="60" t="s">
        <v>8318</v>
      </c>
      <c r="L309" s="60" t="s">
        <v>8319</v>
      </c>
      <c r="M309" s="60" t="s">
        <v>8320</v>
      </c>
      <c r="N309" s="60" t="s">
        <v>8321</v>
      </c>
      <c r="O309" s="60" t="s">
        <v>8322</v>
      </c>
      <c r="P309" s="60" t="s">
        <v>8323</v>
      </c>
      <c r="Q309" s="60" t="s">
        <v>8324</v>
      </c>
      <c r="R309" s="60" t="s">
        <v>8325</v>
      </c>
      <c r="S309" s="60" t="s">
        <v>8326</v>
      </c>
      <c r="T309" s="60" t="s">
        <v>8327</v>
      </c>
      <c r="U309" s="60" t="s">
        <v>8328</v>
      </c>
      <c r="V309" s="60" t="s">
        <v>8329</v>
      </c>
      <c r="W309" s="60" t="s">
        <v>8330</v>
      </c>
      <c r="X309" s="60" t="s">
        <v>8331</v>
      </c>
      <c r="Y309" s="60" t="s">
        <v>8332</v>
      </c>
      <c r="Z309" s="60" t="s">
        <v>8333</v>
      </c>
      <c r="AA309" s="60" t="s">
        <v>8334</v>
      </c>
      <c r="AB309" s="60" t="s">
        <v>8335</v>
      </c>
      <c r="AC309" s="60" t="s">
        <v>8336</v>
      </c>
    </row>
    <row r="310">
      <c r="A310" s="59" t="s">
        <v>8905</v>
      </c>
      <c r="B310" s="60" t="s">
        <v>8338</v>
      </c>
      <c r="C310" s="61" t="s">
        <v>8339</v>
      </c>
      <c r="D310" s="60" t="s">
        <v>8340</v>
      </c>
      <c r="E310" s="60" t="s">
        <v>8341</v>
      </c>
      <c r="F310" s="60" t="s">
        <v>8342</v>
      </c>
      <c r="G310" s="60" t="s">
        <v>8343</v>
      </c>
      <c r="H310" s="60" t="s">
        <v>8344</v>
      </c>
      <c r="I310" s="60" t="s">
        <v>8345</v>
      </c>
      <c r="J310" s="60" t="s">
        <v>8346</v>
      </c>
      <c r="K310" s="60" t="s">
        <v>8347</v>
      </c>
      <c r="L310" s="60" t="s">
        <v>8348</v>
      </c>
      <c r="M310" s="60" t="s">
        <v>8349</v>
      </c>
      <c r="N310" s="60" t="s">
        <v>8350</v>
      </c>
      <c r="O310" s="60" t="s">
        <v>8351</v>
      </c>
      <c r="P310" s="60" t="s">
        <v>8352</v>
      </c>
      <c r="Q310" s="60" t="s">
        <v>8353</v>
      </c>
      <c r="R310" s="60" t="s">
        <v>8354</v>
      </c>
      <c r="S310" s="60" t="s">
        <v>8355</v>
      </c>
      <c r="T310" s="60" t="s">
        <v>8356</v>
      </c>
      <c r="U310" s="60" t="s">
        <v>8357</v>
      </c>
      <c r="V310" s="60" t="s">
        <v>8358</v>
      </c>
      <c r="W310" s="60" t="s">
        <v>8359</v>
      </c>
      <c r="X310" s="60" t="s">
        <v>8360</v>
      </c>
      <c r="Y310" s="60" t="s">
        <v>8361</v>
      </c>
      <c r="Z310" s="60" t="s">
        <v>8362</v>
      </c>
      <c r="AA310" s="60" t="s">
        <v>8363</v>
      </c>
      <c r="AB310" s="60" t="s">
        <v>8364</v>
      </c>
      <c r="AC310" s="60" t="s">
        <v>8365</v>
      </c>
    </row>
    <row r="311">
      <c r="A311" s="62" t="s">
        <v>8906</v>
      </c>
      <c r="B311" s="63" t="s">
        <v>8907</v>
      </c>
      <c r="C311" s="64" t="s">
        <v>8908</v>
      </c>
      <c r="D311" s="63" t="s">
        <v>8909</v>
      </c>
      <c r="E311" s="63" t="s">
        <v>8910</v>
      </c>
      <c r="F311" s="63" t="s">
        <v>8911</v>
      </c>
      <c r="G311" s="63" t="s">
        <v>8912</v>
      </c>
      <c r="H311" s="63" t="s">
        <v>8913</v>
      </c>
      <c r="I311" s="63" t="s">
        <v>8914</v>
      </c>
      <c r="J311" s="63" t="s">
        <v>8915</v>
      </c>
      <c r="K311" s="63" t="s">
        <v>8916</v>
      </c>
      <c r="L311" s="63" t="s">
        <v>8917</v>
      </c>
      <c r="M311" s="63" t="s">
        <v>8918</v>
      </c>
      <c r="N311" s="63" t="s">
        <v>8919</v>
      </c>
      <c r="O311" s="63" t="s">
        <v>8920</v>
      </c>
      <c r="P311" s="63" t="s">
        <v>8921</v>
      </c>
      <c r="Q311" s="63" t="s">
        <v>8922</v>
      </c>
      <c r="R311" s="63" t="s">
        <v>8923</v>
      </c>
      <c r="S311" s="63" t="s">
        <v>8924</v>
      </c>
      <c r="T311" s="63" t="s">
        <v>8925</v>
      </c>
      <c r="U311" s="63" t="s">
        <v>8926</v>
      </c>
      <c r="V311" s="63" t="s">
        <v>8927</v>
      </c>
      <c r="W311" s="63" t="s">
        <v>8928</v>
      </c>
      <c r="X311" s="63" t="s">
        <v>8929</v>
      </c>
      <c r="Y311" s="63" t="s">
        <v>8930</v>
      </c>
      <c r="Z311" s="63" t="s">
        <v>8931</v>
      </c>
      <c r="AA311" s="63" t="s">
        <v>8932</v>
      </c>
      <c r="AB311" s="63" t="s">
        <v>8933</v>
      </c>
      <c r="AC311" s="63" t="s">
        <v>8934</v>
      </c>
    </row>
    <row r="312">
      <c r="A312" s="62" t="s">
        <v>8479</v>
      </c>
      <c r="B312" s="63" t="s">
        <v>8480</v>
      </c>
      <c r="C312" s="64" t="s">
        <v>8481</v>
      </c>
      <c r="D312" s="63" t="s">
        <v>8482</v>
      </c>
      <c r="E312" s="63" t="s">
        <v>8483</v>
      </c>
      <c r="F312" s="63" t="s">
        <v>8484</v>
      </c>
      <c r="G312" s="63" t="s">
        <v>8485</v>
      </c>
      <c r="H312" s="63" t="s">
        <v>8486</v>
      </c>
      <c r="I312" s="63" t="s">
        <v>8487</v>
      </c>
      <c r="J312" s="63" t="s">
        <v>8488</v>
      </c>
      <c r="K312" s="63" t="s">
        <v>8489</v>
      </c>
      <c r="L312" s="63" t="s">
        <v>8490</v>
      </c>
      <c r="M312" s="63" t="s">
        <v>8491</v>
      </c>
      <c r="N312" s="63" t="s">
        <v>8492</v>
      </c>
      <c r="O312" s="63" t="s">
        <v>8493</v>
      </c>
      <c r="P312" s="63" t="s">
        <v>8494</v>
      </c>
      <c r="Q312" s="63" t="s">
        <v>8495</v>
      </c>
      <c r="R312" s="63" t="s">
        <v>8496</v>
      </c>
      <c r="S312" s="63" t="s">
        <v>8497</v>
      </c>
      <c r="T312" s="63" t="s">
        <v>8498</v>
      </c>
      <c r="U312" s="63" t="s">
        <v>8499</v>
      </c>
      <c r="V312" s="63" t="s">
        <v>8500</v>
      </c>
      <c r="W312" s="63" t="s">
        <v>8501</v>
      </c>
      <c r="X312" s="63" t="s">
        <v>8502</v>
      </c>
      <c r="Y312" s="63" t="s">
        <v>8503</v>
      </c>
      <c r="Z312" s="63" t="s">
        <v>8504</v>
      </c>
      <c r="AA312" s="63" t="s">
        <v>8505</v>
      </c>
      <c r="AB312" s="63" t="s">
        <v>8506</v>
      </c>
      <c r="AC312" s="63" t="s">
        <v>8507</v>
      </c>
    </row>
    <row r="313">
      <c r="A313" s="62" t="s">
        <v>8508</v>
      </c>
      <c r="B313" s="63" t="s">
        <v>8509</v>
      </c>
      <c r="C313" s="64" t="s">
        <v>8510</v>
      </c>
      <c r="D313" s="63" t="s">
        <v>8511</v>
      </c>
      <c r="E313" s="63" t="s">
        <v>8512</v>
      </c>
      <c r="F313" s="63" t="s">
        <v>8513</v>
      </c>
      <c r="G313" s="63" t="s">
        <v>8514</v>
      </c>
      <c r="H313" s="63" t="s">
        <v>8515</v>
      </c>
      <c r="I313" s="63" t="s">
        <v>8516</v>
      </c>
      <c r="J313" s="63" t="s">
        <v>8517</v>
      </c>
      <c r="K313" s="63" t="s">
        <v>8518</v>
      </c>
      <c r="L313" s="63" t="s">
        <v>8519</v>
      </c>
      <c r="M313" s="63" t="s">
        <v>8520</v>
      </c>
      <c r="N313" s="63" t="s">
        <v>8521</v>
      </c>
      <c r="O313" s="63" t="s">
        <v>8522</v>
      </c>
      <c r="P313" s="63" t="s">
        <v>8523</v>
      </c>
      <c r="Q313" s="63" t="s">
        <v>8524</v>
      </c>
      <c r="R313" s="63" t="s">
        <v>8525</v>
      </c>
      <c r="S313" s="63" t="s">
        <v>8526</v>
      </c>
      <c r="T313" s="63" t="s">
        <v>8527</v>
      </c>
      <c r="U313" s="63" t="s">
        <v>8528</v>
      </c>
      <c r="V313" s="63" t="s">
        <v>8529</v>
      </c>
      <c r="W313" s="63" t="s">
        <v>8530</v>
      </c>
      <c r="X313" s="63" t="s">
        <v>8531</v>
      </c>
      <c r="Y313" s="63" t="s">
        <v>8532</v>
      </c>
      <c r="Z313" s="63" t="s">
        <v>8533</v>
      </c>
      <c r="AA313" s="63" t="s">
        <v>8534</v>
      </c>
      <c r="AB313" s="63" t="s">
        <v>8535</v>
      </c>
      <c r="AC313" s="63" t="s">
        <v>8536</v>
      </c>
    </row>
    <row r="314">
      <c r="A314" s="62" t="s">
        <v>8537</v>
      </c>
      <c r="B314" s="63" t="s">
        <v>8538</v>
      </c>
      <c r="C314" s="64" t="s">
        <v>8539</v>
      </c>
      <c r="D314" s="63" t="s">
        <v>8540</v>
      </c>
      <c r="E314" s="63" t="s">
        <v>8541</v>
      </c>
      <c r="F314" s="63" t="s">
        <v>8542</v>
      </c>
      <c r="G314" s="63" t="s">
        <v>8543</v>
      </c>
      <c r="H314" s="63" t="s">
        <v>8544</v>
      </c>
      <c r="I314" s="63" t="s">
        <v>8545</v>
      </c>
      <c r="J314" s="63" t="s">
        <v>8546</v>
      </c>
      <c r="K314" s="63" t="s">
        <v>8547</v>
      </c>
      <c r="L314" s="63" t="s">
        <v>8548</v>
      </c>
      <c r="M314" s="63" t="s">
        <v>8549</v>
      </c>
      <c r="N314" s="63" t="s">
        <v>8550</v>
      </c>
      <c r="O314" s="63" t="s">
        <v>8551</v>
      </c>
      <c r="P314" s="63" t="s">
        <v>8552</v>
      </c>
      <c r="Q314" s="63" t="s">
        <v>8553</v>
      </c>
      <c r="R314" s="63" t="s">
        <v>8554</v>
      </c>
      <c r="S314" s="63" t="s">
        <v>8555</v>
      </c>
      <c r="T314" s="63" t="s">
        <v>8556</v>
      </c>
      <c r="U314" s="63" t="s">
        <v>8557</v>
      </c>
      <c r="V314" s="63" t="s">
        <v>8558</v>
      </c>
      <c r="W314" s="63" t="s">
        <v>8559</v>
      </c>
      <c r="X314" s="63" t="s">
        <v>8560</v>
      </c>
      <c r="Y314" s="63" t="s">
        <v>8561</v>
      </c>
      <c r="Z314" s="63" t="s">
        <v>8562</v>
      </c>
      <c r="AA314" s="63" t="s">
        <v>8563</v>
      </c>
      <c r="AB314" s="63" t="s">
        <v>8564</v>
      </c>
      <c r="AC314" s="63" t="s">
        <v>8565</v>
      </c>
    </row>
    <row r="315">
      <c r="A315" s="62" t="s">
        <v>8566</v>
      </c>
      <c r="B315" s="63" t="s">
        <v>8567</v>
      </c>
      <c r="C315" s="64" t="s">
        <v>8568</v>
      </c>
      <c r="D315" s="63" t="s">
        <v>8569</v>
      </c>
      <c r="E315" s="63" t="s">
        <v>8570</v>
      </c>
      <c r="F315" s="63" t="s">
        <v>8571</v>
      </c>
      <c r="G315" s="63" t="s">
        <v>8572</v>
      </c>
      <c r="H315" s="63" t="s">
        <v>8573</v>
      </c>
      <c r="I315" s="63" t="s">
        <v>8574</v>
      </c>
      <c r="J315" s="63" t="s">
        <v>8575</v>
      </c>
      <c r="K315" s="63" t="s">
        <v>8576</v>
      </c>
      <c r="L315" s="63" t="s">
        <v>8577</v>
      </c>
      <c r="M315" s="63" t="s">
        <v>8578</v>
      </c>
      <c r="N315" s="63" t="s">
        <v>8579</v>
      </c>
      <c r="O315" s="63" t="s">
        <v>8580</v>
      </c>
      <c r="P315" s="63" t="s">
        <v>8581</v>
      </c>
      <c r="Q315" s="63" t="s">
        <v>8582</v>
      </c>
      <c r="R315" s="63" t="s">
        <v>8583</v>
      </c>
      <c r="S315" s="63" t="s">
        <v>8584</v>
      </c>
      <c r="T315" s="63" t="s">
        <v>8585</v>
      </c>
      <c r="U315" s="63" t="s">
        <v>8586</v>
      </c>
      <c r="V315" s="63" t="s">
        <v>8587</v>
      </c>
      <c r="W315" s="63" t="s">
        <v>8588</v>
      </c>
      <c r="X315" s="63" t="s">
        <v>8589</v>
      </c>
      <c r="Y315" s="63" t="s">
        <v>8590</v>
      </c>
      <c r="Z315" s="63" t="s">
        <v>8591</v>
      </c>
      <c r="AA315" s="63" t="s">
        <v>8592</v>
      </c>
      <c r="AB315" s="63" t="s">
        <v>8593</v>
      </c>
      <c r="AC315" s="63" t="s">
        <v>8594</v>
      </c>
    </row>
    <row r="316">
      <c r="A316" s="62" t="s">
        <v>8595</v>
      </c>
      <c r="B316" s="63" t="s">
        <v>8596</v>
      </c>
      <c r="C316" s="64" t="s">
        <v>8597</v>
      </c>
      <c r="D316" s="63" t="s">
        <v>8598</v>
      </c>
      <c r="E316" s="63" t="s">
        <v>8599</v>
      </c>
      <c r="F316" s="63" t="s">
        <v>8600</v>
      </c>
      <c r="G316" s="63" t="s">
        <v>8601</v>
      </c>
      <c r="H316" s="63" t="s">
        <v>8602</v>
      </c>
      <c r="I316" s="63" t="s">
        <v>8603</v>
      </c>
      <c r="J316" s="63" t="s">
        <v>8604</v>
      </c>
      <c r="K316" s="63" t="s">
        <v>8605</v>
      </c>
      <c r="L316" s="63" t="s">
        <v>8606</v>
      </c>
      <c r="M316" s="63" t="s">
        <v>8607</v>
      </c>
      <c r="N316" s="63" t="s">
        <v>8608</v>
      </c>
      <c r="O316" s="63" t="s">
        <v>8609</v>
      </c>
      <c r="P316" s="63" t="s">
        <v>8610</v>
      </c>
      <c r="Q316" s="63" t="s">
        <v>8611</v>
      </c>
      <c r="R316" s="63" t="s">
        <v>8612</v>
      </c>
      <c r="S316" s="63" t="s">
        <v>8613</v>
      </c>
      <c r="T316" s="63" t="s">
        <v>8614</v>
      </c>
      <c r="U316" s="63" t="s">
        <v>8615</v>
      </c>
      <c r="V316" s="63" t="s">
        <v>8616</v>
      </c>
      <c r="W316" s="63" t="s">
        <v>8617</v>
      </c>
      <c r="X316" s="63" t="s">
        <v>8618</v>
      </c>
      <c r="Y316" s="63" t="s">
        <v>8619</v>
      </c>
      <c r="Z316" s="63" t="s">
        <v>8620</v>
      </c>
      <c r="AA316" s="63" t="s">
        <v>8621</v>
      </c>
      <c r="AB316" s="63" t="s">
        <v>8622</v>
      </c>
      <c r="AC316" s="63" t="s">
        <v>8623</v>
      </c>
    </row>
    <row r="317">
      <c r="A317" s="62" t="s">
        <v>8624</v>
      </c>
      <c r="B317" s="63" t="s">
        <v>8625</v>
      </c>
      <c r="C317" s="64" t="s">
        <v>8626</v>
      </c>
      <c r="D317" s="63" t="s">
        <v>8627</v>
      </c>
      <c r="E317" s="63" t="s">
        <v>8628</v>
      </c>
      <c r="F317" s="63" t="s">
        <v>8629</v>
      </c>
      <c r="G317" s="63" t="s">
        <v>8630</v>
      </c>
      <c r="H317" s="63" t="s">
        <v>8631</v>
      </c>
      <c r="I317" s="63" t="s">
        <v>8632</v>
      </c>
      <c r="J317" s="63" t="s">
        <v>8633</v>
      </c>
      <c r="K317" s="63" t="s">
        <v>8634</v>
      </c>
      <c r="L317" s="63" t="s">
        <v>8635</v>
      </c>
      <c r="M317" s="63" t="s">
        <v>8636</v>
      </c>
      <c r="N317" s="63" t="s">
        <v>8637</v>
      </c>
      <c r="O317" s="63" t="s">
        <v>8638</v>
      </c>
      <c r="P317" s="63" t="s">
        <v>8639</v>
      </c>
      <c r="Q317" s="63" t="s">
        <v>8640</v>
      </c>
      <c r="R317" s="63" t="s">
        <v>8641</v>
      </c>
      <c r="S317" s="63" t="s">
        <v>8642</v>
      </c>
      <c r="T317" s="63" t="s">
        <v>8643</v>
      </c>
      <c r="U317" s="63" t="s">
        <v>8644</v>
      </c>
      <c r="V317" s="63" t="s">
        <v>8645</v>
      </c>
      <c r="W317" s="63" t="s">
        <v>8646</v>
      </c>
      <c r="X317" s="63" t="s">
        <v>8647</v>
      </c>
      <c r="Y317" s="63" t="s">
        <v>8648</v>
      </c>
      <c r="Z317" s="63" t="s">
        <v>8649</v>
      </c>
      <c r="AA317" s="63" t="s">
        <v>8650</v>
      </c>
      <c r="AB317" s="63" t="s">
        <v>8651</v>
      </c>
      <c r="AC317" s="63" t="s">
        <v>8652</v>
      </c>
    </row>
    <row r="318">
      <c r="A318" s="62" t="s">
        <v>8653</v>
      </c>
      <c r="B318" s="63" t="s">
        <v>8654</v>
      </c>
      <c r="C318" s="64" t="s">
        <v>8655</v>
      </c>
      <c r="D318" s="63" t="s">
        <v>8656</v>
      </c>
      <c r="E318" s="63" t="s">
        <v>8657</v>
      </c>
      <c r="F318" s="63" t="s">
        <v>8658</v>
      </c>
      <c r="G318" s="63" t="s">
        <v>8659</v>
      </c>
      <c r="H318" s="63" t="s">
        <v>8660</v>
      </c>
      <c r="I318" s="63" t="s">
        <v>8661</v>
      </c>
      <c r="J318" s="63" t="s">
        <v>8662</v>
      </c>
      <c r="K318" s="63" t="s">
        <v>8663</v>
      </c>
      <c r="L318" s="63" t="s">
        <v>8664</v>
      </c>
      <c r="M318" s="63" t="s">
        <v>8665</v>
      </c>
      <c r="N318" s="63" t="s">
        <v>8666</v>
      </c>
      <c r="O318" s="63" t="s">
        <v>8667</v>
      </c>
      <c r="P318" s="63" t="s">
        <v>8668</v>
      </c>
      <c r="Q318" s="63" t="s">
        <v>8669</v>
      </c>
      <c r="R318" s="63" t="s">
        <v>8670</v>
      </c>
      <c r="S318" s="63" t="s">
        <v>8671</v>
      </c>
      <c r="T318" s="63" t="s">
        <v>8672</v>
      </c>
      <c r="U318" s="63" t="s">
        <v>8673</v>
      </c>
      <c r="V318" s="63" t="s">
        <v>8674</v>
      </c>
      <c r="W318" s="63" t="s">
        <v>8675</v>
      </c>
      <c r="X318" s="63" t="s">
        <v>8676</v>
      </c>
      <c r="Y318" s="63" t="s">
        <v>8677</v>
      </c>
      <c r="Z318" s="63" t="s">
        <v>8678</v>
      </c>
      <c r="AA318" s="63" t="s">
        <v>8679</v>
      </c>
      <c r="AB318" s="63" t="s">
        <v>8680</v>
      </c>
      <c r="AC318" s="63" t="s">
        <v>8681</v>
      </c>
    </row>
    <row r="319">
      <c r="A319" s="62" t="s">
        <v>8682</v>
      </c>
      <c r="B319" s="63" t="s">
        <v>8683</v>
      </c>
      <c r="C319" s="64" t="s">
        <v>8684</v>
      </c>
      <c r="D319" s="63" t="s">
        <v>8685</v>
      </c>
      <c r="E319" s="63" t="s">
        <v>8686</v>
      </c>
      <c r="F319" s="63" t="s">
        <v>8687</v>
      </c>
      <c r="G319" s="63" t="s">
        <v>8688</v>
      </c>
      <c r="H319" s="63" t="s">
        <v>8689</v>
      </c>
      <c r="I319" s="63" t="s">
        <v>8690</v>
      </c>
      <c r="J319" s="63" t="s">
        <v>8683</v>
      </c>
      <c r="K319" s="63" t="s">
        <v>8691</v>
      </c>
      <c r="L319" s="63" t="s">
        <v>8692</v>
      </c>
      <c r="M319" s="63" t="s">
        <v>8693</v>
      </c>
      <c r="N319" s="63" t="s">
        <v>8694</v>
      </c>
      <c r="O319" s="63" t="s">
        <v>8695</v>
      </c>
      <c r="P319" s="63" t="s">
        <v>8696</v>
      </c>
      <c r="Q319" s="63" t="s">
        <v>8697</v>
      </c>
      <c r="R319" s="63" t="s">
        <v>8698</v>
      </c>
      <c r="S319" s="63" t="s">
        <v>8699</v>
      </c>
      <c r="T319" s="63" t="s">
        <v>8700</v>
      </c>
      <c r="U319" s="63" t="s">
        <v>8701</v>
      </c>
      <c r="V319" s="63" t="s">
        <v>8702</v>
      </c>
      <c r="W319" s="63" t="s">
        <v>8703</v>
      </c>
      <c r="X319" s="63" t="s">
        <v>8704</v>
      </c>
      <c r="Y319" s="63" t="s">
        <v>8705</v>
      </c>
      <c r="Z319" s="63" t="s">
        <v>8706</v>
      </c>
      <c r="AA319" s="63" t="s">
        <v>8707</v>
      </c>
      <c r="AB319" s="63" t="s">
        <v>8708</v>
      </c>
      <c r="AC319" s="63" t="s">
        <v>8709</v>
      </c>
    </row>
    <row r="320">
      <c r="A320" s="62" t="s">
        <v>8710</v>
      </c>
      <c r="B320" s="63" t="s">
        <v>8711</v>
      </c>
      <c r="C320" s="64" t="s">
        <v>8712</v>
      </c>
      <c r="D320" s="63" t="s">
        <v>8713</v>
      </c>
      <c r="E320" s="63" t="s">
        <v>8714</v>
      </c>
      <c r="F320" s="63" t="s">
        <v>8715</v>
      </c>
      <c r="G320" s="63" t="s">
        <v>8716</v>
      </c>
      <c r="H320" s="63" t="s">
        <v>8717</v>
      </c>
      <c r="I320" s="63" t="s">
        <v>8718</v>
      </c>
      <c r="J320" s="63" t="s">
        <v>8719</v>
      </c>
      <c r="K320" s="63" t="s">
        <v>8720</v>
      </c>
      <c r="L320" s="63" t="s">
        <v>8721</v>
      </c>
      <c r="M320" s="63" t="s">
        <v>8722</v>
      </c>
      <c r="N320" s="63" t="s">
        <v>8723</v>
      </c>
      <c r="O320" s="63" t="s">
        <v>8724</v>
      </c>
      <c r="P320" s="63" t="s">
        <v>8725</v>
      </c>
      <c r="Q320" s="63" t="s">
        <v>8726</v>
      </c>
      <c r="R320" s="63" t="s">
        <v>8727</v>
      </c>
      <c r="S320" s="63" t="s">
        <v>8728</v>
      </c>
      <c r="T320" s="63" t="s">
        <v>8729</v>
      </c>
      <c r="U320" s="63" t="s">
        <v>8730</v>
      </c>
      <c r="V320" s="63" t="s">
        <v>8731</v>
      </c>
      <c r="W320" s="63" t="s">
        <v>8732</v>
      </c>
      <c r="X320" s="63" t="s">
        <v>8733</v>
      </c>
      <c r="Y320" s="63" t="s">
        <v>8734</v>
      </c>
      <c r="Z320" s="63" t="s">
        <v>8735</v>
      </c>
      <c r="AA320" s="63" t="s">
        <v>8736</v>
      </c>
      <c r="AB320" s="63" t="s">
        <v>8737</v>
      </c>
      <c r="AC320" s="63" t="s">
        <v>8738</v>
      </c>
    </row>
    <row r="321">
      <c r="A321" s="62" t="s">
        <v>8739</v>
      </c>
      <c r="B321" s="63" t="s">
        <v>8740</v>
      </c>
      <c r="C321" s="64" t="s">
        <v>8741</v>
      </c>
      <c r="D321" s="63" t="s">
        <v>8742</v>
      </c>
      <c r="E321" s="63" t="s">
        <v>8743</v>
      </c>
      <c r="F321" s="63" t="s">
        <v>8744</v>
      </c>
      <c r="G321" s="63" t="s">
        <v>8745</v>
      </c>
      <c r="H321" s="63" t="s">
        <v>8746</v>
      </c>
      <c r="I321" s="63" t="s">
        <v>8747</v>
      </c>
      <c r="J321" s="63" t="s">
        <v>8748</v>
      </c>
      <c r="K321" s="63" t="s">
        <v>8749</v>
      </c>
      <c r="L321" s="63" t="s">
        <v>8750</v>
      </c>
      <c r="M321" s="63" t="s">
        <v>8751</v>
      </c>
      <c r="N321" s="63" t="s">
        <v>8752</v>
      </c>
      <c r="O321" s="63" t="s">
        <v>8753</v>
      </c>
      <c r="P321" s="63" t="s">
        <v>8754</v>
      </c>
      <c r="Q321" s="63" t="s">
        <v>8755</v>
      </c>
      <c r="R321" s="63" t="s">
        <v>8756</v>
      </c>
      <c r="S321" s="63" t="s">
        <v>8757</v>
      </c>
      <c r="T321" s="63" t="s">
        <v>8758</v>
      </c>
      <c r="U321" s="63" t="s">
        <v>8759</v>
      </c>
      <c r="V321" s="63" t="s">
        <v>8760</v>
      </c>
      <c r="W321" s="63" t="s">
        <v>8745</v>
      </c>
      <c r="X321" s="63" t="s">
        <v>8761</v>
      </c>
      <c r="Y321" s="63" t="s">
        <v>8762</v>
      </c>
      <c r="Z321" s="63" t="s">
        <v>8763</v>
      </c>
      <c r="AA321" s="63" t="s">
        <v>8764</v>
      </c>
      <c r="AB321" s="63" t="s">
        <v>8765</v>
      </c>
      <c r="AC321" s="63" t="s">
        <v>8766</v>
      </c>
    </row>
    <row r="322">
      <c r="A322" s="62" t="s">
        <v>8767</v>
      </c>
      <c r="B322" s="63" t="s">
        <v>8768</v>
      </c>
      <c r="C322" s="64" t="s">
        <v>8769</v>
      </c>
      <c r="D322" s="63" t="s">
        <v>8770</v>
      </c>
      <c r="E322" s="63" t="s">
        <v>8771</v>
      </c>
      <c r="F322" s="63" t="s">
        <v>8772</v>
      </c>
      <c r="G322" s="63" t="s">
        <v>8773</v>
      </c>
      <c r="H322" s="63" t="s">
        <v>8774</v>
      </c>
      <c r="I322" s="63" t="s">
        <v>8775</v>
      </c>
      <c r="J322" s="63" t="s">
        <v>8776</v>
      </c>
      <c r="K322" s="63" t="s">
        <v>8777</v>
      </c>
      <c r="L322" s="63" t="s">
        <v>8778</v>
      </c>
      <c r="M322" s="63" t="s">
        <v>8779</v>
      </c>
      <c r="N322" s="63" t="s">
        <v>8780</v>
      </c>
      <c r="O322" s="63" t="s">
        <v>8781</v>
      </c>
      <c r="P322" s="63" t="s">
        <v>8782</v>
      </c>
      <c r="Q322" s="63" t="s">
        <v>8783</v>
      </c>
      <c r="R322" s="63" t="s">
        <v>8784</v>
      </c>
      <c r="S322" s="63" t="s">
        <v>8785</v>
      </c>
      <c r="T322" s="63" t="s">
        <v>8778</v>
      </c>
      <c r="U322" s="63" t="s">
        <v>8786</v>
      </c>
      <c r="V322" s="63" t="s">
        <v>8787</v>
      </c>
      <c r="W322" s="63" t="s">
        <v>8788</v>
      </c>
      <c r="X322" s="63" t="s">
        <v>8789</v>
      </c>
      <c r="Y322" s="63" t="s">
        <v>8790</v>
      </c>
      <c r="Z322" s="63" t="s">
        <v>8791</v>
      </c>
      <c r="AA322" s="63" t="s">
        <v>8792</v>
      </c>
      <c r="AB322" s="63" t="s">
        <v>8793</v>
      </c>
      <c r="AC322" s="63" t="s">
        <v>8794</v>
      </c>
    </row>
    <row r="323">
      <c r="A323" s="62" t="s">
        <v>8795</v>
      </c>
      <c r="B323" s="63" t="s">
        <v>8796</v>
      </c>
      <c r="C323" s="64" t="s">
        <v>8797</v>
      </c>
      <c r="D323" s="63" t="s">
        <v>8798</v>
      </c>
      <c r="E323" s="63" t="s">
        <v>8799</v>
      </c>
      <c r="F323" s="63" t="s">
        <v>8800</v>
      </c>
      <c r="G323" s="63" t="s">
        <v>8801</v>
      </c>
      <c r="H323" s="63" t="s">
        <v>8802</v>
      </c>
      <c r="I323" s="63" t="s">
        <v>8803</v>
      </c>
      <c r="J323" s="63" t="s">
        <v>8804</v>
      </c>
      <c r="K323" s="63" t="s">
        <v>8805</v>
      </c>
      <c r="L323" s="63" t="s">
        <v>8806</v>
      </c>
      <c r="M323" s="63" t="s">
        <v>8807</v>
      </c>
      <c r="N323" s="63" t="s">
        <v>8808</v>
      </c>
      <c r="O323" s="63" t="s">
        <v>8809</v>
      </c>
      <c r="P323" s="63" t="s">
        <v>8810</v>
      </c>
      <c r="Q323" s="63" t="s">
        <v>8811</v>
      </c>
      <c r="R323" s="63" t="s">
        <v>8812</v>
      </c>
      <c r="S323" s="63" t="s">
        <v>8813</v>
      </c>
      <c r="T323" s="63" t="s">
        <v>8814</v>
      </c>
      <c r="U323" s="63" t="s">
        <v>8815</v>
      </c>
      <c r="V323" s="63" t="s">
        <v>8816</v>
      </c>
      <c r="W323" s="63" t="s">
        <v>8801</v>
      </c>
      <c r="X323" s="63" t="s">
        <v>8817</v>
      </c>
      <c r="Y323" s="63" t="s">
        <v>8818</v>
      </c>
      <c r="Z323" s="63" t="s">
        <v>8819</v>
      </c>
      <c r="AA323" s="63" t="s">
        <v>8820</v>
      </c>
      <c r="AB323" s="63" t="s">
        <v>8821</v>
      </c>
      <c r="AC323" s="63" t="s">
        <v>8822</v>
      </c>
    </row>
    <row r="324">
      <c r="A324" s="62" t="s">
        <v>8823</v>
      </c>
      <c r="B324" s="63" t="s">
        <v>8824</v>
      </c>
      <c r="C324" s="64" t="s">
        <v>8825</v>
      </c>
      <c r="D324" s="63" t="s">
        <v>8826</v>
      </c>
      <c r="E324" s="63" t="s">
        <v>8827</v>
      </c>
      <c r="F324" s="63" t="s">
        <v>8828</v>
      </c>
      <c r="G324" s="63" t="s">
        <v>8829</v>
      </c>
      <c r="H324" s="63" t="s">
        <v>8830</v>
      </c>
      <c r="I324" s="63" t="s">
        <v>8831</v>
      </c>
      <c r="J324" s="63" t="s">
        <v>8832</v>
      </c>
      <c r="K324" s="63" t="s">
        <v>8833</v>
      </c>
      <c r="L324" s="63" t="s">
        <v>8834</v>
      </c>
      <c r="M324" s="63" t="s">
        <v>8835</v>
      </c>
      <c r="N324" s="63" t="s">
        <v>8836</v>
      </c>
      <c r="O324" s="63" t="s">
        <v>8837</v>
      </c>
      <c r="P324" s="63" t="s">
        <v>8838</v>
      </c>
      <c r="Q324" s="63" t="s">
        <v>8839</v>
      </c>
      <c r="R324" s="63" t="s">
        <v>8840</v>
      </c>
      <c r="S324" s="63" t="s">
        <v>8841</v>
      </c>
      <c r="T324" s="63" t="s">
        <v>8842</v>
      </c>
      <c r="U324" s="63" t="s">
        <v>8843</v>
      </c>
      <c r="V324" s="63" t="s">
        <v>8844</v>
      </c>
      <c r="W324" s="63" t="s">
        <v>8845</v>
      </c>
      <c r="X324" s="63" t="s">
        <v>8846</v>
      </c>
      <c r="Y324" s="63" t="s">
        <v>8847</v>
      </c>
      <c r="Z324" s="63" t="s">
        <v>8848</v>
      </c>
      <c r="AA324" s="63" t="s">
        <v>8849</v>
      </c>
      <c r="AB324" s="63" t="s">
        <v>8850</v>
      </c>
      <c r="AC324" s="63" t="s">
        <v>8851</v>
      </c>
    </row>
    <row r="325">
      <c r="A325" s="62" t="s">
        <v>8935</v>
      </c>
      <c r="B325" s="63" t="s">
        <v>8936</v>
      </c>
      <c r="C325" s="64" t="s">
        <v>8937</v>
      </c>
      <c r="D325" s="63" t="s">
        <v>8938</v>
      </c>
      <c r="E325" s="63" t="s">
        <v>8939</v>
      </c>
      <c r="F325" s="63" t="s">
        <v>8940</v>
      </c>
      <c r="G325" s="63" t="s">
        <v>8941</v>
      </c>
      <c r="H325" s="63" t="s">
        <v>8942</v>
      </c>
      <c r="I325" s="63" t="s">
        <v>8943</v>
      </c>
      <c r="J325" s="63" t="s">
        <v>8944</v>
      </c>
      <c r="K325" s="63" t="s">
        <v>8945</v>
      </c>
      <c r="L325" s="63" t="s">
        <v>8946</v>
      </c>
      <c r="M325" s="63" t="s">
        <v>8947</v>
      </c>
      <c r="N325" s="63" t="s">
        <v>8948</v>
      </c>
      <c r="O325" s="63" t="s">
        <v>8949</v>
      </c>
      <c r="P325" s="63" t="s">
        <v>8950</v>
      </c>
      <c r="Q325" s="63" t="s">
        <v>8951</v>
      </c>
      <c r="R325" s="63" t="s">
        <v>8952</v>
      </c>
      <c r="S325" s="63" t="s">
        <v>8953</v>
      </c>
      <c r="T325" s="63" t="s">
        <v>8954</v>
      </c>
      <c r="U325" s="63" t="s">
        <v>8955</v>
      </c>
      <c r="V325" s="63" t="s">
        <v>8956</v>
      </c>
      <c r="W325" s="63" t="s">
        <v>8957</v>
      </c>
      <c r="X325" s="63" t="s">
        <v>8958</v>
      </c>
      <c r="Y325" s="63" t="s">
        <v>8959</v>
      </c>
      <c r="Z325" s="63" t="s">
        <v>8960</v>
      </c>
      <c r="AA325" s="63" t="s">
        <v>8961</v>
      </c>
      <c r="AB325" s="63" t="s">
        <v>8962</v>
      </c>
      <c r="AC325" s="63" t="s">
        <v>8963</v>
      </c>
    </row>
    <row r="326">
      <c r="A326" s="62" t="s">
        <v>8964</v>
      </c>
      <c r="B326" s="63" t="s">
        <v>8965</v>
      </c>
      <c r="C326" s="64" t="s">
        <v>8966</v>
      </c>
      <c r="D326" s="63" t="s">
        <v>6111</v>
      </c>
      <c r="E326" s="63" t="s">
        <v>8967</v>
      </c>
      <c r="F326" s="63" t="s">
        <v>8968</v>
      </c>
      <c r="G326" s="63" t="s">
        <v>8969</v>
      </c>
      <c r="H326" s="63" t="s">
        <v>8970</v>
      </c>
      <c r="I326" s="63" t="s">
        <v>8970</v>
      </c>
      <c r="J326" s="63" t="s">
        <v>8971</v>
      </c>
      <c r="K326" s="63" t="s">
        <v>8972</v>
      </c>
      <c r="L326" s="63" t="s">
        <v>8973</v>
      </c>
      <c r="M326" s="63" t="s">
        <v>8974</v>
      </c>
      <c r="N326" s="63" t="s">
        <v>8975</v>
      </c>
      <c r="O326" s="63" t="s">
        <v>8976</v>
      </c>
      <c r="P326" s="63" t="s">
        <v>8977</v>
      </c>
      <c r="Q326" s="63" t="s">
        <v>8978</v>
      </c>
      <c r="R326" s="63" t="s">
        <v>8979</v>
      </c>
      <c r="S326" s="63" t="s">
        <v>8980</v>
      </c>
      <c r="T326" s="63" t="s">
        <v>8973</v>
      </c>
      <c r="U326" s="63" t="s">
        <v>8981</v>
      </c>
      <c r="V326" s="63" t="s">
        <v>8982</v>
      </c>
      <c r="W326" s="63" t="s">
        <v>8974</v>
      </c>
      <c r="X326" s="63" t="s">
        <v>8983</v>
      </c>
      <c r="Y326" s="63" t="s">
        <v>8984</v>
      </c>
      <c r="Z326" s="63" t="s">
        <v>8985</v>
      </c>
      <c r="AA326" s="63" t="s">
        <v>8986</v>
      </c>
      <c r="AB326" s="63" t="s">
        <v>8987</v>
      </c>
      <c r="AC326" s="63" t="s">
        <v>8988</v>
      </c>
    </row>
    <row r="327">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row>
    <row r="328">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row>
    <row r="329">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row>
    <row r="330">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row>
    <row r="33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row>
    <row r="332">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row>
    <row r="333">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row>
    <row r="334">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row>
    <row r="33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row>
    <row r="336">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row>
    <row r="337">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row>
    <row r="338">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row>
    <row r="339">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row>
    <row r="340">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row>
    <row r="34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row>
    <row r="342">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row>
    <row r="343">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row>
    <row r="344">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row>
    <row r="34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row>
    <row r="346">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row>
    <row r="347">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row>
    <row r="348">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row>
    <row r="349">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row>
    <row r="350">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row>
    <row r="35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row>
    <row r="352">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row>
    <row r="353">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row>
    <row r="354">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row>
    <row r="35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row>
    <row r="356">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row>
    <row r="357">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row>
    <row r="358">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row>
    <row r="359">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row>
    <row r="360">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row>
    <row r="36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row>
    <row r="362">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row>
    <row r="363">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row>
    <row r="364">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row>
    <row r="36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row>
    <row r="366">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row>
    <row r="367">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row>
    <row r="368">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row>
    <row r="369">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row>
    <row r="370">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row>
    <row r="37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row>
    <row r="372">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row>
    <row r="373">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row>
    <row r="374">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row>
    <row r="37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row>
    <row r="376">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row>
    <row r="377">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row>
    <row r="378">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row>
    <row r="379">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row>
    <row r="380">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row>
    <row r="38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row>
    <row r="382">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row>
    <row r="383">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row>
    <row r="384">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row>
    <row r="38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row>
    <row r="386">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row>
    <row r="387">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row>
    <row r="388">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row>
    <row r="389">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row>
    <row r="390">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row>
    <row r="39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row>
    <row r="392">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row>
    <row r="393">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row>
    <row r="394">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row>
    <row r="39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row>
    <row r="396">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row>
    <row r="397">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row>
    <row r="398">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row>
    <row r="399">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row>
    <row r="400">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row>
    <row r="40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row>
    <row r="402">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row>
    <row r="403">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row>
    <row r="404">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row>
    <row r="40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row>
    <row r="406">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row>
    <row r="407">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row>
    <row r="408">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row>
    <row r="409">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row>
    <row r="410">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row>
    <row r="41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row>
    <row r="412">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row>
    <row r="413">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row>
    <row r="414">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row>
    <row r="41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row>
    <row r="416">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row>
    <row r="417">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row>
    <row r="418">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row>
    <row r="419">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row>
    <row r="420">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row>
    <row r="42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row>
    <row r="422">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row>
    <row r="423">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row>
    <row r="424">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row>
    <row r="4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row>
    <row r="426">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row>
    <row r="427">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row>
    <row r="428">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row>
    <row r="429">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row>
    <row r="430">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row>
    <row r="43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row>
    <row r="432">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row>
    <row r="433">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row>
    <row r="434">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row>
    <row r="43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row>
    <row r="436">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row>
    <row r="437">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row>
    <row r="438">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row>
    <row r="439">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row>
    <row r="440">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row>
    <row r="44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row>
    <row r="442">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row>
    <row r="443">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row>
    <row r="444">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row>
    <row r="44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row>
    <row r="446">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row>
    <row r="447">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row>
    <row r="448">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row>
    <row r="449">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row>
    <row r="450">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row>
    <row r="45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row>
    <row r="452">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row>
    <row r="453">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row>
    <row r="454">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row>
    <row r="45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row>
    <row r="456">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row>
    <row r="457">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row>
    <row r="458">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row>
    <row r="459">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row>
    <row r="460">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row>
    <row r="46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row>
    <row r="462">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row>
    <row r="463">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row>
    <row r="464">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row>
    <row r="46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row>
    <row r="466">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row>
    <row r="467">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row>
    <row r="468">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row>
    <row r="469">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row>
    <row r="470">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row>
    <row r="47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row>
    <row r="472">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row>
    <row r="473">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row>
    <row r="474">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row>
    <row r="47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row>
    <row r="476">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row>
    <row r="477">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row>
    <row r="478">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row>
    <row r="479">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row>
    <row r="480">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row>
    <row r="48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row>
    <row r="482">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row>
    <row r="483">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row>
    <row r="484">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row>
    <row r="48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row>
    <row r="486">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row>
    <row r="487">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row>
    <row r="488">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row>
    <row r="489">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row>
    <row r="490">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row>
    <row r="49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row>
    <row r="492">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row>
    <row r="493">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row>
    <row r="494">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row>
    <row r="49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row>
    <row r="496">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row>
    <row r="497">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row>
    <row r="498">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row>
    <row r="499">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row>
    <row r="500">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row>
    <row r="50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row>
    <row r="502">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row>
    <row r="503">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row>
    <row r="504">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row>
    <row r="50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row>
    <row r="506">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row>
    <row r="507">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row>
    <row r="508">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row>
    <row r="509">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row>
    <row r="510">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row>
    <row r="51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row>
    <row r="512">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row>
    <row r="513">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row>
    <row r="514">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row>
    <row r="51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row>
    <row r="516">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row>
    <row r="517">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row>
    <row r="518">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row>
    <row r="519">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row>
    <row r="520">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row>
    <row r="52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row>
    <row r="522">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row>
    <row r="523">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row>
    <row r="524">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row>
    <row r="5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row>
    <row r="526">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row>
    <row r="527">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row>
    <row r="528">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row>
    <row r="529">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row>
    <row r="530">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row>
    <row r="53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row>
    <row r="532">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row>
    <row r="533">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row>
    <row r="534">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row>
    <row r="53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row>
    <row r="536">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row>
    <row r="537">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row>
    <row r="538">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row>
    <row r="539">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row>
    <row r="540">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row>
    <row r="54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row>
    <row r="542">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row>
    <row r="543">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row>
    <row r="544">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row>
    <row r="54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row>
    <row r="546">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row>
    <row r="547">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row>
    <row r="548">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row>
    <row r="549">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row>
    <row r="550">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row>
    <row r="55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row>
    <row r="552">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row>
    <row r="553">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row>
    <row r="554">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row>
    <row r="55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row>
    <row r="556">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row>
    <row r="557">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row>
    <row r="558">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row>
    <row r="559">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row>
    <row r="560">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row>
    <row r="56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row>
    <row r="562">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row>
    <row r="563">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row>
    <row r="564">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row>
    <row r="56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row>
    <row r="566">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row>
    <row r="567">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row>
    <row r="568">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row>
    <row r="569">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row>
    <row r="570">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row>
    <row r="57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row>
    <row r="572">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row>
    <row r="573">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row>
    <row r="574">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row>
    <row r="57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row>
    <row r="576">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row>
    <row r="577">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row>
    <row r="578">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row>
    <row r="579">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row>
    <row r="580">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row>
    <row r="58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row>
    <row r="582">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row>
    <row r="583">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row>
    <row r="584">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row>
    <row r="58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row>
    <row r="586">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row>
    <row r="587">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row>
    <row r="588">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row>
    <row r="589">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row>
    <row r="590">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row>
    <row r="59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row>
    <row r="592">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row>
    <row r="593">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row>
    <row r="594">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row>
    <row r="59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row>
    <row r="596">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row>
    <row r="597">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row>
    <row r="598">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row>
    <row r="599">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row>
    <row r="600">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row>
    <row r="60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row>
    <row r="602">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row>
    <row r="603">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row>
    <row r="604">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row>
    <row r="60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row>
    <row r="606">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row>
    <row r="607">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row>
    <row r="608">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row>
    <row r="609">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row>
    <row r="610">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row>
    <row r="61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row>
    <row r="612">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row>
    <row r="613">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row>
    <row r="614">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row>
    <row r="61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row>
    <row r="616">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row>
    <row r="617">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row>
    <row r="618">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row>
    <row r="619">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row>
    <row r="620">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row>
    <row r="62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row>
    <row r="622">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row>
    <row r="623">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row>
    <row r="624">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row>
    <row r="6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row>
    <row r="626">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row>
    <row r="627">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row>
    <row r="628">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row>
    <row r="629">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row>
    <row r="630">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row>
    <row r="63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row>
    <row r="632">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row>
    <row r="633">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row>
    <row r="634">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row>
    <row r="63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row>
    <row r="636">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row>
    <row r="637">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row>
    <row r="638">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row>
    <row r="639">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row>
    <row r="640">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row>
    <row r="64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row>
    <row r="642">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row>
    <row r="643">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row>
    <row r="644">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row>
    <row r="64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row>
    <row r="646">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row>
    <row r="647">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row>
    <row r="648">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row>
    <row r="649">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row>
    <row r="650">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row>
    <row r="65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row>
    <row r="652">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row>
    <row r="653">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row>
    <row r="654">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row>
    <row r="65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row>
    <row r="656">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row>
    <row r="657">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row>
    <row r="658">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row>
    <row r="659">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row>
    <row r="660">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row>
    <row r="66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row>
    <row r="662">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row>
    <row r="663">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row>
    <row r="664">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row>
    <row r="66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row>
    <row r="666">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row>
    <row r="667">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row>
    <row r="668">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row>
    <row r="669">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row>
    <row r="670">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row>
    <row r="67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row>
    <row r="672">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row>
    <row r="673">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row>
    <row r="674">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row>
    <row r="67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row>
    <row r="676">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row>
    <row r="677">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row>
    <row r="678">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row>
    <row r="679">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row>
    <row r="680">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row>
    <row r="68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row>
    <row r="682">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row>
    <row r="683">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row>
    <row r="684">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row>
    <row r="68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row>
    <row r="686">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row>
    <row r="687">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row>
    <row r="688">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row>
    <row r="689">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row>
    <row r="690">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row>
    <row r="69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row>
    <row r="692">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row>
    <row r="693">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row>
    <row r="694">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row>
    <row r="69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row>
    <row r="696">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row>
    <row r="697">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row>
    <row r="698">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row>
    <row r="699">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row>
    <row r="700">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row>
    <row r="70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row>
    <row r="702">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row>
    <row r="703">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row>
    <row r="704">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row>
    <row r="70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row>
    <row r="706">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row>
    <row r="707">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row>
    <row r="708">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row>
    <row r="709">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row>
    <row r="710">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row>
    <row r="71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row>
    <row r="712">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row>
    <row r="713">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row>
    <row r="714">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row>
    <row r="71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row>
    <row r="716">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row>
    <row r="717">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row>
    <row r="718">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row>
    <row r="719">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row>
    <row r="720">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row>
    <row r="72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row>
    <row r="722">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row>
    <row r="723">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row>
    <row r="724">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row>
    <row r="7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row>
    <row r="726">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row>
    <row r="727">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row>
    <row r="728">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row>
    <row r="729">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row>
    <row r="730">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row>
    <row r="73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row>
    <row r="732">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row>
    <row r="733">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row>
    <row r="734">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row>
    <row r="73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row>
    <row r="736">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row>
    <row r="737">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row>
    <row r="738">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row>
    <row r="739">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row>
    <row r="740">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row>
    <row r="74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row>
    <row r="742">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row>
    <row r="743">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row>
    <row r="744">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row>
    <row r="74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row>
    <row r="746">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row>
    <row r="747">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row>
    <row r="748">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row>
    <row r="749">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row>
    <row r="750">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row>
    <row r="75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row>
    <row r="752">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row>
    <row r="753">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row>
    <row r="754">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row>
    <row r="75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row>
    <row r="756">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row>
    <row r="757">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row>
    <row r="758">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row>
    <row r="759">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row>
    <row r="760">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row>
    <row r="76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row>
    <row r="762">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row>
    <row r="763">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row>
    <row r="764">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row>
    <row r="76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row>
    <row r="766">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row>
    <row r="767">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row>
    <row r="768">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row>
    <row r="769">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row>
    <row r="770">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row>
    <row r="77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row>
    <row r="772">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row>
    <row r="773">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row>
    <row r="774">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row>
    <row r="77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row>
    <row r="776">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row>
    <row r="777">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row>
    <row r="778">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row>
    <row r="779">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row>
    <row r="780">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row>
    <row r="78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row>
    <row r="782">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row>
    <row r="783">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row>
    <row r="784">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row>
    <row r="78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row>
    <row r="786">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row>
    <row r="787">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row>
    <row r="788">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row>
    <row r="789">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row>
    <row r="790">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row>
    <row r="79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row>
    <row r="792">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row>
    <row r="793">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row>
    <row r="794">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row>
    <row r="79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row>
    <row r="796">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row>
    <row r="797">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row>
    <row r="798">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row>
    <row r="799">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row>
    <row r="800">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row>
    <row r="80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row>
    <row r="802">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row>
    <row r="803">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row>
    <row r="804">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row>
    <row r="80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row>
    <row r="806">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row>
    <row r="807">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row>
    <row r="808">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row>
    <row r="809">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row>
    <row r="810">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row>
    <row r="81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row>
    <row r="812">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row>
    <row r="813">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row>
    <row r="814">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row>
    <row r="81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row>
    <row r="816">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row>
    <row r="817">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row>
    <row r="818">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row>
    <row r="819">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row>
    <row r="820">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row>
    <row r="82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row>
    <row r="822">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row>
    <row r="823">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row>
    <row r="824">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row>
    <row r="8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row>
    <row r="826">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row>
    <row r="827">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row>
    <row r="828">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row>
    <row r="829">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row>
    <row r="830">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row>
    <row r="83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row>
    <row r="832">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row>
    <row r="833">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row>
    <row r="834">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row>
    <row r="83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row>
    <row r="836">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row>
    <row r="837">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row>
    <row r="838">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row>
    <row r="839">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row>
    <row r="840">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row>
    <row r="84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row>
    <row r="842">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row>
    <row r="843">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row>
    <row r="844">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row>
    <row r="84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row>
    <row r="846">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row>
    <row r="847">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row>
    <row r="848">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row>
    <row r="849">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row>
    <row r="850">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row>
    <row r="85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row>
    <row r="852">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row>
    <row r="853">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row>
    <row r="854">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row>
    <row r="85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row>
    <row r="856">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row>
    <row r="857">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row>
    <row r="858">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row>
    <row r="859">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row>
    <row r="860">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row>
    <row r="86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row>
    <row r="862">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row>
    <row r="863">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row>
    <row r="864">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row>
    <row r="86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row>
    <row r="866">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row>
    <row r="867">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row>
    <row r="868">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row>
    <row r="869">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row>
    <row r="870">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row>
    <row r="87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row>
    <row r="872">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row>
    <row r="873">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row>
    <row r="874">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row>
    <row r="87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row>
    <row r="876">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row>
    <row r="877">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row>
    <row r="878">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row>
    <row r="879">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row>
    <row r="880">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row>
    <row r="88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row>
    <row r="882">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row>
    <row r="883">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row>
    <row r="884">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row>
    <row r="88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row>
    <row r="886">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row>
    <row r="887">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row>
    <row r="888">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row>
    <row r="889">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row>
    <row r="890">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row>
    <row r="89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row>
    <row r="892">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row>
    <row r="893">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row>
    <row r="894">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row>
    <row r="89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row>
    <row r="896">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row>
    <row r="897">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row>
    <row r="898">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row>
    <row r="899">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row>
    <row r="900">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row>
    <row r="90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row>
    <row r="902">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row>
    <row r="903">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row>
    <row r="904">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row>
    <row r="90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row>
    <row r="906">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row>
    <row r="907">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row>
    <row r="908">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row>
    <row r="909">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row>
    <row r="910">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row>
    <row r="91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row>
    <row r="912">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row>
    <row r="913">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row>
    <row r="914">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row>
    <row r="91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row>
    <row r="916">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row>
    <row r="917">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row>
    <row r="918">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row>
    <row r="919">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row>
    <row r="920">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row>
    <row r="92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row>
    <row r="922">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row>
    <row r="923">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row>
    <row r="924">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row>
    <row r="9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row>
    <row r="926">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row>
    <row r="927">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row>
    <row r="928">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row>
    <row r="929">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row>
    <row r="930">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row>
    <row r="93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row>
    <row r="932">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row>
    <row r="933">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row>
    <row r="934">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row>
    <row r="93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row>
    <row r="936">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row>
    <row r="937">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row>
    <row r="938">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row>
    <row r="939">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row>
    <row r="940">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row>
    <row r="94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row>
    <row r="942">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row>
    <row r="943">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row>
    <row r="944">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row>
    <row r="94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row>
    <row r="946">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row>
    <row r="947">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row>
    <row r="948">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row>
    <row r="949">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row>
    <row r="950">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row>
    <row r="95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row>
    <row r="952">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row>
    <row r="953">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row>
    <row r="954">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row>
    <row r="95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row>
    <row r="956">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row>
    <row r="957">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row>
    <row r="958">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row>
    <row r="959">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row>
    <row r="960">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row>
    <row r="96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row>
    <row r="962">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row>
    <row r="963">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row>
    <row r="964">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row>
    <row r="96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row>
    <row r="966">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row>
    <row r="967">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row>
    <row r="968">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row>
    <row r="969">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row>
    <row r="970">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row>
    <row r="97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row>
    <row r="972">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row>
    <row r="973">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row>
    <row r="974">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row>
    <row r="97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row>
    <row r="976">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row>
    <row r="977">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row>
    <row r="978">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row>
    <row r="979">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row>
    <row r="980">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row>
    <row r="98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row>
    <row r="982">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row>
    <row r="983">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row>
    <row r="984">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row>
    <row r="98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row>
    <row r="986">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row>
    <row r="987">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row>
    <row r="988">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row>
    <row r="989">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row>
    <row r="990">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row>
    <row r="99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31.25"/>
    <col customWidth="1" min="29" max="29" width="26.38"/>
  </cols>
  <sheetData>
    <row r="1">
      <c r="A1" s="58" t="s">
        <v>48</v>
      </c>
      <c r="B1" s="58" t="s">
        <v>2</v>
      </c>
      <c r="C1" s="58" t="s">
        <v>4</v>
      </c>
      <c r="D1" s="58" t="s">
        <v>5</v>
      </c>
      <c r="E1" s="58" t="s">
        <v>6</v>
      </c>
      <c r="F1" s="58" t="s">
        <v>7</v>
      </c>
      <c r="G1" s="58" t="s">
        <v>8</v>
      </c>
      <c r="H1" s="58" t="s">
        <v>9</v>
      </c>
      <c r="I1" s="58" t="s">
        <v>10</v>
      </c>
      <c r="J1" s="58" t="s">
        <v>11</v>
      </c>
      <c r="K1" s="58" t="s">
        <v>12</v>
      </c>
      <c r="L1" s="58" t="s">
        <v>13</v>
      </c>
      <c r="M1" s="58" t="s">
        <v>49</v>
      </c>
      <c r="N1" s="58" t="s">
        <v>15</v>
      </c>
      <c r="O1" s="58" t="s">
        <v>16</v>
      </c>
      <c r="P1" s="58" t="s">
        <v>17</v>
      </c>
      <c r="Q1" s="58" t="s">
        <v>18</v>
      </c>
      <c r="R1" s="58" t="s">
        <v>19</v>
      </c>
      <c r="S1" s="58" t="s">
        <v>20</v>
      </c>
      <c r="T1" s="58" t="s">
        <v>21</v>
      </c>
      <c r="U1" s="58" t="s">
        <v>22</v>
      </c>
      <c r="V1" s="58" t="s">
        <v>23</v>
      </c>
      <c r="W1" s="58" t="s">
        <v>8989</v>
      </c>
      <c r="X1" s="58" t="s">
        <v>25</v>
      </c>
      <c r="Y1" s="58" t="s">
        <v>26</v>
      </c>
      <c r="Z1" s="58" t="s">
        <v>27</v>
      </c>
      <c r="AA1" s="58" t="s">
        <v>28</v>
      </c>
      <c r="AB1" s="58" t="s">
        <v>8990</v>
      </c>
      <c r="AC1" s="58" t="s">
        <v>3</v>
      </c>
      <c r="AD1" s="19"/>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1"/>
      <c r="BK1" s="21"/>
      <c r="BL1" s="21"/>
    </row>
    <row r="2">
      <c r="A2" s="62" t="s">
        <v>8991</v>
      </c>
      <c r="B2" s="63" t="s">
        <v>5110</v>
      </c>
      <c r="C2" s="64" t="s">
        <v>5111</v>
      </c>
      <c r="D2" s="63" t="s">
        <v>5112</v>
      </c>
      <c r="E2" s="63" t="s">
        <v>5113</v>
      </c>
      <c r="F2" s="63" t="s">
        <v>5114</v>
      </c>
      <c r="G2" s="63" t="s">
        <v>8992</v>
      </c>
      <c r="H2" s="63" t="s">
        <v>5116</v>
      </c>
      <c r="I2" s="63" t="s">
        <v>5117</v>
      </c>
      <c r="J2" s="63" t="s">
        <v>5118</v>
      </c>
      <c r="K2" s="63" t="s">
        <v>5119</v>
      </c>
      <c r="L2" s="63" t="s">
        <v>5120</v>
      </c>
      <c r="M2" s="63" t="s">
        <v>5121</v>
      </c>
      <c r="N2" s="63" t="s">
        <v>5122</v>
      </c>
      <c r="O2" s="63" t="s">
        <v>8993</v>
      </c>
      <c r="P2" s="63" t="s">
        <v>8994</v>
      </c>
      <c r="Q2" s="63" t="s">
        <v>5125</v>
      </c>
      <c r="R2" s="63" t="s">
        <v>5126</v>
      </c>
      <c r="S2" s="63" t="s">
        <v>5127</v>
      </c>
      <c r="T2" s="63" t="s">
        <v>5120</v>
      </c>
      <c r="U2" s="63" t="s">
        <v>5128</v>
      </c>
      <c r="V2" s="63" t="s">
        <v>5129</v>
      </c>
      <c r="W2" s="63" t="s">
        <v>5130</v>
      </c>
      <c r="X2" s="63" t="s">
        <v>5131</v>
      </c>
      <c r="Y2" s="63" t="s">
        <v>5132</v>
      </c>
      <c r="Z2" s="63" t="s">
        <v>5133</v>
      </c>
      <c r="AA2" s="63" t="s">
        <v>5134</v>
      </c>
      <c r="AB2" s="63" t="s">
        <v>5135</v>
      </c>
      <c r="AC2" s="63" t="s">
        <v>5136</v>
      </c>
      <c r="AD2" s="19"/>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1"/>
      <c r="BK2" s="21"/>
      <c r="BL2" s="21"/>
    </row>
    <row r="3">
      <c r="A3" s="47" t="s">
        <v>8995</v>
      </c>
      <c r="B3" s="48" t="s">
        <v>8996</v>
      </c>
      <c r="C3" s="49" t="s">
        <v>8997</v>
      </c>
      <c r="D3" s="48" t="s">
        <v>8998</v>
      </c>
      <c r="E3" s="48" t="s">
        <v>8999</v>
      </c>
      <c r="F3" s="48" t="s">
        <v>9000</v>
      </c>
      <c r="G3" s="48" t="s">
        <v>9001</v>
      </c>
      <c r="H3" s="48" t="s">
        <v>9002</v>
      </c>
      <c r="I3" s="48" t="s">
        <v>9003</v>
      </c>
      <c r="J3" s="48" t="s">
        <v>9004</v>
      </c>
      <c r="K3" s="54" t="s">
        <v>9005</v>
      </c>
      <c r="L3" s="48" t="s">
        <v>9006</v>
      </c>
      <c r="M3" s="48" t="s">
        <v>9007</v>
      </c>
      <c r="N3" s="53" t="s">
        <v>9008</v>
      </c>
      <c r="O3" s="50" t="s">
        <v>9009</v>
      </c>
      <c r="P3" s="55" t="s">
        <v>9010</v>
      </c>
      <c r="Q3" s="56" t="s">
        <v>9011</v>
      </c>
      <c r="R3" s="51" t="s">
        <v>9012</v>
      </c>
      <c r="S3" s="48" t="s">
        <v>9013</v>
      </c>
      <c r="T3" s="48" t="s">
        <v>9006</v>
      </c>
      <c r="U3" s="48" t="s">
        <v>9014</v>
      </c>
      <c r="V3" s="48" t="s">
        <v>9015</v>
      </c>
      <c r="W3" s="48" t="s">
        <v>9016</v>
      </c>
      <c r="X3" s="48" t="s">
        <v>9017</v>
      </c>
      <c r="Y3" s="52" t="s">
        <v>9018</v>
      </c>
      <c r="Z3" s="48" t="s">
        <v>9019</v>
      </c>
      <c r="AA3" s="48" t="s">
        <v>9020</v>
      </c>
      <c r="AB3" s="53" t="s">
        <v>9021</v>
      </c>
      <c r="AC3" s="48" t="s">
        <v>9022</v>
      </c>
      <c r="AD3" s="19"/>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row>
    <row r="4">
      <c r="A4" s="59" t="s">
        <v>9023</v>
      </c>
      <c r="B4" s="60" t="s">
        <v>9024</v>
      </c>
      <c r="C4" s="61" t="s">
        <v>9025</v>
      </c>
      <c r="D4" s="60" t="s">
        <v>9026</v>
      </c>
      <c r="E4" s="60" t="s">
        <v>9027</v>
      </c>
      <c r="F4" s="60" t="s">
        <v>9028</v>
      </c>
      <c r="G4" s="60" t="s">
        <v>9029</v>
      </c>
      <c r="H4" s="60" t="s">
        <v>9030</v>
      </c>
      <c r="I4" s="60" t="s">
        <v>9031</v>
      </c>
      <c r="J4" s="60" t="s">
        <v>9032</v>
      </c>
      <c r="K4" s="60" t="s">
        <v>9033</v>
      </c>
      <c r="L4" s="60" t="s">
        <v>9034</v>
      </c>
      <c r="M4" s="60" t="s">
        <v>9035</v>
      </c>
      <c r="N4" s="60" t="s">
        <v>9036</v>
      </c>
      <c r="O4" s="60" t="s">
        <v>9037</v>
      </c>
      <c r="P4" s="60" t="s">
        <v>9038</v>
      </c>
      <c r="Q4" s="60" t="s">
        <v>9039</v>
      </c>
      <c r="R4" s="60" t="s">
        <v>9040</v>
      </c>
      <c r="S4" s="60" t="s">
        <v>9041</v>
      </c>
      <c r="T4" s="60" t="s">
        <v>9042</v>
      </c>
      <c r="U4" s="60" t="s">
        <v>9043</v>
      </c>
      <c r="V4" s="60" t="s">
        <v>9044</v>
      </c>
      <c r="W4" s="60" t="s">
        <v>9045</v>
      </c>
      <c r="X4" s="60" t="s">
        <v>9046</v>
      </c>
      <c r="Y4" s="60" t="s">
        <v>9047</v>
      </c>
      <c r="Z4" s="60" t="s">
        <v>9048</v>
      </c>
      <c r="AA4" s="60" t="s">
        <v>9049</v>
      </c>
      <c r="AB4" s="60" t="s">
        <v>9050</v>
      </c>
      <c r="AC4" s="60" t="s">
        <v>9051</v>
      </c>
      <c r="AD4" s="19"/>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row>
    <row r="5">
      <c r="A5" s="59" t="s">
        <v>9052</v>
      </c>
      <c r="B5" s="60" t="s">
        <v>9053</v>
      </c>
      <c r="C5" s="61" t="s">
        <v>9054</v>
      </c>
      <c r="D5" s="60" t="s">
        <v>9055</v>
      </c>
      <c r="E5" s="60" t="s">
        <v>9056</v>
      </c>
      <c r="F5" s="60" t="s">
        <v>9057</v>
      </c>
      <c r="G5" s="60" t="s">
        <v>9058</v>
      </c>
      <c r="H5" s="60" t="s">
        <v>9059</v>
      </c>
      <c r="I5" s="60" t="s">
        <v>9060</v>
      </c>
      <c r="J5" s="60" t="s">
        <v>9061</v>
      </c>
      <c r="K5" s="60" t="s">
        <v>9062</v>
      </c>
      <c r="L5" s="60" t="s">
        <v>9063</v>
      </c>
      <c r="M5" s="60" t="s">
        <v>9064</v>
      </c>
      <c r="N5" s="60" t="s">
        <v>9065</v>
      </c>
      <c r="O5" s="60" t="s">
        <v>9066</v>
      </c>
      <c r="P5" s="60" t="s">
        <v>9067</v>
      </c>
      <c r="Q5" s="60" t="s">
        <v>9068</v>
      </c>
      <c r="R5" s="60" t="s">
        <v>9069</v>
      </c>
      <c r="S5" s="60" t="s">
        <v>9070</v>
      </c>
      <c r="T5" s="60" t="s">
        <v>9071</v>
      </c>
      <c r="U5" s="60" t="s">
        <v>9072</v>
      </c>
      <c r="V5" s="60" t="s">
        <v>9073</v>
      </c>
      <c r="W5" s="60" t="s">
        <v>9058</v>
      </c>
      <c r="X5" s="60" t="s">
        <v>9074</v>
      </c>
      <c r="Y5" s="60" t="s">
        <v>9075</v>
      </c>
      <c r="Z5" s="60" t="s">
        <v>9076</v>
      </c>
      <c r="AA5" s="60" t="s">
        <v>9077</v>
      </c>
      <c r="AB5" s="60" t="s">
        <v>9078</v>
      </c>
      <c r="AC5" s="60" t="s">
        <v>9079</v>
      </c>
      <c r="AD5" s="19"/>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row>
    <row r="6">
      <c r="A6" s="59" t="s">
        <v>35</v>
      </c>
      <c r="B6" s="60" t="s">
        <v>36</v>
      </c>
      <c r="C6" s="61" t="s">
        <v>692</v>
      </c>
      <c r="D6" s="60" t="s">
        <v>693</v>
      </c>
      <c r="E6" s="60" t="s">
        <v>694</v>
      </c>
      <c r="F6" s="60" t="s">
        <v>695</v>
      </c>
      <c r="G6" s="60" t="s">
        <v>696</v>
      </c>
      <c r="H6" s="60" t="s">
        <v>697</v>
      </c>
      <c r="I6" s="60" t="s">
        <v>698</v>
      </c>
      <c r="J6" s="60" t="s">
        <v>699</v>
      </c>
      <c r="K6" s="60" t="s">
        <v>700</v>
      </c>
      <c r="L6" s="60" t="s">
        <v>701</v>
      </c>
      <c r="M6" s="60" t="s">
        <v>702</v>
      </c>
      <c r="N6" s="60" t="s">
        <v>703</v>
      </c>
      <c r="O6" s="60" t="s">
        <v>704</v>
      </c>
      <c r="P6" s="60" t="s">
        <v>705</v>
      </c>
      <c r="Q6" s="60" t="s">
        <v>706</v>
      </c>
      <c r="R6" s="60" t="s">
        <v>707</v>
      </c>
      <c r="S6" s="60" t="s">
        <v>708</v>
      </c>
      <c r="T6" s="60" t="s">
        <v>709</v>
      </c>
      <c r="U6" s="60" t="s">
        <v>710</v>
      </c>
      <c r="V6" s="60" t="s">
        <v>711</v>
      </c>
      <c r="W6" s="60" t="s">
        <v>712</v>
      </c>
      <c r="X6" s="60" t="s">
        <v>713</v>
      </c>
      <c r="Y6" s="60" t="s">
        <v>714</v>
      </c>
      <c r="Z6" s="60" t="s">
        <v>715</v>
      </c>
      <c r="AA6" s="60" t="s">
        <v>716</v>
      </c>
      <c r="AB6" s="60" t="s">
        <v>717</v>
      </c>
      <c r="AC6" s="60" t="s">
        <v>718</v>
      </c>
      <c r="AD6" s="19"/>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row>
    <row r="7">
      <c r="A7" s="59" t="s">
        <v>9080</v>
      </c>
      <c r="B7" s="60" t="s">
        <v>9081</v>
      </c>
      <c r="C7" s="61" t="s">
        <v>9082</v>
      </c>
      <c r="D7" s="60" t="s">
        <v>9083</v>
      </c>
      <c r="E7" s="60" t="s">
        <v>9084</v>
      </c>
      <c r="F7" s="60" t="s">
        <v>9085</v>
      </c>
      <c r="G7" s="60" t="s">
        <v>9086</v>
      </c>
      <c r="H7" s="60" t="s">
        <v>9087</v>
      </c>
      <c r="I7" s="60" t="s">
        <v>9088</v>
      </c>
      <c r="J7" s="60" t="s">
        <v>9089</v>
      </c>
      <c r="K7" s="60" t="s">
        <v>9090</v>
      </c>
      <c r="L7" s="60" t="s">
        <v>9091</v>
      </c>
      <c r="M7" s="60" t="s">
        <v>9092</v>
      </c>
      <c r="N7" s="60" t="s">
        <v>9093</v>
      </c>
      <c r="O7" s="60" t="s">
        <v>9094</v>
      </c>
      <c r="P7" s="60" t="s">
        <v>9095</v>
      </c>
      <c r="Q7" s="60" t="s">
        <v>9096</v>
      </c>
      <c r="R7" s="60" t="s">
        <v>9097</v>
      </c>
      <c r="S7" s="60" t="s">
        <v>9098</v>
      </c>
      <c r="T7" s="60" t="s">
        <v>9099</v>
      </c>
      <c r="U7" s="60" t="s">
        <v>9100</v>
      </c>
      <c r="V7" s="60" t="s">
        <v>9101</v>
      </c>
      <c r="W7" s="60" t="s">
        <v>9102</v>
      </c>
      <c r="X7" s="60" t="s">
        <v>9103</v>
      </c>
      <c r="Y7" s="60" t="s">
        <v>9104</v>
      </c>
      <c r="Z7" s="60" t="s">
        <v>9105</v>
      </c>
      <c r="AA7" s="60" t="s">
        <v>9106</v>
      </c>
      <c r="AB7" s="60" t="s">
        <v>9107</v>
      </c>
      <c r="AC7" s="60" t="s">
        <v>9108</v>
      </c>
      <c r="AD7" s="19"/>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row>
    <row r="8">
      <c r="A8" s="59" t="s">
        <v>326</v>
      </c>
      <c r="B8" s="60" t="s">
        <v>327</v>
      </c>
      <c r="C8" s="61" t="s">
        <v>328</v>
      </c>
      <c r="D8" s="60" t="s">
        <v>329</v>
      </c>
      <c r="E8" s="60" t="s">
        <v>330</v>
      </c>
      <c r="F8" s="60" t="s">
        <v>331</v>
      </c>
      <c r="G8" s="60" t="s">
        <v>332</v>
      </c>
      <c r="H8" s="60" t="s">
        <v>333</v>
      </c>
      <c r="I8" s="60" t="s">
        <v>334</v>
      </c>
      <c r="J8" s="60" t="s">
        <v>335</v>
      </c>
      <c r="K8" s="60" t="s">
        <v>336</v>
      </c>
      <c r="L8" s="60" t="s">
        <v>337</v>
      </c>
      <c r="M8" s="60" t="s">
        <v>338</v>
      </c>
      <c r="N8" s="60" t="s">
        <v>339</v>
      </c>
      <c r="O8" s="60" t="s">
        <v>340</v>
      </c>
      <c r="P8" s="60" t="s">
        <v>341</v>
      </c>
      <c r="Q8" s="60" t="s">
        <v>342</v>
      </c>
      <c r="R8" s="60" t="s">
        <v>343</v>
      </c>
      <c r="S8" s="60" t="s">
        <v>344</v>
      </c>
      <c r="T8" s="60" t="s">
        <v>345</v>
      </c>
      <c r="U8" s="60" t="s">
        <v>346</v>
      </c>
      <c r="V8" s="60" t="s">
        <v>347</v>
      </c>
      <c r="W8" s="60" t="s">
        <v>348</v>
      </c>
      <c r="X8" s="60" t="s">
        <v>349</v>
      </c>
      <c r="Y8" s="60" t="s">
        <v>350</v>
      </c>
      <c r="Z8" s="60" t="s">
        <v>351</v>
      </c>
      <c r="AA8" s="60" t="s">
        <v>352</v>
      </c>
      <c r="AB8" s="60" t="s">
        <v>353</v>
      </c>
      <c r="AC8" s="60" t="s">
        <v>354</v>
      </c>
      <c r="AD8" s="19"/>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row>
    <row r="9">
      <c r="A9" s="59" t="s">
        <v>9109</v>
      </c>
      <c r="B9" s="60" t="s">
        <v>9110</v>
      </c>
      <c r="C9" s="61" t="s">
        <v>6050</v>
      </c>
      <c r="D9" s="60" t="s">
        <v>9111</v>
      </c>
      <c r="E9" s="60" t="s">
        <v>9110</v>
      </c>
      <c r="F9" s="60" t="s">
        <v>9112</v>
      </c>
      <c r="G9" s="60" t="s">
        <v>9113</v>
      </c>
      <c r="H9" s="60" t="s">
        <v>9114</v>
      </c>
      <c r="I9" s="60" t="s">
        <v>9115</v>
      </c>
      <c r="J9" s="60" t="s">
        <v>9116</v>
      </c>
      <c r="K9" s="60" t="s">
        <v>9117</v>
      </c>
      <c r="L9" s="60" t="s">
        <v>9118</v>
      </c>
      <c r="M9" s="60" t="s">
        <v>9119</v>
      </c>
      <c r="N9" s="60" t="s">
        <v>9120</v>
      </c>
      <c r="O9" s="60" t="s">
        <v>9121</v>
      </c>
      <c r="P9" s="60" t="s">
        <v>9122</v>
      </c>
      <c r="Q9" s="60" t="s">
        <v>9123</v>
      </c>
      <c r="R9" s="60" t="s">
        <v>9124</v>
      </c>
      <c r="S9" s="60" t="s">
        <v>9125</v>
      </c>
      <c r="T9" s="60" t="s">
        <v>9126</v>
      </c>
      <c r="U9" s="60" t="s">
        <v>9127</v>
      </c>
      <c r="V9" s="60" t="s">
        <v>9128</v>
      </c>
      <c r="W9" s="60" t="s">
        <v>9129</v>
      </c>
      <c r="X9" s="60" t="s">
        <v>9130</v>
      </c>
      <c r="Y9" s="60" t="s">
        <v>9131</v>
      </c>
      <c r="Z9" s="60" t="s">
        <v>9132</v>
      </c>
      <c r="AA9" s="60" t="s">
        <v>9133</v>
      </c>
      <c r="AB9" s="60" t="s">
        <v>9134</v>
      </c>
      <c r="AC9" s="60" t="s">
        <v>9135</v>
      </c>
      <c r="AD9" s="19"/>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row>
    <row r="10">
      <c r="A10" s="59" t="s">
        <v>2647</v>
      </c>
      <c r="B10" s="60" t="s">
        <v>2648</v>
      </c>
      <c r="C10" s="61" t="s">
        <v>2649</v>
      </c>
      <c r="D10" s="60" t="s">
        <v>2650</v>
      </c>
      <c r="E10" s="60" t="s">
        <v>2651</v>
      </c>
      <c r="F10" s="60" t="s">
        <v>2652</v>
      </c>
      <c r="G10" s="60" t="s">
        <v>2653</v>
      </c>
      <c r="H10" s="60" t="s">
        <v>2654</v>
      </c>
      <c r="I10" s="60" t="s">
        <v>2655</v>
      </c>
      <c r="J10" s="60" t="s">
        <v>2656</v>
      </c>
      <c r="K10" s="60" t="s">
        <v>2657</v>
      </c>
      <c r="L10" s="60" t="s">
        <v>2658</v>
      </c>
      <c r="M10" s="60" t="s">
        <v>2648</v>
      </c>
      <c r="N10" s="60" t="s">
        <v>2659</v>
      </c>
      <c r="O10" s="60" t="s">
        <v>2660</v>
      </c>
      <c r="P10" s="60" t="s">
        <v>2661</v>
      </c>
      <c r="Q10" s="60" t="s">
        <v>2662</v>
      </c>
      <c r="R10" s="60" t="s">
        <v>2663</v>
      </c>
      <c r="S10" s="60" t="s">
        <v>2664</v>
      </c>
      <c r="T10" s="60" t="s">
        <v>2665</v>
      </c>
      <c r="U10" s="60" t="s">
        <v>2648</v>
      </c>
      <c r="V10" s="60" t="s">
        <v>2666</v>
      </c>
      <c r="W10" s="60" t="s">
        <v>2667</v>
      </c>
      <c r="X10" s="60" t="s">
        <v>2668</v>
      </c>
      <c r="Y10" s="60" t="s">
        <v>2669</v>
      </c>
      <c r="Z10" s="60" t="s">
        <v>2670</v>
      </c>
      <c r="AA10" s="60" t="s">
        <v>2671</v>
      </c>
      <c r="AB10" s="60" t="s">
        <v>2672</v>
      </c>
      <c r="AC10" s="60" t="s">
        <v>2673</v>
      </c>
      <c r="AD10" s="19"/>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row>
    <row r="11">
      <c r="A11" s="59" t="s">
        <v>9136</v>
      </c>
      <c r="B11" s="60" t="s">
        <v>6978</v>
      </c>
      <c r="C11" s="61" t="s">
        <v>6979</v>
      </c>
      <c r="D11" s="60" t="s">
        <v>6980</v>
      </c>
      <c r="E11" s="60" t="s">
        <v>6981</v>
      </c>
      <c r="F11" s="60" t="s">
        <v>6982</v>
      </c>
      <c r="G11" s="60" t="s">
        <v>6983</v>
      </c>
      <c r="H11" s="60" t="s">
        <v>6984</v>
      </c>
      <c r="I11" s="60" t="s">
        <v>6985</v>
      </c>
      <c r="J11" s="60" t="s">
        <v>6986</v>
      </c>
      <c r="K11" s="60" t="s">
        <v>6987</v>
      </c>
      <c r="L11" s="60" t="s">
        <v>6988</v>
      </c>
      <c r="M11" s="60" t="s">
        <v>6989</v>
      </c>
      <c r="N11" s="60" t="s">
        <v>6990</v>
      </c>
      <c r="O11" s="60" t="s">
        <v>6991</v>
      </c>
      <c r="P11" s="60" t="s">
        <v>6992</v>
      </c>
      <c r="Q11" s="60" t="s">
        <v>6993</v>
      </c>
      <c r="R11" s="60" t="s">
        <v>6994</v>
      </c>
      <c r="S11" s="60" t="s">
        <v>6995</v>
      </c>
      <c r="T11" s="60" t="s">
        <v>6996</v>
      </c>
      <c r="U11" s="60" t="s">
        <v>6997</v>
      </c>
      <c r="V11" s="60" t="s">
        <v>6998</v>
      </c>
      <c r="W11" s="60" t="s">
        <v>6999</v>
      </c>
      <c r="X11" s="60" t="s">
        <v>7000</v>
      </c>
      <c r="Y11" s="60" t="s">
        <v>7001</v>
      </c>
      <c r="Z11" s="60" t="s">
        <v>7002</v>
      </c>
      <c r="AA11" s="60" t="s">
        <v>7003</v>
      </c>
      <c r="AB11" s="60" t="s">
        <v>7004</v>
      </c>
      <c r="AC11" s="60" t="s">
        <v>7005</v>
      </c>
      <c r="AD11" s="19"/>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row>
    <row r="12">
      <c r="A12" s="59" t="s">
        <v>9137</v>
      </c>
      <c r="B12" s="60" t="s">
        <v>9138</v>
      </c>
      <c r="C12" s="61" t="s">
        <v>9139</v>
      </c>
      <c r="D12" s="60" t="s">
        <v>9140</v>
      </c>
      <c r="E12" s="60" t="s">
        <v>9141</v>
      </c>
      <c r="F12" s="60" t="s">
        <v>9142</v>
      </c>
      <c r="G12" s="60" t="s">
        <v>9143</v>
      </c>
      <c r="H12" s="60" t="s">
        <v>9144</v>
      </c>
      <c r="I12" s="60" t="s">
        <v>9145</v>
      </c>
      <c r="J12" s="60" t="s">
        <v>9146</v>
      </c>
      <c r="K12" s="60" t="s">
        <v>9147</v>
      </c>
      <c r="L12" s="60" t="s">
        <v>9148</v>
      </c>
      <c r="M12" s="60" t="s">
        <v>9149</v>
      </c>
      <c r="N12" s="60" t="s">
        <v>9150</v>
      </c>
      <c r="O12" s="60" t="s">
        <v>9151</v>
      </c>
      <c r="P12" s="60" t="s">
        <v>9152</v>
      </c>
      <c r="Q12" s="60" t="s">
        <v>9153</v>
      </c>
      <c r="R12" s="60" t="s">
        <v>9154</v>
      </c>
      <c r="S12" s="60" t="s">
        <v>9155</v>
      </c>
      <c r="T12" s="60" t="s">
        <v>9156</v>
      </c>
      <c r="U12" s="60" t="s">
        <v>9157</v>
      </c>
      <c r="V12" s="60" t="s">
        <v>9158</v>
      </c>
      <c r="W12" s="60" t="s">
        <v>9159</v>
      </c>
      <c r="X12" s="60" t="s">
        <v>9160</v>
      </c>
      <c r="Y12" s="60" t="s">
        <v>9161</v>
      </c>
      <c r="Z12" s="60" t="s">
        <v>9162</v>
      </c>
      <c r="AA12" s="60" t="s">
        <v>9163</v>
      </c>
      <c r="AB12" s="60" t="s">
        <v>9164</v>
      </c>
      <c r="AC12" s="60" t="s">
        <v>9165</v>
      </c>
      <c r="AD12" s="19"/>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row>
    <row r="13">
      <c r="A13" s="59" t="s">
        <v>9166</v>
      </c>
      <c r="B13" s="60" t="s">
        <v>9167</v>
      </c>
      <c r="C13" s="61" t="s">
        <v>9168</v>
      </c>
      <c r="D13" s="60" t="s">
        <v>9169</v>
      </c>
      <c r="E13" s="60" t="s">
        <v>9170</v>
      </c>
      <c r="F13" s="60" t="s">
        <v>9171</v>
      </c>
      <c r="G13" s="60" t="s">
        <v>9172</v>
      </c>
      <c r="H13" s="60" t="s">
        <v>9173</v>
      </c>
      <c r="I13" s="60" t="s">
        <v>9174</v>
      </c>
      <c r="J13" s="60" t="s">
        <v>9175</v>
      </c>
      <c r="K13" s="60" t="s">
        <v>9176</v>
      </c>
      <c r="L13" s="60" t="s">
        <v>9177</v>
      </c>
      <c r="M13" s="60" t="s">
        <v>9178</v>
      </c>
      <c r="N13" s="60" t="s">
        <v>9179</v>
      </c>
      <c r="O13" s="60" t="s">
        <v>9180</v>
      </c>
      <c r="P13" s="60" t="s">
        <v>9181</v>
      </c>
      <c r="Q13" s="60" t="s">
        <v>9182</v>
      </c>
      <c r="R13" s="60" t="s">
        <v>9183</v>
      </c>
      <c r="S13" s="60" t="s">
        <v>9184</v>
      </c>
      <c r="T13" s="60" t="s">
        <v>9177</v>
      </c>
      <c r="U13" s="60" t="s">
        <v>9185</v>
      </c>
      <c r="V13" s="60" t="s">
        <v>9186</v>
      </c>
      <c r="W13" s="60" t="s">
        <v>9187</v>
      </c>
      <c r="X13" s="60" t="s">
        <v>9188</v>
      </c>
      <c r="Y13" s="60" t="s">
        <v>9189</v>
      </c>
      <c r="Z13" s="60" t="s">
        <v>9190</v>
      </c>
      <c r="AA13" s="60" t="s">
        <v>9191</v>
      </c>
      <c r="AB13" s="60" t="s">
        <v>9192</v>
      </c>
      <c r="AC13" s="60" t="s">
        <v>9193</v>
      </c>
      <c r="AD13" s="19"/>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row>
    <row r="14">
      <c r="A14" s="59" t="s">
        <v>9194</v>
      </c>
      <c r="B14" s="60" t="s">
        <v>9195</v>
      </c>
      <c r="C14" s="61" t="s">
        <v>9196</v>
      </c>
      <c r="D14" s="60" t="s">
        <v>9197</v>
      </c>
      <c r="E14" s="60" t="s">
        <v>9198</v>
      </c>
      <c r="F14" s="60" t="s">
        <v>9199</v>
      </c>
      <c r="G14" s="60" t="s">
        <v>9200</v>
      </c>
      <c r="H14" s="60" t="s">
        <v>9201</v>
      </c>
      <c r="I14" s="60" t="s">
        <v>9202</v>
      </c>
      <c r="J14" s="60" t="s">
        <v>9203</v>
      </c>
      <c r="K14" s="60" t="s">
        <v>9204</v>
      </c>
      <c r="L14" s="60" t="s">
        <v>9205</v>
      </c>
      <c r="M14" s="60" t="s">
        <v>9206</v>
      </c>
      <c r="N14" s="60" t="s">
        <v>9207</v>
      </c>
      <c r="O14" s="60" t="s">
        <v>9208</v>
      </c>
      <c r="P14" s="60" t="s">
        <v>9209</v>
      </c>
      <c r="Q14" s="60" t="s">
        <v>9210</v>
      </c>
      <c r="R14" s="60" t="s">
        <v>9211</v>
      </c>
      <c r="S14" s="60" t="s">
        <v>9212</v>
      </c>
      <c r="T14" s="60" t="s">
        <v>9205</v>
      </c>
      <c r="U14" s="60" t="s">
        <v>9213</v>
      </c>
      <c r="V14" s="60" t="s">
        <v>9214</v>
      </c>
      <c r="W14" s="60" t="s">
        <v>9215</v>
      </c>
      <c r="X14" s="60" t="s">
        <v>9216</v>
      </c>
      <c r="Y14" s="60" t="s">
        <v>9217</v>
      </c>
      <c r="Z14" s="60" t="s">
        <v>9218</v>
      </c>
      <c r="AA14" s="60" t="s">
        <v>9219</v>
      </c>
      <c r="AB14" s="60" t="s">
        <v>9220</v>
      </c>
      <c r="AC14" s="60" t="s">
        <v>9221</v>
      </c>
      <c r="AD14" s="19"/>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row>
    <row r="15">
      <c r="A15" s="59" t="s">
        <v>9222</v>
      </c>
      <c r="B15" s="60" t="s">
        <v>9223</v>
      </c>
      <c r="C15" s="61" t="s">
        <v>9224</v>
      </c>
      <c r="D15" s="60" t="s">
        <v>9225</v>
      </c>
      <c r="E15" s="60" t="s">
        <v>9226</v>
      </c>
      <c r="F15" s="60" t="s">
        <v>9227</v>
      </c>
      <c r="G15" s="60" t="s">
        <v>9228</v>
      </c>
      <c r="H15" s="60" t="s">
        <v>9229</v>
      </c>
      <c r="I15" s="60" t="s">
        <v>9230</v>
      </c>
      <c r="J15" s="60" t="s">
        <v>9231</v>
      </c>
      <c r="K15" s="60" t="s">
        <v>9232</v>
      </c>
      <c r="L15" s="60" t="s">
        <v>9233</v>
      </c>
      <c r="M15" s="60" t="s">
        <v>9234</v>
      </c>
      <c r="N15" s="60" t="s">
        <v>9235</v>
      </c>
      <c r="O15" s="60" t="s">
        <v>9236</v>
      </c>
      <c r="P15" s="60" t="s">
        <v>9237</v>
      </c>
      <c r="Q15" s="60" t="s">
        <v>9238</v>
      </c>
      <c r="R15" s="60" t="s">
        <v>9239</v>
      </c>
      <c r="S15" s="60" t="s">
        <v>9240</v>
      </c>
      <c r="T15" s="60" t="s">
        <v>9233</v>
      </c>
      <c r="U15" s="60" t="s">
        <v>9241</v>
      </c>
      <c r="V15" s="60" t="s">
        <v>9242</v>
      </c>
      <c r="W15" s="60" t="s">
        <v>9243</v>
      </c>
      <c r="X15" s="60" t="s">
        <v>9244</v>
      </c>
      <c r="Y15" s="60" t="s">
        <v>9245</v>
      </c>
      <c r="Z15" s="60" t="s">
        <v>9246</v>
      </c>
      <c r="AA15" s="60" t="s">
        <v>9247</v>
      </c>
      <c r="AB15" s="60" t="s">
        <v>9248</v>
      </c>
      <c r="AC15" s="60" t="s">
        <v>9249</v>
      </c>
      <c r="AD15" s="19"/>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row>
    <row r="16">
      <c r="A16" s="59" t="s">
        <v>9250</v>
      </c>
      <c r="B16" s="60" t="s">
        <v>9251</v>
      </c>
      <c r="C16" s="61" t="s">
        <v>9252</v>
      </c>
      <c r="D16" s="60" t="s">
        <v>9253</v>
      </c>
      <c r="E16" s="60" t="s">
        <v>9254</v>
      </c>
      <c r="F16" s="60" t="s">
        <v>9255</v>
      </c>
      <c r="G16" s="60" t="s">
        <v>9256</v>
      </c>
      <c r="H16" s="60" t="s">
        <v>9257</v>
      </c>
      <c r="I16" s="60" t="s">
        <v>9258</v>
      </c>
      <c r="J16" s="60" t="s">
        <v>9259</v>
      </c>
      <c r="K16" s="60" t="s">
        <v>9260</v>
      </c>
      <c r="L16" s="60" t="s">
        <v>9261</v>
      </c>
      <c r="M16" s="60" t="s">
        <v>9262</v>
      </c>
      <c r="N16" s="60" t="s">
        <v>9263</v>
      </c>
      <c r="O16" s="60" t="s">
        <v>9264</v>
      </c>
      <c r="P16" s="60" t="s">
        <v>9265</v>
      </c>
      <c r="Q16" s="60" t="s">
        <v>9266</v>
      </c>
      <c r="R16" s="60" t="s">
        <v>9267</v>
      </c>
      <c r="S16" s="60" t="s">
        <v>9268</v>
      </c>
      <c r="T16" s="60" t="s">
        <v>9261</v>
      </c>
      <c r="U16" s="60" t="s">
        <v>9269</v>
      </c>
      <c r="V16" s="60" t="s">
        <v>9270</v>
      </c>
      <c r="W16" s="60" t="s">
        <v>9271</v>
      </c>
      <c r="X16" s="60" t="s">
        <v>9272</v>
      </c>
      <c r="Y16" s="60" t="s">
        <v>9273</v>
      </c>
      <c r="Z16" s="60" t="s">
        <v>9274</v>
      </c>
      <c r="AA16" s="60" t="s">
        <v>9275</v>
      </c>
      <c r="AB16" s="60" t="s">
        <v>9276</v>
      </c>
      <c r="AC16" s="60" t="s">
        <v>9277</v>
      </c>
      <c r="AD16" s="19"/>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row>
    <row r="17">
      <c r="A17" s="59" t="s">
        <v>9278</v>
      </c>
      <c r="B17" s="60" t="s">
        <v>9279</v>
      </c>
      <c r="C17" s="61" t="s">
        <v>9280</v>
      </c>
      <c r="D17" s="60" t="s">
        <v>9281</v>
      </c>
      <c r="E17" s="60" t="s">
        <v>9282</v>
      </c>
      <c r="F17" s="60" t="s">
        <v>9283</v>
      </c>
      <c r="G17" s="60" t="s">
        <v>9284</v>
      </c>
      <c r="H17" s="60" t="s">
        <v>9285</v>
      </c>
      <c r="I17" s="60" t="s">
        <v>9286</v>
      </c>
      <c r="J17" s="60" t="s">
        <v>9287</v>
      </c>
      <c r="K17" s="60" t="s">
        <v>9288</v>
      </c>
      <c r="L17" s="60" t="s">
        <v>9289</v>
      </c>
      <c r="M17" s="60" t="s">
        <v>9290</v>
      </c>
      <c r="N17" s="60" t="s">
        <v>9291</v>
      </c>
      <c r="O17" s="60" t="s">
        <v>9292</v>
      </c>
      <c r="P17" s="60" t="s">
        <v>9293</v>
      </c>
      <c r="Q17" s="60" t="s">
        <v>9294</v>
      </c>
      <c r="R17" s="60" t="s">
        <v>9295</v>
      </c>
      <c r="S17" s="60" t="s">
        <v>9296</v>
      </c>
      <c r="T17" s="60" t="s">
        <v>9297</v>
      </c>
      <c r="U17" s="60" t="s">
        <v>9298</v>
      </c>
      <c r="V17" s="60" t="s">
        <v>9299</v>
      </c>
      <c r="W17" s="60" t="s">
        <v>9300</v>
      </c>
      <c r="X17" s="60" t="s">
        <v>9301</v>
      </c>
      <c r="Y17" s="60" t="s">
        <v>9302</v>
      </c>
      <c r="Z17" s="60" t="s">
        <v>9303</v>
      </c>
      <c r="AA17" s="60" t="s">
        <v>9304</v>
      </c>
      <c r="AB17" s="60" t="s">
        <v>9305</v>
      </c>
      <c r="AC17" s="60" t="s">
        <v>9306</v>
      </c>
      <c r="AD17" s="19"/>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row>
    <row r="18">
      <c r="A18" s="59" t="s">
        <v>9307</v>
      </c>
      <c r="B18" s="60" t="s">
        <v>9308</v>
      </c>
      <c r="C18" s="61" t="s">
        <v>9309</v>
      </c>
      <c r="D18" s="60" t="s">
        <v>9310</v>
      </c>
      <c r="E18" s="60" t="s">
        <v>9311</v>
      </c>
      <c r="F18" s="60" t="s">
        <v>9312</v>
      </c>
      <c r="G18" s="60" t="s">
        <v>9313</v>
      </c>
      <c r="H18" s="60" t="s">
        <v>9314</v>
      </c>
      <c r="I18" s="60" t="s">
        <v>9315</v>
      </c>
      <c r="J18" s="60" t="s">
        <v>9316</v>
      </c>
      <c r="K18" s="60" t="s">
        <v>9317</v>
      </c>
      <c r="L18" s="60" t="s">
        <v>9318</v>
      </c>
      <c r="M18" s="60" t="s">
        <v>9319</v>
      </c>
      <c r="N18" s="60" t="s">
        <v>9320</v>
      </c>
      <c r="O18" s="60" t="s">
        <v>9321</v>
      </c>
      <c r="P18" s="60" t="s">
        <v>9322</v>
      </c>
      <c r="Q18" s="60" t="s">
        <v>9323</v>
      </c>
      <c r="R18" s="60" t="s">
        <v>9324</v>
      </c>
      <c r="S18" s="60" t="s">
        <v>9325</v>
      </c>
      <c r="T18" s="60" t="s">
        <v>9318</v>
      </c>
      <c r="U18" s="60" t="s">
        <v>9326</v>
      </c>
      <c r="V18" s="60" t="s">
        <v>9327</v>
      </c>
      <c r="W18" s="60" t="s">
        <v>9328</v>
      </c>
      <c r="X18" s="60" t="s">
        <v>9329</v>
      </c>
      <c r="Y18" s="60" t="s">
        <v>9330</v>
      </c>
      <c r="Z18" s="60" t="s">
        <v>9331</v>
      </c>
      <c r="AA18" s="60" t="s">
        <v>9332</v>
      </c>
      <c r="AB18" s="60" t="s">
        <v>9333</v>
      </c>
      <c r="AC18" s="60" t="s">
        <v>9334</v>
      </c>
      <c r="AD18" s="19"/>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row>
    <row r="19">
      <c r="A19" s="59" t="s">
        <v>9335</v>
      </c>
      <c r="B19" s="60" t="s">
        <v>9336</v>
      </c>
      <c r="C19" s="61" t="s">
        <v>9337</v>
      </c>
      <c r="D19" s="60" t="s">
        <v>9338</v>
      </c>
      <c r="E19" s="60" t="s">
        <v>9339</v>
      </c>
      <c r="F19" s="60" t="s">
        <v>9340</v>
      </c>
      <c r="G19" s="60" t="s">
        <v>9341</v>
      </c>
      <c r="H19" s="60" t="s">
        <v>9342</v>
      </c>
      <c r="I19" s="60" t="s">
        <v>9343</v>
      </c>
      <c r="J19" s="60" t="s">
        <v>9344</v>
      </c>
      <c r="K19" s="60" t="s">
        <v>9345</v>
      </c>
      <c r="L19" s="60" t="s">
        <v>9346</v>
      </c>
      <c r="M19" s="60" t="s">
        <v>9347</v>
      </c>
      <c r="N19" s="60" t="s">
        <v>9348</v>
      </c>
      <c r="O19" s="60" t="s">
        <v>9349</v>
      </c>
      <c r="P19" s="60" t="s">
        <v>9350</v>
      </c>
      <c r="Q19" s="60" t="s">
        <v>9351</v>
      </c>
      <c r="R19" s="60" t="s">
        <v>9352</v>
      </c>
      <c r="S19" s="60" t="s">
        <v>9353</v>
      </c>
      <c r="T19" s="60" t="s">
        <v>9354</v>
      </c>
      <c r="U19" s="60" t="s">
        <v>9355</v>
      </c>
      <c r="V19" s="60" t="s">
        <v>9356</v>
      </c>
      <c r="W19" s="60" t="s">
        <v>9357</v>
      </c>
      <c r="X19" s="60" t="s">
        <v>9358</v>
      </c>
      <c r="Y19" s="60" t="s">
        <v>9359</v>
      </c>
      <c r="Z19" s="60" t="s">
        <v>9360</v>
      </c>
      <c r="AA19" s="60" t="s">
        <v>9361</v>
      </c>
      <c r="AB19" s="60" t="s">
        <v>9362</v>
      </c>
      <c r="AC19" s="60" t="s">
        <v>9363</v>
      </c>
      <c r="AD19" s="19"/>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row>
    <row r="20">
      <c r="A20" s="59" t="s">
        <v>9364</v>
      </c>
      <c r="B20" s="60" t="s">
        <v>9365</v>
      </c>
      <c r="C20" s="61" t="s">
        <v>9366</v>
      </c>
      <c r="D20" s="60" t="s">
        <v>9367</v>
      </c>
      <c r="E20" s="60" t="s">
        <v>9368</v>
      </c>
      <c r="F20" s="60" t="s">
        <v>9369</v>
      </c>
      <c r="G20" s="60" t="s">
        <v>9370</v>
      </c>
      <c r="H20" s="60" t="s">
        <v>9371</v>
      </c>
      <c r="I20" s="60" t="s">
        <v>9372</v>
      </c>
      <c r="J20" s="60" t="s">
        <v>9373</v>
      </c>
      <c r="K20" s="60" t="s">
        <v>9374</v>
      </c>
      <c r="L20" s="60" t="s">
        <v>9375</v>
      </c>
      <c r="M20" s="60" t="s">
        <v>9376</v>
      </c>
      <c r="N20" s="60" t="s">
        <v>9377</v>
      </c>
      <c r="O20" s="60" t="s">
        <v>9378</v>
      </c>
      <c r="P20" s="60" t="s">
        <v>9350</v>
      </c>
      <c r="Q20" s="60" t="s">
        <v>9379</v>
      </c>
      <c r="R20" s="60" t="s">
        <v>9380</v>
      </c>
      <c r="S20" s="60" t="s">
        <v>9381</v>
      </c>
      <c r="T20" s="60" t="s">
        <v>9382</v>
      </c>
      <c r="U20" s="60" t="s">
        <v>9383</v>
      </c>
      <c r="V20" s="60" t="s">
        <v>9384</v>
      </c>
      <c r="W20" s="60" t="s">
        <v>9385</v>
      </c>
      <c r="X20" s="60" t="s">
        <v>9386</v>
      </c>
      <c r="Y20" s="60" t="s">
        <v>9387</v>
      </c>
      <c r="Z20" s="60" t="s">
        <v>9388</v>
      </c>
      <c r="AA20" s="60" t="s">
        <v>9389</v>
      </c>
      <c r="AB20" s="60" t="s">
        <v>9390</v>
      </c>
      <c r="AC20" s="60" t="s">
        <v>9391</v>
      </c>
      <c r="AD20" s="19"/>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row>
    <row r="21">
      <c r="A21" s="59" t="s">
        <v>9392</v>
      </c>
      <c r="B21" s="60" t="s">
        <v>9393</v>
      </c>
      <c r="C21" s="61" t="s">
        <v>9394</v>
      </c>
      <c r="D21" s="60" t="s">
        <v>9395</v>
      </c>
      <c r="E21" s="60" t="s">
        <v>9396</v>
      </c>
      <c r="F21" s="60" t="s">
        <v>9397</v>
      </c>
      <c r="G21" s="60" t="s">
        <v>9398</v>
      </c>
      <c r="H21" s="60" t="s">
        <v>9399</v>
      </c>
      <c r="I21" s="60" t="s">
        <v>9400</v>
      </c>
      <c r="J21" s="60" t="s">
        <v>9401</v>
      </c>
      <c r="K21" s="60" t="s">
        <v>9402</v>
      </c>
      <c r="L21" s="60" t="s">
        <v>9403</v>
      </c>
      <c r="M21" s="60" t="s">
        <v>9404</v>
      </c>
      <c r="N21" s="60" t="s">
        <v>9405</v>
      </c>
      <c r="O21" s="60" t="s">
        <v>9406</v>
      </c>
      <c r="P21" s="60" t="s">
        <v>9407</v>
      </c>
      <c r="Q21" s="60" t="s">
        <v>9408</v>
      </c>
      <c r="R21" s="60" t="s">
        <v>9409</v>
      </c>
      <c r="S21" s="60" t="s">
        <v>9410</v>
      </c>
      <c r="T21" s="60" t="s">
        <v>9403</v>
      </c>
      <c r="U21" s="60" t="s">
        <v>9411</v>
      </c>
      <c r="V21" s="60" t="s">
        <v>9412</v>
      </c>
      <c r="W21" s="60" t="s">
        <v>9413</v>
      </c>
      <c r="X21" s="60" t="s">
        <v>9414</v>
      </c>
      <c r="Y21" s="60" t="s">
        <v>9415</v>
      </c>
      <c r="Z21" s="60" t="s">
        <v>9416</v>
      </c>
      <c r="AA21" s="60" t="s">
        <v>9414</v>
      </c>
      <c r="AB21" s="60" t="s">
        <v>9405</v>
      </c>
      <c r="AC21" s="60" t="s">
        <v>9417</v>
      </c>
      <c r="AD21" s="19"/>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row>
    <row r="22">
      <c r="A22" s="59" t="s">
        <v>9418</v>
      </c>
      <c r="B22" s="60" t="s">
        <v>9419</v>
      </c>
      <c r="C22" s="61" t="s">
        <v>9420</v>
      </c>
      <c r="D22" s="60" t="s">
        <v>9421</v>
      </c>
      <c r="E22" s="60" t="s">
        <v>9422</v>
      </c>
      <c r="F22" s="60" t="s">
        <v>9423</v>
      </c>
      <c r="G22" s="60" t="s">
        <v>9424</v>
      </c>
      <c r="H22" s="60" t="s">
        <v>9425</v>
      </c>
      <c r="I22" s="60" t="s">
        <v>9426</v>
      </c>
      <c r="J22" s="60" t="s">
        <v>9427</v>
      </c>
      <c r="K22" s="60" t="s">
        <v>9428</v>
      </c>
      <c r="L22" s="60" t="s">
        <v>9429</v>
      </c>
      <c r="M22" s="60" t="s">
        <v>9430</v>
      </c>
      <c r="N22" s="60" t="s">
        <v>9431</v>
      </c>
      <c r="O22" s="60" t="s">
        <v>9432</v>
      </c>
      <c r="P22" s="60" t="s">
        <v>9433</v>
      </c>
      <c r="Q22" s="60" t="s">
        <v>9434</v>
      </c>
      <c r="R22" s="60" t="s">
        <v>9435</v>
      </c>
      <c r="S22" s="60" t="s">
        <v>9436</v>
      </c>
      <c r="T22" s="60" t="s">
        <v>9437</v>
      </c>
      <c r="U22" s="60" t="s">
        <v>9438</v>
      </c>
      <c r="V22" s="60" t="s">
        <v>9439</v>
      </c>
      <c r="W22" s="60" t="s">
        <v>9440</v>
      </c>
      <c r="X22" s="60" t="s">
        <v>9441</v>
      </c>
      <c r="Y22" s="60" t="s">
        <v>9442</v>
      </c>
      <c r="Z22" s="60" t="s">
        <v>9443</v>
      </c>
      <c r="AA22" s="60" t="s">
        <v>9444</v>
      </c>
      <c r="AB22" s="60" t="s">
        <v>9445</v>
      </c>
      <c r="AC22" s="60" t="s">
        <v>9446</v>
      </c>
      <c r="AD22" s="19"/>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row>
    <row r="23">
      <c r="A23" s="59" t="s">
        <v>9447</v>
      </c>
      <c r="B23" s="60" t="s">
        <v>9448</v>
      </c>
      <c r="C23" s="61" t="s">
        <v>9449</v>
      </c>
      <c r="D23" s="60" t="s">
        <v>9450</v>
      </c>
      <c r="E23" s="60" t="s">
        <v>9451</v>
      </c>
      <c r="F23" s="60" t="s">
        <v>9452</v>
      </c>
      <c r="G23" s="60" t="s">
        <v>9453</v>
      </c>
      <c r="H23" s="60" t="s">
        <v>9454</v>
      </c>
      <c r="I23" s="60" t="s">
        <v>9455</v>
      </c>
      <c r="J23" s="60" t="s">
        <v>9456</v>
      </c>
      <c r="K23" s="60" t="s">
        <v>9457</v>
      </c>
      <c r="L23" s="60" t="s">
        <v>9458</v>
      </c>
      <c r="M23" s="60" t="s">
        <v>9459</v>
      </c>
      <c r="N23" s="60" t="s">
        <v>9460</v>
      </c>
      <c r="O23" s="60" t="s">
        <v>9461</v>
      </c>
      <c r="P23" s="60" t="s">
        <v>9462</v>
      </c>
      <c r="Q23" s="60" t="s">
        <v>9463</v>
      </c>
      <c r="R23" s="60" t="s">
        <v>9464</v>
      </c>
      <c r="S23" s="60" t="s">
        <v>9465</v>
      </c>
      <c r="T23" s="60" t="s">
        <v>9466</v>
      </c>
      <c r="U23" s="60" t="s">
        <v>9467</v>
      </c>
      <c r="V23" s="60" t="s">
        <v>9468</v>
      </c>
      <c r="W23" s="60" t="s">
        <v>9469</v>
      </c>
      <c r="X23" s="60" t="s">
        <v>9470</v>
      </c>
      <c r="Y23" s="60" t="s">
        <v>9471</v>
      </c>
      <c r="Z23" s="60" t="s">
        <v>9472</v>
      </c>
      <c r="AA23" s="60" t="s">
        <v>9473</v>
      </c>
      <c r="AB23" s="60" t="s">
        <v>9474</v>
      </c>
      <c r="AC23" s="60" t="s">
        <v>9475</v>
      </c>
      <c r="AD23" s="19"/>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row>
    <row r="24">
      <c r="A24" s="59" t="s">
        <v>9476</v>
      </c>
      <c r="B24" s="60" t="s">
        <v>9477</v>
      </c>
      <c r="C24" s="61" t="s">
        <v>9478</v>
      </c>
      <c r="D24" s="60" t="s">
        <v>9479</v>
      </c>
      <c r="E24" s="60" t="s">
        <v>9480</v>
      </c>
      <c r="F24" s="60" t="s">
        <v>9481</v>
      </c>
      <c r="G24" s="60" t="s">
        <v>9482</v>
      </c>
      <c r="H24" s="60" t="s">
        <v>9483</v>
      </c>
      <c r="I24" s="60" t="s">
        <v>9484</v>
      </c>
      <c r="J24" s="60" t="s">
        <v>9485</v>
      </c>
      <c r="K24" s="60" t="s">
        <v>9486</v>
      </c>
      <c r="L24" s="60" t="s">
        <v>9487</v>
      </c>
      <c r="M24" s="60" t="s">
        <v>9488</v>
      </c>
      <c r="N24" s="60" t="s">
        <v>9489</v>
      </c>
      <c r="O24" s="60" t="s">
        <v>9490</v>
      </c>
      <c r="P24" s="60" t="s">
        <v>9491</v>
      </c>
      <c r="Q24" s="60" t="s">
        <v>9492</v>
      </c>
      <c r="R24" s="60" t="s">
        <v>9493</v>
      </c>
      <c r="S24" s="60" t="s">
        <v>9494</v>
      </c>
      <c r="T24" s="60" t="s">
        <v>9487</v>
      </c>
      <c r="U24" s="60" t="s">
        <v>9495</v>
      </c>
      <c r="V24" s="60" t="s">
        <v>9496</v>
      </c>
      <c r="W24" s="60" t="s">
        <v>9497</v>
      </c>
      <c r="X24" s="60" t="s">
        <v>9498</v>
      </c>
      <c r="Y24" s="60" t="s">
        <v>9499</v>
      </c>
      <c r="Z24" s="60" t="s">
        <v>9500</v>
      </c>
      <c r="AA24" s="60" t="s">
        <v>9501</v>
      </c>
      <c r="AB24" s="60" t="s">
        <v>9502</v>
      </c>
      <c r="AC24" s="60" t="s">
        <v>9503</v>
      </c>
      <c r="AD24" s="19"/>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row>
    <row r="25">
      <c r="A25" s="59" t="s">
        <v>719</v>
      </c>
      <c r="B25" s="60" t="s">
        <v>720</v>
      </c>
      <c r="C25" s="61" t="s">
        <v>721</v>
      </c>
      <c r="D25" s="60" t="s">
        <v>722</v>
      </c>
      <c r="E25" s="60" t="s">
        <v>723</v>
      </c>
      <c r="F25" s="60" t="s">
        <v>724</v>
      </c>
      <c r="G25" s="60" t="s">
        <v>725</v>
      </c>
      <c r="H25" s="60" t="s">
        <v>726</v>
      </c>
      <c r="I25" s="60" t="s">
        <v>727</v>
      </c>
      <c r="J25" s="60" t="s">
        <v>720</v>
      </c>
      <c r="K25" s="60" t="s">
        <v>728</v>
      </c>
      <c r="L25" s="60" t="s">
        <v>729</v>
      </c>
      <c r="M25" s="60" t="s">
        <v>730</v>
      </c>
      <c r="N25" s="60" t="s">
        <v>731</v>
      </c>
      <c r="O25" s="60" t="s">
        <v>732</v>
      </c>
      <c r="P25" s="60" t="s">
        <v>733</v>
      </c>
      <c r="Q25" s="60" t="s">
        <v>734</v>
      </c>
      <c r="R25" s="60" t="s">
        <v>735</v>
      </c>
      <c r="S25" s="60" t="s">
        <v>736</v>
      </c>
      <c r="T25" s="60" t="s">
        <v>737</v>
      </c>
      <c r="U25" s="60" t="s">
        <v>738</v>
      </c>
      <c r="V25" s="60" t="s">
        <v>739</v>
      </c>
      <c r="W25" s="60" t="s">
        <v>740</v>
      </c>
      <c r="X25" s="60" t="s">
        <v>741</v>
      </c>
      <c r="Y25" s="60" t="s">
        <v>742</v>
      </c>
      <c r="Z25" s="60" t="s">
        <v>743</v>
      </c>
      <c r="AA25" s="60" t="s">
        <v>744</v>
      </c>
      <c r="AB25" s="60" t="s">
        <v>745</v>
      </c>
      <c r="AC25" s="60" t="s">
        <v>746</v>
      </c>
      <c r="AD25" s="19"/>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row>
    <row r="26">
      <c r="A26" s="59" t="s">
        <v>9504</v>
      </c>
      <c r="B26" s="60" t="s">
        <v>9505</v>
      </c>
      <c r="C26" s="61" t="s">
        <v>9506</v>
      </c>
      <c r="D26" s="60" t="s">
        <v>9507</v>
      </c>
      <c r="E26" s="60" t="s">
        <v>9505</v>
      </c>
      <c r="F26" s="60" t="s">
        <v>9508</v>
      </c>
      <c r="G26" s="60" t="s">
        <v>9509</v>
      </c>
      <c r="H26" s="60" t="s">
        <v>9510</v>
      </c>
      <c r="I26" s="60" t="s">
        <v>9511</v>
      </c>
      <c r="J26" s="60" t="s">
        <v>9512</v>
      </c>
      <c r="K26" s="60" t="s">
        <v>9513</v>
      </c>
      <c r="L26" s="60" t="s">
        <v>9514</v>
      </c>
      <c r="M26" s="60" t="s">
        <v>9515</v>
      </c>
      <c r="N26" s="60" t="s">
        <v>9516</v>
      </c>
      <c r="O26" s="60" t="s">
        <v>9517</v>
      </c>
      <c r="P26" s="60" t="s">
        <v>9518</v>
      </c>
      <c r="Q26" s="60" t="s">
        <v>9519</v>
      </c>
      <c r="R26" s="60" t="s">
        <v>9520</v>
      </c>
      <c r="S26" s="60" t="s">
        <v>9521</v>
      </c>
      <c r="T26" s="60" t="s">
        <v>9522</v>
      </c>
      <c r="U26" s="60" t="s">
        <v>9523</v>
      </c>
      <c r="V26" s="60" t="s">
        <v>9524</v>
      </c>
      <c r="W26" s="60" t="s">
        <v>9525</v>
      </c>
      <c r="X26" s="60" t="s">
        <v>9526</v>
      </c>
      <c r="Y26" s="60" t="s">
        <v>9527</v>
      </c>
      <c r="Z26" s="60" t="s">
        <v>9528</v>
      </c>
      <c r="AA26" s="60" t="s">
        <v>9529</v>
      </c>
      <c r="AB26" s="60" t="s">
        <v>9530</v>
      </c>
      <c r="AC26" s="60" t="s">
        <v>9531</v>
      </c>
      <c r="AD26" s="19"/>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row>
    <row r="27">
      <c r="A27" s="59" t="s">
        <v>9532</v>
      </c>
      <c r="B27" s="60" t="s">
        <v>9533</v>
      </c>
      <c r="C27" s="61" t="s">
        <v>9534</v>
      </c>
      <c r="D27" s="60" t="s">
        <v>9535</v>
      </c>
      <c r="E27" s="60" t="s">
        <v>9536</v>
      </c>
      <c r="F27" s="60" t="s">
        <v>9537</v>
      </c>
      <c r="G27" s="60" t="s">
        <v>9538</v>
      </c>
      <c r="H27" s="60" t="s">
        <v>9539</v>
      </c>
      <c r="I27" s="60" t="s">
        <v>9540</v>
      </c>
      <c r="J27" s="60" t="s">
        <v>9541</v>
      </c>
      <c r="K27" s="60" t="s">
        <v>9542</v>
      </c>
      <c r="L27" s="60" t="s">
        <v>9543</v>
      </c>
      <c r="M27" s="60" t="s">
        <v>9544</v>
      </c>
      <c r="N27" s="60" t="s">
        <v>9545</v>
      </c>
      <c r="O27" s="60" t="s">
        <v>9546</v>
      </c>
      <c r="P27" s="60" t="s">
        <v>9547</v>
      </c>
      <c r="Q27" s="60" t="s">
        <v>9548</v>
      </c>
      <c r="R27" s="60" t="s">
        <v>9549</v>
      </c>
      <c r="S27" s="60" t="s">
        <v>9550</v>
      </c>
      <c r="T27" s="60" t="s">
        <v>9551</v>
      </c>
      <c r="U27" s="60" t="s">
        <v>9552</v>
      </c>
      <c r="V27" s="60" t="s">
        <v>9553</v>
      </c>
      <c r="W27" s="60" t="s">
        <v>9554</v>
      </c>
      <c r="X27" s="60" t="s">
        <v>9555</v>
      </c>
      <c r="Y27" s="60" t="s">
        <v>9556</v>
      </c>
      <c r="Z27" s="60" t="s">
        <v>9557</v>
      </c>
      <c r="AA27" s="60" t="s">
        <v>9558</v>
      </c>
      <c r="AB27" s="60" t="s">
        <v>9559</v>
      </c>
      <c r="AC27" s="60" t="s">
        <v>9560</v>
      </c>
      <c r="AD27" s="19"/>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row>
    <row r="28">
      <c r="A28" s="59" t="s">
        <v>9561</v>
      </c>
      <c r="B28" s="60" t="s">
        <v>9562</v>
      </c>
      <c r="C28" s="61" t="s">
        <v>9563</v>
      </c>
      <c r="D28" s="60" t="s">
        <v>9564</v>
      </c>
      <c r="E28" s="60" t="s">
        <v>9565</v>
      </c>
      <c r="F28" s="60" t="s">
        <v>9566</v>
      </c>
      <c r="G28" s="60" t="s">
        <v>9567</v>
      </c>
      <c r="H28" s="60" t="s">
        <v>9568</v>
      </c>
      <c r="I28" s="60" t="s">
        <v>9569</v>
      </c>
      <c r="J28" s="60" t="s">
        <v>9570</v>
      </c>
      <c r="K28" s="60" t="s">
        <v>9571</v>
      </c>
      <c r="L28" s="60" t="s">
        <v>9572</v>
      </c>
      <c r="M28" s="60" t="s">
        <v>9573</v>
      </c>
      <c r="N28" s="60" t="s">
        <v>9574</v>
      </c>
      <c r="O28" s="60" t="s">
        <v>9575</v>
      </c>
      <c r="P28" s="60" t="s">
        <v>9576</v>
      </c>
      <c r="Q28" s="60" t="s">
        <v>9577</v>
      </c>
      <c r="R28" s="60" t="s">
        <v>9578</v>
      </c>
      <c r="S28" s="60" t="s">
        <v>9579</v>
      </c>
      <c r="T28" s="60" t="s">
        <v>9572</v>
      </c>
      <c r="U28" s="60" t="s">
        <v>9580</v>
      </c>
      <c r="V28" s="60" t="s">
        <v>9581</v>
      </c>
      <c r="W28" s="60" t="s">
        <v>9582</v>
      </c>
      <c r="X28" s="60" t="s">
        <v>9583</v>
      </c>
      <c r="Y28" s="60" t="s">
        <v>9584</v>
      </c>
      <c r="Z28" s="60" t="s">
        <v>9585</v>
      </c>
      <c r="AA28" s="60" t="s">
        <v>9583</v>
      </c>
      <c r="AB28" s="60" t="s">
        <v>9586</v>
      </c>
      <c r="AC28" s="60" t="s">
        <v>9587</v>
      </c>
      <c r="AD28" s="19"/>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row>
    <row r="29">
      <c r="A29" s="59" t="s">
        <v>9588</v>
      </c>
      <c r="B29" s="60" t="s">
        <v>9589</v>
      </c>
      <c r="C29" s="61" t="s">
        <v>9590</v>
      </c>
      <c r="D29" s="60" t="s">
        <v>9591</v>
      </c>
      <c r="E29" s="60" t="s">
        <v>9592</v>
      </c>
      <c r="F29" s="60" t="s">
        <v>9593</v>
      </c>
      <c r="G29" s="60" t="s">
        <v>9594</v>
      </c>
      <c r="H29" s="60" t="s">
        <v>9595</v>
      </c>
      <c r="I29" s="60" t="s">
        <v>9596</v>
      </c>
      <c r="J29" s="60" t="s">
        <v>9597</v>
      </c>
      <c r="K29" s="60" t="s">
        <v>9598</v>
      </c>
      <c r="L29" s="60" t="s">
        <v>9599</v>
      </c>
      <c r="M29" s="60" t="s">
        <v>9600</v>
      </c>
      <c r="N29" s="60" t="s">
        <v>9601</v>
      </c>
      <c r="O29" s="60" t="s">
        <v>9602</v>
      </c>
      <c r="P29" s="60" t="s">
        <v>9603</v>
      </c>
      <c r="Q29" s="60" t="s">
        <v>9604</v>
      </c>
      <c r="R29" s="60" t="s">
        <v>9605</v>
      </c>
      <c r="S29" s="60" t="s">
        <v>9606</v>
      </c>
      <c r="T29" s="60" t="s">
        <v>9607</v>
      </c>
      <c r="U29" s="60" t="s">
        <v>9608</v>
      </c>
      <c r="V29" s="60" t="s">
        <v>9609</v>
      </c>
      <c r="W29" s="60" t="s">
        <v>9610</v>
      </c>
      <c r="X29" s="60" t="s">
        <v>9611</v>
      </c>
      <c r="Y29" s="60" t="s">
        <v>9612</v>
      </c>
      <c r="Z29" s="60" t="s">
        <v>9613</v>
      </c>
      <c r="AA29" s="60" t="s">
        <v>9614</v>
      </c>
      <c r="AB29" s="60" t="s">
        <v>9615</v>
      </c>
      <c r="AC29" s="60" t="s">
        <v>9616</v>
      </c>
      <c r="AD29" s="19"/>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row>
    <row r="30">
      <c r="A30" s="59" t="s">
        <v>9617</v>
      </c>
      <c r="B30" s="60" t="s">
        <v>9618</v>
      </c>
      <c r="C30" s="61" t="s">
        <v>9619</v>
      </c>
      <c r="D30" s="60" t="s">
        <v>9620</v>
      </c>
      <c r="E30" s="60" t="s">
        <v>9621</v>
      </c>
      <c r="F30" s="60" t="s">
        <v>9622</v>
      </c>
      <c r="G30" s="60" t="s">
        <v>9623</v>
      </c>
      <c r="H30" s="60" t="s">
        <v>9624</v>
      </c>
      <c r="I30" s="60" t="s">
        <v>9625</v>
      </c>
      <c r="J30" s="60" t="s">
        <v>9626</v>
      </c>
      <c r="K30" s="60" t="s">
        <v>9627</v>
      </c>
      <c r="L30" s="60" t="s">
        <v>9628</v>
      </c>
      <c r="M30" s="60" t="s">
        <v>9629</v>
      </c>
      <c r="N30" s="60" t="s">
        <v>9630</v>
      </c>
      <c r="O30" s="60" t="s">
        <v>9631</v>
      </c>
      <c r="P30" s="60" t="s">
        <v>9632</v>
      </c>
      <c r="Q30" s="60" t="s">
        <v>9633</v>
      </c>
      <c r="R30" s="60" t="s">
        <v>9634</v>
      </c>
      <c r="S30" s="60" t="s">
        <v>9635</v>
      </c>
      <c r="T30" s="60" t="s">
        <v>9636</v>
      </c>
      <c r="U30" s="60" t="s">
        <v>9637</v>
      </c>
      <c r="V30" s="60" t="s">
        <v>9638</v>
      </c>
      <c r="W30" s="60" t="s">
        <v>9623</v>
      </c>
      <c r="X30" s="60" t="s">
        <v>9639</v>
      </c>
      <c r="Y30" s="60" t="s">
        <v>9640</v>
      </c>
      <c r="Z30" s="60" t="s">
        <v>9641</v>
      </c>
      <c r="AA30" s="60" t="s">
        <v>9642</v>
      </c>
      <c r="AB30" s="60" t="s">
        <v>9643</v>
      </c>
      <c r="AC30" s="60" t="s">
        <v>9644</v>
      </c>
      <c r="AD30" s="19"/>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row>
    <row r="31">
      <c r="A31" s="59" t="s">
        <v>9645</v>
      </c>
      <c r="B31" s="60" t="s">
        <v>9646</v>
      </c>
      <c r="C31" s="61" t="s">
        <v>9647</v>
      </c>
      <c r="D31" s="60" t="s">
        <v>9648</v>
      </c>
      <c r="E31" s="60" t="s">
        <v>9649</v>
      </c>
      <c r="F31" s="60" t="s">
        <v>9650</v>
      </c>
      <c r="G31" s="60" t="s">
        <v>9651</v>
      </c>
      <c r="H31" s="60" t="s">
        <v>9649</v>
      </c>
      <c r="I31" s="60" t="s">
        <v>9652</v>
      </c>
      <c r="J31" s="60" t="s">
        <v>9646</v>
      </c>
      <c r="K31" s="60" t="s">
        <v>9653</v>
      </c>
      <c r="L31" s="60" t="s">
        <v>9654</v>
      </c>
      <c r="M31" s="60" t="s">
        <v>9655</v>
      </c>
      <c r="N31" s="60" t="s">
        <v>9656</v>
      </c>
      <c r="O31" s="60" t="s">
        <v>9657</v>
      </c>
      <c r="P31" s="60" t="s">
        <v>9658</v>
      </c>
      <c r="Q31" s="60" t="s">
        <v>9659</v>
      </c>
      <c r="R31" s="60" t="s">
        <v>9660</v>
      </c>
      <c r="S31" s="60" t="s">
        <v>9661</v>
      </c>
      <c r="T31" s="60" t="s">
        <v>9654</v>
      </c>
      <c r="U31" s="60" t="s">
        <v>9646</v>
      </c>
      <c r="V31" s="60" t="s">
        <v>9662</v>
      </c>
      <c r="W31" s="60" t="s">
        <v>9651</v>
      </c>
      <c r="X31" s="60" t="s">
        <v>9663</v>
      </c>
      <c r="Y31" s="60" t="s">
        <v>9664</v>
      </c>
      <c r="Z31" s="60" t="s">
        <v>9665</v>
      </c>
      <c r="AA31" s="60" t="s">
        <v>9663</v>
      </c>
      <c r="AB31" s="60" t="s">
        <v>9666</v>
      </c>
      <c r="AC31" s="60" t="s">
        <v>9667</v>
      </c>
      <c r="AD31" s="19"/>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row>
    <row r="32">
      <c r="A32" s="59" t="s">
        <v>9668</v>
      </c>
      <c r="B32" s="60" t="s">
        <v>5160</v>
      </c>
      <c r="C32" s="61" t="s">
        <v>5161</v>
      </c>
      <c r="D32" s="60" t="s">
        <v>5162</v>
      </c>
      <c r="E32" s="60" t="s">
        <v>5163</v>
      </c>
      <c r="F32" s="60" t="s">
        <v>5164</v>
      </c>
      <c r="G32" s="60" t="s">
        <v>5165</v>
      </c>
      <c r="H32" s="60" t="s">
        <v>5166</v>
      </c>
      <c r="I32" s="60" t="s">
        <v>5167</v>
      </c>
      <c r="J32" s="60" t="s">
        <v>5168</v>
      </c>
      <c r="K32" s="60" t="s">
        <v>5169</v>
      </c>
      <c r="L32" s="60" t="s">
        <v>5170</v>
      </c>
      <c r="M32" s="60" t="s">
        <v>5171</v>
      </c>
      <c r="N32" s="60" t="s">
        <v>5172</v>
      </c>
      <c r="O32" s="60" t="s">
        <v>5173</v>
      </c>
      <c r="P32" s="60" t="s">
        <v>5174</v>
      </c>
      <c r="Q32" s="60" t="s">
        <v>5175</v>
      </c>
      <c r="R32" s="60" t="s">
        <v>5176</v>
      </c>
      <c r="S32" s="60" t="s">
        <v>5177</v>
      </c>
      <c r="T32" s="60" t="s">
        <v>5178</v>
      </c>
      <c r="U32" s="60" t="s">
        <v>5179</v>
      </c>
      <c r="V32" s="60" t="s">
        <v>5180</v>
      </c>
      <c r="W32" s="60" t="s">
        <v>5181</v>
      </c>
      <c r="X32" s="60" t="s">
        <v>5182</v>
      </c>
      <c r="Y32" s="60" t="s">
        <v>5183</v>
      </c>
      <c r="Z32" s="60" t="s">
        <v>5184</v>
      </c>
      <c r="AA32" s="60" t="s">
        <v>5185</v>
      </c>
      <c r="AB32" s="60" t="s">
        <v>5186</v>
      </c>
      <c r="AC32" s="60" t="s">
        <v>5187</v>
      </c>
      <c r="AD32" s="19"/>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row>
    <row r="33">
      <c r="A33" s="59" t="s">
        <v>9669</v>
      </c>
      <c r="B33" s="60" t="s">
        <v>9670</v>
      </c>
      <c r="C33" s="61" t="s">
        <v>9671</v>
      </c>
      <c r="D33" s="60" t="s">
        <v>9672</v>
      </c>
      <c r="E33" s="60" t="s">
        <v>9673</v>
      </c>
      <c r="F33" s="60" t="s">
        <v>9674</v>
      </c>
      <c r="G33" s="60" t="s">
        <v>9675</v>
      </c>
      <c r="H33" s="60" t="s">
        <v>9676</v>
      </c>
      <c r="I33" s="60" t="s">
        <v>9677</v>
      </c>
      <c r="J33" s="60" t="s">
        <v>9673</v>
      </c>
      <c r="K33" s="60" t="s">
        <v>9678</v>
      </c>
      <c r="L33" s="60" t="s">
        <v>9679</v>
      </c>
      <c r="M33" s="60" t="s">
        <v>9680</v>
      </c>
      <c r="N33" s="60" t="s">
        <v>9681</v>
      </c>
      <c r="O33" s="60" t="s">
        <v>9682</v>
      </c>
      <c r="P33" s="60" t="s">
        <v>9683</v>
      </c>
      <c r="Q33" s="60" t="s">
        <v>9684</v>
      </c>
      <c r="R33" s="60" t="s">
        <v>9685</v>
      </c>
      <c r="S33" s="60" t="s">
        <v>9686</v>
      </c>
      <c r="T33" s="60" t="s">
        <v>9687</v>
      </c>
      <c r="U33" s="60" t="s">
        <v>9688</v>
      </c>
      <c r="V33" s="60" t="s">
        <v>9689</v>
      </c>
      <c r="W33" s="60" t="s">
        <v>9690</v>
      </c>
      <c r="X33" s="60" t="s">
        <v>9691</v>
      </c>
      <c r="Y33" s="60" t="s">
        <v>9692</v>
      </c>
      <c r="Z33" s="60" t="s">
        <v>9693</v>
      </c>
      <c r="AA33" s="60" t="s">
        <v>9694</v>
      </c>
      <c r="AB33" s="60" t="s">
        <v>9681</v>
      </c>
      <c r="AC33" s="60" t="s">
        <v>9695</v>
      </c>
      <c r="AD33" s="19"/>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row>
    <row r="34">
      <c r="A34" s="59" t="s">
        <v>9696</v>
      </c>
      <c r="B34" s="60" t="s">
        <v>9697</v>
      </c>
      <c r="C34" s="61" t="s">
        <v>9698</v>
      </c>
      <c r="D34" s="60" t="s">
        <v>9699</v>
      </c>
      <c r="E34" s="60" t="s">
        <v>9700</v>
      </c>
      <c r="F34" s="60" t="s">
        <v>9701</v>
      </c>
      <c r="G34" s="60" t="s">
        <v>9702</v>
      </c>
      <c r="H34" s="60" t="s">
        <v>9703</v>
      </c>
      <c r="I34" s="60" t="s">
        <v>9704</v>
      </c>
      <c r="J34" s="60" t="s">
        <v>9705</v>
      </c>
      <c r="K34" s="60" t="s">
        <v>9706</v>
      </c>
      <c r="L34" s="60" t="s">
        <v>9707</v>
      </c>
      <c r="M34" s="60" t="s">
        <v>9708</v>
      </c>
      <c r="N34" s="60" t="s">
        <v>9709</v>
      </c>
      <c r="O34" s="60" t="s">
        <v>9710</v>
      </c>
      <c r="P34" s="60" t="s">
        <v>9711</v>
      </c>
      <c r="Q34" s="60" t="s">
        <v>9712</v>
      </c>
      <c r="R34" s="60" t="s">
        <v>9713</v>
      </c>
      <c r="S34" s="60" t="s">
        <v>9714</v>
      </c>
      <c r="T34" s="60" t="s">
        <v>9715</v>
      </c>
      <c r="U34" s="60" t="s">
        <v>9716</v>
      </c>
      <c r="V34" s="60" t="s">
        <v>9717</v>
      </c>
      <c r="W34" s="60" t="s">
        <v>9718</v>
      </c>
      <c r="X34" s="60" t="s">
        <v>9719</v>
      </c>
      <c r="Y34" s="60" t="s">
        <v>9720</v>
      </c>
      <c r="Z34" s="60" t="s">
        <v>9721</v>
      </c>
      <c r="AA34" s="60" t="s">
        <v>9722</v>
      </c>
      <c r="AB34" s="60" t="s">
        <v>9709</v>
      </c>
      <c r="AC34" s="60" t="s">
        <v>9723</v>
      </c>
      <c r="AD34" s="19"/>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row>
    <row r="35">
      <c r="A35" s="59" t="s">
        <v>9724</v>
      </c>
      <c r="B35" s="60" t="s">
        <v>9725</v>
      </c>
      <c r="C35" s="61" t="s">
        <v>9726</v>
      </c>
      <c r="D35" s="60" t="s">
        <v>9727</v>
      </c>
      <c r="E35" s="60" t="s">
        <v>9728</v>
      </c>
      <c r="F35" s="60" t="s">
        <v>9729</v>
      </c>
      <c r="G35" s="60" t="s">
        <v>9730</v>
      </c>
      <c r="H35" s="60" t="s">
        <v>9731</v>
      </c>
      <c r="I35" s="60" t="s">
        <v>9732</v>
      </c>
      <c r="J35" s="60" t="s">
        <v>9733</v>
      </c>
      <c r="K35" s="60" t="s">
        <v>9734</v>
      </c>
      <c r="L35" s="60" t="s">
        <v>9735</v>
      </c>
      <c r="M35" s="60" t="s">
        <v>9736</v>
      </c>
      <c r="N35" s="60" t="s">
        <v>9737</v>
      </c>
      <c r="O35" s="60" t="s">
        <v>9738</v>
      </c>
      <c r="P35" s="60" t="s">
        <v>9739</v>
      </c>
      <c r="Q35" s="60" t="s">
        <v>9740</v>
      </c>
      <c r="R35" s="60" t="s">
        <v>9741</v>
      </c>
      <c r="S35" s="60" t="s">
        <v>9742</v>
      </c>
      <c r="T35" s="60" t="s">
        <v>9743</v>
      </c>
      <c r="U35" s="60" t="s">
        <v>9744</v>
      </c>
      <c r="V35" s="60" t="s">
        <v>9745</v>
      </c>
      <c r="W35" s="60" t="s">
        <v>9730</v>
      </c>
      <c r="X35" s="60" t="s">
        <v>9746</v>
      </c>
      <c r="Y35" s="60" t="s">
        <v>9747</v>
      </c>
      <c r="Z35" s="60" t="s">
        <v>9748</v>
      </c>
      <c r="AA35" s="60" t="s">
        <v>9749</v>
      </c>
      <c r="AB35" s="60" t="s">
        <v>9750</v>
      </c>
      <c r="AC35" s="60" t="s">
        <v>9751</v>
      </c>
      <c r="AD35" s="19"/>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row>
    <row r="36">
      <c r="A36" s="59" t="s">
        <v>9752</v>
      </c>
      <c r="B36" s="60" t="s">
        <v>9753</v>
      </c>
      <c r="C36" s="61" t="s">
        <v>9754</v>
      </c>
      <c r="D36" s="60" t="s">
        <v>9755</v>
      </c>
      <c r="E36" s="60" t="s">
        <v>9756</v>
      </c>
      <c r="F36" s="60" t="s">
        <v>9757</v>
      </c>
      <c r="G36" s="60" t="s">
        <v>9758</v>
      </c>
      <c r="H36" s="60" t="s">
        <v>9759</v>
      </c>
      <c r="I36" s="60" t="s">
        <v>9760</v>
      </c>
      <c r="J36" s="60" t="s">
        <v>9761</v>
      </c>
      <c r="K36" s="60" t="s">
        <v>9762</v>
      </c>
      <c r="L36" s="60" t="s">
        <v>9763</v>
      </c>
      <c r="M36" s="60" t="s">
        <v>9764</v>
      </c>
      <c r="N36" s="60" t="s">
        <v>9765</v>
      </c>
      <c r="O36" s="60" t="s">
        <v>9766</v>
      </c>
      <c r="P36" s="60" t="s">
        <v>9767</v>
      </c>
      <c r="Q36" s="60" t="s">
        <v>9768</v>
      </c>
      <c r="R36" s="60" t="s">
        <v>9769</v>
      </c>
      <c r="S36" s="60" t="s">
        <v>9770</v>
      </c>
      <c r="T36" s="60" t="s">
        <v>9763</v>
      </c>
      <c r="U36" s="60" t="s">
        <v>9771</v>
      </c>
      <c r="V36" s="60" t="s">
        <v>9772</v>
      </c>
      <c r="W36" s="60" t="s">
        <v>9773</v>
      </c>
      <c r="X36" s="60" t="s">
        <v>9774</v>
      </c>
      <c r="Y36" s="60" t="s">
        <v>9775</v>
      </c>
      <c r="Z36" s="60" t="s">
        <v>9776</v>
      </c>
      <c r="AA36" s="60" t="s">
        <v>9777</v>
      </c>
      <c r="AB36" s="60" t="s">
        <v>9778</v>
      </c>
      <c r="AC36" s="60" t="s">
        <v>9779</v>
      </c>
      <c r="AD36" s="19"/>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row>
    <row r="37">
      <c r="A37" s="59" t="s">
        <v>9780</v>
      </c>
      <c r="B37" s="60" t="s">
        <v>9781</v>
      </c>
      <c r="C37" s="61" t="s">
        <v>9782</v>
      </c>
      <c r="D37" s="60" t="s">
        <v>9783</v>
      </c>
      <c r="E37" s="60" t="s">
        <v>9784</v>
      </c>
      <c r="F37" s="60" t="s">
        <v>9785</v>
      </c>
      <c r="G37" s="60" t="s">
        <v>9786</v>
      </c>
      <c r="H37" s="60" t="s">
        <v>9787</v>
      </c>
      <c r="I37" s="60" t="s">
        <v>9788</v>
      </c>
      <c r="J37" s="60" t="s">
        <v>9789</v>
      </c>
      <c r="K37" s="60" t="s">
        <v>9790</v>
      </c>
      <c r="L37" s="60" t="s">
        <v>9791</v>
      </c>
      <c r="M37" s="60" t="s">
        <v>9792</v>
      </c>
      <c r="N37" s="60" t="s">
        <v>9793</v>
      </c>
      <c r="O37" s="60" t="s">
        <v>9794</v>
      </c>
      <c r="P37" s="60" t="s">
        <v>9795</v>
      </c>
      <c r="Q37" s="60" t="s">
        <v>9796</v>
      </c>
      <c r="R37" s="60" t="s">
        <v>9797</v>
      </c>
      <c r="S37" s="60" t="s">
        <v>9798</v>
      </c>
      <c r="T37" s="60" t="s">
        <v>9791</v>
      </c>
      <c r="U37" s="60" t="s">
        <v>9799</v>
      </c>
      <c r="V37" s="60" t="s">
        <v>9800</v>
      </c>
      <c r="W37" s="60" t="s">
        <v>9801</v>
      </c>
      <c r="X37" s="60" t="s">
        <v>9802</v>
      </c>
      <c r="Y37" s="60" t="s">
        <v>9803</v>
      </c>
      <c r="Z37" s="60" t="s">
        <v>9804</v>
      </c>
      <c r="AA37" s="60" t="s">
        <v>9805</v>
      </c>
      <c r="AB37" s="60" t="s">
        <v>9806</v>
      </c>
      <c r="AC37" s="60" t="s">
        <v>9807</v>
      </c>
      <c r="AD37" s="19"/>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row>
    <row r="38">
      <c r="A38" s="62" t="s">
        <v>9808</v>
      </c>
      <c r="B38" s="63" t="s">
        <v>9809</v>
      </c>
      <c r="C38" s="64" t="s">
        <v>9810</v>
      </c>
      <c r="D38" s="63" t="s">
        <v>9811</v>
      </c>
      <c r="E38" s="63" t="s">
        <v>9812</v>
      </c>
      <c r="F38" s="63" t="s">
        <v>9813</v>
      </c>
      <c r="G38" s="63" t="s">
        <v>9814</v>
      </c>
      <c r="H38" s="63" t="s">
        <v>9815</v>
      </c>
      <c r="I38" s="63" t="s">
        <v>9816</v>
      </c>
      <c r="J38" s="63" t="s">
        <v>9817</v>
      </c>
      <c r="K38" s="63" t="s">
        <v>9818</v>
      </c>
      <c r="L38" s="63" t="s">
        <v>9819</v>
      </c>
      <c r="M38" s="63" t="s">
        <v>9820</v>
      </c>
      <c r="N38" s="63" t="s">
        <v>9821</v>
      </c>
      <c r="O38" s="63" t="s">
        <v>9822</v>
      </c>
      <c r="P38" s="63" t="s">
        <v>9823</v>
      </c>
      <c r="Q38" s="63" t="s">
        <v>9824</v>
      </c>
      <c r="R38" s="63" t="s">
        <v>9825</v>
      </c>
      <c r="S38" s="63" t="s">
        <v>9826</v>
      </c>
      <c r="T38" s="63" t="s">
        <v>9827</v>
      </c>
      <c r="U38" s="63" t="s">
        <v>9828</v>
      </c>
      <c r="V38" s="63" t="s">
        <v>9829</v>
      </c>
      <c r="W38" s="63" t="s">
        <v>9830</v>
      </c>
      <c r="X38" s="63" t="s">
        <v>9831</v>
      </c>
      <c r="Y38" s="63" t="s">
        <v>9832</v>
      </c>
      <c r="Z38" s="63" t="s">
        <v>9833</v>
      </c>
      <c r="AA38" s="63" t="s">
        <v>9834</v>
      </c>
      <c r="AB38" s="63" t="s">
        <v>9835</v>
      </c>
      <c r="AC38" s="63" t="s">
        <v>9836</v>
      </c>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row>
    <row r="39">
      <c r="A39" s="62" t="s">
        <v>7234</v>
      </c>
      <c r="B39" s="63" t="s">
        <v>7235</v>
      </c>
      <c r="C39" s="64" t="s">
        <v>9837</v>
      </c>
      <c r="D39" s="63" t="s">
        <v>9838</v>
      </c>
      <c r="E39" s="63" t="s">
        <v>7238</v>
      </c>
      <c r="F39" s="63" t="s">
        <v>7239</v>
      </c>
      <c r="G39" s="63" t="s">
        <v>7240</v>
      </c>
      <c r="H39" s="63" t="s">
        <v>7241</v>
      </c>
      <c r="I39" s="63" t="s">
        <v>4885</v>
      </c>
      <c r="J39" s="63" t="s">
        <v>7243</v>
      </c>
      <c r="K39" s="63" t="s">
        <v>7244</v>
      </c>
      <c r="L39" s="63" t="s">
        <v>7245</v>
      </c>
      <c r="M39" s="63" t="s">
        <v>9839</v>
      </c>
      <c r="N39" s="63" t="s">
        <v>7247</v>
      </c>
      <c r="O39" s="63" t="s">
        <v>9840</v>
      </c>
      <c r="P39" s="63" t="s">
        <v>7249</v>
      </c>
      <c r="Q39" s="63" t="s">
        <v>7250</v>
      </c>
      <c r="R39" s="63" t="s">
        <v>9841</v>
      </c>
      <c r="S39" s="63" t="s">
        <v>9842</v>
      </c>
      <c r="T39" s="63" t="s">
        <v>7253</v>
      </c>
      <c r="U39" s="63" t="s">
        <v>7254</v>
      </c>
      <c r="V39" s="63" t="s">
        <v>7255</v>
      </c>
      <c r="W39" s="63" t="s">
        <v>9843</v>
      </c>
      <c r="X39" s="63" t="s">
        <v>9844</v>
      </c>
      <c r="Y39" s="63" t="s">
        <v>7258</v>
      </c>
      <c r="Z39" s="63" t="s">
        <v>9845</v>
      </c>
      <c r="AA39" s="63" t="s">
        <v>9846</v>
      </c>
      <c r="AB39" s="63" t="s">
        <v>7261</v>
      </c>
      <c r="AC39" s="63" t="s">
        <v>7262</v>
      </c>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row>
    <row r="40">
      <c r="A40" s="62" t="s">
        <v>9847</v>
      </c>
      <c r="B40" s="63" t="s">
        <v>9848</v>
      </c>
      <c r="C40" s="64" t="s">
        <v>9849</v>
      </c>
      <c r="D40" s="63" t="s">
        <v>9850</v>
      </c>
      <c r="E40" s="63" t="s">
        <v>9851</v>
      </c>
      <c r="F40" s="63" t="s">
        <v>9852</v>
      </c>
      <c r="G40" s="63" t="s">
        <v>9853</v>
      </c>
      <c r="H40" s="63" t="s">
        <v>9854</v>
      </c>
      <c r="I40" s="63" t="s">
        <v>9855</v>
      </c>
      <c r="J40" s="63" t="s">
        <v>9856</v>
      </c>
      <c r="K40" s="63" t="s">
        <v>9857</v>
      </c>
      <c r="L40" s="63" t="s">
        <v>9858</v>
      </c>
      <c r="M40" s="63" t="s">
        <v>9859</v>
      </c>
      <c r="N40" s="63" t="s">
        <v>9860</v>
      </c>
      <c r="O40" s="63" t="s">
        <v>9861</v>
      </c>
      <c r="P40" s="63" t="s">
        <v>9862</v>
      </c>
      <c r="Q40" s="63" t="s">
        <v>9863</v>
      </c>
      <c r="R40" s="63" t="s">
        <v>9864</v>
      </c>
      <c r="S40" s="63" t="s">
        <v>9865</v>
      </c>
      <c r="T40" s="63" t="s">
        <v>9866</v>
      </c>
      <c r="U40" s="63" t="s">
        <v>9867</v>
      </c>
      <c r="V40" s="63" t="s">
        <v>9868</v>
      </c>
      <c r="W40" s="63" t="s">
        <v>9869</v>
      </c>
      <c r="X40" s="63" t="s">
        <v>9870</v>
      </c>
      <c r="Y40" s="63" t="s">
        <v>9871</v>
      </c>
      <c r="Z40" s="63" t="s">
        <v>9872</v>
      </c>
      <c r="AA40" s="63" t="s">
        <v>9873</v>
      </c>
      <c r="AB40" s="63" t="s">
        <v>9874</v>
      </c>
      <c r="AC40" s="63" t="s">
        <v>9875</v>
      </c>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row>
    <row r="41">
      <c r="A41" s="62" t="s">
        <v>9876</v>
      </c>
      <c r="B41" s="63" t="s">
        <v>9877</v>
      </c>
      <c r="C41" s="64" t="s">
        <v>9878</v>
      </c>
      <c r="D41" s="63" t="s">
        <v>9879</v>
      </c>
      <c r="E41" s="63" t="s">
        <v>9880</v>
      </c>
      <c r="F41" s="63" t="s">
        <v>9881</v>
      </c>
      <c r="G41" s="63" t="s">
        <v>9882</v>
      </c>
      <c r="H41" s="63" t="s">
        <v>9883</v>
      </c>
      <c r="I41" s="63" t="s">
        <v>9884</v>
      </c>
      <c r="J41" s="63" t="s">
        <v>9885</v>
      </c>
      <c r="K41" s="63" t="s">
        <v>9886</v>
      </c>
      <c r="L41" s="63" t="s">
        <v>9887</v>
      </c>
      <c r="M41" s="63" t="s">
        <v>9888</v>
      </c>
      <c r="N41" s="63" t="s">
        <v>9889</v>
      </c>
      <c r="O41" s="63" t="s">
        <v>9890</v>
      </c>
      <c r="P41" s="63" t="s">
        <v>9891</v>
      </c>
      <c r="Q41" s="63" t="s">
        <v>9892</v>
      </c>
      <c r="R41" s="63" t="s">
        <v>9893</v>
      </c>
      <c r="S41" s="63" t="s">
        <v>9894</v>
      </c>
      <c r="T41" s="63" t="s">
        <v>9895</v>
      </c>
      <c r="U41" s="63" t="s">
        <v>9896</v>
      </c>
      <c r="V41" s="63" t="s">
        <v>9897</v>
      </c>
      <c r="W41" s="63" t="s">
        <v>9882</v>
      </c>
      <c r="X41" s="63" t="s">
        <v>9898</v>
      </c>
      <c r="Y41" s="63" t="s">
        <v>9899</v>
      </c>
      <c r="Z41" s="63" t="s">
        <v>9900</v>
      </c>
      <c r="AA41" s="63" t="s">
        <v>9901</v>
      </c>
      <c r="AB41" s="63" t="s">
        <v>9164</v>
      </c>
      <c r="AC41" s="63" t="s">
        <v>9902</v>
      </c>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row>
    <row r="42">
      <c r="A42" s="62" t="s">
        <v>9903</v>
      </c>
      <c r="B42" s="63" t="s">
        <v>9904</v>
      </c>
      <c r="C42" s="64" t="s">
        <v>9905</v>
      </c>
      <c r="D42" s="63" t="s">
        <v>9906</v>
      </c>
      <c r="E42" s="63" t="s">
        <v>9907</v>
      </c>
      <c r="F42" s="63" t="s">
        <v>9908</v>
      </c>
      <c r="G42" s="63" t="s">
        <v>9909</v>
      </c>
      <c r="H42" s="63" t="s">
        <v>9910</v>
      </c>
      <c r="I42" s="63" t="s">
        <v>9911</v>
      </c>
      <c r="J42" s="63" t="s">
        <v>9912</v>
      </c>
      <c r="K42" s="63" t="s">
        <v>9913</v>
      </c>
      <c r="L42" s="63" t="s">
        <v>9914</v>
      </c>
      <c r="M42" s="63" t="s">
        <v>9915</v>
      </c>
      <c r="N42" s="63" t="s">
        <v>9916</v>
      </c>
      <c r="O42" s="63" t="s">
        <v>9917</v>
      </c>
      <c r="P42" s="63" t="s">
        <v>9918</v>
      </c>
      <c r="Q42" s="63" t="s">
        <v>9919</v>
      </c>
      <c r="R42" s="63" t="s">
        <v>9920</v>
      </c>
      <c r="S42" s="63" t="s">
        <v>9921</v>
      </c>
      <c r="T42" s="63" t="s">
        <v>9922</v>
      </c>
      <c r="U42" s="63" t="s">
        <v>9923</v>
      </c>
      <c r="V42" s="63" t="s">
        <v>9924</v>
      </c>
      <c r="W42" s="63" t="s">
        <v>9925</v>
      </c>
      <c r="X42" s="63" t="s">
        <v>9926</v>
      </c>
      <c r="Y42" s="63" t="s">
        <v>9927</v>
      </c>
      <c r="Z42" s="63" t="s">
        <v>9928</v>
      </c>
      <c r="AA42" s="63" t="s">
        <v>9929</v>
      </c>
      <c r="AB42" s="63" t="s">
        <v>9930</v>
      </c>
      <c r="AC42" s="63" t="s">
        <v>9931</v>
      </c>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row>
    <row r="43">
      <c r="A43" s="62" t="s">
        <v>9932</v>
      </c>
      <c r="B43" s="63" t="s">
        <v>9933</v>
      </c>
      <c r="C43" s="64" t="s">
        <v>9934</v>
      </c>
      <c r="D43" s="63" t="s">
        <v>9935</v>
      </c>
      <c r="E43" s="63" t="s">
        <v>9936</v>
      </c>
      <c r="F43" s="63" t="s">
        <v>9933</v>
      </c>
      <c r="G43" s="63" t="s">
        <v>9937</v>
      </c>
      <c r="H43" s="63" t="s">
        <v>9933</v>
      </c>
      <c r="I43" s="63" t="s">
        <v>9938</v>
      </c>
      <c r="J43" s="63" t="s">
        <v>9939</v>
      </c>
      <c r="K43" s="63" t="s">
        <v>9940</v>
      </c>
      <c r="L43" s="63" t="s">
        <v>9941</v>
      </c>
      <c r="M43" s="63" t="s">
        <v>9942</v>
      </c>
      <c r="N43" s="63" t="s">
        <v>9943</v>
      </c>
      <c r="O43" s="63" t="s">
        <v>9944</v>
      </c>
      <c r="P43" s="63" t="s">
        <v>9945</v>
      </c>
      <c r="Q43" s="63" t="s">
        <v>9946</v>
      </c>
      <c r="R43" s="63" t="s">
        <v>9947</v>
      </c>
      <c r="S43" s="63" t="s">
        <v>9948</v>
      </c>
      <c r="T43" s="63" t="s">
        <v>9941</v>
      </c>
      <c r="U43" s="63" t="s">
        <v>9949</v>
      </c>
      <c r="V43" s="63" t="s">
        <v>9950</v>
      </c>
      <c r="W43" s="63" t="s">
        <v>9951</v>
      </c>
      <c r="X43" s="63" t="s">
        <v>9952</v>
      </c>
      <c r="Y43" s="63" t="s">
        <v>9953</v>
      </c>
      <c r="Z43" s="63" t="s">
        <v>9954</v>
      </c>
      <c r="AA43" s="63" t="s">
        <v>9933</v>
      </c>
      <c r="AB43" s="63" t="s">
        <v>9955</v>
      </c>
      <c r="AC43" s="63" t="s">
        <v>9956</v>
      </c>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row>
    <row r="44">
      <c r="A44" s="62" t="s">
        <v>9957</v>
      </c>
      <c r="B44" s="63" t="s">
        <v>9958</v>
      </c>
      <c r="C44" s="64" t="s">
        <v>9959</v>
      </c>
      <c r="D44" s="63" t="s">
        <v>9960</v>
      </c>
      <c r="E44" s="63" t="s">
        <v>9961</v>
      </c>
      <c r="F44" s="63" t="s">
        <v>9962</v>
      </c>
      <c r="G44" s="63" t="s">
        <v>9963</v>
      </c>
      <c r="H44" s="63" t="s">
        <v>9964</v>
      </c>
      <c r="I44" s="63" t="s">
        <v>9965</v>
      </c>
      <c r="J44" s="63" t="s">
        <v>9966</v>
      </c>
      <c r="K44" s="63" t="s">
        <v>9967</v>
      </c>
      <c r="L44" s="63" t="s">
        <v>9968</v>
      </c>
      <c r="M44" s="63" t="s">
        <v>9969</v>
      </c>
      <c r="N44" s="63" t="s">
        <v>9970</v>
      </c>
      <c r="O44" s="63" t="s">
        <v>9971</v>
      </c>
      <c r="P44" s="63" t="s">
        <v>9972</v>
      </c>
      <c r="Q44" s="63" t="s">
        <v>9973</v>
      </c>
      <c r="R44" s="63" t="s">
        <v>9974</v>
      </c>
      <c r="S44" s="63" t="s">
        <v>9975</v>
      </c>
      <c r="T44" s="63" t="s">
        <v>9968</v>
      </c>
      <c r="U44" s="63" t="s">
        <v>9976</v>
      </c>
      <c r="V44" s="63" t="s">
        <v>9977</v>
      </c>
      <c r="W44" s="63" t="s">
        <v>9978</v>
      </c>
      <c r="X44" s="63" t="s">
        <v>9979</v>
      </c>
      <c r="Y44" s="63" t="s">
        <v>9980</v>
      </c>
      <c r="Z44" s="63" t="s">
        <v>9981</v>
      </c>
      <c r="AA44" s="63" t="s">
        <v>9982</v>
      </c>
      <c r="AB44" s="63" t="s">
        <v>9983</v>
      </c>
      <c r="AC44" s="63" t="s">
        <v>9984</v>
      </c>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row>
    <row r="45">
      <c r="A45" s="62" t="s">
        <v>9985</v>
      </c>
      <c r="B45" s="63" t="s">
        <v>6978</v>
      </c>
      <c r="C45" s="64" t="s">
        <v>9986</v>
      </c>
      <c r="D45" s="63" t="s">
        <v>6980</v>
      </c>
      <c r="E45" s="63" t="s">
        <v>6981</v>
      </c>
      <c r="F45" s="63" t="s">
        <v>6982</v>
      </c>
      <c r="G45" s="63" t="s">
        <v>9987</v>
      </c>
      <c r="H45" s="63" t="s">
        <v>9988</v>
      </c>
      <c r="I45" s="63" t="s">
        <v>6985</v>
      </c>
      <c r="J45" s="63" t="s">
        <v>9989</v>
      </c>
      <c r="K45" s="63" t="s">
        <v>6987</v>
      </c>
      <c r="L45" s="63" t="s">
        <v>9990</v>
      </c>
      <c r="M45" s="63" t="s">
        <v>9991</v>
      </c>
      <c r="N45" s="63" t="s">
        <v>9992</v>
      </c>
      <c r="O45" s="63" t="s">
        <v>9993</v>
      </c>
      <c r="P45" s="63" t="s">
        <v>6992</v>
      </c>
      <c r="Q45" s="63" t="s">
        <v>6993</v>
      </c>
      <c r="R45" s="63" t="s">
        <v>9994</v>
      </c>
      <c r="S45" s="63" t="s">
        <v>6978</v>
      </c>
      <c r="T45" s="63" t="s">
        <v>9995</v>
      </c>
      <c r="U45" s="63" t="s">
        <v>6997</v>
      </c>
      <c r="V45" s="63" t="s">
        <v>6998</v>
      </c>
      <c r="W45" s="63" t="s">
        <v>9996</v>
      </c>
      <c r="X45" s="63" t="s">
        <v>7000</v>
      </c>
      <c r="Y45" s="63" t="s">
        <v>7001</v>
      </c>
      <c r="Z45" s="63" t="s">
        <v>7002</v>
      </c>
      <c r="AA45" s="63" t="s">
        <v>7003</v>
      </c>
      <c r="AB45" s="63" t="s">
        <v>7004</v>
      </c>
      <c r="AC45" s="63" t="s">
        <v>7005</v>
      </c>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row>
    <row r="46">
      <c r="A46" s="62" t="s">
        <v>9997</v>
      </c>
      <c r="B46" s="63" t="s">
        <v>9998</v>
      </c>
      <c r="C46" s="64" t="s">
        <v>9999</v>
      </c>
      <c r="D46" s="63" t="s">
        <v>10000</v>
      </c>
      <c r="E46" s="63" t="s">
        <v>10001</v>
      </c>
      <c r="F46" s="63" t="s">
        <v>10002</v>
      </c>
      <c r="G46" s="63" t="s">
        <v>10003</v>
      </c>
      <c r="H46" s="63" t="s">
        <v>10004</v>
      </c>
      <c r="I46" s="63" t="s">
        <v>10005</v>
      </c>
      <c r="J46" s="63" t="s">
        <v>10006</v>
      </c>
      <c r="K46" s="63" t="s">
        <v>10007</v>
      </c>
      <c r="L46" s="63" t="s">
        <v>10008</v>
      </c>
      <c r="M46" s="63" t="s">
        <v>10009</v>
      </c>
      <c r="N46" s="63" t="s">
        <v>10010</v>
      </c>
      <c r="O46" s="63" t="s">
        <v>10011</v>
      </c>
      <c r="P46" s="63" t="s">
        <v>10012</v>
      </c>
      <c r="Q46" s="63" t="s">
        <v>10013</v>
      </c>
      <c r="R46" s="63" t="s">
        <v>10014</v>
      </c>
      <c r="S46" s="63" t="s">
        <v>10015</v>
      </c>
      <c r="T46" s="63" t="s">
        <v>10008</v>
      </c>
      <c r="U46" s="63" t="s">
        <v>10016</v>
      </c>
      <c r="V46" s="63" t="s">
        <v>10017</v>
      </c>
      <c r="W46" s="63" t="s">
        <v>10018</v>
      </c>
      <c r="X46" s="63" t="s">
        <v>10019</v>
      </c>
      <c r="Y46" s="63" t="s">
        <v>10020</v>
      </c>
      <c r="Z46" s="63" t="s">
        <v>10021</v>
      </c>
      <c r="AA46" s="63" t="s">
        <v>10022</v>
      </c>
      <c r="AB46" s="63" t="s">
        <v>10023</v>
      </c>
      <c r="AC46" s="63" t="s">
        <v>10024</v>
      </c>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row>
    <row r="47">
      <c r="A47" s="62" t="s">
        <v>10025</v>
      </c>
      <c r="B47" s="63" t="s">
        <v>10026</v>
      </c>
      <c r="C47" s="64" t="s">
        <v>194</v>
      </c>
      <c r="D47" s="63" t="s">
        <v>193</v>
      </c>
      <c r="E47" s="63" t="s">
        <v>193</v>
      </c>
      <c r="F47" s="63" t="s">
        <v>195</v>
      </c>
      <c r="G47" s="63" t="s">
        <v>10027</v>
      </c>
      <c r="H47" s="63" t="s">
        <v>197</v>
      </c>
      <c r="I47" s="63" t="s">
        <v>10026</v>
      </c>
      <c r="J47" s="63" t="s">
        <v>10028</v>
      </c>
      <c r="K47" s="63" t="s">
        <v>200</v>
      </c>
      <c r="L47" s="63" t="s">
        <v>10029</v>
      </c>
      <c r="M47" s="63" t="s">
        <v>193</v>
      </c>
      <c r="N47" s="63" t="s">
        <v>202</v>
      </c>
      <c r="O47" s="63" t="s">
        <v>203</v>
      </c>
      <c r="P47" s="63" t="s">
        <v>204</v>
      </c>
      <c r="Q47" s="63" t="s">
        <v>205</v>
      </c>
      <c r="R47" s="63" t="s">
        <v>206</v>
      </c>
      <c r="S47" s="63" t="s">
        <v>10030</v>
      </c>
      <c r="T47" s="63" t="s">
        <v>10031</v>
      </c>
      <c r="U47" s="63" t="s">
        <v>193</v>
      </c>
      <c r="V47" s="63" t="s">
        <v>193</v>
      </c>
      <c r="W47" s="63" t="s">
        <v>193</v>
      </c>
      <c r="X47" s="63" t="s">
        <v>10032</v>
      </c>
      <c r="Y47" s="63" t="s">
        <v>210</v>
      </c>
      <c r="Z47" s="63" t="s">
        <v>10033</v>
      </c>
      <c r="AA47" s="63" t="s">
        <v>10034</v>
      </c>
      <c r="AB47" s="63" t="s">
        <v>213</v>
      </c>
      <c r="AC47" s="63" t="s">
        <v>214</v>
      </c>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row>
    <row r="48">
      <c r="A48" s="62" t="s">
        <v>10035</v>
      </c>
      <c r="B48" s="63" t="s">
        <v>109</v>
      </c>
      <c r="C48" s="64" t="s">
        <v>110</v>
      </c>
      <c r="D48" s="63" t="s">
        <v>111</v>
      </c>
      <c r="E48" s="63" t="s">
        <v>112</v>
      </c>
      <c r="F48" s="63" t="s">
        <v>113</v>
      </c>
      <c r="G48" s="63" t="s">
        <v>114</v>
      </c>
      <c r="H48" s="63" t="s">
        <v>10036</v>
      </c>
      <c r="I48" s="63" t="s">
        <v>116</v>
      </c>
      <c r="J48" s="63" t="s">
        <v>117</v>
      </c>
      <c r="K48" s="63" t="s">
        <v>118</v>
      </c>
      <c r="L48" s="63" t="s">
        <v>119</v>
      </c>
      <c r="M48" s="63" t="s">
        <v>120</v>
      </c>
      <c r="N48" s="63" t="s">
        <v>121</v>
      </c>
      <c r="O48" s="63" t="s">
        <v>10037</v>
      </c>
      <c r="P48" s="63" t="s">
        <v>10038</v>
      </c>
      <c r="Q48" s="63" t="s">
        <v>124</v>
      </c>
      <c r="R48" s="63" t="s">
        <v>125</v>
      </c>
      <c r="S48" s="63" t="s">
        <v>126</v>
      </c>
      <c r="T48" s="63" t="s">
        <v>10039</v>
      </c>
      <c r="U48" s="63" t="s">
        <v>128</v>
      </c>
      <c r="V48" s="63" t="s">
        <v>129</v>
      </c>
      <c r="W48" s="63" t="s">
        <v>114</v>
      </c>
      <c r="X48" s="63" t="s">
        <v>130</v>
      </c>
      <c r="Y48" s="63" t="s">
        <v>131</v>
      </c>
      <c r="Z48" s="63" t="s">
        <v>132</v>
      </c>
      <c r="AA48" s="63" t="s">
        <v>133</v>
      </c>
      <c r="AB48" s="63" t="s">
        <v>134</v>
      </c>
      <c r="AC48" s="63" t="s">
        <v>135</v>
      </c>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row>
    <row r="49">
      <c r="A49" s="62" t="s">
        <v>10040</v>
      </c>
      <c r="B49" s="63" t="s">
        <v>10041</v>
      </c>
      <c r="C49" s="64" t="s">
        <v>10042</v>
      </c>
      <c r="D49" s="63" t="s">
        <v>10043</v>
      </c>
      <c r="E49" s="63" t="s">
        <v>10044</v>
      </c>
      <c r="F49" s="63" t="s">
        <v>10045</v>
      </c>
      <c r="G49" s="63" t="s">
        <v>10046</v>
      </c>
      <c r="H49" s="63" t="s">
        <v>10047</v>
      </c>
      <c r="I49" s="63" t="s">
        <v>10048</v>
      </c>
      <c r="J49" s="63" t="s">
        <v>10049</v>
      </c>
      <c r="K49" s="63" t="s">
        <v>10050</v>
      </c>
      <c r="L49" s="63" t="s">
        <v>10051</v>
      </c>
      <c r="M49" s="63" t="s">
        <v>10052</v>
      </c>
      <c r="N49" s="63" t="s">
        <v>10053</v>
      </c>
      <c r="O49" s="63" t="s">
        <v>10054</v>
      </c>
      <c r="P49" s="63" t="s">
        <v>10055</v>
      </c>
      <c r="Q49" s="63" t="s">
        <v>10056</v>
      </c>
      <c r="R49" s="63" t="s">
        <v>10057</v>
      </c>
      <c r="S49" s="63" t="s">
        <v>10058</v>
      </c>
      <c r="T49" s="63" t="s">
        <v>10051</v>
      </c>
      <c r="U49" s="63" t="s">
        <v>10059</v>
      </c>
      <c r="V49" s="63" t="s">
        <v>10060</v>
      </c>
      <c r="W49" s="63" t="s">
        <v>10061</v>
      </c>
      <c r="X49" s="63" t="s">
        <v>10062</v>
      </c>
      <c r="Y49" s="63" t="s">
        <v>10063</v>
      </c>
      <c r="Z49" s="63" t="s">
        <v>10064</v>
      </c>
      <c r="AA49" s="63" t="s">
        <v>10065</v>
      </c>
      <c r="AB49" s="63" t="s">
        <v>10066</v>
      </c>
      <c r="AC49" s="63" t="s">
        <v>10067</v>
      </c>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row>
    <row r="50">
      <c r="A50" s="62" t="s">
        <v>10068</v>
      </c>
      <c r="B50" s="63" t="s">
        <v>10069</v>
      </c>
      <c r="C50" s="64" t="s">
        <v>10070</v>
      </c>
      <c r="D50" s="63" t="s">
        <v>10071</v>
      </c>
      <c r="E50" s="63" t="s">
        <v>10072</v>
      </c>
      <c r="F50" s="63" t="s">
        <v>10073</v>
      </c>
      <c r="G50" s="63" t="s">
        <v>10074</v>
      </c>
      <c r="H50" s="63" t="s">
        <v>10075</v>
      </c>
      <c r="I50" s="63" t="s">
        <v>10076</v>
      </c>
      <c r="J50" s="63" t="s">
        <v>10077</v>
      </c>
      <c r="K50" s="63" t="s">
        <v>10078</v>
      </c>
      <c r="L50" s="63" t="s">
        <v>10079</v>
      </c>
      <c r="M50" s="63" t="s">
        <v>10080</v>
      </c>
      <c r="N50" s="63" t="s">
        <v>10081</v>
      </c>
      <c r="O50" s="63" t="s">
        <v>10082</v>
      </c>
      <c r="P50" s="63" t="s">
        <v>10083</v>
      </c>
      <c r="Q50" s="63" t="s">
        <v>10084</v>
      </c>
      <c r="R50" s="63" t="s">
        <v>10085</v>
      </c>
      <c r="S50" s="63" t="s">
        <v>10086</v>
      </c>
      <c r="T50" s="63" t="s">
        <v>10087</v>
      </c>
      <c r="U50" s="63" t="s">
        <v>10088</v>
      </c>
      <c r="V50" s="63" t="s">
        <v>10089</v>
      </c>
      <c r="W50" s="63" t="s">
        <v>10090</v>
      </c>
      <c r="X50" s="63" t="s">
        <v>10091</v>
      </c>
      <c r="Y50" s="63" t="s">
        <v>10092</v>
      </c>
      <c r="Z50" s="63" t="s">
        <v>10093</v>
      </c>
      <c r="AA50" s="63" t="s">
        <v>10094</v>
      </c>
      <c r="AB50" s="63" t="s">
        <v>10095</v>
      </c>
      <c r="AC50" s="63" t="s">
        <v>10096</v>
      </c>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row>
    <row r="51">
      <c r="A51" s="62" t="s">
        <v>7062</v>
      </c>
      <c r="B51" s="63" t="s">
        <v>7063</v>
      </c>
      <c r="C51" s="64" t="s">
        <v>7064</v>
      </c>
      <c r="D51" s="63" t="s">
        <v>7065</v>
      </c>
      <c r="E51" s="63" t="s">
        <v>7066</v>
      </c>
      <c r="F51" s="63" t="s">
        <v>7067</v>
      </c>
      <c r="G51" s="63" t="s">
        <v>7068</v>
      </c>
      <c r="H51" s="63" t="s">
        <v>7069</v>
      </c>
      <c r="I51" s="63" t="s">
        <v>7070</v>
      </c>
      <c r="J51" s="63" t="s">
        <v>7071</v>
      </c>
      <c r="K51" s="63" t="s">
        <v>7072</v>
      </c>
      <c r="L51" s="63" t="s">
        <v>7073</v>
      </c>
      <c r="M51" s="63" t="s">
        <v>7074</v>
      </c>
      <c r="N51" s="63" t="s">
        <v>7075</v>
      </c>
      <c r="O51" s="63" t="s">
        <v>10097</v>
      </c>
      <c r="P51" s="63" t="s">
        <v>7077</v>
      </c>
      <c r="Q51" s="63" t="s">
        <v>7078</v>
      </c>
      <c r="R51" s="63" t="s">
        <v>10098</v>
      </c>
      <c r="S51" s="63" t="s">
        <v>7080</v>
      </c>
      <c r="T51" s="63" t="s">
        <v>7081</v>
      </c>
      <c r="U51" s="63" t="s">
        <v>7082</v>
      </c>
      <c r="V51" s="63" t="s">
        <v>7083</v>
      </c>
      <c r="W51" s="63" t="s">
        <v>7084</v>
      </c>
      <c r="X51" s="63" t="s">
        <v>7085</v>
      </c>
      <c r="Y51" s="63" t="s">
        <v>7086</v>
      </c>
      <c r="Z51" s="63" t="s">
        <v>7087</v>
      </c>
      <c r="AA51" s="63" t="s">
        <v>7088</v>
      </c>
      <c r="AB51" s="63" t="s">
        <v>7089</v>
      </c>
      <c r="AC51" s="63" t="s">
        <v>7090</v>
      </c>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row>
    <row r="52">
      <c r="A52" s="62" t="s">
        <v>10099</v>
      </c>
      <c r="B52" s="63" t="s">
        <v>10100</v>
      </c>
      <c r="C52" s="64" t="s">
        <v>10101</v>
      </c>
      <c r="D52" s="63" t="s">
        <v>10102</v>
      </c>
      <c r="E52" s="63" t="s">
        <v>10103</v>
      </c>
      <c r="F52" s="63" t="s">
        <v>10104</v>
      </c>
      <c r="G52" s="63" t="s">
        <v>10105</v>
      </c>
      <c r="H52" s="63" t="s">
        <v>10106</v>
      </c>
      <c r="I52" s="63" t="s">
        <v>10107</v>
      </c>
      <c r="J52" s="63" t="s">
        <v>10108</v>
      </c>
      <c r="K52" s="63" t="s">
        <v>10109</v>
      </c>
      <c r="L52" s="63" t="s">
        <v>10110</v>
      </c>
      <c r="M52" s="63" t="s">
        <v>10111</v>
      </c>
      <c r="N52" s="63" t="s">
        <v>10112</v>
      </c>
      <c r="O52" s="63" t="s">
        <v>10113</v>
      </c>
      <c r="P52" s="63" t="s">
        <v>10114</v>
      </c>
      <c r="Q52" s="63" t="s">
        <v>10115</v>
      </c>
      <c r="R52" s="63" t="s">
        <v>10116</v>
      </c>
      <c r="S52" s="63" t="s">
        <v>10117</v>
      </c>
      <c r="T52" s="63" t="s">
        <v>10118</v>
      </c>
      <c r="U52" s="63" t="s">
        <v>10119</v>
      </c>
      <c r="V52" s="63" t="s">
        <v>10120</v>
      </c>
      <c r="W52" s="63" t="s">
        <v>10121</v>
      </c>
      <c r="X52" s="63" t="s">
        <v>10122</v>
      </c>
      <c r="Y52" s="63" t="s">
        <v>10123</v>
      </c>
      <c r="Z52" s="63" t="s">
        <v>10124</v>
      </c>
      <c r="AA52" s="63" t="s">
        <v>10125</v>
      </c>
      <c r="AB52" s="63" t="s">
        <v>10126</v>
      </c>
      <c r="AC52" s="63" t="s">
        <v>10127</v>
      </c>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row>
    <row r="53">
      <c r="A53" s="62" t="s">
        <v>10128</v>
      </c>
      <c r="B53" s="63" t="s">
        <v>2733</v>
      </c>
      <c r="C53" s="64" t="s">
        <v>2734</v>
      </c>
      <c r="D53" s="63" t="s">
        <v>2735</v>
      </c>
      <c r="E53" s="63" t="s">
        <v>2736</v>
      </c>
      <c r="F53" s="63" t="s">
        <v>10129</v>
      </c>
      <c r="G53" s="63" t="s">
        <v>2738</v>
      </c>
      <c r="H53" s="63" t="s">
        <v>2739</v>
      </c>
      <c r="I53" s="63" t="s">
        <v>2740</v>
      </c>
      <c r="J53" s="63" t="s">
        <v>2741</v>
      </c>
      <c r="K53" s="63" t="s">
        <v>2742</v>
      </c>
      <c r="L53" s="63" t="s">
        <v>2743</v>
      </c>
      <c r="M53" s="63" t="s">
        <v>2744</v>
      </c>
      <c r="N53" s="63" t="s">
        <v>2745</v>
      </c>
      <c r="O53" s="63" t="s">
        <v>2746</v>
      </c>
      <c r="P53" s="63" t="s">
        <v>2747</v>
      </c>
      <c r="Q53" s="63" t="s">
        <v>2748</v>
      </c>
      <c r="R53" s="63" t="s">
        <v>2749</v>
      </c>
      <c r="S53" s="63" t="s">
        <v>2750</v>
      </c>
      <c r="T53" s="63" t="s">
        <v>2751</v>
      </c>
      <c r="U53" s="63" t="s">
        <v>2752</v>
      </c>
      <c r="V53" s="63" t="s">
        <v>2753</v>
      </c>
      <c r="W53" s="63" t="s">
        <v>2754</v>
      </c>
      <c r="X53" s="63" t="s">
        <v>2755</v>
      </c>
      <c r="Y53" s="63" t="s">
        <v>2756</v>
      </c>
      <c r="Z53" s="63" t="s">
        <v>2757</v>
      </c>
      <c r="AA53" s="63" t="s">
        <v>2758</v>
      </c>
      <c r="AB53" s="63" t="s">
        <v>2759</v>
      </c>
      <c r="AC53" s="63" t="s">
        <v>2760</v>
      </c>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row>
    <row r="54">
      <c r="A54" s="62" t="s">
        <v>10130</v>
      </c>
      <c r="B54" s="63" t="s">
        <v>2704</v>
      </c>
      <c r="C54" s="64" t="s">
        <v>2705</v>
      </c>
      <c r="D54" s="63" t="s">
        <v>2706</v>
      </c>
      <c r="E54" s="63" t="s">
        <v>2707</v>
      </c>
      <c r="F54" s="63" t="s">
        <v>2708</v>
      </c>
      <c r="G54" s="63" t="s">
        <v>2709</v>
      </c>
      <c r="H54" s="63" t="s">
        <v>2710</v>
      </c>
      <c r="I54" s="63" t="s">
        <v>2711</v>
      </c>
      <c r="J54" s="63" t="s">
        <v>2712</v>
      </c>
      <c r="K54" s="63" t="s">
        <v>2713</v>
      </c>
      <c r="L54" s="63" t="s">
        <v>2714</v>
      </c>
      <c r="M54" s="63" t="s">
        <v>2715</v>
      </c>
      <c r="N54" s="63" t="s">
        <v>2716</v>
      </c>
      <c r="O54" s="63" t="s">
        <v>10131</v>
      </c>
      <c r="P54" s="63" t="s">
        <v>2718</v>
      </c>
      <c r="Q54" s="63" t="s">
        <v>10132</v>
      </c>
      <c r="R54" s="63" t="s">
        <v>2720</v>
      </c>
      <c r="S54" s="63" t="s">
        <v>2721</v>
      </c>
      <c r="T54" s="63" t="s">
        <v>2722</v>
      </c>
      <c r="U54" s="63" t="s">
        <v>2723</v>
      </c>
      <c r="V54" s="63" t="s">
        <v>2724</v>
      </c>
      <c r="W54" s="63" t="s">
        <v>2725</v>
      </c>
      <c r="X54" s="63" t="s">
        <v>2726</v>
      </c>
      <c r="Y54" s="63" t="s">
        <v>2727</v>
      </c>
      <c r="Z54" s="63" t="s">
        <v>2728</v>
      </c>
      <c r="AA54" s="63" t="s">
        <v>2729</v>
      </c>
      <c r="AB54" s="63" t="s">
        <v>2730</v>
      </c>
      <c r="AC54" s="63" t="s">
        <v>2731</v>
      </c>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row>
    <row r="55">
      <c r="A55" s="59" t="s">
        <v>7377</v>
      </c>
      <c r="B55" s="60" t="s">
        <v>7378</v>
      </c>
      <c r="C55" s="61" t="s">
        <v>7379</v>
      </c>
      <c r="D55" s="60" t="s">
        <v>7380</v>
      </c>
      <c r="E55" s="60" t="s">
        <v>7381</v>
      </c>
      <c r="F55" s="60" t="s">
        <v>7382</v>
      </c>
      <c r="G55" s="60" t="s">
        <v>7383</v>
      </c>
      <c r="H55" s="60" t="s">
        <v>7384</v>
      </c>
      <c r="I55" s="60" t="s">
        <v>7385</v>
      </c>
      <c r="J55" s="60" t="s">
        <v>7386</v>
      </c>
      <c r="K55" s="60" t="s">
        <v>7387</v>
      </c>
      <c r="L55" s="60" t="s">
        <v>7388</v>
      </c>
      <c r="M55" s="60" t="s">
        <v>7389</v>
      </c>
      <c r="N55" s="60" t="s">
        <v>7390</v>
      </c>
      <c r="O55" s="60" t="s">
        <v>7391</v>
      </c>
      <c r="P55" s="60" t="s">
        <v>7392</v>
      </c>
      <c r="Q55" s="60" t="s">
        <v>7393</v>
      </c>
      <c r="R55" s="60" t="s">
        <v>7394</v>
      </c>
      <c r="S55" s="60" t="s">
        <v>7395</v>
      </c>
      <c r="T55" s="60" t="s">
        <v>7388</v>
      </c>
      <c r="U55" s="60" t="s">
        <v>7381</v>
      </c>
      <c r="V55" s="60" t="s">
        <v>7396</v>
      </c>
      <c r="W55" s="60" t="s">
        <v>7397</v>
      </c>
      <c r="X55" s="60" t="s">
        <v>7398</v>
      </c>
      <c r="Y55" s="60" t="s">
        <v>7399</v>
      </c>
      <c r="Z55" s="60" t="s">
        <v>7400</v>
      </c>
      <c r="AA55" s="60" t="s">
        <v>7401</v>
      </c>
      <c r="AB55" s="60" t="s">
        <v>7402</v>
      </c>
      <c r="AC55" s="60" t="s">
        <v>7403</v>
      </c>
      <c r="AD55" s="19"/>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1"/>
      <c r="BK55" s="21"/>
      <c r="BL55" s="21"/>
    </row>
    <row r="56">
      <c r="A56" s="59" t="s">
        <v>7404</v>
      </c>
      <c r="B56" s="60" t="s">
        <v>7405</v>
      </c>
      <c r="C56" s="61" t="s">
        <v>7406</v>
      </c>
      <c r="D56" s="60" t="s">
        <v>7407</v>
      </c>
      <c r="E56" s="60" t="s">
        <v>7408</v>
      </c>
      <c r="F56" s="60" t="s">
        <v>7409</v>
      </c>
      <c r="G56" s="60" t="s">
        <v>7410</v>
      </c>
      <c r="H56" s="60" t="s">
        <v>7411</v>
      </c>
      <c r="I56" s="60" t="s">
        <v>7412</v>
      </c>
      <c r="J56" s="60" t="s">
        <v>7413</v>
      </c>
      <c r="K56" s="60" t="s">
        <v>7414</v>
      </c>
      <c r="L56" s="60" t="s">
        <v>7415</v>
      </c>
      <c r="M56" s="60" t="s">
        <v>7416</v>
      </c>
      <c r="N56" s="60" t="s">
        <v>7417</v>
      </c>
      <c r="O56" s="60" t="s">
        <v>7418</v>
      </c>
      <c r="P56" s="60" t="s">
        <v>7419</v>
      </c>
      <c r="Q56" s="60" t="s">
        <v>7420</v>
      </c>
      <c r="R56" s="60" t="s">
        <v>7421</v>
      </c>
      <c r="S56" s="60" t="s">
        <v>7422</v>
      </c>
      <c r="T56" s="60" t="s">
        <v>7423</v>
      </c>
      <c r="U56" s="60" t="s">
        <v>7424</v>
      </c>
      <c r="V56" s="60" t="s">
        <v>7425</v>
      </c>
      <c r="W56" s="60" t="s">
        <v>7426</v>
      </c>
      <c r="X56" s="60" t="s">
        <v>7427</v>
      </c>
      <c r="Y56" s="60" t="s">
        <v>7428</v>
      </c>
      <c r="Z56" s="60" t="s">
        <v>7429</v>
      </c>
      <c r="AA56" s="60" t="s">
        <v>7430</v>
      </c>
      <c r="AB56" s="60" t="s">
        <v>7431</v>
      </c>
      <c r="AC56" s="60" t="s">
        <v>7432</v>
      </c>
      <c r="AD56" s="19"/>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1"/>
      <c r="BK56" s="21"/>
      <c r="BL56" s="21"/>
    </row>
    <row r="57">
      <c r="A57" s="59" t="s">
        <v>7433</v>
      </c>
      <c r="B57" s="60" t="s">
        <v>7434</v>
      </c>
      <c r="C57" s="61" t="s">
        <v>7435</v>
      </c>
      <c r="D57" s="60" t="s">
        <v>7436</v>
      </c>
      <c r="E57" s="60" t="s">
        <v>7437</v>
      </c>
      <c r="F57" s="60" t="s">
        <v>7438</v>
      </c>
      <c r="G57" s="60" t="s">
        <v>7439</v>
      </c>
      <c r="H57" s="60" t="s">
        <v>7440</v>
      </c>
      <c r="I57" s="60" t="s">
        <v>7441</v>
      </c>
      <c r="J57" s="60" t="s">
        <v>7442</v>
      </c>
      <c r="K57" s="60" t="s">
        <v>7443</v>
      </c>
      <c r="L57" s="60" t="s">
        <v>7444</v>
      </c>
      <c r="M57" s="60" t="s">
        <v>7445</v>
      </c>
      <c r="N57" s="60" t="s">
        <v>7446</v>
      </c>
      <c r="O57" s="60" t="s">
        <v>7447</v>
      </c>
      <c r="P57" s="60" t="s">
        <v>7448</v>
      </c>
      <c r="Q57" s="60" t="s">
        <v>7449</v>
      </c>
      <c r="R57" s="60" t="s">
        <v>7450</v>
      </c>
      <c r="S57" s="60" t="s">
        <v>7451</v>
      </c>
      <c r="T57" s="60" t="s">
        <v>7444</v>
      </c>
      <c r="U57" s="60" t="s">
        <v>7452</v>
      </c>
      <c r="V57" s="60" t="s">
        <v>7453</v>
      </c>
      <c r="W57" s="60" t="s">
        <v>7439</v>
      </c>
      <c r="X57" s="60" t="s">
        <v>7454</v>
      </c>
      <c r="Y57" s="60" t="s">
        <v>7455</v>
      </c>
      <c r="Z57" s="60" t="s">
        <v>7456</v>
      </c>
      <c r="AA57" s="60" t="s">
        <v>7457</v>
      </c>
      <c r="AB57" s="60" t="s">
        <v>7458</v>
      </c>
      <c r="AC57" s="60" t="s">
        <v>7459</v>
      </c>
      <c r="AD57" s="19"/>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1"/>
      <c r="BK57" s="21"/>
      <c r="BL57" s="21"/>
    </row>
    <row r="58">
      <c r="A58" s="59" t="s">
        <v>7460</v>
      </c>
      <c r="B58" s="60" t="s">
        <v>7461</v>
      </c>
      <c r="C58" s="61" t="s">
        <v>7462</v>
      </c>
      <c r="D58" s="60" t="s">
        <v>7461</v>
      </c>
      <c r="E58" s="60" t="s">
        <v>7461</v>
      </c>
      <c r="F58" s="60" t="s">
        <v>7463</v>
      </c>
      <c r="G58" s="60" t="s">
        <v>7464</v>
      </c>
      <c r="H58" s="60" t="s">
        <v>7465</v>
      </c>
      <c r="I58" s="60" t="s">
        <v>7466</v>
      </c>
      <c r="J58" s="60" t="s">
        <v>7467</v>
      </c>
      <c r="K58" s="60" t="s">
        <v>7468</v>
      </c>
      <c r="L58" s="60" t="s">
        <v>7461</v>
      </c>
      <c r="M58" s="60" t="s">
        <v>7469</v>
      </c>
      <c r="N58" s="60" t="s">
        <v>7470</v>
      </c>
      <c r="O58" s="60" t="s">
        <v>7471</v>
      </c>
      <c r="P58" s="60" t="s">
        <v>7472</v>
      </c>
      <c r="Q58" s="60" t="s">
        <v>7473</v>
      </c>
      <c r="R58" s="60" t="s">
        <v>7474</v>
      </c>
      <c r="S58" s="60" t="s">
        <v>7475</v>
      </c>
      <c r="T58" s="60" t="s">
        <v>7461</v>
      </c>
      <c r="U58" s="60" t="s">
        <v>7476</v>
      </c>
      <c r="V58" s="60" t="s">
        <v>7477</v>
      </c>
      <c r="W58" s="60" t="s">
        <v>7478</v>
      </c>
      <c r="X58" s="60" t="s">
        <v>7479</v>
      </c>
      <c r="Y58" s="60" t="s">
        <v>7480</v>
      </c>
      <c r="Z58" s="60" t="s">
        <v>7481</v>
      </c>
      <c r="AA58" s="60" t="s">
        <v>7482</v>
      </c>
      <c r="AB58" s="60" t="s">
        <v>7483</v>
      </c>
      <c r="AC58" s="60" t="s">
        <v>7484</v>
      </c>
      <c r="AD58" s="19"/>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1"/>
      <c r="BK58" s="21"/>
      <c r="BL58" s="21"/>
    </row>
    <row r="59">
      <c r="A59" s="59" t="s">
        <v>7485</v>
      </c>
      <c r="B59" s="60" t="s">
        <v>7486</v>
      </c>
      <c r="C59" s="61" t="s">
        <v>7487</v>
      </c>
      <c r="D59" s="60" t="s">
        <v>7488</v>
      </c>
      <c r="E59" s="60" t="s">
        <v>7489</v>
      </c>
      <c r="F59" s="60" t="s">
        <v>7490</v>
      </c>
      <c r="G59" s="60" t="s">
        <v>7491</v>
      </c>
      <c r="H59" s="60" t="s">
        <v>7492</v>
      </c>
      <c r="I59" s="60" t="s">
        <v>7493</v>
      </c>
      <c r="J59" s="60" t="s">
        <v>7494</v>
      </c>
      <c r="K59" s="60" t="s">
        <v>7495</v>
      </c>
      <c r="L59" s="60" t="s">
        <v>7496</v>
      </c>
      <c r="M59" s="60" t="s">
        <v>7497</v>
      </c>
      <c r="N59" s="60" t="s">
        <v>7498</v>
      </c>
      <c r="O59" s="60" t="s">
        <v>7499</v>
      </c>
      <c r="P59" s="60" t="s">
        <v>7500</v>
      </c>
      <c r="Q59" s="60" t="s">
        <v>7501</v>
      </c>
      <c r="R59" s="60" t="s">
        <v>7502</v>
      </c>
      <c r="S59" s="60" t="s">
        <v>7503</v>
      </c>
      <c r="T59" s="60" t="s">
        <v>7504</v>
      </c>
      <c r="U59" s="60" t="s">
        <v>7505</v>
      </c>
      <c r="V59" s="60" t="s">
        <v>7506</v>
      </c>
      <c r="W59" s="60" t="s">
        <v>7507</v>
      </c>
      <c r="X59" s="60" t="s">
        <v>7508</v>
      </c>
      <c r="Y59" s="60" t="s">
        <v>7509</v>
      </c>
      <c r="Z59" s="60" t="s">
        <v>7510</v>
      </c>
      <c r="AA59" s="60" t="s">
        <v>7511</v>
      </c>
      <c r="AB59" s="60" t="s">
        <v>7512</v>
      </c>
      <c r="AC59" s="60" t="s">
        <v>7513</v>
      </c>
      <c r="AD59" s="19"/>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1"/>
      <c r="BK59" s="21"/>
      <c r="BL59" s="21"/>
    </row>
    <row r="60">
      <c r="A60" s="59" t="s">
        <v>7514</v>
      </c>
      <c r="B60" s="60" t="s">
        <v>7515</v>
      </c>
      <c r="C60" s="61" t="s">
        <v>7516</v>
      </c>
      <c r="D60" s="60" t="s">
        <v>7517</v>
      </c>
      <c r="E60" s="60" t="s">
        <v>7518</v>
      </c>
      <c r="F60" s="60" t="s">
        <v>7519</v>
      </c>
      <c r="G60" s="60" t="s">
        <v>7520</v>
      </c>
      <c r="H60" s="60" t="s">
        <v>7521</v>
      </c>
      <c r="I60" s="60" t="s">
        <v>7522</v>
      </c>
      <c r="J60" s="60" t="s">
        <v>7523</v>
      </c>
      <c r="K60" s="60" t="s">
        <v>7524</v>
      </c>
      <c r="L60" s="60" t="s">
        <v>7525</v>
      </c>
      <c r="M60" s="60" t="s">
        <v>7526</v>
      </c>
      <c r="N60" s="60" t="s">
        <v>7527</v>
      </c>
      <c r="O60" s="60" t="s">
        <v>7528</v>
      </c>
      <c r="P60" s="60" t="s">
        <v>7529</v>
      </c>
      <c r="Q60" s="60" t="s">
        <v>7530</v>
      </c>
      <c r="R60" s="60" t="s">
        <v>7531</v>
      </c>
      <c r="S60" s="60" t="s">
        <v>7532</v>
      </c>
      <c r="T60" s="60" t="s">
        <v>7525</v>
      </c>
      <c r="U60" s="60" t="s">
        <v>7518</v>
      </c>
      <c r="V60" s="60" t="s">
        <v>7533</v>
      </c>
      <c r="W60" s="60" t="s">
        <v>7526</v>
      </c>
      <c r="X60" s="60" t="s">
        <v>7534</v>
      </c>
      <c r="Y60" s="60" t="s">
        <v>7535</v>
      </c>
      <c r="Z60" s="60" t="s">
        <v>7536</v>
      </c>
      <c r="AA60" s="60" t="s">
        <v>7537</v>
      </c>
      <c r="AB60" s="60" t="s">
        <v>7538</v>
      </c>
      <c r="AC60" s="60" t="s">
        <v>7539</v>
      </c>
      <c r="AD60" s="19"/>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1"/>
      <c r="BK60" s="21"/>
      <c r="BL60" s="21"/>
    </row>
    <row r="61">
      <c r="A61" s="59" t="s">
        <v>7540</v>
      </c>
      <c r="B61" s="60" t="s">
        <v>7541</v>
      </c>
      <c r="C61" s="61" t="s">
        <v>7542</v>
      </c>
      <c r="D61" s="60" t="s">
        <v>7543</v>
      </c>
      <c r="E61" s="60" t="s">
        <v>7544</v>
      </c>
      <c r="F61" s="60" t="s">
        <v>7545</v>
      </c>
      <c r="G61" s="60" t="s">
        <v>7546</v>
      </c>
      <c r="H61" s="60" t="s">
        <v>7547</v>
      </c>
      <c r="I61" s="60" t="s">
        <v>7548</v>
      </c>
      <c r="J61" s="60" t="s">
        <v>7549</v>
      </c>
      <c r="K61" s="60" t="s">
        <v>7550</v>
      </c>
      <c r="L61" s="60" t="s">
        <v>7551</v>
      </c>
      <c r="M61" s="60" t="s">
        <v>7552</v>
      </c>
      <c r="N61" s="60" t="s">
        <v>7553</v>
      </c>
      <c r="O61" s="60" t="s">
        <v>7554</v>
      </c>
      <c r="P61" s="60" t="s">
        <v>7555</v>
      </c>
      <c r="Q61" s="60" t="s">
        <v>7556</v>
      </c>
      <c r="R61" s="60" t="s">
        <v>7557</v>
      </c>
      <c r="S61" s="60" t="s">
        <v>7558</v>
      </c>
      <c r="T61" s="60" t="s">
        <v>7551</v>
      </c>
      <c r="U61" s="60" t="s">
        <v>7559</v>
      </c>
      <c r="V61" s="60" t="s">
        <v>7560</v>
      </c>
      <c r="W61" s="60" t="s">
        <v>7561</v>
      </c>
      <c r="X61" s="60" t="s">
        <v>7562</v>
      </c>
      <c r="Y61" s="60" t="s">
        <v>7563</v>
      </c>
      <c r="Z61" s="60" t="s">
        <v>7564</v>
      </c>
      <c r="AA61" s="60" t="s">
        <v>7565</v>
      </c>
      <c r="AB61" s="60" t="s">
        <v>7566</v>
      </c>
      <c r="AC61" s="60" t="s">
        <v>7567</v>
      </c>
      <c r="AD61" s="19"/>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1"/>
      <c r="BK61" s="21"/>
      <c r="BL61" s="21"/>
    </row>
    <row r="62">
      <c r="A62" s="59" t="s">
        <v>7568</v>
      </c>
      <c r="B62" s="60" t="s">
        <v>7569</v>
      </c>
      <c r="C62" s="61" t="s">
        <v>7570</v>
      </c>
      <c r="D62" s="60" t="s">
        <v>7571</v>
      </c>
      <c r="E62" s="60" t="s">
        <v>7572</v>
      </c>
      <c r="F62" s="60" t="s">
        <v>7573</v>
      </c>
      <c r="G62" s="60" t="s">
        <v>7574</v>
      </c>
      <c r="H62" s="60" t="s">
        <v>7575</v>
      </c>
      <c r="I62" s="60" t="s">
        <v>7576</v>
      </c>
      <c r="J62" s="60" t="s">
        <v>7577</v>
      </c>
      <c r="K62" s="60" t="s">
        <v>7578</v>
      </c>
      <c r="L62" s="60" t="s">
        <v>7579</v>
      </c>
      <c r="M62" s="60" t="s">
        <v>7580</v>
      </c>
      <c r="N62" s="60" t="s">
        <v>7581</v>
      </c>
      <c r="O62" s="60" t="s">
        <v>7582</v>
      </c>
      <c r="P62" s="60" t="s">
        <v>7583</v>
      </c>
      <c r="Q62" s="60" t="s">
        <v>7584</v>
      </c>
      <c r="R62" s="60" t="s">
        <v>7585</v>
      </c>
      <c r="S62" s="60" t="s">
        <v>7586</v>
      </c>
      <c r="T62" s="60" t="s">
        <v>7587</v>
      </c>
      <c r="U62" s="60" t="s">
        <v>7588</v>
      </c>
      <c r="V62" s="60" t="s">
        <v>7589</v>
      </c>
      <c r="W62" s="60" t="s">
        <v>7590</v>
      </c>
      <c r="X62" s="60" t="s">
        <v>7591</v>
      </c>
      <c r="Y62" s="60" t="s">
        <v>7592</v>
      </c>
      <c r="Z62" s="60" t="s">
        <v>7593</v>
      </c>
      <c r="AA62" s="60" t="s">
        <v>7594</v>
      </c>
      <c r="AB62" s="60" t="s">
        <v>7595</v>
      </c>
      <c r="AC62" s="60" t="s">
        <v>7596</v>
      </c>
      <c r="AD62" s="19"/>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1"/>
      <c r="BK62" s="21"/>
      <c r="BL62" s="21"/>
    </row>
    <row r="63">
      <c r="A63" s="59" t="s">
        <v>7597</v>
      </c>
      <c r="B63" s="60" t="s">
        <v>7598</v>
      </c>
      <c r="C63" s="61" t="s">
        <v>7599</v>
      </c>
      <c r="D63" s="60" t="s">
        <v>7600</v>
      </c>
      <c r="E63" s="60" t="s">
        <v>7601</v>
      </c>
      <c r="F63" s="60" t="s">
        <v>7602</v>
      </c>
      <c r="G63" s="60" t="s">
        <v>7603</v>
      </c>
      <c r="H63" s="60" t="s">
        <v>7604</v>
      </c>
      <c r="I63" s="60" t="s">
        <v>7605</v>
      </c>
      <c r="J63" s="60" t="s">
        <v>7606</v>
      </c>
      <c r="K63" s="60" t="s">
        <v>7607</v>
      </c>
      <c r="L63" s="60" t="s">
        <v>7608</v>
      </c>
      <c r="M63" s="60" t="s">
        <v>7609</v>
      </c>
      <c r="N63" s="60" t="s">
        <v>7610</v>
      </c>
      <c r="O63" s="60" t="s">
        <v>7611</v>
      </c>
      <c r="P63" s="60" t="s">
        <v>7612</v>
      </c>
      <c r="Q63" s="60" t="s">
        <v>7613</v>
      </c>
      <c r="R63" s="60" t="s">
        <v>7614</v>
      </c>
      <c r="S63" s="60" t="s">
        <v>7615</v>
      </c>
      <c r="T63" s="60" t="s">
        <v>7598</v>
      </c>
      <c r="U63" s="60" t="s">
        <v>7616</v>
      </c>
      <c r="V63" s="60" t="s">
        <v>7617</v>
      </c>
      <c r="W63" s="60" t="s">
        <v>7618</v>
      </c>
      <c r="X63" s="60" t="s">
        <v>7619</v>
      </c>
      <c r="Y63" s="60" t="s">
        <v>7620</v>
      </c>
      <c r="Z63" s="60" t="s">
        <v>7621</v>
      </c>
      <c r="AA63" s="60" t="s">
        <v>7622</v>
      </c>
      <c r="AB63" s="60" t="s">
        <v>7623</v>
      </c>
      <c r="AC63" s="60" t="s">
        <v>7624</v>
      </c>
      <c r="AD63" s="19"/>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1"/>
      <c r="BK63" s="21"/>
      <c r="BL63" s="21"/>
    </row>
    <row r="64">
      <c r="A64" s="59" t="s">
        <v>7625</v>
      </c>
      <c r="B64" s="60" t="s">
        <v>7626</v>
      </c>
      <c r="C64" s="61" t="s">
        <v>7627</v>
      </c>
      <c r="D64" s="60" t="s">
        <v>7626</v>
      </c>
      <c r="E64" s="60" t="s">
        <v>7626</v>
      </c>
      <c r="F64" s="60" t="s">
        <v>7628</v>
      </c>
      <c r="G64" s="60" t="s">
        <v>7626</v>
      </c>
      <c r="H64" s="60" t="s">
        <v>7626</v>
      </c>
      <c r="I64" s="60" t="s">
        <v>7626</v>
      </c>
      <c r="J64" s="60" t="s">
        <v>7626</v>
      </c>
      <c r="K64" s="60" t="s">
        <v>7629</v>
      </c>
      <c r="L64" s="60" t="s">
        <v>7626</v>
      </c>
      <c r="M64" s="60" t="s">
        <v>7626</v>
      </c>
      <c r="N64" s="60" t="s">
        <v>7630</v>
      </c>
      <c r="O64" s="60" t="s">
        <v>7631</v>
      </c>
      <c r="P64" s="60" t="s">
        <v>7632</v>
      </c>
      <c r="Q64" s="60" t="s">
        <v>7633</v>
      </c>
      <c r="R64" s="60" t="s">
        <v>7634</v>
      </c>
      <c r="S64" s="60" t="s">
        <v>7626</v>
      </c>
      <c r="T64" s="60" t="s">
        <v>7626</v>
      </c>
      <c r="U64" s="60" t="s">
        <v>7626</v>
      </c>
      <c r="V64" s="60" t="s">
        <v>7626</v>
      </c>
      <c r="W64" s="60" t="s">
        <v>7635</v>
      </c>
      <c r="X64" s="60" t="s">
        <v>7636</v>
      </c>
      <c r="Y64" s="60" t="s">
        <v>7637</v>
      </c>
      <c r="Z64" s="60" t="s">
        <v>7626</v>
      </c>
      <c r="AA64" s="60" t="s">
        <v>7638</v>
      </c>
      <c r="AB64" s="60" t="s">
        <v>7639</v>
      </c>
      <c r="AC64" s="60" t="s">
        <v>7640</v>
      </c>
      <c r="AD64" s="19"/>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1"/>
      <c r="BK64" s="21"/>
      <c r="BL64" s="21"/>
    </row>
    <row r="65">
      <c r="A65" s="59" t="s">
        <v>7641</v>
      </c>
      <c r="B65" s="60" t="s">
        <v>7642</v>
      </c>
      <c r="C65" s="61" t="s">
        <v>7643</v>
      </c>
      <c r="D65" s="60" t="s">
        <v>7642</v>
      </c>
      <c r="E65" s="60" t="s">
        <v>7644</v>
      </c>
      <c r="F65" s="60" t="s">
        <v>7645</v>
      </c>
      <c r="G65" s="60" t="s">
        <v>7646</v>
      </c>
      <c r="H65" s="60" t="s">
        <v>7647</v>
      </c>
      <c r="I65" s="60" t="s">
        <v>7648</v>
      </c>
      <c r="J65" s="60" t="s">
        <v>7649</v>
      </c>
      <c r="K65" s="60" t="s">
        <v>7650</v>
      </c>
      <c r="L65" s="60" t="s">
        <v>7651</v>
      </c>
      <c r="M65" s="60" t="s">
        <v>7652</v>
      </c>
      <c r="N65" s="60" t="s">
        <v>7653</v>
      </c>
      <c r="O65" s="60" t="s">
        <v>7654</v>
      </c>
      <c r="P65" s="60" t="s">
        <v>7655</v>
      </c>
      <c r="Q65" s="60" t="s">
        <v>7656</v>
      </c>
      <c r="R65" s="60" t="s">
        <v>7657</v>
      </c>
      <c r="S65" s="60" t="s">
        <v>7658</v>
      </c>
      <c r="T65" s="60" t="s">
        <v>7651</v>
      </c>
      <c r="U65" s="60" t="s">
        <v>7659</v>
      </c>
      <c r="V65" s="60" t="s">
        <v>7660</v>
      </c>
      <c r="W65" s="60" t="s">
        <v>7661</v>
      </c>
      <c r="X65" s="60" t="s">
        <v>7662</v>
      </c>
      <c r="Y65" s="60" t="s">
        <v>7663</v>
      </c>
      <c r="Z65" s="60" t="s">
        <v>7642</v>
      </c>
      <c r="AA65" s="60" t="s">
        <v>7664</v>
      </c>
      <c r="AB65" s="60" t="s">
        <v>7665</v>
      </c>
      <c r="AC65" s="60" t="s">
        <v>7666</v>
      </c>
      <c r="AD65" s="19"/>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1"/>
      <c r="BK65" s="21"/>
      <c r="BL65" s="21"/>
    </row>
    <row r="66">
      <c r="A66" s="59" t="s">
        <v>7667</v>
      </c>
      <c r="B66" s="60" t="s">
        <v>7668</v>
      </c>
      <c r="C66" s="61" t="s">
        <v>7669</v>
      </c>
      <c r="D66" s="60" t="s">
        <v>7670</v>
      </c>
      <c r="E66" s="60" t="s">
        <v>7671</v>
      </c>
      <c r="F66" s="60" t="s">
        <v>7672</v>
      </c>
      <c r="G66" s="60" t="s">
        <v>7673</v>
      </c>
      <c r="H66" s="60" t="s">
        <v>7674</v>
      </c>
      <c r="I66" s="60" t="s">
        <v>7675</v>
      </c>
      <c r="J66" s="60" t="s">
        <v>7676</v>
      </c>
      <c r="K66" s="60" t="s">
        <v>7677</v>
      </c>
      <c r="L66" s="60" t="s">
        <v>7674</v>
      </c>
      <c r="M66" s="60" t="s">
        <v>7673</v>
      </c>
      <c r="N66" s="60" t="s">
        <v>7678</v>
      </c>
      <c r="O66" s="60" t="s">
        <v>7679</v>
      </c>
      <c r="P66" s="60" t="s">
        <v>7680</v>
      </c>
      <c r="Q66" s="60" t="s">
        <v>7681</v>
      </c>
      <c r="R66" s="60" t="s">
        <v>7682</v>
      </c>
      <c r="S66" s="60" t="s">
        <v>7683</v>
      </c>
      <c r="T66" s="60" t="s">
        <v>7674</v>
      </c>
      <c r="U66" s="60" t="s">
        <v>7684</v>
      </c>
      <c r="V66" s="60" t="s">
        <v>7685</v>
      </c>
      <c r="W66" s="60" t="s">
        <v>7673</v>
      </c>
      <c r="X66" s="60" t="s">
        <v>7686</v>
      </c>
      <c r="Y66" s="60" t="s">
        <v>7687</v>
      </c>
      <c r="Z66" s="60" t="s">
        <v>7688</v>
      </c>
      <c r="AA66" s="60" t="s">
        <v>7689</v>
      </c>
      <c r="AB66" s="60" t="s">
        <v>7690</v>
      </c>
      <c r="AC66" s="60" t="s">
        <v>7691</v>
      </c>
      <c r="AD66" s="19"/>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1"/>
      <c r="BK66" s="21"/>
      <c r="BL66" s="21"/>
    </row>
    <row r="67">
      <c r="A67" s="59" t="s">
        <v>7692</v>
      </c>
      <c r="B67" s="60" t="s">
        <v>7693</v>
      </c>
      <c r="C67" s="61" t="s">
        <v>7694</v>
      </c>
      <c r="D67" s="60" t="s">
        <v>7693</v>
      </c>
      <c r="E67" s="60" t="s">
        <v>7693</v>
      </c>
      <c r="F67" s="60" t="s">
        <v>7695</v>
      </c>
      <c r="G67" s="60" t="s">
        <v>7696</v>
      </c>
      <c r="H67" s="60" t="s">
        <v>7697</v>
      </c>
      <c r="I67" s="60" t="s">
        <v>7693</v>
      </c>
      <c r="J67" s="60" t="s">
        <v>7693</v>
      </c>
      <c r="K67" s="60" t="s">
        <v>7698</v>
      </c>
      <c r="L67" s="60" t="s">
        <v>7693</v>
      </c>
      <c r="M67" s="60" t="s">
        <v>7693</v>
      </c>
      <c r="N67" s="60" t="s">
        <v>7699</v>
      </c>
      <c r="O67" s="60" t="s">
        <v>7700</v>
      </c>
      <c r="P67" s="60" t="s">
        <v>7701</v>
      </c>
      <c r="Q67" s="60" t="s">
        <v>7702</v>
      </c>
      <c r="R67" s="60" t="s">
        <v>7703</v>
      </c>
      <c r="S67" s="60" t="s">
        <v>7704</v>
      </c>
      <c r="T67" s="60" t="s">
        <v>7693</v>
      </c>
      <c r="U67" s="60" t="s">
        <v>7693</v>
      </c>
      <c r="V67" s="60" t="s">
        <v>7693</v>
      </c>
      <c r="W67" s="60" t="s">
        <v>7693</v>
      </c>
      <c r="X67" s="60" t="s">
        <v>7705</v>
      </c>
      <c r="Y67" s="60" t="s">
        <v>7706</v>
      </c>
      <c r="Z67" s="60" t="s">
        <v>7693</v>
      </c>
      <c r="AA67" s="60" t="s">
        <v>7705</v>
      </c>
      <c r="AB67" s="60" t="s">
        <v>7707</v>
      </c>
      <c r="AC67" s="60" t="s">
        <v>7708</v>
      </c>
      <c r="AD67" s="19"/>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1"/>
      <c r="BK67" s="21"/>
      <c r="BL67" s="21"/>
    </row>
    <row r="68">
      <c r="A68" s="59" t="s">
        <v>7709</v>
      </c>
      <c r="B68" s="60" t="s">
        <v>7710</v>
      </c>
      <c r="C68" s="61" t="s">
        <v>7711</v>
      </c>
      <c r="D68" s="60" t="s">
        <v>7710</v>
      </c>
      <c r="E68" s="60" t="s">
        <v>7710</v>
      </c>
      <c r="F68" s="60" t="s">
        <v>7712</v>
      </c>
      <c r="G68" s="60" t="s">
        <v>7710</v>
      </c>
      <c r="H68" s="60" t="s">
        <v>7710</v>
      </c>
      <c r="I68" s="60" t="s">
        <v>7710</v>
      </c>
      <c r="J68" s="60" t="s">
        <v>7710</v>
      </c>
      <c r="K68" s="60" t="s">
        <v>7713</v>
      </c>
      <c r="L68" s="60" t="s">
        <v>7710</v>
      </c>
      <c r="M68" s="60" t="s">
        <v>7710</v>
      </c>
      <c r="N68" s="60" t="s">
        <v>7714</v>
      </c>
      <c r="O68" s="60" t="s">
        <v>7710</v>
      </c>
      <c r="P68" s="60" t="s">
        <v>7715</v>
      </c>
      <c r="Q68" s="60" t="s">
        <v>7716</v>
      </c>
      <c r="R68" s="60" t="s">
        <v>7710</v>
      </c>
      <c r="S68" s="60" t="s">
        <v>7717</v>
      </c>
      <c r="T68" s="60" t="s">
        <v>7710</v>
      </c>
      <c r="U68" s="60" t="s">
        <v>7710</v>
      </c>
      <c r="V68" s="60" t="s">
        <v>7710</v>
      </c>
      <c r="W68" s="60" t="s">
        <v>7710</v>
      </c>
      <c r="X68" s="60" t="s">
        <v>7718</v>
      </c>
      <c r="Y68" s="60" t="s">
        <v>7719</v>
      </c>
      <c r="Z68" s="60" t="s">
        <v>7710</v>
      </c>
      <c r="AA68" s="60" t="s">
        <v>7720</v>
      </c>
      <c r="AB68" s="60" t="s">
        <v>7721</v>
      </c>
      <c r="AC68" s="60" t="s">
        <v>7722</v>
      </c>
      <c r="AD68" s="19"/>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1"/>
      <c r="BK68" s="21"/>
      <c r="BL68" s="21"/>
    </row>
    <row r="69">
      <c r="A69" s="59" t="s">
        <v>7723</v>
      </c>
      <c r="B69" s="60" t="s">
        <v>7724</v>
      </c>
      <c r="C69" s="61" t="s">
        <v>7725</v>
      </c>
      <c r="D69" s="60" t="s">
        <v>7726</v>
      </c>
      <c r="E69" s="60" t="s">
        <v>7727</v>
      </c>
      <c r="F69" s="60" t="s">
        <v>7728</v>
      </c>
      <c r="G69" s="60" t="s">
        <v>7729</v>
      </c>
      <c r="H69" s="60" t="s">
        <v>7730</v>
      </c>
      <c r="I69" s="60" t="s">
        <v>7731</v>
      </c>
      <c r="J69" s="60" t="s">
        <v>7732</v>
      </c>
      <c r="K69" s="60" t="s">
        <v>7733</v>
      </c>
      <c r="L69" s="60" t="s">
        <v>7734</v>
      </c>
      <c r="M69" s="60" t="s">
        <v>7735</v>
      </c>
      <c r="N69" s="60" t="s">
        <v>7736</v>
      </c>
      <c r="O69" s="60" t="s">
        <v>7737</v>
      </c>
      <c r="P69" s="60" t="s">
        <v>7738</v>
      </c>
      <c r="Q69" s="60" t="s">
        <v>7739</v>
      </c>
      <c r="R69" s="60" t="s">
        <v>7740</v>
      </c>
      <c r="S69" s="60" t="s">
        <v>7741</v>
      </c>
      <c r="T69" s="60" t="s">
        <v>7742</v>
      </c>
      <c r="U69" s="60" t="s">
        <v>7743</v>
      </c>
      <c r="V69" s="60" t="s">
        <v>7744</v>
      </c>
      <c r="W69" s="60" t="s">
        <v>7745</v>
      </c>
      <c r="X69" s="60" t="s">
        <v>7746</v>
      </c>
      <c r="Y69" s="60" t="s">
        <v>7747</v>
      </c>
      <c r="Z69" s="60" t="s">
        <v>7748</v>
      </c>
      <c r="AA69" s="60" t="s">
        <v>7749</v>
      </c>
      <c r="AB69" s="60" t="s">
        <v>7750</v>
      </c>
      <c r="AC69" s="60" t="s">
        <v>7751</v>
      </c>
      <c r="AD69" s="19"/>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1"/>
      <c r="BK69" s="21"/>
      <c r="BL69" s="21"/>
    </row>
    <row r="70">
      <c r="A70" s="59" t="s">
        <v>7752</v>
      </c>
      <c r="B70" s="60" t="s">
        <v>7753</v>
      </c>
      <c r="C70" s="61" t="s">
        <v>7754</v>
      </c>
      <c r="D70" s="60" t="s">
        <v>7755</v>
      </c>
      <c r="E70" s="60" t="s">
        <v>7756</v>
      </c>
      <c r="F70" s="60" t="s">
        <v>7757</v>
      </c>
      <c r="G70" s="60" t="s">
        <v>7758</v>
      </c>
      <c r="H70" s="60" t="s">
        <v>7759</v>
      </c>
      <c r="I70" s="60" t="s">
        <v>7760</v>
      </c>
      <c r="J70" s="60" t="s">
        <v>7761</v>
      </c>
      <c r="K70" s="60" t="s">
        <v>7762</v>
      </c>
      <c r="L70" s="60" t="s">
        <v>7763</v>
      </c>
      <c r="M70" s="60" t="s">
        <v>7764</v>
      </c>
      <c r="N70" s="60" t="s">
        <v>7765</v>
      </c>
      <c r="O70" s="60" t="s">
        <v>7766</v>
      </c>
      <c r="P70" s="60" t="s">
        <v>7767</v>
      </c>
      <c r="Q70" s="60" t="s">
        <v>7768</v>
      </c>
      <c r="R70" s="60" t="s">
        <v>7769</v>
      </c>
      <c r="S70" s="60" t="s">
        <v>7770</v>
      </c>
      <c r="T70" s="60" t="s">
        <v>7771</v>
      </c>
      <c r="U70" s="60" t="s">
        <v>7772</v>
      </c>
      <c r="V70" s="60" t="s">
        <v>7773</v>
      </c>
      <c r="W70" s="60" t="s">
        <v>7758</v>
      </c>
      <c r="X70" s="60" t="s">
        <v>7774</v>
      </c>
      <c r="Y70" s="60" t="s">
        <v>7775</v>
      </c>
      <c r="Z70" s="60" t="s">
        <v>7776</v>
      </c>
      <c r="AA70" s="60" t="s">
        <v>7777</v>
      </c>
      <c r="AB70" s="60" t="s">
        <v>7778</v>
      </c>
      <c r="AC70" s="60" t="s">
        <v>7779</v>
      </c>
      <c r="AD70" s="19"/>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1"/>
      <c r="BK70" s="21"/>
      <c r="BL70" s="21"/>
    </row>
    <row r="71">
      <c r="A71" s="59" t="s">
        <v>7780</v>
      </c>
      <c r="B71" s="60" t="s">
        <v>7781</v>
      </c>
      <c r="C71" s="61" t="s">
        <v>7782</v>
      </c>
      <c r="D71" s="60" t="s">
        <v>7783</v>
      </c>
      <c r="E71" s="60" t="s">
        <v>7784</v>
      </c>
      <c r="F71" s="60" t="s">
        <v>7785</v>
      </c>
      <c r="G71" s="60" t="s">
        <v>7786</v>
      </c>
      <c r="H71" s="60" t="s">
        <v>7787</v>
      </c>
      <c r="I71" s="60" t="s">
        <v>7788</v>
      </c>
      <c r="J71" s="60" t="s">
        <v>7789</v>
      </c>
      <c r="K71" s="60" t="s">
        <v>7790</v>
      </c>
      <c r="L71" s="60" t="s">
        <v>7791</v>
      </c>
      <c r="M71" s="60" t="s">
        <v>7792</v>
      </c>
      <c r="N71" s="60" t="s">
        <v>7793</v>
      </c>
      <c r="O71" s="60" t="s">
        <v>7794</v>
      </c>
      <c r="P71" s="60" t="s">
        <v>7795</v>
      </c>
      <c r="Q71" s="60" t="s">
        <v>7796</v>
      </c>
      <c r="R71" s="60" t="s">
        <v>7797</v>
      </c>
      <c r="S71" s="60" t="s">
        <v>7798</v>
      </c>
      <c r="T71" s="60" t="s">
        <v>7799</v>
      </c>
      <c r="U71" s="60" t="s">
        <v>7784</v>
      </c>
      <c r="V71" s="60" t="s">
        <v>7800</v>
      </c>
      <c r="W71" s="60" t="s">
        <v>7801</v>
      </c>
      <c r="X71" s="60" t="s">
        <v>7802</v>
      </c>
      <c r="Y71" s="60" t="s">
        <v>7803</v>
      </c>
      <c r="Z71" s="60" t="s">
        <v>7804</v>
      </c>
      <c r="AA71" s="60" t="s">
        <v>7805</v>
      </c>
      <c r="AB71" s="60" t="s">
        <v>7806</v>
      </c>
      <c r="AC71" s="60" t="s">
        <v>7807</v>
      </c>
      <c r="AD71" s="19"/>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1"/>
      <c r="BK71" s="21"/>
      <c r="BL71" s="21"/>
    </row>
    <row r="72">
      <c r="A72" s="59" t="s">
        <v>7808</v>
      </c>
      <c r="B72" s="60" t="s">
        <v>7809</v>
      </c>
      <c r="C72" s="61" t="s">
        <v>7810</v>
      </c>
      <c r="D72" s="60" t="s">
        <v>7811</v>
      </c>
      <c r="E72" s="60" t="s">
        <v>7809</v>
      </c>
      <c r="F72" s="60" t="s">
        <v>7812</v>
      </c>
      <c r="G72" s="60" t="s">
        <v>7808</v>
      </c>
      <c r="H72" s="60" t="s">
        <v>7813</v>
      </c>
      <c r="I72" s="60" t="s">
        <v>7809</v>
      </c>
      <c r="J72" s="60" t="s">
        <v>7808</v>
      </c>
      <c r="K72" s="60" t="s">
        <v>7814</v>
      </c>
      <c r="L72" s="60" t="s">
        <v>7809</v>
      </c>
      <c r="M72" s="60" t="s">
        <v>7808</v>
      </c>
      <c r="N72" s="60" t="s">
        <v>7815</v>
      </c>
      <c r="O72" s="60" t="s">
        <v>7816</v>
      </c>
      <c r="P72" s="60" t="s">
        <v>7817</v>
      </c>
      <c r="Q72" s="60" t="s">
        <v>7818</v>
      </c>
      <c r="R72" s="60" t="s">
        <v>7819</v>
      </c>
      <c r="S72" s="60" t="s">
        <v>7820</v>
      </c>
      <c r="T72" s="60" t="s">
        <v>7809</v>
      </c>
      <c r="U72" s="60" t="s">
        <v>7809</v>
      </c>
      <c r="V72" s="60" t="s">
        <v>7821</v>
      </c>
      <c r="W72" s="60" t="s">
        <v>7808</v>
      </c>
      <c r="X72" s="60" t="s">
        <v>7822</v>
      </c>
      <c r="Y72" s="60" t="s">
        <v>7823</v>
      </c>
      <c r="Z72" s="60" t="s">
        <v>7824</v>
      </c>
      <c r="AA72" s="60" t="s">
        <v>7825</v>
      </c>
      <c r="AB72" s="60" t="s">
        <v>7826</v>
      </c>
      <c r="AC72" s="60" t="s">
        <v>7827</v>
      </c>
      <c r="AD72" s="19"/>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1"/>
      <c r="BK72" s="21"/>
      <c r="BL72" s="21"/>
    </row>
    <row r="73">
      <c r="A73" s="59" t="s">
        <v>7828</v>
      </c>
      <c r="B73" s="60" t="s">
        <v>7829</v>
      </c>
      <c r="C73" s="61" t="s">
        <v>7830</v>
      </c>
      <c r="D73" s="60" t="s">
        <v>7831</v>
      </c>
      <c r="E73" s="60" t="s">
        <v>7832</v>
      </c>
      <c r="F73" s="60" t="s">
        <v>7833</v>
      </c>
      <c r="G73" s="60" t="s">
        <v>7834</v>
      </c>
      <c r="H73" s="60" t="s">
        <v>7835</v>
      </c>
      <c r="I73" s="60" t="s">
        <v>7836</v>
      </c>
      <c r="J73" s="60" t="s">
        <v>7837</v>
      </c>
      <c r="K73" s="60" t="s">
        <v>7838</v>
      </c>
      <c r="L73" s="60" t="s">
        <v>7839</v>
      </c>
      <c r="M73" s="60" t="s">
        <v>7840</v>
      </c>
      <c r="N73" s="60" t="s">
        <v>7841</v>
      </c>
      <c r="O73" s="60" t="s">
        <v>7842</v>
      </c>
      <c r="P73" s="60" t="s">
        <v>7843</v>
      </c>
      <c r="Q73" s="60" t="s">
        <v>7844</v>
      </c>
      <c r="R73" s="60" t="s">
        <v>7845</v>
      </c>
      <c r="S73" s="60" t="s">
        <v>7846</v>
      </c>
      <c r="T73" s="60" t="s">
        <v>7829</v>
      </c>
      <c r="U73" s="60" t="s">
        <v>7847</v>
      </c>
      <c r="V73" s="60" t="s">
        <v>7848</v>
      </c>
      <c r="W73" s="60" t="s">
        <v>7849</v>
      </c>
      <c r="X73" s="60" t="s">
        <v>7850</v>
      </c>
      <c r="Y73" s="60" t="s">
        <v>7851</v>
      </c>
      <c r="Z73" s="60" t="s">
        <v>7852</v>
      </c>
      <c r="AA73" s="60" t="s">
        <v>7853</v>
      </c>
      <c r="AB73" s="60" t="s">
        <v>7854</v>
      </c>
      <c r="AC73" s="60" t="s">
        <v>7855</v>
      </c>
      <c r="AD73" s="19"/>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1"/>
      <c r="BK73" s="21"/>
      <c r="BL73" s="21"/>
    </row>
    <row r="74">
      <c r="A74" s="59" t="s">
        <v>7856</v>
      </c>
      <c r="B74" s="60" t="s">
        <v>7857</v>
      </c>
      <c r="C74" s="61" t="s">
        <v>7858</v>
      </c>
      <c r="D74" s="60" t="s">
        <v>7859</v>
      </c>
      <c r="E74" s="60" t="s">
        <v>7860</v>
      </c>
      <c r="F74" s="60" t="s">
        <v>7861</v>
      </c>
      <c r="G74" s="60" t="s">
        <v>7862</v>
      </c>
      <c r="H74" s="60" t="s">
        <v>7863</v>
      </c>
      <c r="I74" s="60" t="s">
        <v>7864</v>
      </c>
      <c r="J74" s="60" t="s">
        <v>7865</v>
      </c>
      <c r="K74" s="60" t="s">
        <v>7866</v>
      </c>
      <c r="L74" s="60" t="s">
        <v>7867</v>
      </c>
      <c r="M74" s="60" t="s">
        <v>7868</v>
      </c>
      <c r="N74" s="60" t="s">
        <v>7869</v>
      </c>
      <c r="O74" s="60" t="s">
        <v>7870</v>
      </c>
      <c r="P74" s="60" t="s">
        <v>7871</v>
      </c>
      <c r="Q74" s="60" t="s">
        <v>7872</v>
      </c>
      <c r="R74" s="60" t="s">
        <v>7873</v>
      </c>
      <c r="S74" s="60" t="s">
        <v>7874</v>
      </c>
      <c r="T74" s="60" t="s">
        <v>7867</v>
      </c>
      <c r="U74" s="60" t="s">
        <v>7875</v>
      </c>
      <c r="V74" s="60" t="s">
        <v>7876</v>
      </c>
      <c r="W74" s="60" t="s">
        <v>7877</v>
      </c>
      <c r="X74" s="60" t="s">
        <v>7878</v>
      </c>
      <c r="Y74" s="60" t="s">
        <v>7879</v>
      </c>
      <c r="Z74" s="60" t="s">
        <v>7880</v>
      </c>
      <c r="AA74" s="60" t="s">
        <v>7881</v>
      </c>
      <c r="AB74" s="60" t="s">
        <v>7882</v>
      </c>
      <c r="AC74" s="60" t="s">
        <v>7883</v>
      </c>
      <c r="AD74" s="19"/>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1"/>
      <c r="BK74" s="21"/>
      <c r="BL74" s="21"/>
    </row>
    <row r="75">
      <c r="A75" s="59" t="s">
        <v>7884</v>
      </c>
      <c r="B75" s="60" t="s">
        <v>7885</v>
      </c>
      <c r="C75" s="61" t="s">
        <v>7886</v>
      </c>
      <c r="D75" s="60" t="s">
        <v>7887</v>
      </c>
      <c r="E75" s="60" t="s">
        <v>7888</v>
      </c>
      <c r="F75" s="60" t="s">
        <v>7889</v>
      </c>
      <c r="G75" s="60" t="s">
        <v>7890</v>
      </c>
      <c r="H75" s="60" t="s">
        <v>7891</v>
      </c>
      <c r="I75" s="60" t="s">
        <v>7892</v>
      </c>
      <c r="J75" s="60" t="s">
        <v>7893</v>
      </c>
      <c r="K75" s="60" t="s">
        <v>7894</v>
      </c>
      <c r="L75" s="60" t="s">
        <v>7895</v>
      </c>
      <c r="M75" s="60" t="s">
        <v>7896</v>
      </c>
      <c r="N75" s="60" t="s">
        <v>7897</v>
      </c>
      <c r="O75" s="60" t="s">
        <v>7898</v>
      </c>
      <c r="P75" s="60" t="s">
        <v>7899</v>
      </c>
      <c r="Q75" s="60" t="s">
        <v>7900</v>
      </c>
      <c r="R75" s="60" t="s">
        <v>7901</v>
      </c>
      <c r="S75" s="60" t="s">
        <v>7902</v>
      </c>
      <c r="T75" s="60" t="s">
        <v>7895</v>
      </c>
      <c r="U75" s="60" t="s">
        <v>7903</v>
      </c>
      <c r="V75" s="60" t="s">
        <v>7904</v>
      </c>
      <c r="W75" s="60" t="s">
        <v>7905</v>
      </c>
      <c r="X75" s="60" t="s">
        <v>7906</v>
      </c>
      <c r="Y75" s="60" t="s">
        <v>7907</v>
      </c>
      <c r="Z75" s="60" t="s">
        <v>7908</v>
      </c>
      <c r="AA75" s="60" t="s">
        <v>7909</v>
      </c>
      <c r="AB75" s="60" t="s">
        <v>7910</v>
      </c>
      <c r="AC75" s="60" t="s">
        <v>7911</v>
      </c>
      <c r="AD75" s="19"/>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1"/>
      <c r="BK75" s="21"/>
      <c r="BL75" s="21"/>
    </row>
    <row r="76">
      <c r="A76" s="59" t="s">
        <v>7912</v>
      </c>
      <c r="B76" s="60" t="s">
        <v>7913</v>
      </c>
      <c r="C76" s="61" t="s">
        <v>7914</v>
      </c>
      <c r="D76" s="60" t="s">
        <v>7915</v>
      </c>
      <c r="E76" s="60" t="s">
        <v>7916</v>
      </c>
      <c r="F76" s="60" t="s">
        <v>7917</v>
      </c>
      <c r="G76" s="60" t="s">
        <v>7918</v>
      </c>
      <c r="H76" s="60" t="s">
        <v>7919</v>
      </c>
      <c r="I76" s="60" t="s">
        <v>7920</v>
      </c>
      <c r="J76" s="60" t="s">
        <v>7921</v>
      </c>
      <c r="K76" s="60" t="s">
        <v>7922</v>
      </c>
      <c r="L76" s="60" t="s">
        <v>7923</v>
      </c>
      <c r="M76" s="60" t="s">
        <v>7924</v>
      </c>
      <c r="N76" s="60" t="s">
        <v>7925</v>
      </c>
      <c r="O76" s="60" t="s">
        <v>7926</v>
      </c>
      <c r="P76" s="60" t="s">
        <v>7927</v>
      </c>
      <c r="Q76" s="60" t="s">
        <v>7928</v>
      </c>
      <c r="R76" s="60" t="s">
        <v>7929</v>
      </c>
      <c r="S76" s="60" t="s">
        <v>7930</v>
      </c>
      <c r="T76" s="60" t="s">
        <v>7931</v>
      </c>
      <c r="U76" s="60" t="s">
        <v>7932</v>
      </c>
      <c r="V76" s="60" t="s">
        <v>7933</v>
      </c>
      <c r="W76" s="60" t="s">
        <v>7934</v>
      </c>
      <c r="X76" s="60" t="s">
        <v>7935</v>
      </c>
      <c r="Y76" s="60" t="s">
        <v>7936</v>
      </c>
      <c r="Z76" s="60" t="s">
        <v>7937</v>
      </c>
      <c r="AA76" s="60" t="s">
        <v>7938</v>
      </c>
      <c r="AB76" s="60" t="s">
        <v>7939</v>
      </c>
      <c r="AC76" s="60" t="s">
        <v>7940</v>
      </c>
      <c r="AD76" s="19"/>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1"/>
      <c r="BK76" s="21"/>
      <c r="BL76" s="21"/>
    </row>
    <row r="77">
      <c r="A77" s="59" t="s">
        <v>7941</v>
      </c>
      <c r="B77" s="60" t="s">
        <v>7942</v>
      </c>
      <c r="C77" s="61" t="s">
        <v>7943</v>
      </c>
      <c r="D77" s="60" t="s">
        <v>7944</v>
      </c>
      <c r="E77" s="60" t="s">
        <v>7945</v>
      </c>
      <c r="F77" s="60" t="s">
        <v>7946</v>
      </c>
      <c r="G77" s="60" t="s">
        <v>7947</v>
      </c>
      <c r="H77" s="60" t="s">
        <v>7948</v>
      </c>
      <c r="I77" s="60" t="s">
        <v>7949</v>
      </c>
      <c r="J77" s="60" t="s">
        <v>7950</v>
      </c>
      <c r="K77" s="60" t="s">
        <v>7951</v>
      </c>
      <c r="L77" s="60" t="s">
        <v>7952</v>
      </c>
      <c r="M77" s="60" t="s">
        <v>7953</v>
      </c>
      <c r="N77" s="60" t="s">
        <v>7954</v>
      </c>
      <c r="O77" s="60" t="s">
        <v>7955</v>
      </c>
      <c r="P77" s="60" t="s">
        <v>7956</v>
      </c>
      <c r="Q77" s="60" t="s">
        <v>7957</v>
      </c>
      <c r="R77" s="60" t="s">
        <v>7941</v>
      </c>
      <c r="S77" s="60" t="s">
        <v>7958</v>
      </c>
      <c r="T77" s="60" t="s">
        <v>7952</v>
      </c>
      <c r="U77" s="60" t="s">
        <v>7959</v>
      </c>
      <c r="V77" s="60" t="s">
        <v>7960</v>
      </c>
      <c r="W77" s="60" t="s">
        <v>7961</v>
      </c>
      <c r="X77" s="60" t="s">
        <v>7962</v>
      </c>
      <c r="Y77" s="60" t="s">
        <v>7963</v>
      </c>
      <c r="Z77" s="60" t="s">
        <v>7964</v>
      </c>
      <c r="AA77" s="60" t="s">
        <v>7965</v>
      </c>
      <c r="AB77" s="60" t="s">
        <v>7966</v>
      </c>
      <c r="AC77" s="60" t="s">
        <v>7967</v>
      </c>
      <c r="AD77" s="19"/>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1"/>
      <c r="BK77" s="21"/>
      <c r="BL77" s="21"/>
    </row>
    <row r="78">
      <c r="A78" s="59" t="s">
        <v>7968</v>
      </c>
      <c r="B78" s="60" t="s">
        <v>7969</v>
      </c>
      <c r="C78" s="61" t="s">
        <v>7970</v>
      </c>
      <c r="D78" s="60" t="s">
        <v>7971</v>
      </c>
      <c r="E78" s="60" t="s">
        <v>7972</v>
      </c>
      <c r="F78" s="60" t="s">
        <v>7973</v>
      </c>
      <c r="G78" s="60" t="s">
        <v>7974</v>
      </c>
      <c r="H78" s="60" t="s">
        <v>7975</v>
      </c>
      <c r="I78" s="60" t="s">
        <v>7976</v>
      </c>
      <c r="J78" s="60" t="s">
        <v>7977</v>
      </c>
      <c r="K78" s="60" t="s">
        <v>7978</v>
      </c>
      <c r="L78" s="60" t="s">
        <v>7979</v>
      </c>
      <c r="M78" s="60" t="s">
        <v>7980</v>
      </c>
      <c r="N78" s="60" t="s">
        <v>7981</v>
      </c>
      <c r="O78" s="60" t="s">
        <v>7982</v>
      </c>
      <c r="P78" s="60" t="s">
        <v>7983</v>
      </c>
      <c r="Q78" s="60" t="s">
        <v>7984</v>
      </c>
      <c r="R78" s="60" t="s">
        <v>7985</v>
      </c>
      <c r="S78" s="60" t="s">
        <v>7986</v>
      </c>
      <c r="T78" s="60" t="s">
        <v>7979</v>
      </c>
      <c r="U78" s="60" t="s">
        <v>7987</v>
      </c>
      <c r="V78" s="60" t="s">
        <v>7988</v>
      </c>
      <c r="W78" s="60" t="s">
        <v>7989</v>
      </c>
      <c r="X78" s="60" t="s">
        <v>7990</v>
      </c>
      <c r="Y78" s="60" t="s">
        <v>7991</v>
      </c>
      <c r="Z78" s="60" t="s">
        <v>7992</v>
      </c>
      <c r="AA78" s="60" t="s">
        <v>7993</v>
      </c>
      <c r="AB78" s="60" t="s">
        <v>7994</v>
      </c>
      <c r="AC78" s="60" t="s">
        <v>7995</v>
      </c>
      <c r="AD78" s="19"/>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1"/>
      <c r="BK78" s="21"/>
      <c r="BL78" s="21"/>
    </row>
    <row r="79">
      <c r="A79" s="59" t="s">
        <v>7996</v>
      </c>
      <c r="B79" s="60" t="s">
        <v>7997</v>
      </c>
      <c r="C79" s="61" t="s">
        <v>7998</v>
      </c>
      <c r="D79" s="60" t="s">
        <v>7999</v>
      </c>
      <c r="E79" s="60" t="s">
        <v>8000</v>
      </c>
      <c r="F79" s="60" t="s">
        <v>8001</v>
      </c>
      <c r="G79" s="60" t="s">
        <v>8002</v>
      </c>
      <c r="H79" s="60" t="s">
        <v>8003</v>
      </c>
      <c r="I79" s="60" t="s">
        <v>8004</v>
      </c>
      <c r="J79" s="60" t="s">
        <v>8005</v>
      </c>
      <c r="K79" s="60" t="s">
        <v>8006</v>
      </c>
      <c r="L79" s="60" t="s">
        <v>8007</v>
      </c>
      <c r="M79" s="60" t="s">
        <v>8008</v>
      </c>
      <c r="N79" s="60" t="s">
        <v>8009</v>
      </c>
      <c r="O79" s="60" t="s">
        <v>8010</v>
      </c>
      <c r="P79" s="60" t="s">
        <v>8011</v>
      </c>
      <c r="Q79" s="60" t="s">
        <v>8012</v>
      </c>
      <c r="R79" s="60" t="s">
        <v>8013</v>
      </c>
      <c r="S79" s="60" t="s">
        <v>8014</v>
      </c>
      <c r="T79" s="60" t="s">
        <v>7997</v>
      </c>
      <c r="U79" s="60" t="s">
        <v>8015</v>
      </c>
      <c r="V79" s="60" t="s">
        <v>7997</v>
      </c>
      <c r="W79" s="60" t="s">
        <v>8016</v>
      </c>
      <c r="X79" s="60" t="s">
        <v>8017</v>
      </c>
      <c r="Y79" s="60" t="s">
        <v>8018</v>
      </c>
      <c r="Z79" s="60" t="s">
        <v>8019</v>
      </c>
      <c r="AA79" s="60" t="s">
        <v>8020</v>
      </c>
      <c r="AB79" s="60" t="s">
        <v>8021</v>
      </c>
      <c r="AC79" s="60" t="s">
        <v>8022</v>
      </c>
      <c r="AD79" s="19"/>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1"/>
      <c r="BK79" s="21"/>
      <c r="BL79" s="21"/>
    </row>
    <row r="80">
      <c r="A80" s="59" t="s">
        <v>8023</v>
      </c>
      <c r="B80" s="60" t="s">
        <v>8024</v>
      </c>
      <c r="C80" s="61" t="s">
        <v>8025</v>
      </c>
      <c r="D80" s="60" t="s">
        <v>8026</v>
      </c>
      <c r="E80" s="60" t="s">
        <v>8027</v>
      </c>
      <c r="F80" s="60" t="s">
        <v>8028</v>
      </c>
      <c r="G80" s="60" t="s">
        <v>8029</v>
      </c>
      <c r="H80" s="60" t="s">
        <v>8030</v>
      </c>
      <c r="I80" s="60" t="s">
        <v>8031</v>
      </c>
      <c r="J80" s="60" t="s">
        <v>8032</v>
      </c>
      <c r="K80" s="60" t="s">
        <v>8033</v>
      </c>
      <c r="L80" s="60" t="s">
        <v>8034</v>
      </c>
      <c r="M80" s="60" t="s">
        <v>8035</v>
      </c>
      <c r="N80" s="60" t="s">
        <v>8036</v>
      </c>
      <c r="O80" s="60" t="s">
        <v>8037</v>
      </c>
      <c r="P80" s="60" t="s">
        <v>8038</v>
      </c>
      <c r="Q80" s="60" t="s">
        <v>8039</v>
      </c>
      <c r="R80" s="60" t="s">
        <v>8040</v>
      </c>
      <c r="S80" s="60" t="s">
        <v>8041</v>
      </c>
      <c r="T80" s="60" t="s">
        <v>8034</v>
      </c>
      <c r="U80" s="60" t="s">
        <v>8024</v>
      </c>
      <c r="V80" s="60" t="s">
        <v>8042</v>
      </c>
      <c r="W80" s="60" t="s">
        <v>8043</v>
      </c>
      <c r="X80" s="60" t="s">
        <v>8044</v>
      </c>
      <c r="Y80" s="60" t="s">
        <v>8045</v>
      </c>
      <c r="Z80" s="60" t="s">
        <v>8046</v>
      </c>
      <c r="AA80" s="60" t="s">
        <v>8047</v>
      </c>
      <c r="AB80" s="60" t="s">
        <v>8048</v>
      </c>
      <c r="AC80" s="60" t="s">
        <v>8049</v>
      </c>
      <c r="AD80" s="19"/>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1"/>
      <c r="BK80" s="21"/>
      <c r="BL80" s="21"/>
    </row>
    <row r="81">
      <c r="A81" s="62" t="s">
        <v>10133</v>
      </c>
      <c r="B81" s="63" t="s">
        <v>10134</v>
      </c>
      <c r="C81" s="64" t="s">
        <v>10135</v>
      </c>
      <c r="D81" s="63" t="s">
        <v>10136</v>
      </c>
      <c r="E81" s="63" t="s">
        <v>10137</v>
      </c>
      <c r="F81" s="63" t="s">
        <v>10138</v>
      </c>
      <c r="G81" s="63" t="s">
        <v>10139</v>
      </c>
      <c r="H81" s="63" t="s">
        <v>10140</v>
      </c>
      <c r="I81" s="63" t="s">
        <v>10141</v>
      </c>
      <c r="J81" s="63" t="s">
        <v>10142</v>
      </c>
      <c r="K81" s="63" t="s">
        <v>10143</v>
      </c>
      <c r="L81" s="63" t="s">
        <v>10144</v>
      </c>
      <c r="M81" s="63" t="s">
        <v>10145</v>
      </c>
      <c r="N81" s="63" t="s">
        <v>10146</v>
      </c>
      <c r="O81" s="63" t="s">
        <v>10147</v>
      </c>
      <c r="P81" s="63" t="s">
        <v>10148</v>
      </c>
      <c r="Q81" s="63" t="s">
        <v>10149</v>
      </c>
      <c r="R81" s="63" t="s">
        <v>10150</v>
      </c>
      <c r="S81" s="63" t="s">
        <v>10151</v>
      </c>
      <c r="T81" s="63" t="s">
        <v>10152</v>
      </c>
      <c r="U81" s="63" t="s">
        <v>10153</v>
      </c>
      <c r="V81" s="63" t="s">
        <v>10154</v>
      </c>
      <c r="W81" s="63" t="s">
        <v>10155</v>
      </c>
      <c r="X81" s="63" t="s">
        <v>10156</v>
      </c>
      <c r="Y81" s="63" t="s">
        <v>10157</v>
      </c>
      <c r="Z81" s="63" t="s">
        <v>10158</v>
      </c>
      <c r="AA81" s="63" t="s">
        <v>10159</v>
      </c>
      <c r="AB81" s="63" t="s">
        <v>10160</v>
      </c>
      <c r="AC81" s="63" t="s">
        <v>10161</v>
      </c>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row>
    <row r="82">
      <c r="A82" s="62" t="s">
        <v>10162</v>
      </c>
      <c r="B82" s="63" t="s">
        <v>10163</v>
      </c>
      <c r="C82" s="64" t="s">
        <v>10164</v>
      </c>
      <c r="D82" s="63" t="s">
        <v>10165</v>
      </c>
      <c r="E82" s="63" t="s">
        <v>10166</v>
      </c>
      <c r="F82" s="63" t="s">
        <v>10167</v>
      </c>
      <c r="G82" s="63" t="s">
        <v>10168</v>
      </c>
      <c r="H82" s="63" t="s">
        <v>10169</v>
      </c>
      <c r="I82" s="63" t="s">
        <v>10170</v>
      </c>
      <c r="J82" s="63" t="s">
        <v>10171</v>
      </c>
      <c r="K82" s="63" t="s">
        <v>10172</v>
      </c>
      <c r="L82" s="63" t="s">
        <v>10173</v>
      </c>
      <c r="M82" s="63" t="s">
        <v>10174</v>
      </c>
      <c r="N82" s="63" t="s">
        <v>10175</v>
      </c>
      <c r="O82" s="63" t="s">
        <v>10176</v>
      </c>
      <c r="P82" s="63" t="s">
        <v>10177</v>
      </c>
      <c r="Q82" s="63" t="s">
        <v>10178</v>
      </c>
      <c r="R82" s="63" t="s">
        <v>10179</v>
      </c>
      <c r="S82" s="63" t="s">
        <v>10180</v>
      </c>
      <c r="T82" s="63" t="s">
        <v>10181</v>
      </c>
      <c r="U82" s="63" t="s">
        <v>10182</v>
      </c>
      <c r="V82" s="63" t="s">
        <v>10183</v>
      </c>
      <c r="W82" s="63" t="s">
        <v>10184</v>
      </c>
      <c r="X82" s="63" t="s">
        <v>10185</v>
      </c>
      <c r="Y82" s="63" t="s">
        <v>10186</v>
      </c>
      <c r="Z82" s="63" t="s">
        <v>10187</v>
      </c>
      <c r="AA82" s="63" t="s">
        <v>10188</v>
      </c>
      <c r="AB82" s="63" t="s">
        <v>10189</v>
      </c>
      <c r="AC82" s="63" t="s">
        <v>10190</v>
      </c>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row>
    <row r="83">
      <c r="A83" s="59" t="s">
        <v>3190</v>
      </c>
      <c r="B83" s="60" t="s">
        <v>3191</v>
      </c>
      <c r="C83" s="61" t="s">
        <v>3192</v>
      </c>
      <c r="D83" s="60" t="s">
        <v>3193</v>
      </c>
      <c r="E83" s="60" t="s">
        <v>3194</v>
      </c>
      <c r="F83" s="60" t="s">
        <v>3195</v>
      </c>
      <c r="G83" s="60" t="s">
        <v>3196</v>
      </c>
      <c r="H83" s="60" t="s">
        <v>3197</v>
      </c>
      <c r="I83" s="60" t="s">
        <v>3198</v>
      </c>
      <c r="J83" s="60" t="s">
        <v>3199</v>
      </c>
      <c r="K83" s="60" t="s">
        <v>3200</v>
      </c>
      <c r="L83" s="60" t="s">
        <v>3201</v>
      </c>
      <c r="M83" s="60" t="s">
        <v>3202</v>
      </c>
      <c r="N83" s="60" t="s">
        <v>3203</v>
      </c>
      <c r="O83" s="60" t="s">
        <v>3204</v>
      </c>
      <c r="P83" s="60" t="s">
        <v>3205</v>
      </c>
      <c r="Q83" s="60" t="s">
        <v>3206</v>
      </c>
      <c r="R83" s="60" t="s">
        <v>3207</v>
      </c>
      <c r="S83" s="60" t="s">
        <v>3208</v>
      </c>
      <c r="T83" s="60" t="s">
        <v>3209</v>
      </c>
      <c r="U83" s="60" t="s">
        <v>3210</v>
      </c>
      <c r="V83" s="60" t="s">
        <v>3211</v>
      </c>
      <c r="W83" s="60" t="s">
        <v>3212</v>
      </c>
      <c r="X83" s="60" t="s">
        <v>3213</v>
      </c>
      <c r="Y83" s="60" t="s">
        <v>3214</v>
      </c>
      <c r="Z83" s="60" t="s">
        <v>3215</v>
      </c>
      <c r="AA83" s="60" t="s">
        <v>3216</v>
      </c>
      <c r="AB83" s="60" t="s">
        <v>3217</v>
      </c>
      <c r="AC83" s="60" t="s">
        <v>3218</v>
      </c>
      <c r="AD83" s="19"/>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1"/>
      <c r="BK83" s="21"/>
      <c r="BL83" s="21"/>
    </row>
    <row r="84">
      <c r="A84" s="59" t="s">
        <v>3219</v>
      </c>
      <c r="B84" s="60" t="s">
        <v>3220</v>
      </c>
      <c r="C84" s="61" t="s">
        <v>3221</v>
      </c>
      <c r="D84" s="60" t="s">
        <v>3222</v>
      </c>
      <c r="E84" s="60" t="s">
        <v>3223</v>
      </c>
      <c r="F84" s="60" t="s">
        <v>3224</v>
      </c>
      <c r="G84" s="60" t="s">
        <v>3225</v>
      </c>
      <c r="H84" s="60" t="s">
        <v>3226</v>
      </c>
      <c r="I84" s="60" t="s">
        <v>3227</v>
      </c>
      <c r="J84" s="60" t="s">
        <v>3228</v>
      </c>
      <c r="K84" s="60" t="s">
        <v>3229</v>
      </c>
      <c r="L84" s="60" t="s">
        <v>3230</v>
      </c>
      <c r="M84" s="60" t="s">
        <v>3225</v>
      </c>
      <c r="N84" s="60" t="s">
        <v>3231</v>
      </c>
      <c r="O84" s="60" t="s">
        <v>3232</v>
      </c>
      <c r="P84" s="60" t="s">
        <v>3233</v>
      </c>
      <c r="Q84" s="60" t="s">
        <v>3234</v>
      </c>
      <c r="R84" s="60" t="s">
        <v>3235</v>
      </c>
      <c r="S84" s="60" t="s">
        <v>3236</v>
      </c>
      <c r="T84" s="60" t="s">
        <v>3237</v>
      </c>
      <c r="U84" s="60" t="s">
        <v>3238</v>
      </c>
      <c r="V84" s="60" t="s">
        <v>3239</v>
      </c>
      <c r="W84" s="60" t="s">
        <v>3225</v>
      </c>
      <c r="X84" s="60" t="s">
        <v>3240</v>
      </c>
      <c r="Y84" s="60" t="s">
        <v>3241</v>
      </c>
      <c r="Z84" s="60" t="s">
        <v>3237</v>
      </c>
      <c r="AA84" s="60" t="s">
        <v>3242</v>
      </c>
      <c r="AB84" s="60" t="s">
        <v>3243</v>
      </c>
      <c r="AC84" s="60" t="s">
        <v>3244</v>
      </c>
      <c r="AD84" s="19"/>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1"/>
      <c r="BK84" s="21"/>
      <c r="BL84" s="21"/>
    </row>
    <row r="85">
      <c r="A85" s="62" t="s">
        <v>10191</v>
      </c>
      <c r="B85" s="63" t="s">
        <v>10192</v>
      </c>
      <c r="C85" s="64" t="s">
        <v>10193</v>
      </c>
      <c r="D85" s="63" t="s">
        <v>10194</v>
      </c>
      <c r="E85" s="63" t="s">
        <v>10195</v>
      </c>
      <c r="F85" s="63" t="s">
        <v>10196</v>
      </c>
      <c r="G85" s="63" t="s">
        <v>10197</v>
      </c>
      <c r="H85" s="63" t="s">
        <v>10198</v>
      </c>
      <c r="I85" s="63" t="s">
        <v>10199</v>
      </c>
      <c r="J85" s="63" t="s">
        <v>10200</v>
      </c>
      <c r="K85" s="63" t="s">
        <v>10201</v>
      </c>
      <c r="L85" s="63" t="s">
        <v>10202</v>
      </c>
      <c r="M85" s="63" t="s">
        <v>10203</v>
      </c>
      <c r="N85" s="63" t="s">
        <v>10204</v>
      </c>
      <c r="O85" s="63" t="s">
        <v>10205</v>
      </c>
      <c r="P85" s="63" t="s">
        <v>10206</v>
      </c>
      <c r="Q85" s="63" t="s">
        <v>10207</v>
      </c>
      <c r="R85" s="63" t="s">
        <v>10208</v>
      </c>
      <c r="S85" s="63" t="s">
        <v>10209</v>
      </c>
      <c r="T85" s="63" t="s">
        <v>10210</v>
      </c>
      <c r="U85" s="63" t="s">
        <v>10211</v>
      </c>
      <c r="V85" s="63" t="s">
        <v>10212</v>
      </c>
      <c r="W85" s="63" t="s">
        <v>10213</v>
      </c>
      <c r="X85" s="63" t="s">
        <v>10214</v>
      </c>
      <c r="Y85" s="63" t="s">
        <v>10215</v>
      </c>
      <c r="Z85" s="63" t="s">
        <v>10216</v>
      </c>
      <c r="AA85" s="63" t="s">
        <v>10217</v>
      </c>
      <c r="AB85" s="63" t="s">
        <v>10218</v>
      </c>
      <c r="AC85" s="63" t="s">
        <v>10219</v>
      </c>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row>
    <row r="86">
      <c r="A86" s="62" t="s">
        <v>10220</v>
      </c>
      <c r="B86" s="63" t="s">
        <v>10221</v>
      </c>
      <c r="C86" s="64" t="s">
        <v>10222</v>
      </c>
      <c r="D86" s="63" t="s">
        <v>10223</v>
      </c>
      <c r="E86" s="63" t="s">
        <v>10224</v>
      </c>
      <c r="F86" s="63" t="s">
        <v>10225</v>
      </c>
      <c r="G86" s="63" t="s">
        <v>10226</v>
      </c>
      <c r="H86" s="63" t="s">
        <v>10227</v>
      </c>
      <c r="I86" s="63" t="s">
        <v>10228</v>
      </c>
      <c r="J86" s="63" t="s">
        <v>10229</v>
      </c>
      <c r="K86" s="63" t="s">
        <v>10230</v>
      </c>
      <c r="L86" s="63" t="s">
        <v>10231</v>
      </c>
      <c r="M86" s="63" t="s">
        <v>10232</v>
      </c>
      <c r="N86" s="63" t="s">
        <v>10233</v>
      </c>
      <c r="O86" s="63" t="s">
        <v>10234</v>
      </c>
      <c r="P86" s="63" t="s">
        <v>10235</v>
      </c>
      <c r="Q86" s="63" t="s">
        <v>10236</v>
      </c>
      <c r="R86" s="63" t="s">
        <v>10237</v>
      </c>
      <c r="S86" s="63" t="s">
        <v>10238</v>
      </c>
      <c r="T86" s="63" t="s">
        <v>10239</v>
      </c>
      <c r="U86" s="63" t="s">
        <v>10240</v>
      </c>
      <c r="V86" s="63" t="s">
        <v>10241</v>
      </c>
      <c r="W86" s="63" t="s">
        <v>10242</v>
      </c>
      <c r="X86" s="63" t="s">
        <v>10243</v>
      </c>
      <c r="Y86" s="63" t="s">
        <v>10244</v>
      </c>
      <c r="Z86" s="63" t="s">
        <v>10245</v>
      </c>
      <c r="AA86" s="63" t="s">
        <v>10246</v>
      </c>
      <c r="AB86" s="63" t="s">
        <v>10247</v>
      </c>
      <c r="AC86" s="63" t="s">
        <v>10248</v>
      </c>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row>
    <row r="87">
      <c r="A87" s="62" t="s">
        <v>10249</v>
      </c>
      <c r="B87" s="63" t="s">
        <v>10250</v>
      </c>
      <c r="C87" s="64" t="s">
        <v>10251</v>
      </c>
      <c r="D87" s="63" t="s">
        <v>10252</v>
      </c>
      <c r="E87" s="63" t="s">
        <v>10253</v>
      </c>
      <c r="F87" s="63" t="s">
        <v>10254</v>
      </c>
      <c r="G87" s="63" t="s">
        <v>10255</v>
      </c>
      <c r="H87" s="63" t="s">
        <v>10256</v>
      </c>
      <c r="I87" s="63" t="s">
        <v>10257</v>
      </c>
      <c r="J87" s="63" t="s">
        <v>10258</v>
      </c>
      <c r="K87" s="63" t="s">
        <v>10259</v>
      </c>
      <c r="L87" s="63" t="s">
        <v>10260</v>
      </c>
      <c r="M87" s="63" t="s">
        <v>10261</v>
      </c>
      <c r="N87" s="63" t="s">
        <v>10262</v>
      </c>
      <c r="O87" s="63" t="s">
        <v>10263</v>
      </c>
      <c r="P87" s="63" t="s">
        <v>10264</v>
      </c>
      <c r="Q87" s="63" t="s">
        <v>10265</v>
      </c>
      <c r="R87" s="63" t="s">
        <v>10266</v>
      </c>
      <c r="S87" s="63" t="s">
        <v>10267</v>
      </c>
      <c r="T87" s="63" t="s">
        <v>10268</v>
      </c>
      <c r="U87" s="63" t="s">
        <v>10269</v>
      </c>
      <c r="V87" s="63" t="s">
        <v>10270</v>
      </c>
      <c r="W87" s="63" t="s">
        <v>10271</v>
      </c>
      <c r="X87" s="63" t="s">
        <v>10272</v>
      </c>
      <c r="Y87" s="63" t="s">
        <v>10273</v>
      </c>
      <c r="Z87" s="63" t="s">
        <v>10274</v>
      </c>
      <c r="AA87" s="63" t="s">
        <v>10275</v>
      </c>
      <c r="AB87" s="63" t="s">
        <v>10276</v>
      </c>
      <c r="AC87" s="63" t="s">
        <v>10277</v>
      </c>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row>
    <row r="88">
      <c r="A88" s="62" t="s">
        <v>10278</v>
      </c>
      <c r="B88" s="63" t="s">
        <v>10279</v>
      </c>
      <c r="C88" s="64" t="s">
        <v>4445</v>
      </c>
      <c r="D88" s="63" t="s">
        <v>10280</v>
      </c>
      <c r="E88" s="63" t="s">
        <v>10281</v>
      </c>
      <c r="F88" s="63" t="s">
        <v>10282</v>
      </c>
      <c r="G88" s="63" t="s">
        <v>10283</v>
      </c>
      <c r="H88" s="63" t="s">
        <v>10284</v>
      </c>
      <c r="I88" s="63" t="s">
        <v>10285</v>
      </c>
      <c r="J88" s="63" t="s">
        <v>10286</v>
      </c>
      <c r="K88" s="63" t="s">
        <v>4453</v>
      </c>
      <c r="L88" s="63" t="s">
        <v>10287</v>
      </c>
      <c r="M88" s="63" t="s">
        <v>10288</v>
      </c>
      <c r="N88" s="63" t="s">
        <v>4456</v>
      </c>
      <c r="O88" s="63" t="s">
        <v>10289</v>
      </c>
      <c r="P88" s="63" t="s">
        <v>10290</v>
      </c>
      <c r="Q88" s="63" t="s">
        <v>4459</v>
      </c>
      <c r="R88" s="63" t="s">
        <v>10291</v>
      </c>
      <c r="S88" s="63" t="s">
        <v>10292</v>
      </c>
      <c r="T88" s="63" t="s">
        <v>10293</v>
      </c>
      <c r="U88" s="63" t="s">
        <v>10294</v>
      </c>
      <c r="V88" s="63" t="s">
        <v>10295</v>
      </c>
      <c r="W88" s="63" t="s">
        <v>10283</v>
      </c>
      <c r="X88" s="63" t="s">
        <v>10296</v>
      </c>
      <c r="Y88" s="63" t="s">
        <v>4466</v>
      </c>
      <c r="Z88" s="63" t="s">
        <v>10297</v>
      </c>
      <c r="AA88" s="63" t="s">
        <v>10298</v>
      </c>
      <c r="AB88" s="63" t="s">
        <v>4469</v>
      </c>
      <c r="AC88" s="63" t="s">
        <v>10299</v>
      </c>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row>
    <row r="89">
      <c r="A89" s="62" t="s">
        <v>10300</v>
      </c>
      <c r="B89" s="63" t="s">
        <v>10301</v>
      </c>
      <c r="C89" s="64" t="s">
        <v>9082</v>
      </c>
      <c r="D89" s="63" t="s">
        <v>10302</v>
      </c>
      <c r="E89" s="63" t="s">
        <v>10303</v>
      </c>
      <c r="F89" s="63" t="s">
        <v>10304</v>
      </c>
      <c r="G89" s="63" t="s">
        <v>10305</v>
      </c>
      <c r="H89" s="63" t="s">
        <v>10306</v>
      </c>
      <c r="I89" s="63" t="s">
        <v>10307</v>
      </c>
      <c r="J89" s="63" t="s">
        <v>10308</v>
      </c>
      <c r="K89" s="63" t="s">
        <v>9090</v>
      </c>
      <c r="L89" s="63" t="s">
        <v>10309</v>
      </c>
      <c r="M89" s="63" t="s">
        <v>10310</v>
      </c>
      <c r="N89" s="63" t="s">
        <v>9093</v>
      </c>
      <c r="O89" s="63" t="s">
        <v>9094</v>
      </c>
      <c r="P89" s="63" t="s">
        <v>9095</v>
      </c>
      <c r="Q89" s="63" t="s">
        <v>9096</v>
      </c>
      <c r="R89" s="63" t="s">
        <v>9097</v>
      </c>
      <c r="S89" s="63" t="s">
        <v>10311</v>
      </c>
      <c r="T89" s="63" t="s">
        <v>10312</v>
      </c>
      <c r="U89" s="63" t="s">
        <v>10313</v>
      </c>
      <c r="V89" s="63" t="s">
        <v>10314</v>
      </c>
      <c r="W89" s="63" t="s">
        <v>10315</v>
      </c>
      <c r="X89" s="63" t="s">
        <v>10316</v>
      </c>
      <c r="Y89" s="63" t="s">
        <v>9104</v>
      </c>
      <c r="Z89" s="63" t="s">
        <v>10317</v>
      </c>
      <c r="AA89" s="63" t="s">
        <v>10318</v>
      </c>
      <c r="AB89" s="63" t="s">
        <v>5965</v>
      </c>
      <c r="AC89" s="63" t="s">
        <v>10319</v>
      </c>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row>
    <row r="90">
      <c r="A90" s="62" t="s">
        <v>10320</v>
      </c>
      <c r="B90" s="63" t="s">
        <v>10321</v>
      </c>
      <c r="C90" s="64" t="s">
        <v>10322</v>
      </c>
      <c r="D90" s="63" t="s">
        <v>10323</v>
      </c>
      <c r="E90" s="63" t="s">
        <v>10324</v>
      </c>
      <c r="F90" s="63" t="s">
        <v>10325</v>
      </c>
      <c r="G90" s="63" t="s">
        <v>10326</v>
      </c>
      <c r="H90" s="63" t="s">
        <v>10327</v>
      </c>
      <c r="I90" s="63" t="s">
        <v>10328</v>
      </c>
      <c r="J90" s="63" t="s">
        <v>10329</v>
      </c>
      <c r="K90" s="63" t="s">
        <v>10330</v>
      </c>
      <c r="L90" s="63" t="s">
        <v>10331</v>
      </c>
      <c r="M90" s="63" t="s">
        <v>10332</v>
      </c>
      <c r="N90" s="63" t="s">
        <v>10333</v>
      </c>
      <c r="O90" s="63" t="s">
        <v>10334</v>
      </c>
      <c r="P90" s="63" t="s">
        <v>10335</v>
      </c>
      <c r="Q90" s="63" t="s">
        <v>10336</v>
      </c>
      <c r="R90" s="63" t="s">
        <v>10337</v>
      </c>
      <c r="S90" s="63" t="s">
        <v>10338</v>
      </c>
      <c r="T90" s="63" t="s">
        <v>10339</v>
      </c>
      <c r="U90" s="63" t="s">
        <v>10340</v>
      </c>
      <c r="V90" s="63" t="s">
        <v>10341</v>
      </c>
      <c r="W90" s="63" t="s">
        <v>10342</v>
      </c>
      <c r="X90" s="63" t="s">
        <v>10343</v>
      </c>
      <c r="Y90" s="63" t="s">
        <v>10344</v>
      </c>
      <c r="Z90" s="63" t="s">
        <v>10345</v>
      </c>
      <c r="AA90" s="63" t="s">
        <v>10346</v>
      </c>
      <c r="AB90" s="63" t="s">
        <v>10347</v>
      </c>
      <c r="AC90" s="63" t="s">
        <v>10348</v>
      </c>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row>
    <row r="91">
      <c r="A91" s="47" t="s">
        <v>10349</v>
      </c>
      <c r="B91" s="48" t="s">
        <v>10350</v>
      </c>
      <c r="C91" s="49" t="s">
        <v>10351</v>
      </c>
      <c r="D91" s="48" t="s">
        <v>10352</v>
      </c>
      <c r="E91" s="48" t="s">
        <v>10353</v>
      </c>
      <c r="F91" s="48" t="s">
        <v>10354</v>
      </c>
      <c r="G91" s="48" t="s">
        <v>10355</v>
      </c>
      <c r="H91" s="48" t="s">
        <v>10356</v>
      </c>
      <c r="I91" s="48" t="s">
        <v>10357</v>
      </c>
      <c r="J91" s="48" t="s">
        <v>10358</v>
      </c>
      <c r="K91" s="54" t="s">
        <v>10359</v>
      </c>
      <c r="L91" s="48" t="s">
        <v>10360</v>
      </c>
      <c r="M91" s="48" t="s">
        <v>10361</v>
      </c>
      <c r="N91" s="48" t="s">
        <v>10362</v>
      </c>
      <c r="O91" s="50" t="s">
        <v>10363</v>
      </c>
      <c r="P91" s="55" t="s">
        <v>10364</v>
      </c>
      <c r="Q91" s="56" t="s">
        <v>10365</v>
      </c>
      <c r="R91" s="51" t="s">
        <v>10366</v>
      </c>
      <c r="S91" s="48" t="s">
        <v>10367</v>
      </c>
      <c r="T91" s="48" t="s">
        <v>10368</v>
      </c>
      <c r="U91" s="48" t="s">
        <v>10369</v>
      </c>
      <c r="V91" s="48" t="s">
        <v>10370</v>
      </c>
      <c r="W91" s="48" t="s">
        <v>10371</v>
      </c>
      <c r="X91" s="48" t="s">
        <v>10372</v>
      </c>
      <c r="Y91" s="52" t="s">
        <v>10373</v>
      </c>
      <c r="Z91" s="48" t="s">
        <v>10374</v>
      </c>
      <c r="AA91" s="48" t="s">
        <v>10375</v>
      </c>
      <c r="AB91" s="53" t="s">
        <v>10376</v>
      </c>
      <c r="AC91" s="48" t="s">
        <v>10377</v>
      </c>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row>
    <row r="92">
      <c r="A92" s="62" t="s">
        <v>10378</v>
      </c>
      <c r="B92" s="63" t="s">
        <v>9110</v>
      </c>
      <c r="C92" s="64" t="s">
        <v>6050</v>
      </c>
      <c r="D92" s="63" t="s">
        <v>9111</v>
      </c>
      <c r="E92" s="63" t="s">
        <v>9110</v>
      </c>
      <c r="F92" s="63" t="s">
        <v>9112</v>
      </c>
      <c r="G92" s="63" t="s">
        <v>9113</v>
      </c>
      <c r="H92" s="63" t="s">
        <v>10379</v>
      </c>
      <c r="I92" s="63" t="s">
        <v>9110</v>
      </c>
      <c r="J92" s="63" t="s">
        <v>9116</v>
      </c>
      <c r="K92" s="63" t="s">
        <v>9117</v>
      </c>
      <c r="L92" s="63" t="s">
        <v>9118</v>
      </c>
      <c r="M92" s="63" t="s">
        <v>9119</v>
      </c>
      <c r="N92" s="63" t="s">
        <v>9120</v>
      </c>
      <c r="O92" s="63" t="s">
        <v>10380</v>
      </c>
      <c r="P92" s="63" t="s">
        <v>9122</v>
      </c>
      <c r="Q92" s="63" t="s">
        <v>9123</v>
      </c>
      <c r="R92" s="63" t="s">
        <v>9124</v>
      </c>
      <c r="S92" s="63" t="s">
        <v>10381</v>
      </c>
      <c r="T92" s="63" t="s">
        <v>9126</v>
      </c>
      <c r="U92" s="63" t="s">
        <v>9127</v>
      </c>
      <c r="V92" s="63" t="s">
        <v>9128</v>
      </c>
      <c r="W92" s="63" t="s">
        <v>9129</v>
      </c>
      <c r="X92" s="63" t="s">
        <v>9130</v>
      </c>
      <c r="Y92" s="63" t="s">
        <v>9131</v>
      </c>
      <c r="Z92" s="63" t="s">
        <v>9132</v>
      </c>
      <c r="AA92" s="63" t="s">
        <v>10382</v>
      </c>
      <c r="AB92" s="63" t="s">
        <v>9134</v>
      </c>
      <c r="AC92" s="63" t="s">
        <v>9135</v>
      </c>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row>
    <row r="93">
      <c r="A93" s="62" t="s">
        <v>10383</v>
      </c>
      <c r="B93" s="63" t="s">
        <v>109</v>
      </c>
      <c r="C93" s="64" t="s">
        <v>110</v>
      </c>
      <c r="D93" s="63" t="s">
        <v>111</v>
      </c>
      <c r="E93" s="63" t="s">
        <v>112</v>
      </c>
      <c r="F93" s="63" t="s">
        <v>113</v>
      </c>
      <c r="G93" s="63" t="s">
        <v>114</v>
      </c>
      <c r="H93" s="63" t="s">
        <v>10036</v>
      </c>
      <c r="I93" s="63" t="s">
        <v>116</v>
      </c>
      <c r="J93" s="63" t="s">
        <v>117</v>
      </c>
      <c r="K93" s="63" t="s">
        <v>118</v>
      </c>
      <c r="L93" s="63" t="s">
        <v>119</v>
      </c>
      <c r="M93" s="63" t="s">
        <v>120</v>
      </c>
      <c r="N93" s="63" t="s">
        <v>121</v>
      </c>
      <c r="O93" s="63" t="s">
        <v>10037</v>
      </c>
      <c r="P93" s="63" t="s">
        <v>10038</v>
      </c>
      <c r="Q93" s="63" t="s">
        <v>124</v>
      </c>
      <c r="R93" s="63" t="s">
        <v>125</v>
      </c>
      <c r="S93" s="63" t="s">
        <v>126</v>
      </c>
      <c r="T93" s="63" t="s">
        <v>10039</v>
      </c>
      <c r="U93" s="63" t="s">
        <v>128</v>
      </c>
      <c r="V93" s="63" t="s">
        <v>129</v>
      </c>
      <c r="W93" s="63" t="s">
        <v>114</v>
      </c>
      <c r="X93" s="63" t="s">
        <v>130</v>
      </c>
      <c r="Y93" s="63" t="s">
        <v>131</v>
      </c>
      <c r="Z93" s="63" t="s">
        <v>132</v>
      </c>
      <c r="AA93" s="63" t="s">
        <v>133</v>
      </c>
      <c r="AB93" s="63" t="s">
        <v>134</v>
      </c>
      <c r="AC93" s="63" t="s">
        <v>135</v>
      </c>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row>
    <row r="94">
      <c r="A94" s="62" t="s">
        <v>10384</v>
      </c>
      <c r="B94" s="63" t="s">
        <v>2648</v>
      </c>
      <c r="C94" s="64" t="s">
        <v>2649</v>
      </c>
      <c r="D94" s="63" t="s">
        <v>2650</v>
      </c>
      <c r="E94" s="63" t="s">
        <v>2651</v>
      </c>
      <c r="F94" s="63" t="s">
        <v>2652</v>
      </c>
      <c r="G94" s="63" t="s">
        <v>2653</v>
      </c>
      <c r="H94" s="63" t="s">
        <v>2654</v>
      </c>
      <c r="I94" s="63" t="s">
        <v>2655</v>
      </c>
      <c r="J94" s="63" t="s">
        <v>2656</v>
      </c>
      <c r="K94" s="63" t="s">
        <v>2657</v>
      </c>
      <c r="L94" s="63" t="s">
        <v>2658</v>
      </c>
      <c r="M94" s="63" t="s">
        <v>2648</v>
      </c>
      <c r="N94" s="63" t="s">
        <v>2659</v>
      </c>
      <c r="O94" s="63" t="s">
        <v>10385</v>
      </c>
      <c r="P94" s="63" t="s">
        <v>2661</v>
      </c>
      <c r="Q94" s="63" t="s">
        <v>2662</v>
      </c>
      <c r="R94" s="63" t="s">
        <v>2663</v>
      </c>
      <c r="S94" s="63" t="s">
        <v>2664</v>
      </c>
      <c r="T94" s="63" t="s">
        <v>2665</v>
      </c>
      <c r="U94" s="63" t="s">
        <v>2648</v>
      </c>
      <c r="V94" s="63" t="s">
        <v>2666</v>
      </c>
      <c r="W94" s="63" t="s">
        <v>2667</v>
      </c>
      <c r="X94" s="63" t="s">
        <v>2668</v>
      </c>
      <c r="Y94" s="63" t="s">
        <v>2669</v>
      </c>
      <c r="Z94" s="63" t="s">
        <v>2670</v>
      </c>
      <c r="AA94" s="63" t="s">
        <v>10386</v>
      </c>
      <c r="AB94" s="63" t="s">
        <v>2672</v>
      </c>
      <c r="AC94" s="63" t="s">
        <v>2673</v>
      </c>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row>
    <row r="95">
      <c r="A95" s="62" t="s">
        <v>10387</v>
      </c>
      <c r="B95" s="63" t="s">
        <v>10388</v>
      </c>
      <c r="C95" s="64" t="s">
        <v>10389</v>
      </c>
      <c r="D95" s="63" t="s">
        <v>10390</v>
      </c>
      <c r="E95" s="63" t="s">
        <v>10391</v>
      </c>
      <c r="F95" s="63" t="s">
        <v>10392</v>
      </c>
      <c r="G95" s="63" t="s">
        <v>10393</v>
      </c>
      <c r="H95" s="63" t="s">
        <v>10394</v>
      </c>
      <c r="I95" s="63" t="s">
        <v>10395</v>
      </c>
      <c r="J95" s="63" t="s">
        <v>10396</v>
      </c>
      <c r="K95" s="63" t="s">
        <v>10397</v>
      </c>
      <c r="L95" s="63" t="s">
        <v>10398</v>
      </c>
      <c r="M95" s="63" t="s">
        <v>10399</v>
      </c>
      <c r="N95" s="63" t="s">
        <v>10400</v>
      </c>
      <c r="O95" s="63" t="s">
        <v>10401</v>
      </c>
      <c r="P95" s="63" t="s">
        <v>10402</v>
      </c>
      <c r="Q95" s="63" t="s">
        <v>10403</v>
      </c>
      <c r="R95" s="63" t="s">
        <v>10404</v>
      </c>
      <c r="S95" s="63" t="s">
        <v>10405</v>
      </c>
      <c r="T95" s="63" t="s">
        <v>10406</v>
      </c>
      <c r="U95" s="63" t="s">
        <v>10407</v>
      </c>
      <c r="V95" s="63" t="s">
        <v>10408</v>
      </c>
      <c r="W95" s="63" t="s">
        <v>10409</v>
      </c>
      <c r="X95" s="63" t="s">
        <v>10410</v>
      </c>
      <c r="Y95" s="63" t="s">
        <v>10411</v>
      </c>
      <c r="Z95" s="63" t="s">
        <v>10412</v>
      </c>
      <c r="AA95" s="63" t="s">
        <v>10413</v>
      </c>
      <c r="AB95" s="63" t="s">
        <v>10414</v>
      </c>
      <c r="AC95" s="63" t="s">
        <v>10415</v>
      </c>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row>
    <row r="96">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row>
    <row r="97">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row>
    <row r="98">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row>
    <row r="99">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row>
    <row r="100">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5" width="47.88"/>
  </cols>
  <sheetData>
    <row r="1">
      <c r="A1" s="66" t="s">
        <v>48</v>
      </c>
      <c r="B1" s="66" t="s">
        <v>2</v>
      </c>
      <c r="C1" s="67" t="s">
        <v>4</v>
      </c>
      <c r="D1" s="67" t="s">
        <v>5</v>
      </c>
      <c r="E1" s="67" t="s">
        <v>6</v>
      </c>
      <c r="F1" s="67" t="s">
        <v>7</v>
      </c>
      <c r="G1" s="67" t="s">
        <v>8</v>
      </c>
      <c r="H1" s="67" t="s">
        <v>9</v>
      </c>
      <c r="I1" s="67" t="s">
        <v>10</v>
      </c>
      <c r="J1" s="67" t="s">
        <v>11</v>
      </c>
      <c r="K1" s="67" t="s">
        <v>12</v>
      </c>
      <c r="L1" s="67" t="s">
        <v>13</v>
      </c>
      <c r="M1" s="67" t="s">
        <v>14</v>
      </c>
      <c r="N1" s="67" t="s">
        <v>15</v>
      </c>
      <c r="O1" s="67" t="s">
        <v>16</v>
      </c>
      <c r="P1" s="67" t="s">
        <v>17</v>
      </c>
      <c r="Q1" s="67" t="s">
        <v>18</v>
      </c>
      <c r="R1" s="67" t="s">
        <v>19</v>
      </c>
      <c r="S1" s="67" t="s">
        <v>20</v>
      </c>
      <c r="T1" s="67" t="s">
        <v>21</v>
      </c>
      <c r="U1" s="67" t="s">
        <v>22</v>
      </c>
      <c r="V1" s="67" t="s">
        <v>23</v>
      </c>
      <c r="W1" s="68" t="s">
        <v>8989</v>
      </c>
      <c r="X1" s="67" t="s">
        <v>25</v>
      </c>
      <c r="Y1" s="67" t="s">
        <v>26</v>
      </c>
      <c r="Z1" s="67" t="s">
        <v>27</v>
      </c>
      <c r="AA1" s="67" t="s">
        <v>28</v>
      </c>
      <c r="AB1" s="68" t="s">
        <v>8990</v>
      </c>
      <c r="AC1" s="67" t="s">
        <v>3</v>
      </c>
      <c r="AD1" s="67"/>
      <c r="AE1" s="67"/>
      <c r="AF1" s="69"/>
      <c r="AG1" s="69"/>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1"/>
      <c r="BL1" s="71"/>
      <c r="BM1" s="71"/>
    </row>
    <row r="2">
      <c r="A2" s="37" t="s">
        <v>8995</v>
      </c>
      <c r="B2" s="38" t="s">
        <v>10416</v>
      </c>
      <c r="C2" s="39" t="s">
        <v>10417</v>
      </c>
      <c r="D2" s="38" t="s">
        <v>10418</v>
      </c>
      <c r="E2" s="38" t="s">
        <v>10419</v>
      </c>
      <c r="F2" s="38" t="s">
        <v>10416</v>
      </c>
      <c r="G2" s="38" t="s">
        <v>10420</v>
      </c>
      <c r="H2" s="38" t="s">
        <v>10421</v>
      </c>
      <c r="I2" s="38" t="s">
        <v>10422</v>
      </c>
      <c r="J2" s="38" t="s">
        <v>10423</v>
      </c>
      <c r="K2" s="40" t="s">
        <v>10424</v>
      </c>
      <c r="L2" s="38" t="s">
        <v>10425</v>
      </c>
      <c r="M2" s="38" t="s">
        <v>10426</v>
      </c>
      <c r="N2" s="41" t="s">
        <v>10427</v>
      </c>
      <c r="O2" s="42" t="s">
        <v>10428</v>
      </c>
      <c r="P2" s="43" t="s">
        <v>10429</v>
      </c>
      <c r="Q2" s="44" t="s">
        <v>10430</v>
      </c>
      <c r="R2" s="38" t="s">
        <v>10431</v>
      </c>
      <c r="S2" s="38" t="s">
        <v>10416</v>
      </c>
      <c r="T2" s="38" t="s">
        <v>10432</v>
      </c>
      <c r="U2" s="38" t="s">
        <v>10433</v>
      </c>
      <c r="V2" s="38" t="s">
        <v>10434</v>
      </c>
      <c r="W2" s="38" t="s">
        <v>10435</v>
      </c>
      <c r="X2" s="38" t="s">
        <v>10436</v>
      </c>
      <c r="Y2" s="46" t="s">
        <v>10437</v>
      </c>
      <c r="Z2" s="38" t="s">
        <v>10438</v>
      </c>
      <c r="AA2" s="38" t="s">
        <v>10416</v>
      </c>
      <c r="AB2" s="41" t="s">
        <v>10439</v>
      </c>
      <c r="AC2" s="38" t="s">
        <v>10440</v>
      </c>
      <c r="AD2" s="71"/>
      <c r="AE2" s="71"/>
      <c r="AF2" s="71"/>
      <c r="AG2" s="71"/>
      <c r="AH2" s="71"/>
      <c r="AI2" s="71"/>
      <c r="AJ2" s="71"/>
      <c r="AK2" s="71"/>
      <c r="AL2" s="71"/>
      <c r="AM2" s="71"/>
      <c r="AN2" s="71"/>
      <c r="AO2" s="71"/>
      <c r="AP2" s="71"/>
      <c r="AQ2" s="71"/>
      <c r="AR2" s="71"/>
      <c r="AS2" s="71"/>
      <c r="AT2" s="71"/>
      <c r="AU2" s="71"/>
      <c r="AV2" s="71"/>
      <c r="AW2" s="71"/>
      <c r="AX2" s="71"/>
      <c r="AY2" s="71"/>
      <c r="AZ2" s="71"/>
      <c r="BA2" s="71"/>
      <c r="BB2" s="71"/>
      <c r="BC2" s="71"/>
      <c r="BD2" s="71"/>
      <c r="BE2" s="71"/>
      <c r="BF2" s="71"/>
      <c r="BG2" s="71"/>
      <c r="BH2" s="71"/>
      <c r="BI2" s="71"/>
      <c r="BJ2" s="71"/>
      <c r="BK2" s="71"/>
      <c r="BL2" s="71"/>
      <c r="BM2" s="71"/>
    </row>
    <row r="3">
      <c r="A3" s="37" t="s">
        <v>10441</v>
      </c>
      <c r="B3" s="38" t="s">
        <v>10442</v>
      </c>
      <c r="C3" s="39" t="s">
        <v>10443</v>
      </c>
      <c r="D3" s="38" t="s">
        <v>10444</v>
      </c>
      <c r="E3" s="38" t="s">
        <v>10445</v>
      </c>
      <c r="F3" s="38" t="s">
        <v>10446</v>
      </c>
      <c r="G3" s="38" t="s">
        <v>10447</v>
      </c>
      <c r="H3" s="38" t="s">
        <v>10448</v>
      </c>
      <c r="I3" s="38" t="s">
        <v>10449</v>
      </c>
      <c r="J3" s="38" t="s">
        <v>10450</v>
      </c>
      <c r="K3" s="40" t="s">
        <v>10451</v>
      </c>
      <c r="L3" s="38" t="s">
        <v>10452</v>
      </c>
      <c r="M3" s="38" t="s">
        <v>10453</v>
      </c>
      <c r="N3" s="41" t="s">
        <v>10454</v>
      </c>
      <c r="O3" s="42" t="s">
        <v>10455</v>
      </c>
      <c r="P3" s="43" t="s">
        <v>10456</v>
      </c>
      <c r="Q3" s="44" t="s">
        <v>10457</v>
      </c>
      <c r="R3" s="45" t="s">
        <v>10458</v>
      </c>
      <c r="S3" s="38" t="s">
        <v>10459</v>
      </c>
      <c r="T3" s="38" t="s">
        <v>10460</v>
      </c>
      <c r="U3" s="38" t="s">
        <v>10461</v>
      </c>
      <c r="V3" s="38" t="s">
        <v>10462</v>
      </c>
      <c r="W3" s="38" t="s">
        <v>10463</v>
      </c>
      <c r="X3" s="38" t="s">
        <v>10464</v>
      </c>
      <c r="Y3" s="46" t="s">
        <v>10465</v>
      </c>
      <c r="Z3" s="38" t="s">
        <v>10466</v>
      </c>
      <c r="AA3" s="38" t="s">
        <v>10467</v>
      </c>
      <c r="AB3" s="41" t="s">
        <v>10468</v>
      </c>
      <c r="AC3" s="38" t="s">
        <v>10469</v>
      </c>
      <c r="AD3" s="71"/>
      <c r="AE3" s="71"/>
      <c r="AF3" s="71"/>
      <c r="AG3" s="71"/>
      <c r="AH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1"/>
      <c r="BI3" s="71"/>
      <c r="BJ3" s="71"/>
      <c r="BK3" s="71"/>
      <c r="BL3" s="71"/>
      <c r="BM3" s="71"/>
    </row>
    <row r="4">
      <c r="A4" s="37" t="s">
        <v>10470</v>
      </c>
      <c r="B4" s="38" t="s">
        <v>10416</v>
      </c>
      <c r="C4" s="39" t="s">
        <v>10417</v>
      </c>
      <c r="D4" s="38" t="s">
        <v>10418</v>
      </c>
      <c r="E4" s="38" t="s">
        <v>10419</v>
      </c>
      <c r="F4" s="38" t="s">
        <v>10416</v>
      </c>
      <c r="G4" s="38" t="s">
        <v>10420</v>
      </c>
      <c r="H4" s="38" t="s">
        <v>10421</v>
      </c>
      <c r="I4" s="38" t="s">
        <v>10422</v>
      </c>
      <c r="J4" s="38" t="s">
        <v>10423</v>
      </c>
      <c r="K4" s="40" t="s">
        <v>10424</v>
      </c>
      <c r="L4" s="38" t="s">
        <v>10425</v>
      </c>
      <c r="M4" s="38" t="s">
        <v>10426</v>
      </c>
      <c r="N4" s="41" t="s">
        <v>10427</v>
      </c>
      <c r="O4" s="42" t="s">
        <v>10428</v>
      </c>
      <c r="P4" s="43" t="s">
        <v>10429</v>
      </c>
      <c r="Q4" s="44" t="s">
        <v>10430</v>
      </c>
      <c r="R4" s="38" t="s">
        <v>10431</v>
      </c>
      <c r="S4" s="38" t="s">
        <v>10416</v>
      </c>
      <c r="T4" s="38" t="s">
        <v>10432</v>
      </c>
      <c r="U4" s="38" t="s">
        <v>10433</v>
      </c>
      <c r="V4" s="38" t="s">
        <v>10434</v>
      </c>
      <c r="W4" s="38" t="s">
        <v>10435</v>
      </c>
      <c r="X4" s="38" t="s">
        <v>10436</v>
      </c>
      <c r="Y4" s="46" t="s">
        <v>10437</v>
      </c>
      <c r="Z4" s="38" t="s">
        <v>10438</v>
      </c>
      <c r="AA4" s="38" t="s">
        <v>10416</v>
      </c>
      <c r="AB4" s="41" t="s">
        <v>10439</v>
      </c>
      <c r="AC4" s="38" t="s">
        <v>5792</v>
      </c>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row>
    <row r="5">
      <c r="A5" s="37" t="s">
        <v>10471</v>
      </c>
      <c r="B5" s="38" t="s">
        <v>10472</v>
      </c>
      <c r="C5" s="39" t="s">
        <v>10473</v>
      </c>
      <c r="D5" s="38" t="s">
        <v>10474</v>
      </c>
      <c r="E5" s="38" t="s">
        <v>10475</v>
      </c>
      <c r="F5" s="38" t="s">
        <v>10476</v>
      </c>
      <c r="G5" s="38" t="s">
        <v>10477</v>
      </c>
      <c r="H5" s="38" t="s">
        <v>10478</v>
      </c>
      <c r="I5" s="38" t="s">
        <v>10479</v>
      </c>
      <c r="J5" s="38" t="s">
        <v>10480</v>
      </c>
      <c r="K5" s="40" t="s">
        <v>10481</v>
      </c>
      <c r="L5" s="38" t="s">
        <v>10482</v>
      </c>
      <c r="M5" s="38" t="s">
        <v>10483</v>
      </c>
      <c r="N5" s="41" t="s">
        <v>10484</v>
      </c>
      <c r="O5" s="42" t="s">
        <v>10485</v>
      </c>
      <c r="P5" s="43" t="s">
        <v>10486</v>
      </c>
      <c r="Q5" s="44" t="s">
        <v>10487</v>
      </c>
      <c r="R5" s="45" t="s">
        <v>10488</v>
      </c>
      <c r="S5" s="38" t="s">
        <v>10489</v>
      </c>
      <c r="T5" s="38" t="s">
        <v>10490</v>
      </c>
      <c r="U5" s="38" t="s">
        <v>10491</v>
      </c>
      <c r="V5" s="38" t="s">
        <v>10492</v>
      </c>
      <c r="W5" s="38" t="s">
        <v>10493</v>
      </c>
      <c r="X5" s="38" t="s">
        <v>10494</v>
      </c>
      <c r="Y5" s="46" t="s">
        <v>10495</v>
      </c>
      <c r="Z5" s="38" t="s">
        <v>10496</v>
      </c>
      <c r="AA5" s="38" t="s">
        <v>10497</v>
      </c>
      <c r="AB5" s="41" t="s">
        <v>10498</v>
      </c>
      <c r="AC5" s="38" t="s">
        <v>10499</v>
      </c>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row>
    <row r="6">
      <c r="A6" s="37" t="s">
        <v>854</v>
      </c>
      <c r="B6" s="38" t="s">
        <v>36</v>
      </c>
      <c r="C6" s="39" t="s">
        <v>856</v>
      </c>
      <c r="D6" s="38" t="s">
        <v>693</v>
      </c>
      <c r="E6" s="38" t="s">
        <v>857</v>
      </c>
      <c r="F6" s="38" t="s">
        <v>858</v>
      </c>
      <c r="G6" s="38" t="s">
        <v>859</v>
      </c>
      <c r="H6" s="38" t="s">
        <v>860</v>
      </c>
      <c r="I6" s="38" t="s">
        <v>861</v>
      </c>
      <c r="J6" s="38" t="s">
        <v>862</v>
      </c>
      <c r="K6" s="40" t="s">
        <v>863</v>
      </c>
      <c r="L6" s="38" t="s">
        <v>701</v>
      </c>
      <c r="M6" s="38" t="s">
        <v>864</v>
      </c>
      <c r="N6" s="41" t="s">
        <v>703</v>
      </c>
      <c r="O6" s="42" t="s">
        <v>704</v>
      </c>
      <c r="P6" s="43" t="s">
        <v>10500</v>
      </c>
      <c r="Q6" s="44" t="s">
        <v>866</v>
      </c>
      <c r="R6" s="45" t="s">
        <v>867</v>
      </c>
      <c r="S6" s="38" t="s">
        <v>10501</v>
      </c>
      <c r="T6" s="38" t="s">
        <v>709</v>
      </c>
      <c r="U6" s="38" t="s">
        <v>870</v>
      </c>
      <c r="V6" s="38" t="s">
        <v>871</v>
      </c>
      <c r="W6" s="38" t="s">
        <v>872</v>
      </c>
      <c r="X6" s="38" t="s">
        <v>873</v>
      </c>
      <c r="Y6" s="46" t="s">
        <v>714</v>
      </c>
      <c r="Z6" s="38" t="s">
        <v>874</v>
      </c>
      <c r="AA6" s="38" t="s">
        <v>716</v>
      </c>
      <c r="AB6" s="41" t="s">
        <v>876</v>
      </c>
      <c r="AC6" s="38" t="s">
        <v>718</v>
      </c>
      <c r="AD6" s="71"/>
      <c r="AE6" s="71"/>
      <c r="AF6" s="71"/>
      <c r="AG6" s="71"/>
      <c r="AH6" s="71"/>
      <c r="AI6" s="71"/>
      <c r="AJ6" s="71"/>
      <c r="AK6" s="71"/>
      <c r="AL6" s="71"/>
      <c r="AM6" s="71"/>
      <c r="AN6" s="71"/>
      <c r="AO6" s="71"/>
      <c r="AP6" s="71"/>
      <c r="AQ6" s="71"/>
      <c r="AR6" s="71"/>
      <c r="AS6" s="71"/>
      <c r="AT6" s="71"/>
      <c r="AU6" s="71"/>
      <c r="AV6" s="71"/>
      <c r="AW6" s="71"/>
      <c r="AX6" s="71"/>
      <c r="AY6" s="71"/>
      <c r="AZ6" s="71"/>
      <c r="BA6" s="71"/>
      <c r="BB6" s="71"/>
      <c r="BC6" s="71"/>
      <c r="BD6" s="71"/>
      <c r="BE6" s="71"/>
      <c r="BF6" s="71"/>
      <c r="BG6" s="71"/>
      <c r="BH6" s="71"/>
      <c r="BI6" s="71"/>
      <c r="BJ6" s="71"/>
      <c r="BK6" s="71"/>
      <c r="BL6" s="71"/>
      <c r="BM6" s="71"/>
    </row>
    <row r="7">
      <c r="A7" s="37" t="s">
        <v>10502</v>
      </c>
      <c r="B7" s="38" t="s">
        <v>10503</v>
      </c>
      <c r="C7" s="39" t="s">
        <v>10504</v>
      </c>
      <c r="D7" s="38" t="s">
        <v>10505</v>
      </c>
      <c r="E7" s="38" t="s">
        <v>10506</v>
      </c>
      <c r="F7" s="38" t="s">
        <v>10507</v>
      </c>
      <c r="G7" s="38" t="s">
        <v>10508</v>
      </c>
      <c r="H7" s="38" t="s">
        <v>10509</v>
      </c>
      <c r="I7" s="38" t="s">
        <v>10510</v>
      </c>
      <c r="J7" s="38" t="s">
        <v>10511</v>
      </c>
      <c r="K7" s="40" t="s">
        <v>10512</v>
      </c>
      <c r="L7" s="38" t="s">
        <v>10513</v>
      </c>
      <c r="M7" s="38" t="s">
        <v>10514</v>
      </c>
      <c r="N7" s="41" t="s">
        <v>10515</v>
      </c>
      <c r="O7" s="42" t="s">
        <v>10516</v>
      </c>
      <c r="P7" s="43" t="s">
        <v>10517</v>
      </c>
      <c r="Q7" s="44" t="s">
        <v>10518</v>
      </c>
      <c r="R7" s="45" t="s">
        <v>10519</v>
      </c>
      <c r="S7" s="38" t="s">
        <v>10520</v>
      </c>
      <c r="T7" s="38" t="s">
        <v>10513</v>
      </c>
      <c r="U7" s="38" t="s">
        <v>10521</v>
      </c>
      <c r="V7" s="38" t="s">
        <v>10522</v>
      </c>
      <c r="W7" s="38" t="s">
        <v>10523</v>
      </c>
      <c r="X7" s="38" t="s">
        <v>10524</v>
      </c>
      <c r="Y7" s="46" t="s">
        <v>10525</v>
      </c>
      <c r="Z7" s="38" t="s">
        <v>10526</v>
      </c>
      <c r="AA7" s="38" t="s">
        <v>10527</v>
      </c>
      <c r="AB7" s="41" t="s">
        <v>10528</v>
      </c>
      <c r="AC7" s="38" t="s">
        <v>10529</v>
      </c>
      <c r="AD7" s="71"/>
      <c r="AE7" s="71"/>
      <c r="AF7" s="71"/>
      <c r="AG7" s="71"/>
      <c r="AH7" s="71"/>
      <c r="AI7" s="71"/>
      <c r="AJ7" s="71"/>
      <c r="AK7" s="71"/>
      <c r="AL7" s="71"/>
      <c r="AM7" s="71"/>
      <c r="AN7" s="71"/>
      <c r="AO7" s="71"/>
      <c r="AP7" s="71"/>
      <c r="AQ7" s="71"/>
      <c r="AR7" s="71"/>
      <c r="AS7" s="71"/>
      <c r="AT7" s="71"/>
      <c r="AU7" s="71"/>
      <c r="AV7" s="71"/>
      <c r="AW7" s="71"/>
      <c r="AX7" s="71"/>
      <c r="AY7" s="71"/>
      <c r="AZ7" s="71"/>
      <c r="BA7" s="71"/>
      <c r="BB7" s="71"/>
      <c r="BC7" s="71"/>
      <c r="BD7" s="71"/>
      <c r="BE7" s="71"/>
      <c r="BF7" s="71"/>
      <c r="BG7" s="71"/>
      <c r="BH7" s="71"/>
      <c r="BI7" s="71"/>
      <c r="BJ7" s="71"/>
      <c r="BK7" s="71"/>
      <c r="BL7" s="71"/>
      <c r="BM7" s="71"/>
    </row>
    <row r="8">
      <c r="A8" s="37" t="s">
        <v>10530</v>
      </c>
      <c r="B8" s="38" t="s">
        <v>10531</v>
      </c>
      <c r="C8" s="39" t="s">
        <v>10532</v>
      </c>
      <c r="D8" s="38" t="s">
        <v>10531</v>
      </c>
      <c r="E8" s="38" t="s">
        <v>10531</v>
      </c>
      <c r="F8" s="38" t="s">
        <v>10533</v>
      </c>
      <c r="G8" s="38" t="s">
        <v>10531</v>
      </c>
      <c r="H8" s="38" t="s">
        <v>10531</v>
      </c>
      <c r="I8" s="38" t="s">
        <v>10534</v>
      </c>
      <c r="J8" s="38" t="s">
        <v>10531</v>
      </c>
      <c r="K8" s="40" t="s">
        <v>10535</v>
      </c>
      <c r="L8" s="38" t="s">
        <v>10531</v>
      </c>
      <c r="M8" s="38" t="s">
        <v>10530</v>
      </c>
      <c r="N8" s="38" t="s">
        <v>10531</v>
      </c>
      <c r="O8" s="42" t="s">
        <v>10536</v>
      </c>
      <c r="P8" s="38" t="s">
        <v>10531</v>
      </c>
      <c r="Q8" s="38" t="s">
        <v>10531</v>
      </c>
      <c r="R8" s="45" t="s">
        <v>10537</v>
      </c>
      <c r="S8" s="38" t="s">
        <v>10538</v>
      </c>
      <c r="T8" s="38" t="s">
        <v>10531</v>
      </c>
      <c r="U8" s="38" t="s">
        <v>10530</v>
      </c>
      <c r="V8" s="38" t="s">
        <v>10539</v>
      </c>
      <c r="W8" s="38" t="s">
        <v>10531</v>
      </c>
      <c r="X8" s="38" t="s">
        <v>10531</v>
      </c>
      <c r="Y8" s="46" t="s">
        <v>1151</v>
      </c>
      <c r="Z8" s="38" t="s">
        <v>10531</v>
      </c>
      <c r="AA8" s="38" t="s">
        <v>10540</v>
      </c>
      <c r="AB8" s="41" t="s">
        <v>10541</v>
      </c>
      <c r="AC8" s="38" t="s">
        <v>1155</v>
      </c>
      <c r="AD8" s="71"/>
      <c r="AE8" s="71"/>
      <c r="AF8" s="71"/>
      <c r="AG8" s="71"/>
      <c r="AH8" s="71"/>
      <c r="AI8" s="71"/>
      <c r="AJ8" s="71"/>
      <c r="AK8" s="71"/>
      <c r="AL8" s="71"/>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row>
    <row r="9">
      <c r="A9" s="37" t="s">
        <v>10542</v>
      </c>
      <c r="B9" s="38" t="s">
        <v>10543</v>
      </c>
      <c r="C9" s="39" t="s">
        <v>10544</v>
      </c>
      <c r="D9" s="38" t="s">
        <v>10545</v>
      </c>
      <c r="E9" s="38" t="s">
        <v>10546</v>
      </c>
      <c r="F9" s="38" t="s">
        <v>10547</v>
      </c>
      <c r="G9" s="38" t="s">
        <v>10548</v>
      </c>
      <c r="H9" s="38" t="s">
        <v>10549</v>
      </c>
      <c r="I9" s="38" t="s">
        <v>10550</v>
      </c>
      <c r="J9" s="38" t="s">
        <v>10543</v>
      </c>
      <c r="K9" s="40" t="s">
        <v>10551</v>
      </c>
      <c r="L9" s="38" t="s">
        <v>10552</v>
      </c>
      <c r="M9" s="38" t="s">
        <v>10553</v>
      </c>
      <c r="N9" s="41" t="s">
        <v>10554</v>
      </c>
      <c r="O9" s="42" t="s">
        <v>10555</v>
      </c>
      <c r="P9" s="43" t="s">
        <v>10556</v>
      </c>
      <c r="Q9" s="44" t="s">
        <v>10557</v>
      </c>
      <c r="R9" s="45" t="s">
        <v>10558</v>
      </c>
      <c r="S9" s="38" t="s">
        <v>10559</v>
      </c>
      <c r="T9" s="38" t="s">
        <v>10552</v>
      </c>
      <c r="U9" s="38" t="s">
        <v>10560</v>
      </c>
      <c r="V9" s="38" t="s">
        <v>10561</v>
      </c>
      <c r="W9" s="38" t="s">
        <v>10562</v>
      </c>
      <c r="X9" s="38" t="s">
        <v>10563</v>
      </c>
      <c r="Y9" s="46" t="s">
        <v>10564</v>
      </c>
      <c r="Z9" s="38" t="s">
        <v>10565</v>
      </c>
      <c r="AA9" s="38" t="s">
        <v>10566</v>
      </c>
      <c r="AB9" s="41" t="s">
        <v>10554</v>
      </c>
      <c r="AC9" s="38" t="s">
        <v>10567</v>
      </c>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row>
    <row r="10">
      <c r="A10" s="37" t="s">
        <v>9137</v>
      </c>
      <c r="B10" s="38" t="s">
        <v>9138</v>
      </c>
      <c r="C10" s="39" t="s">
        <v>9139</v>
      </c>
      <c r="D10" s="38" t="s">
        <v>9140</v>
      </c>
      <c r="E10" s="38" t="s">
        <v>9141</v>
      </c>
      <c r="F10" s="38" t="s">
        <v>9142</v>
      </c>
      <c r="G10" s="38" t="s">
        <v>9143</v>
      </c>
      <c r="H10" s="38" t="s">
        <v>9144</v>
      </c>
      <c r="I10" s="38" t="s">
        <v>9145</v>
      </c>
      <c r="J10" s="38" t="s">
        <v>9146</v>
      </c>
      <c r="K10" s="40" t="s">
        <v>9147</v>
      </c>
      <c r="L10" s="38" t="s">
        <v>9148</v>
      </c>
      <c r="M10" s="38" t="s">
        <v>9149</v>
      </c>
      <c r="N10" s="41" t="s">
        <v>9150</v>
      </c>
      <c r="O10" s="42" t="s">
        <v>10568</v>
      </c>
      <c r="P10" s="43" t="s">
        <v>9152</v>
      </c>
      <c r="Q10" s="44" t="s">
        <v>9153</v>
      </c>
      <c r="R10" s="45" t="s">
        <v>10569</v>
      </c>
      <c r="S10" s="38" t="s">
        <v>9155</v>
      </c>
      <c r="T10" s="38" t="s">
        <v>10570</v>
      </c>
      <c r="U10" s="38" t="s">
        <v>9157</v>
      </c>
      <c r="V10" s="38" t="s">
        <v>9158</v>
      </c>
      <c r="W10" s="38" t="s">
        <v>9159</v>
      </c>
      <c r="X10" s="38" t="s">
        <v>9160</v>
      </c>
      <c r="Y10" s="46" t="s">
        <v>9161</v>
      </c>
      <c r="Z10" s="38" t="s">
        <v>9162</v>
      </c>
      <c r="AA10" s="38" t="s">
        <v>9163</v>
      </c>
      <c r="AB10" s="41" t="s">
        <v>9164</v>
      </c>
      <c r="AC10" s="38" t="s">
        <v>10571</v>
      </c>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71"/>
    </row>
    <row r="11">
      <c r="A11" s="37" t="s">
        <v>10572</v>
      </c>
      <c r="B11" s="38" t="s">
        <v>10573</v>
      </c>
      <c r="C11" s="39" t="s">
        <v>10574</v>
      </c>
      <c r="D11" s="38" t="s">
        <v>10575</v>
      </c>
      <c r="E11" s="38" t="s">
        <v>10576</v>
      </c>
      <c r="F11" s="38" t="s">
        <v>10577</v>
      </c>
      <c r="G11" s="38" t="s">
        <v>10578</v>
      </c>
      <c r="H11" s="38" t="s">
        <v>10579</v>
      </c>
      <c r="I11" s="38" t="s">
        <v>10580</v>
      </c>
      <c r="J11" s="38" t="s">
        <v>10581</v>
      </c>
      <c r="K11" s="40" t="s">
        <v>10582</v>
      </c>
      <c r="L11" s="38" t="s">
        <v>10583</v>
      </c>
      <c r="M11" s="38" t="s">
        <v>10584</v>
      </c>
      <c r="N11" s="41" t="s">
        <v>10585</v>
      </c>
      <c r="O11" s="42" t="s">
        <v>10586</v>
      </c>
      <c r="P11" s="43" t="s">
        <v>10587</v>
      </c>
      <c r="Q11" s="44" t="s">
        <v>10588</v>
      </c>
      <c r="R11" s="45" t="s">
        <v>10589</v>
      </c>
      <c r="S11" s="38" t="s">
        <v>10590</v>
      </c>
      <c r="T11" s="38" t="s">
        <v>10591</v>
      </c>
      <c r="U11" s="38" t="s">
        <v>10592</v>
      </c>
      <c r="V11" s="38" t="s">
        <v>10593</v>
      </c>
      <c r="W11" s="38" t="s">
        <v>10594</v>
      </c>
      <c r="X11" s="38" t="s">
        <v>10595</v>
      </c>
      <c r="Y11" s="46" t="s">
        <v>10596</v>
      </c>
      <c r="Z11" s="38" t="s">
        <v>10597</v>
      </c>
      <c r="AA11" s="38" t="s">
        <v>10598</v>
      </c>
      <c r="AB11" s="41" t="s">
        <v>10599</v>
      </c>
      <c r="AC11" s="38" t="s">
        <v>10600</v>
      </c>
      <c r="AD11" s="71"/>
      <c r="AE11" s="71"/>
      <c r="AF11" s="71"/>
      <c r="AG11" s="71"/>
      <c r="AH11" s="71"/>
      <c r="AI11" s="71"/>
      <c r="AJ11" s="71"/>
      <c r="AK11" s="71"/>
      <c r="AL11" s="71"/>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row>
    <row r="12">
      <c r="A12" s="37" t="s">
        <v>9876</v>
      </c>
      <c r="B12" s="38" t="s">
        <v>9877</v>
      </c>
      <c r="C12" s="39" t="s">
        <v>9878</v>
      </c>
      <c r="D12" s="38" t="s">
        <v>9879</v>
      </c>
      <c r="E12" s="38" t="s">
        <v>9880</v>
      </c>
      <c r="F12" s="38" t="s">
        <v>9881</v>
      </c>
      <c r="G12" s="38" t="s">
        <v>9882</v>
      </c>
      <c r="H12" s="38" t="s">
        <v>9883</v>
      </c>
      <c r="I12" s="38" t="s">
        <v>9884</v>
      </c>
      <c r="J12" s="38" t="s">
        <v>9885</v>
      </c>
      <c r="K12" s="40" t="s">
        <v>9886</v>
      </c>
      <c r="L12" s="38" t="s">
        <v>9887</v>
      </c>
      <c r="M12" s="38" t="s">
        <v>9888</v>
      </c>
      <c r="N12" s="41" t="s">
        <v>9889</v>
      </c>
      <c r="O12" s="42" t="s">
        <v>9890</v>
      </c>
      <c r="P12" s="43" t="s">
        <v>9891</v>
      </c>
      <c r="Q12" s="44" t="s">
        <v>9892</v>
      </c>
      <c r="R12" s="45" t="s">
        <v>9893</v>
      </c>
      <c r="S12" s="38" t="s">
        <v>9894</v>
      </c>
      <c r="T12" s="38" t="s">
        <v>9895</v>
      </c>
      <c r="U12" s="38" t="s">
        <v>9896</v>
      </c>
      <c r="V12" s="38" t="s">
        <v>9897</v>
      </c>
      <c r="W12" s="38" t="s">
        <v>9882</v>
      </c>
      <c r="X12" s="38" t="s">
        <v>9898</v>
      </c>
      <c r="Y12" s="46" t="s">
        <v>9899</v>
      </c>
      <c r="Z12" s="38" t="s">
        <v>9900</v>
      </c>
      <c r="AA12" s="38" t="s">
        <v>9901</v>
      </c>
      <c r="AB12" s="41" t="s">
        <v>9164</v>
      </c>
      <c r="AC12" s="38" t="s">
        <v>9902</v>
      </c>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row>
    <row r="13">
      <c r="A13" s="37" t="s">
        <v>10601</v>
      </c>
      <c r="B13" s="38" t="s">
        <v>10602</v>
      </c>
      <c r="C13" s="39" t="s">
        <v>10603</v>
      </c>
      <c r="D13" s="38" t="s">
        <v>10602</v>
      </c>
      <c r="E13" s="38" t="s">
        <v>10604</v>
      </c>
      <c r="F13" s="38" t="s">
        <v>10605</v>
      </c>
      <c r="G13" s="38" t="s">
        <v>10606</v>
      </c>
      <c r="H13" s="38" t="s">
        <v>10602</v>
      </c>
      <c r="I13" s="38" t="s">
        <v>10607</v>
      </c>
      <c r="J13" s="38" t="s">
        <v>10602</v>
      </c>
      <c r="K13" s="40" t="s">
        <v>10608</v>
      </c>
      <c r="L13" s="38" t="s">
        <v>10609</v>
      </c>
      <c r="M13" s="38" t="s">
        <v>10602</v>
      </c>
      <c r="N13" s="41" t="s">
        <v>10610</v>
      </c>
      <c r="O13" s="42" t="s">
        <v>10611</v>
      </c>
      <c r="P13" s="43" t="s">
        <v>10612</v>
      </c>
      <c r="Q13" s="44" t="s">
        <v>10613</v>
      </c>
      <c r="R13" s="45" t="s">
        <v>10614</v>
      </c>
      <c r="S13" s="38" t="s">
        <v>10615</v>
      </c>
      <c r="T13" s="38" t="s">
        <v>10616</v>
      </c>
      <c r="U13" s="38" t="s">
        <v>10602</v>
      </c>
      <c r="V13" s="38" t="s">
        <v>10602</v>
      </c>
      <c r="W13" s="38" t="s">
        <v>10617</v>
      </c>
      <c r="X13" s="38" t="s">
        <v>10618</v>
      </c>
      <c r="Y13" s="46" t="s">
        <v>10619</v>
      </c>
      <c r="Z13" s="38" t="s">
        <v>10620</v>
      </c>
      <c r="AA13" s="38" t="s">
        <v>10618</v>
      </c>
      <c r="AB13" s="41" t="s">
        <v>10621</v>
      </c>
      <c r="AC13" s="38" t="s">
        <v>10622</v>
      </c>
      <c r="AD13" s="71"/>
      <c r="AE13" s="71"/>
      <c r="AF13" s="71"/>
      <c r="AG13" s="71"/>
      <c r="AH13" s="71"/>
      <c r="AI13" s="71"/>
      <c r="AJ13" s="71"/>
      <c r="AK13" s="71"/>
      <c r="AL13" s="71"/>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row>
    <row r="14">
      <c r="A14" s="37" t="s">
        <v>10623</v>
      </c>
      <c r="B14" s="38" t="s">
        <v>10624</v>
      </c>
      <c r="C14" s="39" t="s">
        <v>10625</v>
      </c>
      <c r="D14" s="38" t="s">
        <v>10626</v>
      </c>
      <c r="E14" s="38" t="s">
        <v>10627</v>
      </c>
      <c r="F14" s="38" t="s">
        <v>10628</v>
      </c>
      <c r="G14" s="38" t="s">
        <v>10629</v>
      </c>
      <c r="H14" s="38" t="s">
        <v>10630</v>
      </c>
      <c r="I14" s="38" t="s">
        <v>10631</v>
      </c>
      <c r="J14" s="38" t="s">
        <v>10632</v>
      </c>
      <c r="K14" s="40" t="s">
        <v>10633</v>
      </c>
      <c r="L14" s="38" t="s">
        <v>10634</v>
      </c>
      <c r="M14" s="38" t="s">
        <v>10635</v>
      </c>
      <c r="N14" s="41" t="s">
        <v>10636</v>
      </c>
      <c r="O14" s="42" t="s">
        <v>10637</v>
      </c>
      <c r="P14" s="43" t="s">
        <v>10638</v>
      </c>
      <c r="Q14" s="44" t="s">
        <v>10639</v>
      </c>
      <c r="R14" s="45" t="s">
        <v>10640</v>
      </c>
      <c r="S14" s="38" t="s">
        <v>10641</v>
      </c>
      <c r="T14" s="38" t="s">
        <v>10642</v>
      </c>
      <c r="U14" s="38" t="s">
        <v>10643</v>
      </c>
      <c r="V14" s="38" t="s">
        <v>10644</v>
      </c>
      <c r="W14" s="38" t="s">
        <v>10645</v>
      </c>
      <c r="X14" s="38" t="s">
        <v>10646</v>
      </c>
      <c r="Y14" s="46" t="s">
        <v>10647</v>
      </c>
      <c r="Z14" s="38" t="s">
        <v>10648</v>
      </c>
      <c r="AA14" s="38" t="s">
        <v>10649</v>
      </c>
      <c r="AB14" s="41" t="s">
        <v>10650</v>
      </c>
      <c r="AC14" s="38" t="s">
        <v>10651</v>
      </c>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row>
    <row r="15">
      <c r="A15" s="37" t="s">
        <v>10652</v>
      </c>
      <c r="B15" s="38" t="s">
        <v>10653</v>
      </c>
      <c r="C15" s="39" t="s">
        <v>10654</v>
      </c>
      <c r="D15" s="38" t="s">
        <v>10655</v>
      </c>
      <c r="E15" s="38" t="s">
        <v>10656</v>
      </c>
      <c r="F15" s="38" t="s">
        <v>10657</v>
      </c>
      <c r="G15" s="38" t="s">
        <v>10658</v>
      </c>
      <c r="H15" s="38" t="s">
        <v>10659</v>
      </c>
      <c r="I15" s="38" t="s">
        <v>10660</v>
      </c>
      <c r="J15" s="38" t="s">
        <v>10661</v>
      </c>
      <c r="K15" s="40" t="s">
        <v>10662</v>
      </c>
      <c r="L15" s="38" t="s">
        <v>10663</v>
      </c>
      <c r="M15" s="38" t="s">
        <v>10664</v>
      </c>
      <c r="N15" s="41" t="s">
        <v>10665</v>
      </c>
      <c r="O15" s="42" t="s">
        <v>10666</v>
      </c>
      <c r="P15" s="43" t="s">
        <v>10667</v>
      </c>
      <c r="Q15" s="44" t="s">
        <v>10668</v>
      </c>
      <c r="R15" s="45" t="s">
        <v>10669</v>
      </c>
      <c r="S15" s="38" t="s">
        <v>10670</v>
      </c>
      <c r="T15" s="38" t="s">
        <v>10671</v>
      </c>
      <c r="U15" s="38" t="s">
        <v>10672</v>
      </c>
      <c r="V15" s="38" t="s">
        <v>10673</v>
      </c>
      <c r="W15" s="38" t="s">
        <v>10674</v>
      </c>
      <c r="X15" s="38" t="s">
        <v>10675</v>
      </c>
      <c r="Y15" s="46" t="s">
        <v>10676</v>
      </c>
      <c r="Z15" s="38" t="s">
        <v>10677</v>
      </c>
      <c r="AA15" s="38" t="s">
        <v>10678</v>
      </c>
      <c r="AB15" s="41" t="s">
        <v>10679</v>
      </c>
      <c r="AC15" s="38" t="s">
        <v>10680</v>
      </c>
      <c r="AD15" s="71"/>
      <c r="AE15" s="71"/>
      <c r="AF15" s="71"/>
      <c r="AG15" s="71"/>
      <c r="AH15" s="71"/>
      <c r="AI15" s="71"/>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row>
    <row r="16">
      <c r="A16" s="37" t="s">
        <v>10681</v>
      </c>
      <c r="B16" s="38" t="s">
        <v>10682</v>
      </c>
      <c r="C16" s="39" t="s">
        <v>10683</v>
      </c>
      <c r="D16" s="38" t="s">
        <v>10684</v>
      </c>
      <c r="E16" s="38" t="s">
        <v>10685</v>
      </c>
      <c r="F16" s="38" t="s">
        <v>10686</v>
      </c>
      <c r="G16" s="38" t="s">
        <v>10687</v>
      </c>
      <c r="H16" s="38" t="s">
        <v>10688</v>
      </c>
      <c r="I16" s="38" t="s">
        <v>10689</v>
      </c>
      <c r="J16" s="38" t="s">
        <v>10690</v>
      </c>
      <c r="K16" s="40" t="s">
        <v>10691</v>
      </c>
      <c r="L16" s="38" t="s">
        <v>10692</v>
      </c>
      <c r="M16" s="38" t="s">
        <v>10693</v>
      </c>
      <c r="N16" s="41" t="s">
        <v>10694</v>
      </c>
      <c r="O16" s="42" t="s">
        <v>10695</v>
      </c>
      <c r="P16" s="43" t="s">
        <v>10696</v>
      </c>
      <c r="Q16" s="44" t="s">
        <v>10697</v>
      </c>
      <c r="R16" s="45" t="s">
        <v>10698</v>
      </c>
      <c r="S16" s="38" t="s">
        <v>10699</v>
      </c>
      <c r="T16" s="38" t="s">
        <v>10700</v>
      </c>
      <c r="U16" s="38" t="s">
        <v>10701</v>
      </c>
      <c r="V16" s="38" t="s">
        <v>10702</v>
      </c>
      <c r="W16" s="38" t="s">
        <v>10703</v>
      </c>
      <c r="X16" s="38" t="s">
        <v>10704</v>
      </c>
      <c r="Y16" s="46" t="s">
        <v>10705</v>
      </c>
      <c r="Z16" s="38" t="s">
        <v>10706</v>
      </c>
      <c r="AA16" s="38" t="s">
        <v>10707</v>
      </c>
      <c r="AB16" s="41" t="s">
        <v>10708</v>
      </c>
      <c r="AC16" s="38" t="s">
        <v>10709</v>
      </c>
      <c r="AD16" s="71"/>
      <c r="AE16" s="71"/>
      <c r="AF16" s="71"/>
      <c r="AG16" s="71"/>
      <c r="AH16" s="71"/>
      <c r="AI16" s="71"/>
      <c r="AJ16" s="71"/>
      <c r="AK16" s="71"/>
      <c r="AL16" s="71"/>
      <c r="AM16" s="71"/>
      <c r="AN16" s="71"/>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row>
    <row r="17">
      <c r="A17" s="37" t="s">
        <v>10710</v>
      </c>
      <c r="B17" s="38" t="s">
        <v>10711</v>
      </c>
      <c r="C17" s="39" t="s">
        <v>10712</v>
      </c>
      <c r="D17" s="38" t="s">
        <v>10713</v>
      </c>
      <c r="E17" s="38" t="s">
        <v>10714</v>
      </c>
      <c r="F17" s="38" t="s">
        <v>10715</v>
      </c>
      <c r="G17" s="38" t="s">
        <v>10716</v>
      </c>
      <c r="H17" s="38" t="s">
        <v>10717</v>
      </c>
      <c r="I17" s="38" t="s">
        <v>10718</v>
      </c>
      <c r="J17" s="38" t="s">
        <v>10719</v>
      </c>
      <c r="K17" s="40" t="s">
        <v>10720</v>
      </c>
      <c r="L17" s="38" t="s">
        <v>10721</v>
      </c>
      <c r="M17" s="38" t="s">
        <v>10722</v>
      </c>
      <c r="N17" s="41" t="s">
        <v>10723</v>
      </c>
      <c r="O17" s="42" t="s">
        <v>10724</v>
      </c>
      <c r="P17" s="43" t="s">
        <v>10725</v>
      </c>
      <c r="Q17" s="44" t="s">
        <v>10726</v>
      </c>
      <c r="R17" s="45" t="s">
        <v>10727</v>
      </c>
      <c r="S17" s="38" t="s">
        <v>10728</v>
      </c>
      <c r="T17" s="38" t="s">
        <v>10729</v>
      </c>
      <c r="U17" s="38" t="s">
        <v>10730</v>
      </c>
      <c r="V17" s="38" t="s">
        <v>10731</v>
      </c>
      <c r="W17" s="38" t="s">
        <v>10732</v>
      </c>
      <c r="X17" s="38" t="s">
        <v>10733</v>
      </c>
      <c r="Y17" s="46" t="s">
        <v>10734</v>
      </c>
      <c r="Z17" s="38" t="s">
        <v>10735</v>
      </c>
      <c r="AA17" s="38" t="s">
        <v>10736</v>
      </c>
      <c r="AB17" s="41" t="s">
        <v>10737</v>
      </c>
      <c r="AC17" s="38" t="s">
        <v>10738</v>
      </c>
      <c r="AD17" s="71"/>
      <c r="AE17" s="71"/>
      <c r="AF17" s="71"/>
      <c r="AG17" s="71"/>
      <c r="AH17" s="71"/>
      <c r="AI17" s="71"/>
      <c r="AJ17" s="71"/>
      <c r="AK17" s="71"/>
      <c r="AL17" s="71"/>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row>
    <row r="18">
      <c r="A18" s="37" t="s">
        <v>10739</v>
      </c>
      <c r="B18" s="38" t="s">
        <v>10740</v>
      </c>
      <c r="C18" s="39" t="s">
        <v>10741</v>
      </c>
      <c r="D18" s="38" t="s">
        <v>10742</v>
      </c>
      <c r="E18" s="38" t="s">
        <v>10743</v>
      </c>
      <c r="F18" s="38" t="s">
        <v>10744</v>
      </c>
      <c r="G18" s="38" t="s">
        <v>10745</v>
      </c>
      <c r="H18" s="38" t="s">
        <v>10746</v>
      </c>
      <c r="I18" s="38" t="s">
        <v>10747</v>
      </c>
      <c r="J18" s="38" t="s">
        <v>10748</v>
      </c>
      <c r="K18" s="40" t="s">
        <v>10749</v>
      </c>
      <c r="L18" s="38" t="s">
        <v>10750</v>
      </c>
      <c r="M18" s="38" t="s">
        <v>10751</v>
      </c>
      <c r="N18" s="41" t="s">
        <v>10752</v>
      </c>
      <c r="O18" s="42" t="s">
        <v>10753</v>
      </c>
      <c r="P18" s="43" t="s">
        <v>10754</v>
      </c>
      <c r="Q18" s="44" t="s">
        <v>10755</v>
      </c>
      <c r="R18" s="45" t="s">
        <v>10756</v>
      </c>
      <c r="S18" s="38" t="s">
        <v>10757</v>
      </c>
      <c r="T18" s="38" t="s">
        <v>10758</v>
      </c>
      <c r="U18" s="38" t="s">
        <v>10759</v>
      </c>
      <c r="V18" s="38" t="s">
        <v>10760</v>
      </c>
      <c r="W18" s="38" t="s">
        <v>10761</v>
      </c>
      <c r="X18" s="38" t="s">
        <v>10762</v>
      </c>
      <c r="Y18" s="46" t="s">
        <v>10763</v>
      </c>
      <c r="Z18" s="38" t="s">
        <v>10764</v>
      </c>
      <c r="AA18" s="38" t="s">
        <v>10765</v>
      </c>
      <c r="AB18" s="41" t="s">
        <v>10766</v>
      </c>
      <c r="AC18" s="38" t="s">
        <v>10767</v>
      </c>
      <c r="AD18" s="71"/>
      <c r="AE18" s="71"/>
      <c r="AF18" s="71"/>
      <c r="AG18" s="71"/>
      <c r="AH18" s="71"/>
      <c r="AI18" s="71"/>
      <c r="AJ18" s="71"/>
      <c r="AK18" s="71"/>
      <c r="AL18" s="71"/>
      <c r="AM18" s="71"/>
      <c r="AN18" s="71"/>
      <c r="AO18" s="71"/>
      <c r="AP18" s="71"/>
      <c r="AQ18" s="71"/>
      <c r="AR18" s="71"/>
      <c r="AS18" s="71"/>
      <c r="AT18" s="71"/>
      <c r="AU18" s="71"/>
      <c r="AV18" s="71"/>
      <c r="AW18" s="71"/>
      <c r="AX18" s="71"/>
      <c r="AY18" s="71"/>
      <c r="AZ18" s="71"/>
      <c r="BA18" s="71"/>
      <c r="BB18" s="71"/>
      <c r="BC18" s="71"/>
      <c r="BD18" s="71"/>
      <c r="BE18" s="71"/>
      <c r="BF18" s="71"/>
      <c r="BG18" s="71"/>
      <c r="BH18" s="71"/>
      <c r="BI18" s="71"/>
      <c r="BJ18" s="71"/>
      <c r="BK18" s="71"/>
      <c r="BL18" s="71"/>
      <c r="BM18" s="71"/>
    </row>
    <row r="19">
      <c r="A19" s="37" t="s">
        <v>10768</v>
      </c>
      <c r="B19" s="38" t="s">
        <v>10769</v>
      </c>
      <c r="C19" s="39" t="s">
        <v>10770</v>
      </c>
      <c r="D19" s="38" t="s">
        <v>10771</v>
      </c>
      <c r="E19" s="38" t="s">
        <v>10772</v>
      </c>
      <c r="F19" s="38" t="s">
        <v>10773</v>
      </c>
      <c r="G19" s="38" t="s">
        <v>10774</v>
      </c>
      <c r="H19" s="38" t="s">
        <v>10775</v>
      </c>
      <c r="I19" s="38" t="s">
        <v>10776</v>
      </c>
      <c r="J19" s="38" t="s">
        <v>10777</v>
      </c>
      <c r="K19" s="40" t="s">
        <v>10778</v>
      </c>
      <c r="L19" s="38" t="s">
        <v>10779</v>
      </c>
      <c r="M19" s="38" t="s">
        <v>10780</v>
      </c>
      <c r="N19" s="41" t="s">
        <v>10781</v>
      </c>
      <c r="O19" s="42" t="s">
        <v>10782</v>
      </c>
      <c r="P19" s="43" t="s">
        <v>10783</v>
      </c>
      <c r="Q19" s="44" t="s">
        <v>10784</v>
      </c>
      <c r="R19" s="45" t="s">
        <v>10785</v>
      </c>
      <c r="S19" s="38" t="s">
        <v>10786</v>
      </c>
      <c r="T19" s="38" t="s">
        <v>10787</v>
      </c>
      <c r="U19" s="38" t="s">
        <v>10788</v>
      </c>
      <c r="V19" s="38" t="s">
        <v>10789</v>
      </c>
      <c r="W19" s="38" t="s">
        <v>10790</v>
      </c>
      <c r="X19" s="38" t="s">
        <v>10791</v>
      </c>
      <c r="Y19" s="46" t="s">
        <v>10792</v>
      </c>
      <c r="Z19" s="38" t="s">
        <v>10793</v>
      </c>
      <c r="AA19" s="38" t="s">
        <v>10794</v>
      </c>
      <c r="AB19" s="41" t="s">
        <v>10795</v>
      </c>
      <c r="AC19" s="38" t="s">
        <v>10796</v>
      </c>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row>
    <row r="20">
      <c r="A20" s="37" t="s">
        <v>10797</v>
      </c>
      <c r="B20" s="38" t="s">
        <v>10798</v>
      </c>
      <c r="C20" s="39" t="s">
        <v>10799</v>
      </c>
      <c r="D20" s="38" t="s">
        <v>10800</v>
      </c>
      <c r="E20" s="38" t="s">
        <v>10801</v>
      </c>
      <c r="F20" s="38" t="s">
        <v>10802</v>
      </c>
      <c r="G20" s="38" t="s">
        <v>10803</v>
      </c>
      <c r="H20" s="38" t="s">
        <v>10804</v>
      </c>
      <c r="I20" s="38" t="s">
        <v>10805</v>
      </c>
      <c r="J20" s="38" t="s">
        <v>10806</v>
      </c>
      <c r="K20" s="40" t="s">
        <v>10807</v>
      </c>
      <c r="L20" s="38" t="s">
        <v>10808</v>
      </c>
      <c r="M20" s="38" t="s">
        <v>10809</v>
      </c>
      <c r="N20" s="41" t="s">
        <v>10810</v>
      </c>
      <c r="O20" s="42" t="s">
        <v>10811</v>
      </c>
      <c r="P20" s="43" t="s">
        <v>10812</v>
      </c>
      <c r="Q20" s="44" t="s">
        <v>10813</v>
      </c>
      <c r="R20" s="45" t="s">
        <v>10814</v>
      </c>
      <c r="S20" s="38" t="s">
        <v>10815</v>
      </c>
      <c r="T20" s="38" t="s">
        <v>10816</v>
      </c>
      <c r="U20" s="38" t="s">
        <v>10817</v>
      </c>
      <c r="V20" s="38" t="s">
        <v>10818</v>
      </c>
      <c r="W20" s="38" t="s">
        <v>10819</v>
      </c>
      <c r="X20" s="38" t="s">
        <v>10820</v>
      </c>
      <c r="Y20" s="46" t="s">
        <v>10821</v>
      </c>
      <c r="Z20" s="38" t="s">
        <v>10822</v>
      </c>
      <c r="AA20" s="38" t="s">
        <v>10823</v>
      </c>
      <c r="AB20" s="41" t="s">
        <v>10824</v>
      </c>
      <c r="AC20" s="38" t="s">
        <v>10825</v>
      </c>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row>
    <row r="21">
      <c r="A21" s="37" t="s">
        <v>10826</v>
      </c>
      <c r="B21" s="38" t="s">
        <v>10827</v>
      </c>
      <c r="C21" s="39" t="s">
        <v>10828</v>
      </c>
      <c r="D21" s="38" t="s">
        <v>10829</v>
      </c>
      <c r="E21" s="38" t="s">
        <v>10830</v>
      </c>
      <c r="F21" s="38" t="s">
        <v>10831</v>
      </c>
      <c r="G21" s="38" t="s">
        <v>10832</v>
      </c>
      <c r="H21" s="38" t="s">
        <v>10833</v>
      </c>
      <c r="I21" s="38" t="s">
        <v>10834</v>
      </c>
      <c r="J21" s="38" t="s">
        <v>10835</v>
      </c>
      <c r="K21" s="40" t="s">
        <v>10836</v>
      </c>
      <c r="L21" s="38" t="s">
        <v>10837</v>
      </c>
      <c r="M21" s="38" t="s">
        <v>10838</v>
      </c>
      <c r="N21" s="41" t="s">
        <v>10839</v>
      </c>
      <c r="O21" s="42" t="s">
        <v>10840</v>
      </c>
      <c r="P21" s="43" t="s">
        <v>10841</v>
      </c>
      <c r="Q21" s="44" t="s">
        <v>10842</v>
      </c>
      <c r="R21" s="45" t="s">
        <v>10843</v>
      </c>
      <c r="S21" s="38" t="s">
        <v>10844</v>
      </c>
      <c r="T21" s="38" t="s">
        <v>10845</v>
      </c>
      <c r="U21" s="38" t="s">
        <v>10846</v>
      </c>
      <c r="V21" s="38" t="s">
        <v>10847</v>
      </c>
      <c r="W21" s="38" t="s">
        <v>10848</v>
      </c>
      <c r="X21" s="38" t="s">
        <v>10849</v>
      </c>
      <c r="Y21" s="46" t="s">
        <v>10850</v>
      </c>
      <c r="Z21" s="38" t="s">
        <v>10851</v>
      </c>
      <c r="AA21" s="38" t="s">
        <v>10852</v>
      </c>
      <c r="AB21" s="41" t="s">
        <v>10853</v>
      </c>
      <c r="AC21" s="38" t="s">
        <v>10854</v>
      </c>
      <c r="AD21" s="71"/>
      <c r="AE21" s="71"/>
      <c r="AF21" s="71"/>
      <c r="AG21" s="71"/>
      <c r="AH21" s="71"/>
      <c r="AI21" s="71"/>
      <c r="AJ21" s="71"/>
      <c r="AK21" s="71"/>
      <c r="AL21" s="71"/>
      <c r="AM21" s="71"/>
      <c r="AN21" s="71"/>
      <c r="AO21" s="71"/>
      <c r="AP21" s="71"/>
      <c r="AQ21" s="71"/>
      <c r="AR21" s="71"/>
      <c r="AS21" s="71"/>
      <c r="AT21" s="71"/>
      <c r="AU21" s="71"/>
      <c r="AV21" s="71"/>
      <c r="AW21" s="71"/>
      <c r="AX21" s="71"/>
      <c r="AY21" s="71"/>
      <c r="AZ21" s="71"/>
      <c r="BA21" s="71"/>
      <c r="BB21" s="71"/>
      <c r="BC21" s="71"/>
      <c r="BD21" s="71"/>
      <c r="BE21" s="71"/>
      <c r="BF21" s="71"/>
      <c r="BG21" s="71"/>
      <c r="BH21" s="71"/>
      <c r="BI21" s="71"/>
      <c r="BJ21" s="71"/>
      <c r="BK21" s="71"/>
      <c r="BL21" s="71"/>
      <c r="BM21" s="71"/>
    </row>
    <row r="22">
      <c r="A22" s="37" t="s">
        <v>10855</v>
      </c>
      <c r="B22" s="38" t="s">
        <v>10856</v>
      </c>
      <c r="C22" s="39" t="s">
        <v>10857</v>
      </c>
      <c r="D22" s="38" t="s">
        <v>10858</v>
      </c>
      <c r="E22" s="38" t="s">
        <v>10859</v>
      </c>
      <c r="F22" s="38" t="s">
        <v>10860</v>
      </c>
      <c r="G22" s="38" t="s">
        <v>10861</v>
      </c>
      <c r="H22" s="38" t="s">
        <v>10862</v>
      </c>
      <c r="I22" s="38" t="s">
        <v>10863</v>
      </c>
      <c r="J22" s="38" t="s">
        <v>10864</v>
      </c>
      <c r="K22" s="40" t="s">
        <v>10865</v>
      </c>
      <c r="L22" s="38" t="s">
        <v>10866</v>
      </c>
      <c r="M22" s="38" t="s">
        <v>10867</v>
      </c>
      <c r="N22" s="41" t="s">
        <v>10868</v>
      </c>
      <c r="O22" s="42" t="s">
        <v>10869</v>
      </c>
      <c r="P22" s="43" t="s">
        <v>10870</v>
      </c>
      <c r="Q22" s="44" t="s">
        <v>10871</v>
      </c>
      <c r="R22" s="45" t="s">
        <v>10872</v>
      </c>
      <c r="S22" s="38" t="s">
        <v>10873</v>
      </c>
      <c r="T22" s="38" t="s">
        <v>10874</v>
      </c>
      <c r="U22" s="38" t="s">
        <v>10875</v>
      </c>
      <c r="V22" s="38" t="s">
        <v>10876</v>
      </c>
      <c r="W22" s="38" t="s">
        <v>10877</v>
      </c>
      <c r="X22" s="38" t="s">
        <v>10878</v>
      </c>
      <c r="Y22" s="46" t="s">
        <v>10879</v>
      </c>
      <c r="Z22" s="38" t="s">
        <v>10880</v>
      </c>
      <c r="AA22" s="38" t="s">
        <v>10881</v>
      </c>
      <c r="AB22" s="41" t="s">
        <v>10882</v>
      </c>
      <c r="AC22" s="38" t="s">
        <v>10883</v>
      </c>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row>
    <row r="23">
      <c r="A23" s="37" t="s">
        <v>10884</v>
      </c>
      <c r="B23" s="38" t="s">
        <v>10885</v>
      </c>
      <c r="C23" s="39" t="s">
        <v>10886</v>
      </c>
      <c r="D23" s="38" t="s">
        <v>10887</v>
      </c>
      <c r="E23" s="38" t="s">
        <v>10888</v>
      </c>
      <c r="F23" s="38" t="s">
        <v>10889</v>
      </c>
      <c r="G23" s="38" t="s">
        <v>9882</v>
      </c>
      <c r="H23" s="38" t="s">
        <v>9144</v>
      </c>
      <c r="I23" s="38" t="s">
        <v>10890</v>
      </c>
      <c r="J23" s="38" t="s">
        <v>10891</v>
      </c>
      <c r="K23" s="40" t="s">
        <v>10892</v>
      </c>
      <c r="L23" s="38" t="s">
        <v>10893</v>
      </c>
      <c r="M23" s="38" t="s">
        <v>10894</v>
      </c>
      <c r="N23" s="41" t="s">
        <v>10895</v>
      </c>
      <c r="O23" s="42" t="s">
        <v>10896</v>
      </c>
      <c r="P23" s="43" t="s">
        <v>10897</v>
      </c>
      <c r="Q23" s="44" t="s">
        <v>10898</v>
      </c>
      <c r="R23" s="45" t="s">
        <v>10899</v>
      </c>
      <c r="S23" s="38" t="s">
        <v>10900</v>
      </c>
      <c r="T23" s="38" t="s">
        <v>10901</v>
      </c>
      <c r="U23" s="38" t="s">
        <v>10902</v>
      </c>
      <c r="V23" s="38" t="s">
        <v>10903</v>
      </c>
      <c r="W23" s="38" t="s">
        <v>10904</v>
      </c>
      <c r="X23" s="38" t="s">
        <v>10905</v>
      </c>
      <c r="Y23" s="46" t="s">
        <v>10906</v>
      </c>
      <c r="Z23" s="38" t="s">
        <v>10907</v>
      </c>
      <c r="AA23" s="38" t="s">
        <v>10908</v>
      </c>
      <c r="AB23" s="41" t="s">
        <v>10909</v>
      </c>
      <c r="AC23" s="38" t="s">
        <v>9902</v>
      </c>
      <c r="AD23" s="71"/>
      <c r="AE23" s="71"/>
      <c r="AF23" s="71"/>
      <c r="AG23" s="71"/>
      <c r="AH23" s="71"/>
      <c r="AI23" s="71"/>
      <c r="AJ23" s="71"/>
      <c r="AK23" s="71"/>
      <c r="AL23" s="71"/>
      <c r="AM23" s="71"/>
      <c r="AN23" s="71"/>
      <c r="AO23" s="71"/>
      <c r="AP23" s="71"/>
      <c r="AQ23" s="71"/>
      <c r="AR23" s="71"/>
      <c r="AS23" s="71"/>
      <c r="AT23" s="71"/>
      <c r="AU23" s="71"/>
      <c r="AV23" s="71"/>
      <c r="AW23" s="71"/>
      <c r="AX23" s="71"/>
      <c r="AY23" s="71"/>
      <c r="AZ23" s="71"/>
      <c r="BA23" s="71"/>
      <c r="BB23" s="71"/>
      <c r="BC23" s="71"/>
      <c r="BD23" s="71"/>
      <c r="BE23" s="71"/>
      <c r="BF23" s="71"/>
      <c r="BG23" s="71"/>
      <c r="BH23" s="71"/>
      <c r="BI23" s="71"/>
      <c r="BJ23" s="71"/>
      <c r="BK23" s="71"/>
      <c r="BL23" s="71"/>
      <c r="BM23" s="71"/>
    </row>
    <row r="24">
      <c r="A24" s="37" t="s">
        <v>35</v>
      </c>
      <c r="B24" s="38" t="s">
        <v>36</v>
      </c>
      <c r="C24" s="39" t="s">
        <v>692</v>
      </c>
      <c r="D24" s="38" t="s">
        <v>693</v>
      </c>
      <c r="E24" s="38" t="s">
        <v>694</v>
      </c>
      <c r="F24" s="38" t="s">
        <v>695</v>
      </c>
      <c r="G24" s="38" t="s">
        <v>696</v>
      </c>
      <c r="H24" s="38" t="s">
        <v>10910</v>
      </c>
      <c r="I24" s="38" t="s">
        <v>698</v>
      </c>
      <c r="J24" s="38" t="s">
        <v>699</v>
      </c>
      <c r="K24" s="40" t="s">
        <v>700</v>
      </c>
      <c r="L24" s="38" t="s">
        <v>701</v>
      </c>
      <c r="M24" s="38" t="s">
        <v>702</v>
      </c>
      <c r="N24" s="41" t="s">
        <v>703</v>
      </c>
      <c r="O24" s="42" t="s">
        <v>704</v>
      </c>
      <c r="P24" s="43" t="s">
        <v>705</v>
      </c>
      <c r="Q24" s="44" t="s">
        <v>706</v>
      </c>
      <c r="R24" s="45" t="s">
        <v>867</v>
      </c>
      <c r="S24" s="38" t="s">
        <v>708</v>
      </c>
      <c r="T24" s="38" t="s">
        <v>10911</v>
      </c>
      <c r="U24" s="38" t="s">
        <v>710</v>
      </c>
      <c r="V24" s="38" t="s">
        <v>711</v>
      </c>
      <c r="W24" s="38" t="s">
        <v>712</v>
      </c>
      <c r="X24" s="38" t="s">
        <v>713</v>
      </c>
      <c r="Y24" s="46" t="s">
        <v>714</v>
      </c>
      <c r="Z24" s="38" t="s">
        <v>715</v>
      </c>
      <c r="AA24" s="38" t="s">
        <v>716</v>
      </c>
      <c r="AB24" s="41" t="s">
        <v>717</v>
      </c>
      <c r="AC24" s="38" t="s">
        <v>718</v>
      </c>
      <c r="AD24" s="71"/>
      <c r="AE24" s="71"/>
      <c r="AF24" s="71"/>
      <c r="AG24" s="71"/>
      <c r="AH24" s="71"/>
      <c r="AI24" s="71"/>
      <c r="AJ24" s="71"/>
      <c r="AK24" s="71"/>
      <c r="AL24" s="71"/>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row>
    <row r="25">
      <c r="A25" s="37" t="s">
        <v>8991</v>
      </c>
      <c r="B25" s="38" t="s">
        <v>5110</v>
      </c>
      <c r="C25" s="39" t="s">
        <v>5111</v>
      </c>
      <c r="D25" s="38" t="s">
        <v>5112</v>
      </c>
      <c r="E25" s="38" t="s">
        <v>5113</v>
      </c>
      <c r="F25" s="38" t="s">
        <v>5114</v>
      </c>
      <c r="G25" s="38" t="s">
        <v>8992</v>
      </c>
      <c r="H25" s="38" t="s">
        <v>5116</v>
      </c>
      <c r="I25" s="38" t="s">
        <v>5117</v>
      </c>
      <c r="J25" s="38" t="s">
        <v>5118</v>
      </c>
      <c r="K25" s="40" t="s">
        <v>5119</v>
      </c>
      <c r="L25" s="38" t="s">
        <v>5120</v>
      </c>
      <c r="M25" s="38" t="s">
        <v>5121</v>
      </c>
      <c r="N25" s="41" t="s">
        <v>5122</v>
      </c>
      <c r="O25" s="42" t="s">
        <v>8993</v>
      </c>
      <c r="P25" s="43" t="s">
        <v>8994</v>
      </c>
      <c r="Q25" s="44" t="s">
        <v>5125</v>
      </c>
      <c r="R25" s="45" t="s">
        <v>5126</v>
      </c>
      <c r="S25" s="38" t="s">
        <v>5127</v>
      </c>
      <c r="T25" s="38" t="s">
        <v>5120</v>
      </c>
      <c r="U25" s="38" t="s">
        <v>5128</v>
      </c>
      <c r="V25" s="38" t="s">
        <v>5129</v>
      </c>
      <c r="W25" s="38" t="s">
        <v>5130</v>
      </c>
      <c r="X25" s="38" t="s">
        <v>5131</v>
      </c>
      <c r="Y25" s="46" t="s">
        <v>5132</v>
      </c>
      <c r="Z25" s="38" t="s">
        <v>5133</v>
      </c>
      <c r="AA25" s="38" t="s">
        <v>5134</v>
      </c>
      <c r="AB25" s="41" t="s">
        <v>5135</v>
      </c>
      <c r="AC25" s="38" t="s">
        <v>5136</v>
      </c>
      <c r="AD25" s="71"/>
      <c r="AE25" s="71"/>
      <c r="AF25" s="71"/>
      <c r="AG25" s="71"/>
      <c r="AH25" s="71"/>
      <c r="AI25" s="71"/>
      <c r="AJ25" s="71"/>
      <c r="AK25" s="71"/>
      <c r="AL25" s="71"/>
      <c r="AM25" s="71"/>
      <c r="AN25" s="71"/>
      <c r="AO25" s="71"/>
      <c r="AP25" s="71"/>
      <c r="AQ25" s="71"/>
      <c r="AR25" s="71"/>
      <c r="AS25" s="71"/>
      <c r="AT25" s="71"/>
      <c r="AU25" s="71"/>
      <c r="AV25" s="71"/>
      <c r="AW25" s="71"/>
      <c r="AX25" s="71"/>
      <c r="AY25" s="71"/>
      <c r="AZ25" s="71"/>
      <c r="BA25" s="71"/>
      <c r="BB25" s="71"/>
      <c r="BC25" s="71"/>
      <c r="BD25" s="71"/>
      <c r="BE25" s="71"/>
      <c r="BF25" s="71"/>
      <c r="BG25" s="71"/>
      <c r="BH25" s="71"/>
      <c r="BI25" s="71"/>
      <c r="BJ25" s="71"/>
      <c r="BK25" s="71"/>
      <c r="BL25" s="71"/>
      <c r="BM25" s="71"/>
    </row>
    <row r="26">
      <c r="A26" s="37" t="s">
        <v>326</v>
      </c>
      <c r="B26" s="38" t="s">
        <v>327</v>
      </c>
      <c r="C26" s="39" t="s">
        <v>328</v>
      </c>
      <c r="D26" s="38" t="s">
        <v>329</v>
      </c>
      <c r="E26" s="38" t="s">
        <v>330</v>
      </c>
      <c r="F26" s="38" t="s">
        <v>331</v>
      </c>
      <c r="G26" s="38" t="s">
        <v>332</v>
      </c>
      <c r="H26" s="38" t="s">
        <v>10912</v>
      </c>
      <c r="I26" s="38" t="s">
        <v>334</v>
      </c>
      <c r="J26" s="38" t="s">
        <v>335</v>
      </c>
      <c r="K26" s="40" t="s">
        <v>336</v>
      </c>
      <c r="L26" s="38" t="s">
        <v>337</v>
      </c>
      <c r="M26" s="38" t="s">
        <v>338</v>
      </c>
      <c r="N26" s="41" t="s">
        <v>339</v>
      </c>
      <c r="O26" s="42" t="s">
        <v>10913</v>
      </c>
      <c r="P26" s="43" t="s">
        <v>10914</v>
      </c>
      <c r="Q26" s="44" t="s">
        <v>342</v>
      </c>
      <c r="R26" s="45" t="s">
        <v>10915</v>
      </c>
      <c r="S26" s="38" t="s">
        <v>10916</v>
      </c>
      <c r="T26" s="38" t="s">
        <v>10917</v>
      </c>
      <c r="U26" s="38" t="s">
        <v>346</v>
      </c>
      <c r="V26" s="38" t="s">
        <v>347</v>
      </c>
      <c r="W26" s="38" t="s">
        <v>348</v>
      </c>
      <c r="X26" s="38" t="s">
        <v>349</v>
      </c>
      <c r="Y26" s="46" t="s">
        <v>350</v>
      </c>
      <c r="Z26" s="38" t="s">
        <v>351</v>
      </c>
      <c r="AA26" s="38" t="s">
        <v>10918</v>
      </c>
      <c r="AB26" s="41" t="s">
        <v>353</v>
      </c>
      <c r="AC26" s="38" t="s">
        <v>354</v>
      </c>
      <c r="AD26" s="71"/>
      <c r="AE26" s="71"/>
      <c r="AF26" s="71"/>
      <c r="AG26" s="71"/>
      <c r="AH26" s="71"/>
      <c r="AI26" s="71"/>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c r="BI26" s="71"/>
      <c r="BJ26" s="71"/>
      <c r="BK26" s="71"/>
      <c r="BL26" s="71"/>
      <c r="BM26" s="71"/>
    </row>
    <row r="27">
      <c r="A27" s="37" t="s">
        <v>9109</v>
      </c>
      <c r="B27" s="38" t="s">
        <v>9110</v>
      </c>
      <c r="C27" s="39" t="s">
        <v>6050</v>
      </c>
      <c r="D27" s="38" t="s">
        <v>9111</v>
      </c>
      <c r="E27" s="38" t="s">
        <v>9110</v>
      </c>
      <c r="F27" s="38" t="s">
        <v>9112</v>
      </c>
      <c r="G27" s="38" t="s">
        <v>9113</v>
      </c>
      <c r="H27" s="38" t="s">
        <v>10379</v>
      </c>
      <c r="I27" s="38" t="s">
        <v>9110</v>
      </c>
      <c r="J27" s="38" t="s">
        <v>9116</v>
      </c>
      <c r="K27" s="40" t="s">
        <v>9117</v>
      </c>
      <c r="L27" s="38" t="s">
        <v>9118</v>
      </c>
      <c r="M27" s="38" t="s">
        <v>9119</v>
      </c>
      <c r="N27" s="41" t="s">
        <v>9120</v>
      </c>
      <c r="O27" s="42" t="s">
        <v>10380</v>
      </c>
      <c r="P27" s="43" t="s">
        <v>9122</v>
      </c>
      <c r="Q27" s="44" t="s">
        <v>9123</v>
      </c>
      <c r="R27" s="45" t="s">
        <v>9124</v>
      </c>
      <c r="S27" s="38" t="s">
        <v>10381</v>
      </c>
      <c r="T27" s="38" t="s">
        <v>9126</v>
      </c>
      <c r="U27" s="38" t="s">
        <v>9127</v>
      </c>
      <c r="V27" s="38" t="s">
        <v>9128</v>
      </c>
      <c r="W27" s="38" t="s">
        <v>9129</v>
      </c>
      <c r="X27" s="38" t="s">
        <v>9130</v>
      </c>
      <c r="Y27" s="46" t="s">
        <v>9131</v>
      </c>
      <c r="Z27" s="38" t="s">
        <v>9132</v>
      </c>
      <c r="AA27" s="38" t="s">
        <v>10382</v>
      </c>
      <c r="AB27" s="41" t="s">
        <v>9134</v>
      </c>
      <c r="AC27" s="38" t="s">
        <v>9135</v>
      </c>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row>
    <row r="28">
      <c r="A28" s="37" t="s">
        <v>2647</v>
      </c>
      <c r="B28" s="38" t="s">
        <v>2648</v>
      </c>
      <c r="C28" s="39" t="s">
        <v>2649</v>
      </c>
      <c r="D28" s="38" t="s">
        <v>2650</v>
      </c>
      <c r="E28" s="38" t="s">
        <v>2651</v>
      </c>
      <c r="F28" s="38" t="s">
        <v>2652</v>
      </c>
      <c r="G28" s="38" t="s">
        <v>2653</v>
      </c>
      <c r="H28" s="38" t="s">
        <v>2654</v>
      </c>
      <c r="I28" s="38" t="s">
        <v>2655</v>
      </c>
      <c r="J28" s="38" t="s">
        <v>2656</v>
      </c>
      <c r="K28" s="40" t="s">
        <v>2657</v>
      </c>
      <c r="L28" s="38" t="s">
        <v>2658</v>
      </c>
      <c r="M28" s="38" t="s">
        <v>2648</v>
      </c>
      <c r="N28" s="41" t="s">
        <v>2659</v>
      </c>
      <c r="O28" s="42" t="s">
        <v>10385</v>
      </c>
      <c r="P28" s="43" t="s">
        <v>2661</v>
      </c>
      <c r="Q28" s="44" t="s">
        <v>2662</v>
      </c>
      <c r="R28" s="45" t="s">
        <v>2663</v>
      </c>
      <c r="S28" s="38" t="s">
        <v>2664</v>
      </c>
      <c r="T28" s="38" t="s">
        <v>2665</v>
      </c>
      <c r="U28" s="38" t="s">
        <v>2648</v>
      </c>
      <c r="V28" s="38" t="s">
        <v>2666</v>
      </c>
      <c r="W28" s="38" t="s">
        <v>2667</v>
      </c>
      <c r="X28" s="38" t="s">
        <v>2668</v>
      </c>
      <c r="Y28" s="46" t="s">
        <v>2669</v>
      </c>
      <c r="Z28" s="38" t="s">
        <v>2670</v>
      </c>
      <c r="AA28" s="38" t="s">
        <v>10386</v>
      </c>
      <c r="AB28" s="41" t="s">
        <v>2672</v>
      </c>
      <c r="AC28" s="38" t="s">
        <v>10919</v>
      </c>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row>
    <row r="29">
      <c r="A29" s="37" t="s">
        <v>10128</v>
      </c>
      <c r="B29" s="38" t="s">
        <v>2733</v>
      </c>
      <c r="C29" s="39" t="s">
        <v>2734</v>
      </c>
      <c r="D29" s="38" t="s">
        <v>2735</v>
      </c>
      <c r="E29" s="38" t="s">
        <v>2736</v>
      </c>
      <c r="F29" s="38" t="s">
        <v>10129</v>
      </c>
      <c r="G29" s="38" t="s">
        <v>2738</v>
      </c>
      <c r="H29" s="38" t="s">
        <v>2739</v>
      </c>
      <c r="I29" s="38" t="s">
        <v>2740</v>
      </c>
      <c r="J29" s="38" t="s">
        <v>2741</v>
      </c>
      <c r="K29" s="40" t="s">
        <v>2742</v>
      </c>
      <c r="L29" s="38" t="s">
        <v>2743</v>
      </c>
      <c r="M29" s="38" t="s">
        <v>2744</v>
      </c>
      <c r="N29" s="41" t="s">
        <v>2745</v>
      </c>
      <c r="O29" s="42" t="s">
        <v>2746</v>
      </c>
      <c r="P29" s="43" t="s">
        <v>2747</v>
      </c>
      <c r="Q29" s="44" t="s">
        <v>2748</v>
      </c>
      <c r="R29" s="45" t="s">
        <v>2749</v>
      </c>
      <c r="S29" s="38" t="s">
        <v>2750</v>
      </c>
      <c r="T29" s="38" t="s">
        <v>2751</v>
      </c>
      <c r="U29" s="38" t="s">
        <v>2752</v>
      </c>
      <c r="V29" s="38" t="s">
        <v>2753</v>
      </c>
      <c r="W29" s="38" t="s">
        <v>2754</v>
      </c>
      <c r="X29" s="38" t="s">
        <v>2755</v>
      </c>
      <c r="Y29" s="46" t="s">
        <v>2756</v>
      </c>
      <c r="Z29" s="38" t="s">
        <v>2757</v>
      </c>
      <c r="AA29" s="38" t="s">
        <v>2758</v>
      </c>
      <c r="AB29" s="41" t="s">
        <v>2759</v>
      </c>
      <c r="AC29" s="38" t="s">
        <v>2760</v>
      </c>
      <c r="AD29" s="71"/>
      <c r="AE29" s="71"/>
      <c r="AF29" s="71"/>
      <c r="AG29" s="71"/>
      <c r="AH29" s="71"/>
      <c r="AI29" s="71"/>
      <c r="AJ29" s="71"/>
      <c r="AK29" s="71"/>
      <c r="AL29" s="71"/>
      <c r="AM29" s="71"/>
      <c r="AN29" s="71"/>
      <c r="AO29" s="71"/>
      <c r="AP29" s="71"/>
      <c r="AQ29" s="71"/>
      <c r="AR29" s="71"/>
      <c r="AS29" s="71"/>
      <c r="AT29" s="71"/>
      <c r="AU29" s="71"/>
      <c r="AV29" s="71"/>
      <c r="AW29" s="71"/>
      <c r="AX29" s="71"/>
      <c r="AY29" s="71"/>
      <c r="AZ29" s="71"/>
      <c r="BA29" s="71"/>
      <c r="BB29" s="71"/>
      <c r="BC29" s="71"/>
      <c r="BD29" s="71"/>
      <c r="BE29" s="71"/>
      <c r="BF29" s="71"/>
      <c r="BG29" s="71"/>
      <c r="BH29" s="71"/>
      <c r="BI29" s="71"/>
      <c r="BJ29" s="71"/>
      <c r="BK29" s="71"/>
      <c r="BL29" s="71"/>
      <c r="BM29" s="71"/>
    </row>
    <row r="30">
      <c r="A30" s="37" t="s">
        <v>10130</v>
      </c>
      <c r="B30" s="38" t="s">
        <v>2704</v>
      </c>
      <c r="C30" s="39" t="s">
        <v>2705</v>
      </c>
      <c r="D30" s="38" t="s">
        <v>2706</v>
      </c>
      <c r="E30" s="38" t="s">
        <v>2707</v>
      </c>
      <c r="F30" s="38" t="s">
        <v>2708</v>
      </c>
      <c r="G30" s="38" t="s">
        <v>2709</v>
      </c>
      <c r="H30" s="38" t="s">
        <v>2710</v>
      </c>
      <c r="I30" s="38" t="s">
        <v>2711</v>
      </c>
      <c r="J30" s="38" t="s">
        <v>2712</v>
      </c>
      <c r="K30" s="40" t="s">
        <v>2713</v>
      </c>
      <c r="L30" s="38" t="s">
        <v>2714</v>
      </c>
      <c r="M30" s="38" t="s">
        <v>2715</v>
      </c>
      <c r="N30" s="41" t="s">
        <v>2716</v>
      </c>
      <c r="O30" s="42" t="s">
        <v>10131</v>
      </c>
      <c r="P30" s="43" t="s">
        <v>2718</v>
      </c>
      <c r="Q30" s="44" t="s">
        <v>10132</v>
      </c>
      <c r="R30" s="45" t="s">
        <v>2720</v>
      </c>
      <c r="S30" s="38" t="s">
        <v>2721</v>
      </c>
      <c r="T30" s="38" t="s">
        <v>2722</v>
      </c>
      <c r="U30" s="38" t="s">
        <v>2723</v>
      </c>
      <c r="V30" s="38" t="s">
        <v>2724</v>
      </c>
      <c r="W30" s="38" t="s">
        <v>2725</v>
      </c>
      <c r="X30" s="38" t="s">
        <v>2726</v>
      </c>
      <c r="Y30" s="46" t="s">
        <v>2727</v>
      </c>
      <c r="Z30" s="38" t="s">
        <v>2728</v>
      </c>
      <c r="AA30" s="38" t="s">
        <v>2729</v>
      </c>
      <c r="AB30" s="41" t="s">
        <v>2730</v>
      </c>
      <c r="AC30" s="38" t="s">
        <v>2731</v>
      </c>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row>
    <row r="31">
      <c r="A31" s="37" t="s">
        <v>10920</v>
      </c>
      <c r="B31" s="38" t="s">
        <v>10921</v>
      </c>
      <c r="C31" s="39" t="s">
        <v>10922</v>
      </c>
      <c r="D31" s="38" t="s">
        <v>10921</v>
      </c>
      <c r="E31" s="38" t="s">
        <v>10921</v>
      </c>
      <c r="F31" s="38" t="s">
        <v>10923</v>
      </c>
      <c r="G31" s="38" t="s">
        <v>10924</v>
      </c>
      <c r="H31" s="38" t="s">
        <v>10925</v>
      </c>
      <c r="I31" s="38" t="s">
        <v>10926</v>
      </c>
      <c r="J31" s="38" t="s">
        <v>9089</v>
      </c>
      <c r="K31" s="40" t="s">
        <v>10927</v>
      </c>
      <c r="L31" s="38" t="s">
        <v>10928</v>
      </c>
      <c r="M31" s="38" t="s">
        <v>10929</v>
      </c>
      <c r="N31" s="41" t="s">
        <v>10930</v>
      </c>
      <c r="O31" s="42" t="s">
        <v>9094</v>
      </c>
      <c r="P31" s="43" t="s">
        <v>9095</v>
      </c>
      <c r="Q31" s="44" t="s">
        <v>10931</v>
      </c>
      <c r="R31" s="45" t="s">
        <v>10932</v>
      </c>
      <c r="S31" s="38" t="s">
        <v>10933</v>
      </c>
      <c r="T31" s="38" t="s">
        <v>10934</v>
      </c>
      <c r="U31" s="38" t="s">
        <v>9100</v>
      </c>
      <c r="V31" s="38" t="s">
        <v>10935</v>
      </c>
      <c r="W31" s="38" t="s">
        <v>10936</v>
      </c>
      <c r="X31" s="38" t="s">
        <v>10937</v>
      </c>
      <c r="Y31" s="46" t="s">
        <v>9104</v>
      </c>
      <c r="Z31" s="38" t="s">
        <v>10938</v>
      </c>
      <c r="AA31" s="38" t="s">
        <v>10939</v>
      </c>
      <c r="AB31" s="41" t="s">
        <v>9107</v>
      </c>
      <c r="AC31" s="38" t="s">
        <v>9108</v>
      </c>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c r="BI31" s="71"/>
      <c r="BJ31" s="71"/>
      <c r="BK31" s="71"/>
      <c r="BL31" s="71"/>
      <c r="BM31" s="71"/>
    </row>
    <row r="32">
      <c r="A32" s="37" t="s">
        <v>10940</v>
      </c>
      <c r="B32" s="38" t="s">
        <v>10941</v>
      </c>
      <c r="C32" s="39" t="s">
        <v>10942</v>
      </c>
      <c r="D32" s="38" t="s">
        <v>10943</v>
      </c>
      <c r="E32" s="38" t="s">
        <v>10944</v>
      </c>
      <c r="F32" s="38" t="s">
        <v>10945</v>
      </c>
      <c r="G32" s="38" t="s">
        <v>10946</v>
      </c>
      <c r="H32" s="38" t="s">
        <v>10947</v>
      </c>
      <c r="I32" s="38" t="s">
        <v>10948</v>
      </c>
      <c r="J32" s="38" t="s">
        <v>10946</v>
      </c>
      <c r="K32" s="40" t="s">
        <v>10949</v>
      </c>
      <c r="L32" s="38" t="s">
        <v>10950</v>
      </c>
      <c r="M32" s="38" t="s">
        <v>10951</v>
      </c>
      <c r="N32" s="41" t="s">
        <v>149</v>
      </c>
      <c r="O32" s="42" t="s">
        <v>10952</v>
      </c>
      <c r="P32" s="43" t="s">
        <v>10953</v>
      </c>
      <c r="Q32" s="44" t="s">
        <v>10954</v>
      </c>
      <c r="R32" s="45" t="s">
        <v>10955</v>
      </c>
      <c r="S32" s="38" t="s">
        <v>10956</v>
      </c>
      <c r="T32" s="38" t="s">
        <v>10957</v>
      </c>
      <c r="U32" s="38" t="s">
        <v>10958</v>
      </c>
      <c r="V32" s="38" t="s">
        <v>10959</v>
      </c>
      <c r="W32" s="38" t="s">
        <v>10960</v>
      </c>
      <c r="X32" s="38" t="s">
        <v>10961</v>
      </c>
      <c r="Y32" s="46" t="s">
        <v>10962</v>
      </c>
      <c r="Z32" s="38" t="s">
        <v>10963</v>
      </c>
      <c r="AA32" s="38" t="s">
        <v>10964</v>
      </c>
      <c r="AB32" s="41" t="s">
        <v>10965</v>
      </c>
      <c r="AC32" s="38" t="s">
        <v>10966</v>
      </c>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row>
    <row r="33">
      <c r="A33" s="37" t="s">
        <v>10967</v>
      </c>
      <c r="B33" s="38" t="s">
        <v>10968</v>
      </c>
      <c r="C33" s="39" t="s">
        <v>10969</v>
      </c>
      <c r="D33" s="38" t="s">
        <v>10970</v>
      </c>
      <c r="E33" s="38" t="s">
        <v>10971</v>
      </c>
      <c r="F33" s="38" t="s">
        <v>10972</v>
      </c>
      <c r="G33" s="38" t="s">
        <v>10973</v>
      </c>
      <c r="H33" s="38" t="s">
        <v>10974</v>
      </c>
      <c r="I33" s="38" t="s">
        <v>10975</v>
      </c>
      <c r="J33" s="38" t="s">
        <v>10976</v>
      </c>
      <c r="K33" s="40" t="s">
        <v>10977</v>
      </c>
      <c r="L33" s="38" t="s">
        <v>10978</v>
      </c>
      <c r="M33" s="38" t="s">
        <v>10979</v>
      </c>
      <c r="N33" s="41" t="s">
        <v>10980</v>
      </c>
      <c r="O33" s="42" t="s">
        <v>10981</v>
      </c>
      <c r="P33" s="43" t="s">
        <v>10982</v>
      </c>
      <c r="Q33" s="44" t="s">
        <v>10983</v>
      </c>
      <c r="R33" s="45" t="s">
        <v>10984</v>
      </c>
      <c r="S33" s="38" t="s">
        <v>10985</v>
      </c>
      <c r="T33" s="38" t="s">
        <v>10986</v>
      </c>
      <c r="U33" s="38" t="s">
        <v>10987</v>
      </c>
      <c r="V33" s="38" t="s">
        <v>10988</v>
      </c>
      <c r="W33" s="38" t="s">
        <v>10989</v>
      </c>
      <c r="X33" s="38" t="s">
        <v>10990</v>
      </c>
      <c r="Y33" s="46" t="s">
        <v>10991</v>
      </c>
      <c r="Z33" s="38" t="s">
        <v>10992</v>
      </c>
      <c r="AA33" s="38" t="s">
        <v>10993</v>
      </c>
      <c r="AB33" s="41" t="s">
        <v>10994</v>
      </c>
      <c r="AC33" s="38" t="s">
        <v>10995</v>
      </c>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row>
    <row r="34">
      <c r="A34" s="37" t="s">
        <v>10996</v>
      </c>
      <c r="B34" s="38" t="s">
        <v>10997</v>
      </c>
      <c r="C34" s="39" t="s">
        <v>10998</v>
      </c>
      <c r="D34" s="38" t="s">
        <v>10999</v>
      </c>
      <c r="E34" s="38" t="s">
        <v>11000</v>
      </c>
      <c r="F34" s="38" t="s">
        <v>11001</v>
      </c>
      <c r="G34" s="38" t="s">
        <v>11002</v>
      </c>
      <c r="H34" s="38" t="s">
        <v>11003</v>
      </c>
      <c r="I34" s="38" t="s">
        <v>11004</v>
      </c>
      <c r="J34" s="38" t="s">
        <v>11005</v>
      </c>
      <c r="K34" s="40" t="s">
        <v>11006</v>
      </c>
      <c r="L34" s="38" t="s">
        <v>11007</v>
      </c>
      <c r="M34" s="38" t="s">
        <v>11008</v>
      </c>
      <c r="N34" s="41" t="s">
        <v>11009</v>
      </c>
      <c r="O34" s="42" t="s">
        <v>11010</v>
      </c>
      <c r="P34" s="43" t="s">
        <v>11011</v>
      </c>
      <c r="Q34" s="44" t="s">
        <v>11012</v>
      </c>
      <c r="R34" s="45" t="s">
        <v>11013</v>
      </c>
      <c r="S34" s="38" t="s">
        <v>11014</v>
      </c>
      <c r="T34" s="38" t="s">
        <v>11015</v>
      </c>
      <c r="U34" s="38" t="s">
        <v>11016</v>
      </c>
      <c r="V34" s="38" t="s">
        <v>11017</v>
      </c>
      <c r="W34" s="38" t="s">
        <v>11018</v>
      </c>
      <c r="X34" s="38" t="s">
        <v>11019</v>
      </c>
      <c r="Y34" s="46" t="s">
        <v>11020</v>
      </c>
      <c r="Z34" s="38" t="s">
        <v>11021</v>
      </c>
      <c r="AA34" s="38" t="s">
        <v>11022</v>
      </c>
      <c r="AB34" s="41" t="s">
        <v>11023</v>
      </c>
      <c r="AC34" s="38" t="s">
        <v>11024</v>
      </c>
      <c r="AD34" s="71"/>
      <c r="AE34" s="71"/>
      <c r="AF34" s="71"/>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G34" s="71"/>
      <c r="BH34" s="71"/>
      <c r="BI34" s="71"/>
      <c r="BJ34" s="71"/>
      <c r="BK34" s="71"/>
      <c r="BL34" s="71"/>
      <c r="BM34" s="71"/>
    </row>
    <row r="35">
      <c r="A35" s="37" t="s">
        <v>11025</v>
      </c>
      <c r="B35" s="38" t="s">
        <v>11026</v>
      </c>
      <c r="C35" s="39" t="s">
        <v>11027</v>
      </c>
      <c r="D35" s="38" t="s">
        <v>11028</v>
      </c>
      <c r="E35" s="38" t="s">
        <v>11029</v>
      </c>
      <c r="F35" s="38" t="s">
        <v>11030</v>
      </c>
      <c r="G35" s="38" t="s">
        <v>11031</v>
      </c>
      <c r="H35" s="38" t="s">
        <v>11032</v>
      </c>
      <c r="I35" s="38" t="s">
        <v>11033</v>
      </c>
      <c r="J35" s="38" t="s">
        <v>11034</v>
      </c>
      <c r="K35" s="40" t="s">
        <v>11035</v>
      </c>
      <c r="L35" s="38" t="s">
        <v>11036</v>
      </c>
      <c r="M35" s="38" t="s">
        <v>11037</v>
      </c>
      <c r="N35" s="41" t="s">
        <v>11038</v>
      </c>
      <c r="O35" s="42" t="s">
        <v>11039</v>
      </c>
      <c r="P35" s="43" t="s">
        <v>11040</v>
      </c>
      <c r="Q35" s="44" t="s">
        <v>11041</v>
      </c>
      <c r="R35" s="45" t="s">
        <v>11042</v>
      </c>
      <c r="S35" s="38" t="s">
        <v>11043</v>
      </c>
      <c r="T35" s="38" t="s">
        <v>11044</v>
      </c>
      <c r="U35" s="38" t="s">
        <v>11045</v>
      </c>
      <c r="V35" s="38" t="s">
        <v>11046</v>
      </c>
      <c r="W35" s="38" t="s">
        <v>11047</v>
      </c>
      <c r="X35" s="38" t="s">
        <v>11048</v>
      </c>
      <c r="Y35" s="46" t="s">
        <v>11049</v>
      </c>
      <c r="Z35" s="38" t="s">
        <v>11050</v>
      </c>
      <c r="AA35" s="38" t="s">
        <v>11051</v>
      </c>
      <c r="AB35" s="41" t="s">
        <v>11052</v>
      </c>
      <c r="AC35" s="38" t="s">
        <v>11053</v>
      </c>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row>
    <row r="36">
      <c r="A36" s="37" t="s">
        <v>11054</v>
      </c>
      <c r="B36" s="38" t="s">
        <v>11055</v>
      </c>
      <c r="C36" s="39" t="s">
        <v>11056</v>
      </c>
      <c r="D36" s="38" t="s">
        <v>11057</v>
      </c>
      <c r="E36" s="38" t="s">
        <v>11058</v>
      </c>
      <c r="F36" s="38" t="s">
        <v>11059</v>
      </c>
      <c r="G36" s="38" t="s">
        <v>11060</v>
      </c>
      <c r="H36" s="38" t="s">
        <v>11061</v>
      </c>
      <c r="I36" s="38" t="s">
        <v>11062</v>
      </c>
      <c r="J36" s="38" t="s">
        <v>11063</v>
      </c>
      <c r="K36" s="40" t="s">
        <v>11064</v>
      </c>
      <c r="L36" s="38" t="s">
        <v>11065</v>
      </c>
      <c r="M36" s="38" t="s">
        <v>11066</v>
      </c>
      <c r="N36" s="41" t="s">
        <v>11067</v>
      </c>
      <c r="O36" s="42" t="s">
        <v>11068</v>
      </c>
      <c r="P36" s="43" t="s">
        <v>11069</v>
      </c>
      <c r="Q36" s="44" t="s">
        <v>11070</v>
      </c>
      <c r="R36" s="45" t="s">
        <v>11071</v>
      </c>
      <c r="S36" s="38" t="s">
        <v>11072</v>
      </c>
      <c r="T36" s="38" t="s">
        <v>11073</v>
      </c>
      <c r="U36" s="38" t="s">
        <v>11074</v>
      </c>
      <c r="V36" s="38" t="s">
        <v>11075</v>
      </c>
      <c r="W36" s="38" t="s">
        <v>11076</v>
      </c>
      <c r="X36" s="38" t="s">
        <v>11077</v>
      </c>
      <c r="Y36" s="46" t="s">
        <v>11078</v>
      </c>
      <c r="Z36" s="38" t="s">
        <v>11079</v>
      </c>
      <c r="AA36" s="38" t="s">
        <v>11080</v>
      </c>
      <c r="AB36" s="41" t="s">
        <v>11081</v>
      </c>
      <c r="AC36" s="38" t="s">
        <v>11082</v>
      </c>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row>
    <row r="37">
      <c r="A37" s="37" t="s">
        <v>11083</v>
      </c>
      <c r="B37" s="38" t="s">
        <v>11084</v>
      </c>
      <c r="C37" s="39" t="s">
        <v>10770</v>
      </c>
      <c r="D37" s="38" t="s">
        <v>11085</v>
      </c>
      <c r="E37" s="38" t="s">
        <v>11086</v>
      </c>
      <c r="F37" s="38" t="s">
        <v>11087</v>
      </c>
      <c r="G37" s="38" t="s">
        <v>11088</v>
      </c>
      <c r="H37" s="38" t="s">
        <v>10775</v>
      </c>
      <c r="I37" s="38" t="s">
        <v>10776</v>
      </c>
      <c r="J37" s="38" t="s">
        <v>10777</v>
      </c>
      <c r="K37" s="40" t="s">
        <v>11089</v>
      </c>
      <c r="L37" s="38" t="s">
        <v>11090</v>
      </c>
      <c r="M37" s="38" t="s">
        <v>11091</v>
      </c>
      <c r="N37" s="41" t="s">
        <v>11092</v>
      </c>
      <c r="O37" s="42" t="s">
        <v>10782</v>
      </c>
      <c r="P37" s="43" t="s">
        <v>11093</v>
      </c>
      <c r="Q37" s="44" t="s">
        <v>11094</v>
      </c>
      <c r="R37" s="45" t="s">
        <v>11095</v>
      </c>
      <c r="S37" s="38" t="s">
        <v>11096</v>
      </c>
      <c r="T37" s="38" t="s">
        <v>11097</v>
      </c>
      <c r="U37" s="38" t="s">
        <v>11098</v>
      </c>
      <c r="V37" s="38" t="s">
        <v>11099</v>
      </c>
      <c r="W37" s="38" t="s">
        <v>11100</v>
      </c>
      <c r="X37" s="38" t="s">
        <v>11101</v>
      </c>
      <c r="Y37" s="46" t="s">
        <v>11102</v>
      </c>
      <c r="Z37" s="38" t="s">
        <v>10793</v>
      </c>
      <c r="AA37" s="38" t="s">
        <v>11103</v>
      </c>
      <c r="AB37" s="41" t="s">
        <v>11104</v>
      </c>
      <c r="AC37" s="38" t="s">
        <v>11105</v>
      </c>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row>
    <row r="38">
      <c r="A38" s="37" t="s">
        <v>11106</v>
      </c>
      <c r="B38" s="38" t="s">
        <v>11107</v>
      </c>
      <c r="C38" s="39" t="s">
        <v>11108</v>
      </c>
      <c r="D38" s="38" t="s">
        <v>11109</v>
      </c>
      <c r="E38" s="38" t="s">
        <v>11110</v>
      </c>
      <c r="F38" s="38" t="s">
        <v>11111</v>
      </c>
      <c r="G38" s="38" t="s">
        <v>11112</v>
      </c>
      <c r="H38" s="38" t="s">
        <v>11113</v>
      </c>
      <c r="I38" s="38" t="s">
        <v>11114</v>
      </c>
      <c r="J38" s="38" t="s">
        <v>11115</v>
      </c>
      <c r="K38" s="40" t="s">
        <v>11116</v>
      </c>
      <c r="L38" s="38" t="s">
        <v>11117</v>
      </c>
      <c r="M38" s="38" t="s">
        <v>11118</v>
      </c>
      <c r="N38" s="41" t="s">
        <v>11119</v>
      </c>
      <c r="O38" s="42" t="s">
        <v>11120</v>
      </c>
      <c r="P38" s="43" t="s">
        <v>11121</v>
      </c>
      <c r="Q38" s="44" t="s">
        <v>11122</v>
      </c>
      <c r="R38" s="45" t="s">
        <v>11123</v>
      </c>
      <c r="S38" s="38" t="s">
        <v>11124</v>
      </c>
      <c r="T38" s="38" t="s">
        <v>11125</v>
      </c>
      <c r="U38" s="38" t="s">
        <v>11126</v>
      </c>
      <c r="V38" s="38" t="s">
        <v>11127</v>
      </c>
      <c r="W38" s="38" t="s">
        <v>11128</v>
      </c>
      <c r="X38" s="38" t="s">
        <v>11129</v>
      </c>
      <c r="Y38" s="46" t="s">
        <v>11130</v>
      </c>
      <c r="Z38" s="38" t="s">
        <v>11131</v>
      </c>
      <c r="AA38" s="38" t="s">
        <v>11132</v>
      </c>
      <c r="AB38" s="41" t="s">
        <v>11133</v>
      </c>
      <c r="AC38" s="38" t="s">
        <v>11134</v>
      </c>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row>
    <row r="39">
      <c r="A39" s="37" t="s">
        <v>11135</v>
      </c>
      <c r="B39" s="38" t="s">
        <v>11135</v>
      </c>
      <c r="C39" s="37" t="s">
        <v>11135</v>
      </c>
      <c r="D39" s="38" t="s">
        <v>11135</v>
      </c>
      <c r="E39" s="37" t="s">
        <v>11135</v>
      </c>
      <c r="F39" s="38" t="s">
        <v>11135</v>
      </c>
      <c r="G39" s="37" t="s">
        <v>11135</v>
      </c>
      <c r="H39" s="38" t="s">
        <v>11135</v>
      </c>
      <c r="I39" s="37" t="s">
        <v>11135</v>
      </c>
      <c r="J39" s="38" t="s">
        <v>11135</v>
      </c>
      <c r="K39" s="37" t="s">
        <v>11135</v>
      </c>
      <c r="L39" s="38" t="s">
        <v>11135</v>
      </c>
      <c r="M39" s="37" t="s">
        <v>11135</v>
      </c>
      <c r="N39" s="38" t="s">
        <v>11135</v>
      </c>
      <c r="O39" s="37" t="s">
        <v>11135</v>
      </c>
      <c r="P39" s="38" t="s">
        <v>11135</v>
      </c>
      <c r="Q39" s="37" t="s">
        <v>11135</v>
      </c>
      <c r="R39" s="38" t="s">
        <v>11135</v>
      </c>
      <c r="S39" s="37" t="s">
        <v>11135</v>
      </c>
      <c r="T39" s="38" t="s">
        <v>11135</v>
      </c>
      <c r="U39" s="37" t="s">
        <v>11135</v>
      </c>
      <c r="V39" s="38" t="s">
        <v>11135</v>
      </c>
      <c r="W39" s="37" t="s">
        <v>11135</v>
      </c>
      <c r="X39" s="38" t="s">
        <v>11135</v>
      </c>
      <c r="Y39" s="37" t="s">
        <v>11135</v>
      </c>
      <c r="Z39" s="38" t="s">
        <v>11135</v>
      </c>
      <c r="AA39" s="37" t="s">
        <v>11135</v>
      </c>
      <c r="AB39" s="38" t="s">
        <v>11135</v>
      </c>
      <c r="AC39" s="37" t="s">
        <v>11135</v>
      </c>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row>
    <row r="40">
      <c r="A40" s="37" t="s">
        <v>11136</v>
      </c>
      <c r="B40" s="38" t="s">
        <v>11137</v>
      </c>
      <c r="C40" s="39" t="s">
        <v>11138</v>
      </c>
      <c r="D40" s="38" t="s">
        <v>11139</v>
      </c>
      <c r="E40" s="38" t="s">
        <v>11140</v>
      </c>
      <c r="F40" s="38" t="s">
        <v>11141</v>
      </c>
      <c r="G40" s="38" t="s">
        <v>11142</v>
      </c>
      <c r="H40" s="38" t="s">
        <v>11143</v>
      </c>
      <c r="I40" s="38" t="s">
        <v>11144</v>
      </c>
      <c r="J40" s="38" t="s">
        <v>11145</v>
      </c>
      <c r="K40" s="40" t="s">
        <v>11146</v>
      </c>
      <c r="L40" s="38" t="s">
        <v>11147</v>
      </c>
      <c r="M40" s="38" t="s">
        <v>11148</v>
      </c>
      <c r="N40" s="41" t="s">
        <v>11149</v>
      </c>
      <c r="O40" s="42" t="s">
        <v>11150</v>
      </c>
      <c r="P40" s="43" t="s">
        <v>11151</v>
      </c>
      <c r="Q40" s="44" t="s">
        <v>11152</v>
      </c>
      <c r="R40" s="45" t="s">
        <v>11153</v>
      </c>
      <c r="S40" s="38" t="s">
        <v>11154</v>
      </c>
      <c r="T40" s="38" t="s">
        <v>11155</v>
      </c>
      <c r="U40" s="38" t="s">
        <v>11156</v>
      </c>
      <c r="V40" s="38" t="s">
        <v>11157</v>
      </c>
      <c r="W40" s="38" t="s">
        <v>11158</v>
      </c>
      <c r="X40" s="38" t="s">
        <v>11159</v>
      </c>
      <c r="Y40" s="46" t="s">
        <v>11160</v>
      </c>
      <c r="Z40" s="38" t="s">
        <v>11161</v>
      </c>
      <c r="AA40" s="38" t="s">
        <v>11162</v>
      </c>
      <c r="AB40" s="41" t="s">
        <v>11163</v>
      </c>
      <c r="AC40" s="38" t="s">
        <v>11164</v>
      </c>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row>
    <row r="41">
      <c r="A41" s="37" t="s">
        <v>11165</v>
      </c>
      <c r="B41" s="38" t="s">
        <v>11166</v>
      </c>
      <c r="C41" s="39" t="s">
        <v>11167</v>
      </c>
      <c r="D41" s="38" t="s">
        <v>11168</v>
      </c>
      <c r="E41" s="38" t="s">
        <v>11169</v>
      </c>
      <c r="F41" s="38" t="s">
        <v>11170</v>
      </c>
      <c r="G41" s="38" t="s">
        <v>11171</v>
      </c>
      <c r="H41" s="38" t="s">
        <v>11172</v>
      </c>
      <c r="I41" s="38" t="s">
        <v>11173</v>
      </c>
      <c r="J41" s="38" t="s">
        <v>11174</v>
      </c>
      <c r="K41" s="40" t="s">
        <v>11175</v>
      </c>
      <c r="L41" s="38" t="s">
        <v>11176</v>
      </c>
      <c r="M41" s="38" t="s">
        <v>11177</v>
      </c>
      <c r="N41" s="41" t="s">
        <v>11178</v>
      </c>
      <c r="O41" s="42" t="s">
        <v>11179</v>
      </c>
      <c r="P41" s="43" t="s">
        <v>11180</v>
      </c>
      <c r="Q41" s="44" t="s">
        <v>11181</v>
      </c>
      <c r="R41" s="45" t="s">
        <v>11182</v>
      </c>
      <c r="S41" s="38" t="s">
        <v>11183</v>
      </c>
      <c r="T41" s="38" t="s">
        <v>11184</v>
      </c>
      <c r="U41" s="38" t="s">
        <v>11185</v>
      </c>
      <c r="V41" s="38" t="s">
        <v>11186</v>
      </c>
      <c r="W41" s="38" t="s">
        <v>11187</v>
      </c>
      <c r="X41" s="38" t="s">
        <v>11188</v>
      </c>
      <c r="Y41" s="46" t="s">
        <v>11189</v>
      </c>
      <c r="Z41" s="38" t="s">
        <v>11190</v>
      </c>
      <c r="AA41" s="38" t="s">
        <v>11191</v>
      </c>
      <c r="AB41" s="41" t="s">
        <v>11192</v>
      </c>
      <c r="AC41" s="38" t="s">
        <v>11193</v>
      </c>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row>
    <row r="42">
      <c r="A42" s="37" t="s">
        <v>11194</v>
      </c>
      <c r="B42" s="38" t="s">
        <v>11195</v>
      </c>
      <c r="C42" s="39" t="s">
        <v>11196</v>
      </c>
      <c r="D42" s="38" t="s">
        <v>11197</v>
      </c>
      <c r="E42" s="38" t="s">
        <v>11198</v>
      </c>
      <c r="F42" s="38" t="s">
        <v>11199</v>
      </c>
      <c r="G42" s="38" t="s">
        <v>11195</v>
      </c>
      <c r="H42" s="38" t="s">
        <v>11200</v>
      </c>
      <c r="I42" s="38" t="s">
        <v>11201</v>
      </c>
      <c r="J42" s="38" t="s">
        <v>11202</v>
      </c>
      <c r="K42" s="40" t="s">
        <v>11203</v>
      </c>
      <c r="L42" s="38" t="s">
        <v>11204</v>
      </c>
      <c r="M42" s="38" t="s">
        <v>11205</v>
      </c>
      <c r="N42" s="41" t="s">
        <v>11206</v>
      </c>
      <c r="O42" s="42" t="s">
        <v>11207</v>
      </c>
      <c r="P42" s="43" t="s">
        <v>11208</v>
      </c>
      <c r="Q42" s="44" t="s">
        <v>11209</v>
      </c>
      <c r="R42" s="45" t="s">
        <v>11210</v>
      </c>
      <c r="S42" s="38" t="s">
        <v>11211</v>
      </c>
      <c r="T42" s="38" t="s">
        <v>11204</v>
      </c>
      <c r="U42" s="38" t="s">
        <v>11212</v>
      </c>
      <c r="V42" s="38" t="s">
        <v>11213</v>
      </c>
      <c r="W42" s="38" t="s">
        <v>11214</v>
      </c>
      <c r="X42" s="38" t="s">
        <v>11215</v>
      </c>
      <c r="Y42" s="46" t="s">
        <v>11216</v>
      </c>
      <c r="Z42" s="38" t="s">
        <v>11217</v>
      </c>
      <c r="AA42" s="38" t="s">
        <v>11218</v>
      </c>
      <c r="AB42" s="41" t="s">
        <v>11219</v>
      </c>
      <c r="AC42" s="38" t="s">
        <v>11220</v>
      </c>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row>
    <row r="43">
      <c r="A43" s="37" t="s">
        <v>11221</v>
      </c>
      <c r="B43" s="38" t="s">
        <v>11222</v>
      </c>
      <c r="C43" s="39" t="s">
        <v>11223</v>
      </c>
      <c r="D43" s="38" t="s">
        <v>11224</v>
      </c>
      <c r="E43" s="38" t="s">
        <v>11225</v>
      </c>
      <c r="F43" s="38" t="s">
        <v>11226</v>
      </c>
      <c r="G43" s="38" t="s">
        <v>11227</v>
      </c>
      <c r="H43" s="38" t="s">
        <v>11228</v>
      </c>
      <c r="I43" s="38" t="s">
        <v>11229</v>
      </c>
      <c r="J43" s="38" t="s">
        <v>11230</v>
      </c>
      <c r="K43" s="40" t="s">
        <v>11231</v>
      </c>
      <c r="L43" s="38" t="s">
        <v>11232</v>
      </c>
      <c r="M43" s="38" t="s">
        <v>11233</v>
      </c>
      <c r="N43" s="41" t="s">
        <v>11234</v>
      </c>
      <c r="O43" s="42" t="s">
        <v>11235</v>
      </c>
      <c r="P43" s="43" t="s">
        <v>11236</v>
      </c>
      <c r="Q43" s="44" t="s">
        <v>11237</v>
      </c>
      <c r="R43" s="45" t="s">
        <v>11238</v>
      </c>
      <c r="S43" s="38" t="s">
        <v>11239</v>
      </c>
      <c r="T43" s="38" t="s">
        <v>11232</v>
      </c>
      <c r="U43" s="38" t="s">
        <v>11240</v>
      </c>
      <c r="V43" s="38" t="s">
        <v>11241</v>
      </c>
      <c r="W43" s="38" t="s">
        <v>11227</v>
      </c>
      <c r="X43" s="38" t="s">
        <v>11242</v>
      </c>
      <c r="Y43" s="46" t="s">
        <v>11243</v>
      </c>
      <c r="Z43" s="38" t="s">
        <v>11244</v>
      </c>
      <c r="AA43" s="38" t="s">
        <v>11245</v>
      </c>
      <c r="AB43" s="41" t="s">
        <v>11246</v>
      </c>
      <c r="AC43" s="38" t="s">
        <v>11247</v>
      </c>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row>
    <row r="44">
      <c r="A44" s="37" t="s">
        <v>11248</v>
      </c>
      <c r="B44" s="38" t="s">
        <v>11249</v>
      </c>
      <c r="C44" s="39" t="s">
        <v>11250</v>
      </c>
      <c r="D44" s="38" t="s">
        <v>11251</v>
      </c>
      <c r="E44" s="38" t="s">
        <v>11252</v>
      </c>
      <c r="F44" s="38" t="s">
        <v>11253</v>
      </c>
      <c r="G44" s="38" t="s">
        <v>11254</v>
      </c>
      <c r="H44" s="38" t="s">
        <v>11255</v>
      </c>
      <c r="I44" s="38" t="s">
        <v>11256</v>
      </c>
      <c r="J44" s="38" t="s">
        <v>11257</v>
      </c>
      <c r="K44" s="40" t="s">
        <v>11258</v>
      </c>
      <c r="L44" s="38" t="s">
        <v>11259</v>
      </c>
      <c r="M44" s="38" t="s">
        <v>11260</v>
      </c>
      <c r="N44" s="41" t="s">
        <v>11261</v>
      </c>
      <c r="O44" s="42" t="s">
        <v>11262</v>
      </c>
      <c r="P44" s="43" t="s">
        <v>11263</v>
      </c>
      <c r="Q44" s="44" t="s">
        <v>11264</v>
      </c>
      <c r="R44" s="45" t="s">
        <v>11265</v>
      </c>
      <c r="S44" s="38" t="s">
        <v>11266</v>
      </c>
      <c r="T44" s="38" t="s">
        <v>11267</v>
      </c>
      <c r="U44" s="38" t="s">
        <v>11268</v>
      </c>
      <c r="V44" s="38" t="s">
        <v>11269</v>
      </c>
      <c r="W44" s="38" t="s">
        <v>11254</v>
      </c>
      <c r="X44" s="38" t="s">
        <v>11270</v>
      </c>
      <c r="Y44" s="46" t="s">
        <v>11271</v>
      </c>
      <c r="Z44" s="38" t="s">
        <v>11272</v>
      </c>
      <c r="AA44" s="38" t="s">
        <v>11273</v>
      </c>
      <c r="AB44" s="41" t="s">
        <v>11274</v>
      </c>
      <c r="AC44" s="38" t="s">
        <v>11275</v>
      </c>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row>
    <row r="45">
      <c r="A45" s="37" t="s">
        <v>10278</v>
      </c>
      <c r="B45" s="38" t="s">
        <v>10279</v>
      </c>
      <c r="C45" s="39" t="s">
        <v>4445</v>
      </c>
      <c r="D45" s="38" t="s">
        <v>10280</v>
      </c>
      <c r="E45" s="38" t="s">
        <v>10281</v>
      </c>
      <c r="F45" s="38" t="s">
        <v>10282</v>
      </c>
      <c r="G45" s="38" t="s">
        <v>10283</v>
      </c>
      <c r="H45" s="38" t="s">
        <v>10284</v>
      </c>
      <c r="I45" s="38" t="s">
        <v>10285</v>
      </c>
      <c r="J45" s="38" t="s">
        <v>10286</v>
      </c>
      <c r="K45" s="40" t="s">
        <v>4453</v>
      </c>
      <c r="L45" s="38" t="s">
        <v>10287</v>
      </c>
      <c r="M45" s="38" t="s">
        <v>10288</v>
      </c>
      <c r="N45" s="41" t="s">
        <v>4456</v>
      </c>
      <c r="O45" s="42" t="s">
        <v>10289</v>
      </c>
      <c r="P45" s="43" t="s">
        <v>10290</v>
      </c>
      <c r="Q45" s="44" t="s">
        <v>4459</v>
      </c>
      <c r="R45" s="45" t="s">
        <v>10291</v>
      </c>
      <c r="S45" s="38" t="s">
        <v>10292</v>
      </c>
      <c r="T45" s="38" t="s">
        <v>10293</v>
      </c>
      <c r="U45" s="38" t="s">
        <v>10294</v>
      </c>
      <c r="V45" s="38" t="s">
        <v>10295</v>
      </c>
      <c r="W45" s="38" t="s">
        <v>10283</v>
      </c>
      <c r="X45" s="38" t="s">
        <v>10296</v>
      </c>
      <c r="Y45" s="46" t="s">
        <v>4466</v>
      </c>
      <c r="Z45" s="38" t="s">
        <v>10297</v>
      </c>
      <c r="AA45" s="38" t="s">
        <v>10298</v>
      </c>
      <c r="AB45" s="41" t="s">
        <v>4469</v>
      </c>
      <c r="AC45" s="38" t="s">
        <v>10299</v>
      </c>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row>
    <row r="46">
      <c r="A46" s="37" t="s">
        <v>10300</v>
      </c>
      <c r="B46" s="38" t="s">
        <v>10301</v>
      </c>
      <c r="C46" s="39" t="s">
        <v>9082</v>
      </c>
      <c r="D46" s="38" t="s">
        <v>10302</v>
      </c>
      <c r="E46" s="38" t="s">
        <v>10303</v>
      </c>
      <c r="F46" s="38" t="s">
        <v>10304</v>
      </c>
      <c r="G46" s="38" t="s">
        <v>10305</v>
      </c>
      <c r="H46" s="38" t="s">
        <v>10306</v>
      </c>
      <c r="I46" s="38" t="s">
        <v>10307</v>
      </c>
      <c r="J46" s="38" t="s">
        <v>10308</v>
      </c>
      <c r="K46" s="40" t="s">
        <v>9090</v>
      </c>
      <c r="L46" s="38" t="s">
        <v>10309</v>
      </c>
      <c r="M46" s="38" t="s">
        <v>10310</v>
      </c>
      <c r="N46" s="41" t="s">
        <v>9093</v>
      </c>
      <c r="O46" s="42" t="s">
        <v>9094</v>
      </c>
      <c r="P46" s="43" t="s">
        <v>9095</v>
      </c>
      <c r="Q46" s="44" t="s">
        <v>9096</v>
      </c>
      <c r="R46" s="45" t="s">
        <v>9097</v>
      </c>
      <c r="S46" s="38" t="s">
        <v>10311</v>
      </c>
      <c r="T46" s="38" t="s">
        <v>10312</v>
      </c>
      <c r="U46" s="38" t="s">
        <v>10313</v>
      </c>
      <c r="V46" s="38" t="s">
        <v>10314</v>
      </c>
      <c r="W46" s="38" t="s">
        <v>10315</v>
      </c>
      <c r="X46" s="38" t="s">
        <v>10316</v>
      </c>
      <c r="Y46" s="46" t="s">
        <v>9104</v>
      </c>
      <c r="Z46" s="38" t="s">
        <v>10317</v>
      </c>
      <c r="AA46" s="38" t="s">
        <v>10318</v>
      </c>
      <c r="AB46" s="41" t="s">
        <v>5965</v>
      </c>
      <c r="AC46" s="38" t="s">
        <v>10319</v>
      </c>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row>
    <row r="47">
      <c r="A47" s="37" t="s">
        <v>11276</v>
      </c>
      <c r="B47" s="38" t="s">
        <v>11277</v>
      </c>
      <c r="C47" s="39" t="s">
        <v>11278</v>
      </c>
      <c r="D47" s="38" t="s">
        <v>7237</v>
      </c>
      <c r="E47" s="38" t="s">
        <v>7238</v>
      </c>
      <c r="F47" s="38" t="s">
        <v>11279</v>
      </c>
      <c r="G47" s="38" t="s">
        <v>11280</v>
      </c>
      <c r="H47" s="38" t="s">
        <v>11281</v>
      </c>
      <c r="I47" s="38" t="s">
        <v>11282</v>
      </c>
      <c r="J47" s="38" t="s">
        <v>11283</v>
      </c>
      <c r="K47" s="40" t="s">
        <v>11284</v>
      </c>
      <c r="L47" s="38" t="s">
        <v>11285</v>
      </c>
      <c r="M47" s="38" t="s">
        <v>11286</v>
      </c>
      <c r="N47" s="41" t="s">
        <v>11287</v>
      </c>
      <c r="O47" s="42" t="s">
        <v>11288</v>
      </c>
      <c r="P47" s="43" t="s">
        <v>11289</v>
      </c>
      <c r="Q47" s="44" t="s">
        <v>11290</v>
      </c>
      <c r="R47" s="45" t="s">
        <v>11291</v>
      </c>
      <c r="S47" s="38" t="s">
        <v>11292</v>
      </c>
      <c r="T47" s="38" t="s">
        <v>11293</v>
      </c>
      <c r="U47" s="38" t="s">
        <v>11294</v>
      </c>
      <c r="V47" s="38" t="s">
        <v>11295</v>
      </c>
      <c r="W47" s="38" t="s">
        <v>11296</v>
      </c>
      <c r="X47" s="38" t="s">
        <v>11297</v>
      </c>
      <c r="Y47" s="46" t="s">
        <v>11298</v>
      </c>
      <c r="Z47" s="38" t="s">
        <v>11299</v>
      </c>
      <c r="AA47" s="38" t="s">
        <v>11300</v>
      </c>
      <c r="AB47" s="41" t="s">
        <v>11301</v>
      </c>
      <c r="AC47" s="38" t="s">
        <v>11302</v>
      </c>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row>
    <row r="48">
      <c r="A48" s="37" t="s">
        <v>11303</v>
      </c>
      <c r="B48" s="38" t="s">
        <v>11304</v>
      </c>
      <c r="C48" s="39" t="s">
        <v>11305</v>
      </c>
      <c r="D48" s="38" t="s">
        <v>11306</v>
      </c>
      <c r="E48" s="38" t="s">
        <v>11307</v>
      </c>
      <c r="F48" s="38" t="s">
        <v>11308</v>
      </c>
      <c r="G48" s="38" t="s">
        <v>11309</v>
      </c>
      <c r="H48" s="38" t="s">
        <v>11310</v>
      </c>
      <c r="I48" s="38" t="s">
        <v>11311</v>
      </c>
      <c r="J48" s="38" t="s">
        <v>11312</v>
      </c>
      <c r="K48" s="40" t="s">
        <v>11313</v>
      </c>
      <c r="L48" s="38" t="s">
        <v>11314</v>
      </c>
      <c r="M48" s="38" t="s">
        <v>11315</v>
      </c>
      <c r="N48" s="41" t="s">
        <v>11316</v>
      </c>
      <c r="O48" s="42" t="s">
        <v>11317</v>
      </c>
      <c r="P48" s="43" t="s">
        <v>11318</v>
      </c>
      <c r="Q48" s="44" t="s">
        <v>11319</v>
      </c>
      <c r="R48" s="45" t="s">
        <v>11320</v>
      </c>
      <c r="S48" s="38" t="s">
        <v>11321</v>
      </c>
      <c r="T48" s="38" t="s">
        <v>11322</v>
      </c>
      <c r="U48" s="38" t="s">
        <v>11323</v>
      </c>
      <c r="V48" s="38" t="s">
        <v>11324</v>
      </c>
      <c r="W48" s="38" t="s">
        <v>11325</v>
      </c>
      <c r="X48" s="38" t="s">
        <v>11326</v>
      </c>
      <c r="Y48" s="46" t="s">
        <v>11327</v>
      </c>
      <c r="Z48" s="38" t="s">
        <v>11328</v>
      </c>
      <c r="AA48" s="38" t="s">
        <v>11329</v>
      </c>
      <c r="AB48" s="41" t="s">
        <v>11330</v>
      </c>
      <c r="AC48" s="38" t="s">
        <v>11331</v>
      </c>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row>
    <row r="49">
      <c r="A49" s="37" t="s">
        <v>11332</v>
      </c>
      <c r="B49" s="38" t="s">
        <v>11333</v>
      </c>
      <c r="C49" s="39" t="s">
        <v>11334</v>
      </c>
      <c r="D49" s="38" t="s">
        <v>11335</v>
      </c>
      <c r="E49" s="38" t="s">
        <v>11336</v>
      </c>
      <c r="F49" s="38" t="s">
        <v>11337</v>
      </c>
      <c r="G49" s="38" t="s">
        <v>11338</v>
      </c>
      <c r="H49" s="38" t="s">
        <v>11339</v>
      </c>
      <c r="I49" s="38" t="s">
        <v>11340</v>
      </c>
      <c r="J49" s="38" t="s">
        <v>11341</v>
      </c>
      <c r="K49" s="40" t="s">
        <v>11342</v>
      </c>
      <c r="L49" s="38" t="s">
        <v>11343</v>
      </c>
      <c r="M49" s="38" t="s">
        <v>11344</v>
      </c>
      <c r="N49" s="41" t="s">
        <v>11345</v>
      </c>
      <c r="O49" s="42" t="s">
        <v>11346</v>
      </c>
      <c r="P49" s="43" t="s">
        <v>11347</v>
      </c>
      <c r="Q49" s="44" t="s">
        <v>11348</v>
      </c>
      <c r="R49" s="45" t="s">
        <v>11349</v>
      </c>
      <c r="S49" s="38" t="s">
        <v>11350</v>
      </c>
      <c r="T49" s="38" t="s">
        <v>11351</v>
      </c>
      <c r="U49" s="38" t="s">
        <v>11344</v>
      </c>
      <c r="V49" s="38" t="s">
        <v>11352</v>
      </c>
      <c r="W49" s="38" t="s">
        <v>11338</v>
      </c>
      <c r="X49" s="38" t="s">
        <v>11353</v>
      </c>
      <c r="Y49" s="46" t="s">
        <v>11354</v>
      </c>
      <c r="Z49" s="38" t="s">
        <v>11355</v>
      </c>
      <c r="AA49" s="38" t="s">
        <v>11356</v>
      </c>
      <c r="AB49" s="41" t="s">
        <v>11357</v>
      </c>
      <c r="AC49" s="38" t="s">
        <v>11358</v>
      </c>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row>
    <row r="50">
      <c r="A50" s="37" t="s">
        <v>11359</v>
      </c>
      <c r="B50" s="38" t="s">
        <v>11360</v>
      </c>
      <c r="C50" s="39" t="s">
        <v>11361</v>
      </c>
      <c r="D50" s="38" t="s">
        <v>11362</v>
      </c>
      <c r="E50" s="38" t="s">
        <v>11363</v>
      </c>
      <c r="F50" s="38" t="s">
        <v>11364</v>
      </c>
      <c r="G50" s="38" t="s">
        <v>11365</v>
      </c>
      <c r="H50" s="38" t="s">
        <v>11366</v>
      </c>
      <c r="I50" s="38" t="s">
        <v>11367</v>
      </c>
      <c r="J50" s="38" t="s">
        <v>11368</v>
      </c>
      <c r="K50" s="40" t="s">
        <v>11369</v>
      </c>
      <c r="L50" s="38" t="s">
        <v>11370</v>
      </c>
      <c r="M50" s="38" t="s">
        <v>11371</v>
      </c>
      <c r="N50" s="41" t="s">
        <v>11372</v>
      </c>
      <c r="O50" s="42" t="s">
        <v>11373</v>
      </c>
      <c r="P50" s="43" t="s">
        <v>11374</v>
      </c>
      <c r="Q50" s="44" t="s">
        <v>11375</v>
      </c>
      <c r="R50" s="45" t="s">
        <v>11376</v>
      </c>
      <c r="S50" s="38" t="s">
        <v>11377</v>
      </c>
      <c r="T50" s="38" t="s">
        <v>11378</v>
      </c>
      <c r="U50" s="38" t="s">
        <v>11371</v>
      </c>
      <c r="V50" s="38" t="s">
        <v>11379</v>
      </c>
      <c r="W50" s="38" t="s">
        <v>11365</v>
      </c>
      <c r="X50" s="38" t="s">
        <v>11380</v>
      </c>
      <c r="Y50" s="46" t="s">
        <v>11381</v>
      </c>
      <c r="Z50" s="38" t="s">
        <v>11382</v>
      </c>
      <c r="AA50" s="38" t="s">
        <v>11383</v>
      </c>
      <c r="AB50" s="41" t="s">
        <v>11384</v>
      </c>
      <c r="AC50" s="38" t="s">
        <v>11385</v>
      </c>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row>
    <row r="51">
      <c r="A51" s="37" t="s">
        <v>11386</v>
      </c>
      <c r="B51" s="38" t="s">
        <v>11387</v>
      </c>
      <c r="C51" s="39" t="s">
        <v>11388</v>
      </c>
      <c r="D51" s="38" t="s">
        <v>11389</v>
      </c>
      <c r="E51" s="38" t="s">
        <v>11390</v>
      </c>
      <c r="F51" s="38" t="s">
        <v>11391</v>
      </c>
      <c r="G51" s="38" t="s">
        <v>11392</v>
      </c>
      <c r="H51" s="38" t="s">
        <v>11393</v>
      </c>
      <c r="I51" s="38" t="s">
        <v>11394</v>
      </c>
      <c r="J51" s="38" t="s">
        <v>11395</v>
      </c>
      <c r="K51" s="40" t="s">
        <v>11396</v>
      </c>
      <c r="L51" s="38" t="s">
        <v>11397</v>
      </c>
      <c r="M51" s="38" t="s">
        <v>11398</v>
      </c>
      <c r="N51" s="41" t="s">
        <v>11399</v>
      </c>
      <c r="O51" s="42" t="s">
        <v>11400</v>
      </c>
      <c r="P51" s="43" t="s">
        <v>11401</v>
      </c>
      <c r="Q51" s="44" t="s">
        <v>11402</v>
      </c>
      <c r="R51" s="45" t="s">
        <v>11403</v>
      </c>
      <c r="S51" s="38" t="s">
        <v>11404</v>
      </c>
      <c r="T51" s="38" t="s">
        <v>11405</v>
      </c>
      <c r="U51" s="38" t="s">
        <v>11398</v>
      </c>
      <c r="V51" s="38" t="s">
        <v>11406</v>
      </c>
      <c r="W51" s="38" t="s">
        <v>11392</v>
      </c>
      <c r="X51" s="38" t="s">
        <v>11407</v>
      </c>
      <c r="Y51" s="46" t="s">
        <v>11408</v>
      </c>
      <c r="Z51" s="38" t="s">
        <v>11409</v>
      </c>
      <c r="AA51" s="38" t="s">
        <v>11410</v>
      </c>
      <c r="AB51" s="41" t="s">
        <v>11411</v>
      </c>
      <c r="AC51" s="38" t="s">
        <v>11412</v>
      </c>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row>
    <row r="52">
      <c r="A52" s="37" t="s">
        <v>11413</v>
      </c>
      <c r="B52" s="38" t="s">
        <v>11414</v>
      </c>
      <c r="C52" s="39" t="s">
        <v>11415</v>
      </c>
      <c r="D52" s="38" t="s">
        <v>11416</v>
      </c>
      <c r="E52" s="38" t="s">
        <v>11417</v>
      </c>
      <c r="F52" s="38" t="s">
        <v>11418</v>
      </c>
      <c r="G52" s="38" t="s">
        <v>11419</v>
      </c>
      <c r="H52" s="38" t="s">
        <v>11420</v>
      </c>
      <c r="I52" s="38" t="s">
        <v>11421</v>
      </c>
      <c r="J52" s="38" t="s">
        <v>11422</v>
      </c>
      <c r="K52" s="40" t="s">
        <v>11423</v>
      </c>
      <c r="L52" s="38" t="s">
        <v>11424</v>
      </c>
      <c r="M52" s="38" t="s">
        <v>11425</v>
      </c>
      <c r="N52" s="41" t="s">
        <v>11426</v>
      </c>
      <c r="O52" s="42" t="s">
        <v>11427</v>
      </c>
      <c r="P52" s="43" t="s">
        <v>11428</v>
      </c>
      <c r="Q52" s="44" t="s">
        <v>11429</v>
      </c>
      <c r="R52" s="45" t="s">
        <v>11430</v>
      </c>
      <c r="S52" s="38" t="s">
        <v>11431</v>
      </c>
      <c r="T52" s="38" t="s">
        <v>11432</v>
      </c>
      <c r="U52" s="38" t="s">
        <v>11433</v>
      </c>
      <c r="V52" s="38" t="s">
        <v>11434</v>
      </c>
      <c r="W52" s="38" t="s">
        <v>11435</v>
      </c>
      <c r="X52" s="38" t="s">
        <v>11436</v>
      </c>
      <c r="Y52" s="46" t="s">
        <v>11437</v>
      </c>
      <c r="Z52" s="38" t="s">
        <v>11438</v>
      </c>
      <c r="AA52" s="38" t="s">
        <v>11439</v>
      </c>
      <c r="AB52" s="41" t="s">
        <v>11440</v>
      </c>
      <c r="AC52" s="38" t="s">
        <v>11441</v>
      </c>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row>
    <row r="53">
      <c r="A53" s="37" t="s">
        <v>11442</v>
      </c>
      <c r="B53" s="38" t="s">
        <v>11443</v>
      </c>
      <c r="C53" s="39" t="s">
        <v>11444</v>
      </c>
      <c r="D53" s="38" t="s">
        <v>11445</v>
      </c>
      <c r="E53" s="38" t="s">
        <v>11446</v>
      </c>
      <c r="F53" s="38" t="s">
        <v>11447</v>
      </c>
      <c r="G53" s="38" t="s">
        <v>11448</v>
      </c>
      <c r="H53" s="38" t="s">
        <v>11449</v>
      </c>
      <c r="I53" s="38" t="s">
        <v>11450</v>
      </c>
      <c r="J53" s="38" t="s">
        <v>11451</v>
      </c>
      <c r="K53" s="40" t="s">
        <v>11452</v>
      </c>
      <c r="L53" s="38" t="s">
        <v>11453</v>
      </c>
      <c r="M53" s="38" t="s">
        <v>11454</v>
      </c>
      <c r="N53" s="41" t="s">
        <v>11455</v>
      </c>
      <c r="O53" s="38" t="s">
        <v>11456</v>
      </c>
      <c r="P53" s="43" t="s">
        <v>11457</v>
      </c>
      <c r="Q53" s="44" t="s">
        <v>11458</v>
      </c>
      <c r="R53" s="38" t="s">
        <v>11459</v>
      </c>
      <c r="S53" s="38" t="s">
        <v>11460</v>
      </c>
      <c r="T53" s="38" t="s">
        <v>11461</v>
      </c>
      <c r="U53" s="38" t="s">
        <v>11462</v>
      </c>
      <c r="V53" s="38" t="s">
        <v>11463</v>
      </c>
      <c r="W53" s="38" t="s">
        <v>11464</v>
      </c>
      <c r="X53" s="38" t="s">
        <v>11465</v>
      </c>
      <c r="Y53" s="46" t="s">
        <v>11466</v>
      </c>
      <c r="Z53" s="38" t="s">
        <v>11467</v>
      </c>
      <c r="AA53" s="38" t="s">
        <v>11468</v>
      </c>
      <c r="AB53" s="41" t="s">
        <v>11469</v>
      </c>
      <c r="AC53" s="38" t="s">
        <v>11470</v>
      </c>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row>
    <row r="54">
      <c r="A54" s="37" t="s">
        <v>11471</v>
      </c>
      <c r="B54" s="38" t="s">
        <v>11472</v>
      </c>
      <c r="C54" s="39" t="s">
        <v>11473</v>
      </c>
      <c r="D54" s="38" t="s">
        <v>11474</v>
      </c>
      <c r="E54" s="38" t="s">
        <v>11475</v>
      </c>
      <c r="F54" s="38" t="s">
        <v>11476</v>
      </c>
      <c r="G54" s="38" t="s">
        <v>11477</v>
      </c>
      <c r="H54" s="38" t="s">
        <v>11478</v>
      </c>
      <c r="I54" s="38" t="s">
        <v>11479</v>
      </c>
      <c r="J54" s="38" t="s">
        <v>11480</v>
      </c>
      <c r="K54" s="40" t="s">
        <v>11481</v>
      </c>
      <c r="L54" s="38" t="s">
        <v>11482</v>
      </c>
      <c r="M54" s="38" t="s">
        <v>11483</v>
      </c>
      <c r="N54" s="41" t="s">
        <v>11484</v>
      </c>
      <c r="O54" s="38" t="s">
        <v>11485</v>
      </c>
      <c r="P54" s="43" t="s">
        <v>11486</v>
      </c>
      <c r="Q54" s="44" t="s">
        <v>11487</v>
      </c>
      <c r="R54" s="45" t="s">
        <v>11488</v>
      </c>
      <c r="S54" s="38" t="s">
        <v>11489</v>
      </c>
      <c r="T54" s="38" t="s">
        <v>11490</v>
      </c>
      <c r="U54" s="38" t="s">
        <v>11491</v>
      </c>
      <c r="V54" s="38" t="s">
        <v>11492</v>
      </c>
      <c r="W54" s="38" t="s">
        <v>11493</v>
      </c>
      <c r="X54" s="38" t="s">
        <v>11494</v>
      </c>
      <c r="Y54" s="46" t="s">
        <v>11495</v>
      </c>
      <c r="Z54" s="38" t="s">
        <v>11496</v>
      </c>
      <c r="AA54" s="38" t="s">
        <v>11497</v>
      </c>
      <c r="AB54" s="41" t="s">
        <v>11498</v>
      </c>
      <c r="AC54" s="38" t="s">
        <v>11499</v>
      </c>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row>
    <row r="55">
      <c r="A55" s="37" t="s">
        <v>11500</v>
      </c>
      <c r="B55" s="38" t="s">
        <v>11501</v>
      </c>
      <c r="C55" s="39" t="s">
        <v>11502</v>
      </c>
      <c r="D55" s="38" t="s">
        <v>11503</v>
      </c>
      <c r="E55" s="38" t="s">
        <v>11504</v>
      </c>
      <c r="F55" s="38" t="s">
        <v>11505</v>
      </c>
      <c r="G55" s="38" t="s">
        <v>11506</v>
      </c>
      <c r="H55" s="38" t="s">
        <v>11507</v>
      </c>
      <c r="I55" s="38" t="s">
        <v>11508</v>
      </c>
      <c r="J55" s="38" t="s">
        <v>11509</v>
      </c>
      <c r="K55" s="40" t="s">
        <v>11510</v>
      </c>
      <c r="L55" s="38" t="s">
        <v>11511</v>
      </c>
      <c r="M55" s="38" t="s">
        <v>11512</v>
      </c>
      <c r="N55" s="41" t="s">
        <v>11513</v>
      </c>
      <c r="O55" s="38" t="s">
        <v>11514</v>
      </c>
      <c r="P55" s="43" t="s">
        <v>11515</v>
      </c>
      <c r="Q55" s="44" t="s">
        <v>11516</v>
      </c>
      <c r="R55" s="45" t="s">
        <v>11517</v>
      </c>
      <c r="S55" s="38" t="s">
        <v>11518</v>
      </c>
      <c r="T55" s="38" t="s">
        <v>11519</v>
      </c>
      <c r="U55" s="38" t="s">
        <v>11520</v>
      </c>
      <c r="V55" s="38" t="s">
        <v>11521</v>
      </c>
      <c r="W55" s="38" t="s">
        <v>11522</v>
      </c>
      <c r="X55" s="38" t="s">
        <v>11523</v>
      </c>
      <c r="Y55" s="46" t="s">
        <v>11524</v>
      </c>
      <c r="Z55" s="38" t="s">
        <v>11525</v>
      </c>
      <c r="AA55" s="38" t="s">
        <v>11526</v>
      </c>
      <c r="AB55" s="41" t="s">
        <v>11527</v>
      </c>
      <c r="AC55" s="38" t="s">
        <v>11528</v>
      </c>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row>
    <row r="56">
      <c r="A56" s="37" t="s">
        <v>11529</v>
      </c>
      <c r="B56" s="38" t="s">
        <v>11530</v>
      </c>
      <c r="C56" s="39" t="s">
        <v>11531</v>
      </c>
      <c r="D56" s="38" t="s">
        <v>11532</v>
      </c>
      <c r="E56" s="38" t="s">
        <v>11533</v>
      </c>
      <c r="F56" s="38" t="s">
        <v>11534</v>
      </c>
      <c r="G56" s="38" t="s">
        <v>11535</v>
      </c>
      <c r="H56" s="38" t="s">
        <v>11536</v>
      </c>
      <c r="I56" s="38" t="s">
        <v>11537</v>
      </c>
      <c r="J56" s="38" t="s">
        <v>11538</v>
      </c>
      <c r="K56" s="40" t="s">
        <v>11539</v>
      </c>
      <c r="L56" s="38" t="s">
        <v>11540</v>
      </c>
      <c r="M56" s="38" t="s">
        <v>11541</v>
      </c>
      <c r="N56" s="41" t="s">
        <v>11542</v>
      </c>
      <c r="O56" s="42" t="s">
        <v>11543</v>
      </c>
      <c r="P56" s="43" t="s">
        <v>11544</v>
      </c>
      <c r="Q56" s="44" t="s">
        <v>11545</v>
      </c>
      <c r="R56" s="45" t="s">
        <v>11546</v>
      </c>
      <c r="S56" s="38" t="s">
        <v>11547</v>
      </c>
      <c r="T56" s="38" t="s">
        <v>11548</v>
      </c>
      <c r="U56" s="38" t="s">
        <v>11549</v>
      </c>
      <c r="V56" s="38" t="s">
        <v>11550</v>
      </c>
      <c r="W56" s="38" t="s">
        <v>11551</v>
      </c>
      <c r="X56" s="38" t="s">
        <v>11552</v>
      </c>
      <c r="Y56" s="46" t="s">
        <v>11553</v>
      </c>
      <c r="Z56" s="38" t="s">
        <v>11554</v>
      </c>
      <c r="AA56" s="38" t="s">
        <v>11555</v>
      </c>
      <c r="AB56" s="41" t="s">
        <v>11556</v>
      </c>
      <c r="AC56" s="38" t="s">
        <v>11557</v>
      </c>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row>
    <row r="57">
      <c r="A57" s="72"/>
      <c r="B57" s="72"/>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row>
    <row r="58">
      <c r="A58" s="72"/>
      <c r="B58" s="72"/>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row>
    <row r="59">
      <c r="A59" s="72"/>
      <c r="B59" s="72"/>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row>
    <row r="60">
      <c r="A60" s="72"/>
      <c r="B60" s="72"/>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row>
    <row r="61">
      <c r="A61" s="72"/>
      <c r="B61" s="72"/>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row>
    <row r="62">
      <c r="A62" s="72"/>
      <c r="B62" s="72"/>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row>
    <row r="63">
      <c r="A63" s="72"/>
      <c r="B63" s="72"/>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row>
    <row r="64">
      <c r="A64" s="72"/>
      <c r="B64" s="72"/>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row>
    <row r="65">
      <c r="A65" s="72"/>
      <c r="B65" s="72"/>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row>
    <row r="66">
      <c r="A66" s="72"/>
      <c r="B66" s="72"/>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row>
    <row r="67">
      <c r="A67" s="72"/>
      <c r="B67" s="72"/>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row>
    <row r="68">
      <c r="A68" s="72"/>
      <c r="B68" s="72"/>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row>
    <row r="69">
      <c r="A69" s="72"/>
      <c r="B69" s="72"/>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row>
    <row r="70">
      <c r="A70" s="72"/>
      <c r="B70" s="72"/>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row>
    <row r="71">
      <c r="A71" s="72"/>
      <c r="B71" s="72"/>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row>
    <row r="72">
      <c r="A72" s="72"/>
      <c r="B72" s="72"/>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row>
    <row r="73">
      <c r="A73" s="72"/>
      <c r="B73" s="72"/>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row>
    <row r="74">
      <c r="A74" s="72"/>
      <c r="B74" s="72"/>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row>
    <row r="75">
      <c r="A75" s="72"/>
      <c r="B75" s="72"/>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row>
    <row r="76">
      <c r="A76" s="72"/>
      <c r="B76" s="72"/>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row>
    <row r="77">
      <c r="A77" s="72"/>
      <c r="B77" s="72"/>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row>
    <row r="78">
      <c r="A78" s="72"/>
      <c r="B78" s="72"/>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row>
    <row r="79">
      <c r="A79" s="72"/>
      <c r="B79" s="72"/>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row>
    <row r="80">
      <c r="A80" s="72"/>
      <c r="B80" s="72"/>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row>
    <row r="81">
      <c r="A81" s="72"/>
      <c r="B81" s="72"/>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row>
    <row r="82">
      <c r="A82" s="72"/>
      <c r="B82" s="72"/>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row>
    <row r="83">
      <c r="A83" s="72"/>
      <c r="B83" s="72"/>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row>
    <row r="84">
      <c r="A84" s="72"/>
      <c r="B84" s="72"/>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row>
    <row r="85">
      <c r="A85" s="72"/>
      <c r="B85" s="72"/>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row>
    <row r="86">
      <c r="A86" s="72"/>
      <c r="B86" s="72"/>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row>
    <row r="87">
      <c r="A87" s="72"/>
      <c r="B87" s="72"/>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c r="BI87" s="71"/>
      <c r="BJ87" s="71"/>
      <c r="BK87" s="71"/>
      <c r="BL87" s="71"/>
      <c r="BM87" s="71"/>
    </row>
    <row r="88">
      <c r="A88" s="72"/>
      <c r="B88" s="72"/>
      <c r="C88" s="71"/>
      <c r="D88" s="7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c r="AR88" s="71"/>
      <c r="AS88" s="71"/>
      <c r="AT88" s="71"/>
      <c r="AU88" s="71"/>
      <c r="AV88" s="71"/>
      <c r="AW88" s="71"/>
      <c r="AX88" s="71"/>
      <c r="AY88" s="71"/>
      <c r="AZ88" s="71"/>
      <c r="BA88" s="71"/>
      <c r="BB88" s="71"/>
      <c r="BC88" s="71"/>
      <c r="BD88" s="71"/>
      <c r="BE88" s="71"/>
      <c r="BF88" s="71"/>
      <c r="BG88" s="71"/>
      <c r="BH88" s="71"/>
      <c r="BI88" s="71"/>
      <c r="BJ88" s="71"/>
      <c r="BK88" s="71"/>
      <c r="BL88" s="71"/>
      <c r="BM88" s="71"/>
    </row>
    <row r="89">
      <c r="A89" s="72"/>
      <c r="B89" s="72"/>
      <c r="C89" s="71"/>
      <c r="D89" s="7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row>
    <row r="90">
      <c r="A90" s="72"/>
      <c r="B90" s="72"/>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row>
    <row r="91">
      <c r="A91" s="72"/>
      <c r="B91" s="72"/>
      <c r="C91" s="71"/>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row>
    <row r="92">
      <c r="A92" s="72"/>
      <c r="B92" s="72"/>
      <c r="C92" s="71"/>
      <c r="D92" s="71"/>
      <c r="E92" s="71"/>
      <c r="F92" s="71"/>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71"/>
      <c r="AO92" s="71"/>
      <c r="AP92" s="71"/>
      <c r="AQ92" s="71"/>
      <c r="AR92" s="71"/>
      <c r="AS92" s="71"/>
      <c r="AT92" s="71"/>
      <c r="AU92" s="71"/>
      <c r="AV92" s="71"/>
      <c r="AW92" s="71"/>
      <c r="AX92" s="71"/>
      <c r="AY92" s="71"/>
      <c r="AZ92" s="71"/>
      <c r="BA92" s="71"/>
      <c r="BB92" s="71"/>
      <c r="BC92" s="71"/>
      <c r="BD92" s="71"/>
      <c r="BE92" s="71"/>
      <c r="BF92" s="71"/>
      <c r="BG92" s="71"/>
      <c r="BH92" s="71"/>
      <c r="BI92" s="71"/>
      <c r="BJ92" s="71"/>
      <c r="BK92" s="71"/>
      <c r="BL92" s="71"/>
      <c r="BM92" s="71"/>
    </row>
    <row r="93">
      <c r="A93" s="72"/>
      <c r="B93" s="72"/>
      <c r="C93" s="71"/>
      <c r="D93" s="7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1"/>
      <c r="BK93" s="71"/>
      <c r="BL93" s="71"/>
      <c r="BM93" s="71"/>
    </row>
    <row r="94">
      <c r="A94" s="72"/>
      <c r="B94" s="72"/>
      <c r="C94" s="71"/>
      <c r="D94" s="71"/>
      <c r="E94" s="71"/>
      <c r="F94" s="71"/>
      <c r="G94" s="71"/>
      <c r="H94" s="71"/>
      <c r="I94" s="71"/>
      <c r="J94" s="71"/>
      <c r="K94" s="71"/>
      <c r="L94" s="71"/>
      <c r="M94" s="71"/>
      <c r="N94" s="71"/>
      <c r="O94" s="71"/>
      <c r="P94" s="71"/>
      <c r="Q94" s="71"/>
      <c r="R94" s="71"/>
      <c r="S94" s="71"/>
      <c r="T94" s="71"/>
      <c r="U94" s="71"/>
      <c r="V94" s="71"/>
      <c r="W94" s="71"/>
      <c r="X94" s="71"/>
      <c r="Y94" s="71"/>
      <c r="Z94" s="71"/>
      <c r="AA94" s="71"/>
      <c r="AB94" s="71"/>
      <c r="AC94" s="71"/>
      <c r="AD94" s="71"/>
      <c r="AE94" s="71"/>
      <c r="AF94" s="71"/>
      <c r="AG94" s="71"/>
      <c r="AH94" s="71"/>
      <c r="AI94" s="71"/>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c r="BH94" s="71"/>
      <c r="BI94" s="71"/>
      <c r="BJ94" s="71"/>
      <c r="BK94" s="71"/>
      <c r="BL94" s="71"/>
      <c r="BM94" s="71"/>
    </row>
    <row r="95">
      <c r="A95" s="72"/>
      <c r="B95" s="72"/>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71"/>
      <c r="AG95" s="71"/>
      <c r="AH95" s="71"/>
      <c r="AI95" s="71"/>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row>
    <row r="96">
      <c r="A96" s="72"/>
      <c r="B96" s="72"/>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row>
    <row r="97">
      <c r="A97" s="72"/>
      <c r="B97" s="72"/>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71"/>
      <c r="AG97" s="71"/>
      <c r="AH97" s="71"/>
      <c r="AI97" s="71"/>
      <c r="AJ97" s="71"/>
      <c r="AK97" s="71"/>
      <c r="AL97" s="71"/>
      <c r="AM97" s="71"/>
      <c r="AN97" s="71"/>
      <c r="AO97" s="71"/>
      <c r="AP97" s="71"/>
      <c r="AQ97" s="71"/>
      <c r="AR97" s="71"/>
      <c r="AS97" s="71"/>
      <c r="AT97" s="71"/>
      <c r="AU97" s="71"/>
      <c r="AV97" s="71"/>
      <c r="AW97" s="71"/>
      <c r="AX97" s="71"/>
      <c r="AY97" s="71"/>
      <c r="AZ97" s="71"/>
      <c r="BA97" s="71"/>
      <c r="BB97" s="71"/>
      <c r="BC97" s="71"/>
      <c r="BD97" s="71"/>
      <c r="BE97" s="71"/>
      <c r="BF97" s="71"/>
      <c r="BG97" s="71"/>
      <c r="BH97" s="71"/>
      <c r="BI97" s="71"/>
      <c r="BJ97" s="71"/>
      <c r="BK97" s="71"/>
      <c r="BL97" s="71"/>
      <c r="BM97" s="71"/>
    </row>
    <row r="98">
      <c r="A98" s="72"/>
      <c r="B98" s="72"/>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1"/>
      <c r="AG98" s="71"/>
      <c r="AH98" s="71"/>
      <c r="AI98" s="71"/>
      <c r="AJ98" s="71"/>
      <c r="AK98" s="71"/>
      <c r="AL98" s="71"/>
      <c r="AM98" s="71"/>
      <c r="AN98" s="71"/>
      <c r="AO98" s="71"/>
      <c r="AP98" s="71"/>
      <c r="AQ98" s="71"/>
      <c r="AR98" s="71"/>
      <c r="AS98" s="71"/>
      <c r="AT98" s="71"/>
      <c r="AU98" s="71"/>
      <c r="AV98" s="71"/>
      <c r="AW98" s="71"/>
      <c r="AX98" s="71"/>
      <c r="AY98" s="71"/>
      <c r="AZ98" s="71"/>
      <c r="BA98" s="71"/>
      <c r="BB98" s="71"/>
      <c r="BC98" s="71"/>
      <c r="BD98" s="71"/>
      <c r="BE98" s="71"/>
      <c r="BF98" s="71"/>
      <c r="BG98" s="71"/>
      <c r="BH98" s="71"/>
      <c r="BI98" s="71"/>
      <c r="BJ98" s="71"/>
      <c r="BK98" s="71"/>
      <c r="BL98" s="71"/>
      <c r="BM98" s="71"/>
    </row>
    <row r="99">
      <c r="A99" s="72"/>
      <c r="B99" s="72"/>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1"/>
      <c r="AG99" s="71"/>
      <c r="AH99" s="71"/>
      <c r="AI99" s="71"/>
      <c r="AJ99" s="71"/>
      <c r="AK99" s="71"/>
      <c r="AL99" s="71"/>
      <c r="AM99" s="71"/>
      <c r="AN99" s="71"/>
      <c r="AO99" s="71"/>
      <c r="AP99" s="71"/>
      <c r="AQ99" s="71"/>
      <c r="AR99" s="71"/>
      <c r="AS99" s="71"/>
      <c r="AT99" s="71"/>
      <c r="AU99" s="71"/>
      <c r="AV99" s="71"/>
      <c r="AW99" s="71"/>
      <c r="AX99" s="71"/>
      <c r="AY99" s="71"/>
      <c r="AZ99" s="71"/>
      <c r="BA99" s="71"/>
      <c r="BB99" s="71"/>
      <c r="BC99" s="71"/>
      <c r="BD99" s="71"/>
      <c r="BE99" s="71"/>
      <c r="BF99" s="71"/>
      <c r="BG99" s="71"/>
      <c r="BH99" s="71"/>
      <c r="BI99" s="71"/>
      <c r="BJ99" s="71"/>
      <c r="BK99" s="71"/>
      <c r="BL99" s="71"/>
      <c r="BM99" s="71"/>
    </row>
    <row r="100">
      <c r="A100" s="72"/>
      <c r="B100" s="72"/>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c r="BM100" s="71"/>
    </row>
    <row r="101">
      <c r="A101" s="72"/>
      <c r="B101" s="72"/>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c r="AT101" s="71"/>
      <c r="AU101" s="71"/>
      <c r="AV101" s="71"/>
      <c r="AW101" s="71"/>
      <c r="AX101" s="71"/>
      <c r="AY101" s="71"/>
      <c r="AZ101" s="71"/>
      <c r="BA101" s="71"/>
      <c r="BB101" s="71"/>
      <c r="BC101" s="71"/>
      <c r="BD101" s="71"/>
      <c r="BE101" s="71"/>
      <c r="BF101" s="71"/>
      <c r="BG101" s="71"/>
      <c r="BH101" s="71"/>
      <c r="BI101" s="71"/>
      <c r="BJ101" s="71"/>
      <c r="BK101" s="71"/>
      <c r="BL101" s="71"/>
      <c r="BM101" s="71"/>
    </row>
    <row r="102">
      <c r="A102" s="72"/>
      <c r="B102" s="72"/>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c r="AT102" s="71"/>
      <c r="AU102" s="71"/>
      <c r="AV102" s="71"/>
      <c r="AW102" s="71"/>
      <c r="AX102" s="71"/>
      <c r="AY102" s="71"/>
      <c r="AZ102" s="71"/>
      <c r="BA102" s="71"/>
      <c r="BB102" s="71"/>
      <c r="BC102" s="71"/>
      <c r="BD102" s="71"/>
      <c r="BE102" s="71"/>
      <c r="BF102" s="71"/>
      <c r="BG102" s="71"/>
      <c r="BH102" s="71"/>
      <c r="BI102" s="71"/>
      <c r="BJ102" s="71"/>
      <c r="BK102" s="71"/>
      <c r="BL102" s="71"/>
      <c r="BM102" s="71"/>
    </row>
    <row r="103">
      <c r="A103" s="72"/>
      <c r="B103" s="72"/>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row>
    <row r="104">
      <c r="A104" s="72"/>
      <c r="B104" s="72"/>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c r="AR104" s="71"/>
      <c r="AS104" s="71"/>
      <c r="AT104" s="71"/>
      <c r="AU104" s="71"/>
      <c r="AV104" s="71"/>
      <c r="AW104" s="71"/>
      <c r="AX104" s="71"/>
      <c r="AY104" s="71"/>
      <c r="AZ104" s="71"/>
      <c r="BA104" s="71"/>
      <c r="BB104" s="71"/>
      <c r="BC104" s="71"/>
      <c r="BD104" s="71"/>
      <c r="BE104" s="71"/>
      <c r="BF104" s="71"/>
      <c r="BG104" s="71"/>
      <c r="BH104" s="71"/>
      <c r="BI104" s="71"/>
      <c r="BJ104" s="71"/>
      <c r="BK104" s="71"/>
      <c r="BL104" s="71"/>
      <c r="BM104" s="71"/>
    </row>
    <row r="105">
      <c r="A105" s="72"/>
      <c r="B105" s="72"/>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row>
    <row r="106">
      <c r="A106" s="72"/>
      <c r="B106" s="72"/>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row>
    <row r="107">
      <c r="A107" s="72"/>
      <c r="B107" s="72"/>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row>
    <row r="108">
      <c r="A108" s="72"/>
      <c r="B108" s="7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row>
    <row r="109">
      <c r="A109" s="72"/>
      <c r="B109" s="72"/>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row>
    <row r="110">
      <c r="A110" s="72"/>
      <c r="B110" s="72"/>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c r="AT110" s="71"/>
      <c r="AU110" s="71"/>
      <c r="AV110" s="71"/>
      <c r="AW110" s="71"/>
      <c r="AX110" s="71"/>
      <c r="AY110" s="71"/>
      <c r="AZ110" s="71"/>
      <c r="BA110" s="71"/>
      <c r="BB110" s="71"/>
      <c r="BC110" s="71"/>
      <c r="BD110" s="71"/>
      <c r="BE110" s="71"/>
      <c r="BF110" s="71"/>
      <c r="BG110" s="71"/>
      <c r="BH110" s="71"/>
      <c r="BI110" s="71"/>
      <c r="BJ110" s="71"/>
      <c r="BK110" s="71"/>
      <c r="BL110" s="71"/>
      <c r="BM110" s="71"/>
    </row>
    <row r="111">
      <c r="A111" s="72"/>
      <c r="B111" s="72"/>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1"/>
    </row>
    <row r="112">
      <c r="A112" s="72"/>
      <c r="B112" s="72"/>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row>
    <row r="113">
      <c r="A113" s="72"/>
      <c r="B113" s="72"/>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row>
    <row r="114">
      <c r="A114" s="72"/>
      <c r="B114" s="72"/>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row>
    <row r="115">
      <c r="A115" s="72"/>
      <c r="B115" s="72"/>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c r="AT115" s="71"/>
      <c r="AU115" s="71"/>
      <c r="AV115" s="71"/>
      <c r="AW115" s="71"/>
      <c r="AX115" s="71"/>
      <c r="AY115" s="71"/>
      <c r="AZ115" s="71"/>
      <c r="BA115" s="71"/>
      <c r="BB115" s="71"/>
      <c r="BC115" s="71"/>
      <c r="BD115" s="71"/>
      <c r="BE115" s="71"/>
      <c r="BF115" s="71"/>
      <c r="BG115" s="71"/>
      <c r="BH115" s="71"/>
      <c r="BI115" s="71"/>
      <c r="BJ115" s="71"/>
      <c r="BK115" s="71"/>
      <c r="BL115" s="71"/>
      <c r="BM115" s="71"/>
    </row>
    <row r="116">
      <c r="A116" s="72"/>
      <c r="B116" s="72"/>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row>
    <row r="117">
      <c r="A117" s="72"/>
      <c r="B117" s="72"/>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row>
    <row r="118">
      <c r="A118" s="72"/>
      <c r="B118" s="72"/>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row>
    <row r="119">
      <c r="A119" s="72"/>
      <c r="B119" s="72"/>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c r="AR119" s="71"/>
      <c r="AS119" s="71"/>
      <c r="AT119" s="71"/>
      <c r="AU119" s="71"/>
      <c r="AV119" s="71"/>
      <c r="AW119" s="71"/>
      <c r="AX119" s="71"/>
      <c r="AY119" s="71"/>
      <c r="AZ119" s="71"/>
      <c r="BA119" s="71"/>
      <c r="BB119" s="71"/>
      <c r="BC119" s="71"/>
      <c r="BD119" s="71"/>
      <c r="BE119" s="71"/>
      <c r="BF119" s="71"/>
      <c r="BG119" s="71"/>
      <c r="BH119" s="71"/>
      <c r="BI119" s="71"/>
      <c r="BJ119" s="71"/>
      <c r="BK119" s="71"/>
      <c r="BL119" s="71"/>
      <c r="BM119" s="71"/>
    </row>
    <row r="120">
      <c r="A120" s="72"/>
      <c r="B120" s="72"/>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row>
    <row r="121">
      <c r="A121" s="72"/>
      <c r="B121" s="72"/>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c r="AR121" s="71"/>
      <c r="AS121" s="71"/>
      <c r="AT121" s="71"/>
      <c r="AU121" s="71"/>
      <c r="AV121" s="71"/>
      <c r="AW121" s="71"/>
      <c r="AX121" s="71"/>
      <c r="AY121" s="71"/>
      <c r="AZ121" s="71"/>
      <c r="BA121" s="71"/>
      <c r="BB121" s="71"/>
      <c r="BC121" s="71"/>
      <c r="BD121" s="71"/>
      <c r="BE121" s="71"/>
      <c r="BF121" s="71"/>
      <c r="BG121" s="71"/>
      <c r="BH121" s="71"/>
      <c r="BI121" s="71"/>
      <c r="BJ121" s="71"/>
      <c r="BK121" s="71"/>
      <c r="BL121" s="71"/>
      <c r="BM121" s="71"/>
    </row>
    <row r="122">
      <c r="A122" s="72"/>
      <c r="B122" s="72"/>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c r="AR122" s="71"/>
      <c r="AS122" s="71"/>
      <c r="AT122" s="71"/>
      <c r="AU122" s="71"/>
      <c r="AV122" s="71"/>
      <c r="AW122" s="71"/>
      <c r="AX122" s="71"/>
      <c r="AY122" s="71"/>
      <c r="AZ122" s="71"/>
      <c r="BA122" s="71"/>
      <c r="BB122" s="71"/>
      <c r="BC122" s="71"/>
      <c r="BD122" s="71"/>
      <c r="BE122" s="71"/>
      <c r="BF122" s="71"/>
      <c r="BG122" s="71"/>
      <c r="BH122" s="71"/>
      <c r="BI122" s="71"/>
      <c r="BJ122" s="71"/>
      <c r="BK122" s="71"/>
      <c r="BL122" s="71"/>
      <c r="BM122" s="71"/>
    </row>
    <row r="123">
      <c r="A123" s="72"/>
      <c r="B123" s="72"/>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c r="AO123" s="71"/>
      <c r="AP123" s="71"/>
      <c r="AQ123" s="71"/>
      <c r="AR123" s="71"/>
      <c r="AS123" s="71"/>
      <c r="AT123" s="71"/>
      <c r="AU123" s="71"/>
      <c r="AV123" s="71"/>
      <c r="AW123" s="71"/>
      <c r="AX123" s="71"/>
      <c r="AY123" s="71"/>
      <c r="AZ123" s="71"/>
      <c r="BA123" s="71"/>
      <c r="BB123" s="71"/>
      <c r="BC123" s="71"/>
      <c r="BD123" s="71"/>
      <c r="BE123" s="71"/>
      <c r="BF123" s="71"/>
      <c r="BG123" s="71"/>
      <c r="BH123" s="71"/>
      <c r="BI123" s="71"/>
      <c r="BJ123" s="71"/>
      <c r="BK123" s="71"/>
      <c r="BL123" s="71"/>
      <c r="BM123" s="71"/>
    </row>
    <row r="124">
      <c r="A124" s="72"/>
      <c r="B124" s="72"/>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c r="AO124" s="71"/>
      <c r="AP124" s="71"/>
      <c r="AQ124" s="71"/>
      <c r="AR124" s="71"/>
      <c r="AS124" s="71"/>
      <c r="AT124" s="71"/>
      <c r="AU124" s="71"/>
      <c r="AV124" s="71"/>
      <c r="AW124" s="71"/>
      <c r="AX124" s="71"/>
      <c r="AY124" s="71"/>
      <c r="AZ124" s="71"/>
      <c r="BA124" s="71"/>
      <c r="BB124" s="71"/>
      <c r="BC124" s="71"/>
      <c r="BD124" s="71"/>
      <c r="BE124" s="71"/>
      <c r="BF124" s="71"/>
      <c r="BG124" s="71"/>
      <c r="BH124" s="71"/>
      <c r="BI124" s="71"/>
      <c r="BJ124" s="71"/>
      <c r="BK124" s="71"/>
      <c r="BL124" s="71"/>
      <c r="BM124" s="71"/>
    </row>
    <row r="125">
      <c r="A125" s="72"/>
      <c r="B125" s="72"/>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71"/>
      <c r="AO125" s="71"/>
      <c r="AP125" s="71"/>
      <c r="AQ125" s="71"/>
      <c r="AR125" s="71"/>
      <c r="AS125" s="71"/>
      <c r="AT125" s="71"/>
      <c r="AU125" s="71"/>
      <c r="AV125" s="71"/>
      <c r="AW125" s="71"/>
      <c r="AX125" s="71"/>
      <c r="AY125" s="71"/>
      <c r="AZ125" s="71"/>
      <c r="BA125" s="71"/>
      <c r="BB125" s="71"/>
      <c r="BC125" s="71"/>
      <c r="BD125" s="71"/>
      <c r="BE125" s="71"/>
      <c r="BF125" s="71"/>
      <c r="BG125" s="71"/>
      <c r="BH125" s="71"/>
      <c r="BI125" s="71"/>
      <c r="BJ125" s="71"/>
      <c r="BK125" s="71"/>
      <c r="BL125" s="71"/>
      <c r="BM125" s="71"/>
    </row>
    <row r="126">
      <c r="A126" s="72"/>
      <c r="B126" s="72"/>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row>
    <row r="127">
      <c r="A127" s="72"/>
      <c r="B127" s="72"/>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1"/>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row>
    <row r="128">
      <c r="A128" s="72"/>
      <c r="B128" s="72"/>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row>
    <row r="129">
      <c r="A129" s="72"/>
      <c r="B129" s="72"/>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c r="AR129" s="71"/>
      <c r="AS129" s="71"/>
      <c r="AT129" s="71"/>
      <c r="AU129" s="71"/>
      <c r="AV129" s="71"/>
      <c r="AW129" s="71"/>
      <c r="AX129" s="71"/>
      <c r="AY129" s="71"/>
      <c r="AZ129" s="71"/>
      <c r="BA129" s="71"/>
      <c r="BB129" s="71"/>
      <c r="BC129" s="71"/>
      <c r="BD129" s="71"/>
      <c r="BE129" s="71"/>
      <c r="BF129" s="71"/>
      <c r="BG129" s="71"/>
      <c r="BH129" s="71"/>
      <c r="BI129" s="71"/>
      <c r="BJ129" s="71"/>
      <c r="BK129" s="71"/>
      <c r="BL129" s="71"/>
      <c r="BM129" s="71"/>
    </row>
    <row r="130">
      <c r="A130" s="72"/>
      <c r="B130" s="72"/>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row>
    <row r="131">
      <c r="A131" s="72"/>
      <c r="B131" s="72"/>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row>
    <row r="132">
      <c r="A132" s="72"/>
      <c r="B132" s="72"/>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row>
    <row r="133">
      <c r="A133" s="72"/>
      <c r="B133" s="72"/>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row>
    <row r="134">
      <c r="A134" s="72"/>
      <c r="B134" s="72"/>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row>
    <row r="135">
      <c r="A135" s="72"/>
      <c r="B135" s="72"/>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row>
    <row r="136">
      <c r="A136" s="72"/>
      <c r="B136" s="72"/>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row>
    <row r="137">
      <c r="A137" s="72"/>
      <c r="B137" s="72"/>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row>
    <row r="138">
      <c r="A138" s="72"/>
      <c r="B138" s="72"/>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c r="AR138" s="71"/>
      <c r="AS138" s="71"/>
      <c r="AT138" s="71"/>
      <c r="AU138" s="71"/>
      <c r="AV138" s="71"/>
      <c r="AW138" s="71"/>
      <c r="AX138" s="71"/>
      <c r="AY138" s="71"/>
      <c r="AZ138" s="71"/>
      <c r="BA138" s="71"/>
      <c r="BB138" s="71"/>
      <c r="BC138" s="71"/>
      <c r="BD138" s="71"/>
      <c r="BE138" s="71"/>
      <c r="BF138" s="71"/>
      <c r="BG138" s="71"/>
      <c r="BH138" s="71"/>
      <c r="BI138" s="71"/>
      <c r="BJ138" s="71"/>
      <c r="BK138" s="71"/>
      <c r="BL138" s="71"/>
      <c r="BM138" s="71"/>
    </row>
    <row r="139">
      <c r="A139" s="72"/>
      <c r="B139" s="72"/>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row>
    <row r="140">
      <c r="A140" s="72"/>
      <c r="B140" s="72"/>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row>
    <row r="141">
      <c r="A141" s="72"/>
      <c r="B141" s="72"/>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row>
    <row r="142">
      <c r="A142" s="72"/>
      <c r="B142" s="72"/>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row>
    <row r="143">
      <c r="A143" s="72"/>
      <c r="B143" s="72"/>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row>
    <row r="144">
      <c r="A144" s="72"/>
      <c r="B144" s="72"/>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c r="AR144" s="71"/>
      <c r="AS144" s="71"/>
      <c r="AT144" s="71"/>
      <c r="AU144" s="71"/>
      <c r="AV144" s="71"/>
      <c r="AW144" s="71"/>
      <c r="AX144" s="71"/>
      <c r="AY144" s="71"/>
      <c r="AZ144" s="71"/>
      <c r="BA144" s="71"/>
      <c r="BB144" s="71"/>
      <c r="BC144" s="71"/>
      <c r="BD144" s="71"/>
      <c r="BE144" s="71"/>
      <c r="BF144" s="71"/>
      <c r="BG144" s="71"/>
      <c r="BH144" s="71"/>
      <c r="BI144" s="71"/>
      <c r="BJ144" s="71"/>
      <c r="BK144" s="71"/>
      <c r="BL144" s="71"/>
      <c r="BM144" s="71"/>
    </row>
    <row r="145">
      <c r="A145" s="72"/>
      <c r="B145" s="72"/>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row>
    <row r="146">
      <c r="A146" s="72"/>
      <c r="B146" s="72"/>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row>
    <row r="147">
      <c r="A147" s="72"/>
      <c r="B147" s="72"/>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c r="AR147" s="71"/>
      <c r="AS147" s="71"/>
      <c r="AT147" s="71"/>
      <c r="AU147" s="71"/>
      <c r="AV147" s="71"/>
      <c r="AW147" s="71"/>
      <c r="AX147" s="71"/>
      <c r="AY147" s="71"/>
      <c r="AZ147" s="71"/>
      <c r="BA147" s="71"/>
      <c r="BB147" s="71"/>
      <c r="BC147" s="71"/>
      <c r="BD147" s="71"/>
      <c r="BE147" s="71"/>
      <c r="BF147" s="71"/>
      <c r="BG147" s="71"/>
      <c r="BH147" s="71"/>
      <c r="BI147" s="71"/>
      <c r="BJ147" s="71"/>
      <c r="BK147" s="71"/>
      <c r="BL147" s="71"/>
      <c r="BM147" s="71"/>
    </row>
    <row r="148">
      <c r="A148" s="72"/>
      <c r="B148" s="72"/>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row>
    <row r="149">
      <c r="A149" s="72"/>
      <c r="B149" s="72"/>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row>
    <row r="150">
      <c r="A150" s="72"/>
      <c r="B150" s="72"/>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c r="AR150" s="71"/>
      <c r="AS150" s="71"/>
      <c r="AT150" s="71"/>
      <c r="AU150" s="71"/>
      <c r="AV150" s="71"/>
      <c r="AW150" s="71"/>
      <c r="AX150" s="71"/>
      <c r="AY150" s="71"/>
      <c r="AZ150" s="71"/>
      <c r="BA150" s="71"/>
      <c r="BB150" s="71"/>
      <c r="BC150" s="71"/>
      <c r="BD150" s="71"/>
      <c r="BE150" s="71"/>
      <c r="BF150" s="71"/>
      <c r="BG150" s="71"/>
      <c r="BH150" s="71"/>
      <c r="BI150" s="71"/>
      <c r="BJ150" s="71"/>
      <c r="BK150" s="71"/>
      <c r="BL150" s="71"/>
      <c r="BM150" s="71"/>
    </row>
    <row r="151">
      <c r="A151" s="72"/>
      <c r="B151" s="72"/>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c r="AR151" s="71"/>
      <c r="AS151" s="71"/>
      <c r="AT151" s="71"/>
      <c r="AU151" s="71"/>
      <c r="AV151" s="71"/>
      <c r="AW151" s="71"/>
      <c r="AX151" s="71"/>
      <c r="AY151" s="71"/>
      <c r="AZ151" s="71"/>
      <c r="BA151" s="71"/>
      <c r="BB151" s="71"/>
      <c r="BC151" s="71"/>
      <c r="BD151" s="71"/>
      <c r="BE151" s="71"/>
      <c r="BF151" s="71"/>
      <c r="BG151" s="71"/>
      <c r="BH151" s="71"/>
      <c r="BI151" s="71"/>
      <c r="BJ151" s="71"/>
      <c r="BK151" s="71"/>
      <c r="BL151" s="71"/>
      <c r="BM151" s="71"/>
    </row>
    <row r="152">
      <c r="A152" s="72"/>
      <c r="B152" s="72"/>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c r="AR152" s="71"/>
      <c r="AS152" s="71"/>
      <c r="AT152" s="71"/>
      <c r="AU152" s="71"/>
      <c r="AV152" s="71"/>
      <c r="AW152" s="71"/>
      <c r="AX152" s="71"/>
      <c r="AY152" s="71"/>
      <c r="AZ152" s="71"/>
      <c r="BA152" s="71"/>
      <c r="BB152" s="71"/>
      <c r="BC152" s="71"/>
      <c r="BD152" s="71"/>
      <c r="BE152" s="71"/>
      <c r="BF152" s="71"/>
      <c r="BG152" s="71"/>
      <c r="BH152" s="71"/>
      <c r="BI152" s="71"/>
      <c r="BJ152" s="71"/>
      <c r="BK152" s="71"/>
      <c r="BL152" s="71"/>
      <c r="BM152" s="71"/>
    </row>
    <row r="153">
      <c r="A153" s="72"/>
      <c r="B153" s="72"/>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row>
    <row r="154">
      <c r="A154" s="72"/>
      <c r="B154" s="72"/>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row>
    <row r="155">
      <c r="A155" s="72"/>
      <c r="B155" s="72"/>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row>
    <row r="156">
      <c r="A156" s="72"/>
      <c r="B156" s="72"/>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row>
    <row r="157">
      <c r="A157" s="72"/>
      <c r="B157" s="72"/>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row>
    <row r="158">
      <c r="A158" s="72"/>
      <c r="B158" s="72"/>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row>
    <row r="159">
      <c r="A159" s="72"/>
      <c r="B159" s="72"/>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row>
    <row r="160">
      <c r="A160" s="72"/>
      <c r="B160" s="72"/>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row>
    <row r="161">
      <c r="A161" s="72"/>
      <c r="B161" s="72"/>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c r="AR161" s="71"/>
      <c r="AS161" s="71"/>
      <c r="AT161" s="71"/>
      <c r="AU161" s="71"/>
      <c r="AV161" s="71"/>
      <c r="AW161" s="71"/>
      <c r="AX161" s="71"/>
      <c r="AY161" s="71"/>
      <c r="AZ161" s="71"/>
      <c r="BA161" s="71"/>
      <c r="BB161" s="71"/>
      <c r="BC161" s="71"/>
      <c r="BD161" s="71"/>
      <c r="BE161" s="71"/>
      <c r="BF161" s="71"/>
      <c r="BG161" s="71"/>
      <c r="BH161" s="71"/>
      <c r="BI161" s="71"/>
      <c r="BJ161" s="71"/>
      <c r="BK161" s="71"/>
      <c r="BL161" s="71"/>
      <c r="BM161" s="71"/>
    </row>
    <row r="162">
      <c r="A162" s="72"/>
      <c r="B162" s="72"/>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c r="AR162" s="71"/>
      <c r="AS162" s="71"/>
      <c r="AT162" s="71"/>
      <c r="AU162" s="71"/>
      <c r="AV162" s="71"/>
      <c r="AW162" s="71"/>
      <c r="AX162" s="71"/>
      <c r="AY162" s="71"/>
      <c r="AZ162" s="71"/>
      <c r="BA162" s="71"/>
      <c r="BB162" s="71"/>
      <c r="BC162" s="71"/>
      <c r="BD162" s="71"/>
      <c r="BE162" s="71"/>
      <c r="BF162" s="71"/>
      <c r="BG162" s="71"/>
      <c r="BH162" s="71"/>
      <c r="BI162" s="71"/>
      <c r="BJ162" s="71"/>
      <c r="BK162" s="71"/>
      <c r="BL162" s="71"/>
      <c r="BM162" s="71"/>
    </row>
    <row r="163">
      <c r="A163" s="72"/>
      <c r="B163" s="72"/>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c r="AR163" s="71"/>
      <c r="AS163" s="71"/>
      <c r="AT163" s="71"/>
      <c r="AU163" s="71"/>
      <c r="AV163" s="71"/>
      <c r="AW163" s="71"/>
      <c r="AX163" s="71"/>
      <c r="AY163" s="71"/>
      <c r="AZ163" s="71"/>
      <c r="BA163" s="71"/>
      <c r="BB163" s="71"/>
      <c r="BC163" s="71"/>
      <c r="BD163" s="71"/>
      <c r="BE163" s="71"/>
      <c r="BF163" s="71"/>
      <c r="BG163" s="71"/>
      <c r="BH163" s="71"/>
      <c r="BI163" s="71"/>
      <c r="BJ163" s="71"/>
      <c r="BK163" s="71"/>
      <c r="BL163" s="71"/>
      <c r="BM163" s="71"/>
    </row>
    <row r="164">
      <c r="A164" s="72"/>
      <c r="B164" s="72"/>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71"/>
      <c r="AU164" s="71"/>
      <c r="AV164" s="71"/>
      <c r="AW164" s="71"/>
      <c r="AX164" s="71"/>
      <c r="AY164" s="71"/>
      <c r="AZ164" s="71"/>
      <c r="BA164" s="71"/>
      <c r="BB164" s="71"/>
      <c r="BC164" s="71"/>
      <c r="BD164" s="71"/>
      <c r="BE164" s="71"/>
      <c r="BF164" s="71"/>
      <c r="BG164" s="71"/>
      <c r="BH164" s="71"/>
      <c r="BI164" s="71"/>
      <c r="BJ164" s="71"/>
      <c r="BK164" s="71"/>
      <c r="BL164" s="71"/>
      <c r="BM164" s="71"/>
    </row>
    <row r="165">
      <c r="A165" s="72"/>
      <c r="B165" s="72"/>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row>
    <row r="166">
      <c r="A166" s="72"/>
      <c r="B166" s="72"/>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c r="AR166" s="71"/>
      <c r="AS166" s="71"/>
      <c r="AT166" s="71"/>
      <c r="AU166" s="71"/>
      <c r="AV166" s="71"/>
      <c r="AW166" s="71"/>
      <c r="AX166" s="71"/>
      <c r="AY166" s="71"/>
      <c r="AZ166" s="71"/>
      <c r="BA166" s="71"/>
      <c r="BB166" s="71"/>
      <c r="BC166" s="71"/>
      <c r="BD166" s="71"/>
      <c r="BE166" s="71"/>
      <c r="BF166" s="71"/>
      <c r="BG166" s="71"/>
      <c r="BH166" s="71"/>
      <c r="BI166" s="71"/>
      <c r="BJ166" s="71"/>
      <c r="BK166" s="71"/>
      <c r="BL166" s="71"/>
      <c r="BM166" s="71"/>
    </row>
    <row r="167">
      <c r="A167" s="72"/>
      <c r="B167" s="72"/>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c r="AR167" s="71"/>
      <c r="AS167" s="71"/>
      <c r="AT167" s="71"/>
      <c r="AU167" s="71"/>
      <c r="AV167" s="71"/>
      <c r="AW167" s="71"/>
      <c r="AX167" s="71"/>
      <c r="AY167" s="71"/>
      <c r="AZ167" s="71"/>
      <c r="BA167" s="71"/>
      <c r="BB167" s="71"/>
      <c r="BC167" s="71"/>
      <c r="BD167" s="71"/>
      <c r="BE167" s="71"/>
      <c r="BF167" s="71"/>
      <c r="BG167" s="71"/>
      <c r="BH167" s="71"/>
      <c r="BI167" s="71"/>
      <c r="BJ167" s="71"/>
      <c r="BK167" s="71"/>
      <c r="BL167" s="71"/>
      <c r="BM167" s="71"/>
    </row>
    <row r="168">
      <c r="A168" s="72"/>
      <c r="B168" s="72"/>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row>
    <row r="169">
      <c r="A169" s="72"/>
      <c r="B169" s="72"/>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c r="AR169" s="71"/>
      <c r="AS169" s="71"/>
      <c r="AT169" s="71"/>
      <c r="AU169" s="71"/>
      <c r="AV169" s="71"/>
      <c r="AW169" s="71"/>
      <c r="AX169" s="71"/>
      <c r="AY169" s="71"/>
      <c r="AZ169" s="71"/>
      <c r="BA169" s="71"/>
      <c r="BB169" s="71"/>
      <c r="BC169" s="71"/>
      <c r="BD169" s="71"/>
      <c r="BE169" s="71"/>
      <c r="BF169" s="71"/>
      <c r="BG169" s="71"/>
      <c r="BH169" s="71"/>
      <c r="BI169" s="71"/>
      <c r="BJ169" s="71"/>
      <c r="BK169" s="71"/>
      <c r="BL169" s="71"/>
      <c r="BM169" s="71"/>
    </row>
    <row r="170">
      <c r="A170" s="72"/>
      <c r="B170" s="72"/>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c r="AR170" s="71"/>
      <c r="AS170" s="71"/>
      <c r="AT170" s="71"/>
      <c r="AU170" s="71"/>
      <c r="AV170" s="71"/>
      <c r="AW170" s="71"/>
      <c r="AX170" s="71"/>
      <c r="AY170" s="71"/>
      <c r="AZ170" s="71"/>
      <c r="BA170" s="71"/>
      <c r="BB170" s="71"/>
      <c r="BC170" s="71"/>
      <c r="BD170" s="71"/>
      <c r="BE170" s="71"/>
      <c r="BF170" s="71"/>
      <c r="BG170" s="71"/>
      <c r="BH170" s="71"/>
      <c r="BI170" s="71"/>
      <c r="BJ170" s="71"/>
      <c r="BK170" s="71"/>
      <c r="BL170" s="71"/>
      <c r="BM170" s="71"/>
    </row>
    <row r="171">
      <c r="A171" s="72"/>
      <c r="B171" s="72"/>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c r="AR171" s="71"/>
      <c r="AS171" s="71"/>
      <c r="AT171" s="71"/>
      <c r="AU171" s="71"/>
      <c r="AV171" s="71"/>
      <c r="AW171" s="71"/>
      <c r="AX171" s="71"/>
      <c r="AY171" s="71"/>
      <c r="AZ171" s="71"/>
      <c r="BA171" s="71"/>
      <c r="BB171" s="71"/>
      <c r="BC171" s="71"/>
      <c r="BD171" s="71"/>
      <c r="BE171" s="71"/>
      <c r="BF171" s="71"/>
      <c r="BG171" s="71"/>
      <c r="BH171" s="71"/>
      <c r="BI171" s="71"/>
      <c r="BJ171" s="71"/>
      <c r="BK171" s="71"/>
      <c r="BL171" s="71"/>
      <c r="BM171" s="71"/>
    </row>
    <row r="172">
      <c r="A172" s="72"/>
      <c r="B172" s="72"/>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c r="AR172" s="71"/>
      <c r="AS172" s="71"/>
      <c r="AT172" s="71"/>
      <c r="AU172" s="71"/>
      <c r="AV172" s="71"/>
      <c r="AW172" s="71"/>
      <c r="AX172" s="71"/>
      <c r="AY172" s="71"/>
      <c r="AZ172" s="71"/>
      <c r="BA172" s="71"/>
      <c r="BB172" s="71"/>
      <c r="BC172" s="71"/>
      <c r="BD172" s="71"/>
      <c r="BE172" s="71"/>
      <c r="BF172" s="71"/>
      <c r="BG172" s="71"/>
      <c r="BH172" s="71"/>
      <c r="BI172" s="71"/>
      <c r="BJ172" s="71"/>
      <c r="BK172" s="71"/>
      <c r="BL172" s="71"/>
      <c r="BM172" s="71"/>
    </row>
    <row r="173">
      <c r="A173" s="72"/>
      <c r="B173" s="72"/>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71"/>
      <c r="AO173" s="71"/>
      <c r="AP173" s="71"/>
      <c r="AQ173" s="71"/>
      <c r="AR173" s="71"/>
      <c r="AS173" s="71"/>
      <c r="AT173" s="71"/>
      <c r="AU173" s="71"/>
      <c r="AV173" s="71"/>
      <c r="AW173" s="71"/>
      <c r="AX173" s="71"/>
      <c r="AY173" s="71"/>
      <c r="AZ173" s="71"/>
      <c r="BA173" s="71"/>
      <c r="BB173" s="71"/>
      <c r="BC173" s="71"/>
      <c r="BD173" s="71"/>
      <c r="BE173" s="71"/>
      <c r="BF173" s="71"/>
      <c r="BG173" s="71"/>
      <c r="BH173" s="71"/>
      <c r="BI173" s="71"/>
      <c r="BJ173" s="71"/>
      <c r="BK173" s="71"/>
      <c r="BL173" s="71"/>
      <c r="BM173" s="71"/>
    </row>
    <row r="174">
      <c r="A174" s="72"/>
      <c r="B174" s="72"/>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c r="AR174" s="71"/>
      <c r="AS174" s="71"/>
      <c r="AT174" s="71"/>
      <c r="AU174" s="71"/>
      <c r="AV174" s="71"/>
      <c r="AW174" s="71"/>
      <c r="AX174" s="71"/>
      <c r="AY174" s="71"/>
      <c r="AZ174" s="71"/>
      <c r="BA174" s="71"/>
      <c r="BB174" s="71"/>
      <c r="BC174" s="71"/>
      <c r="BD174" s="71"/>
      <c r="BE174" s="71"/>
      <c r="BF174" s="71"/>
      <c r="BG174" s="71"/>
      <c r="BH174" s="71"/>
      <c r="BI174" s="71"/>
      <c r="BJ174" s="71"/>
      <c r="BK174" s="71"/>
      <c r="BL174" s="71"/>
      <c r="BM174" s="71"/>
    </row>
    <row r="175">
      <c r="A175" s="72"/>
      <c r="B175" s="72"/>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c r="AR175" s="71"/>
      <c r="AS175" s="71"/>
      <c r="AT175" s="71"/>
      <c r="AU175" s="71"/>
      <c r="AV175" s="71"/>
      <c r="AW175" s="71"/>
      <c r="AX175" s="71"/>
      <c r="AY175" s="71"/>
      <c r="AZ175" s="71"/>
      <c r="BA175" s="71"/>
      <c r="BB175" s="71"/>
      <c r="BC175" s="71"/>
      <c r="BD175" s="71"/>
      <c r="BE175" s="71"/>
      <c r="BF175" s="71"/>
      <c r="BG175" s="71"/>
      <c r="BH175" s="71"/>
      <c r="BI175" s="71"/>
      <c r="BJ175" s="71"/>
      <c r="BK175" s="71"/>
      <c r="BL175" s="71"/>
      <c r="BM175" s="71"/>
    </row>
    <row r="176">
      <c r="A176" s="72"/>
      <c r="B176" s="72"/>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c r="AR176" s="71"/>
      <c r="AS176" s="71"/>
      <c r="AT176" s="71"/>
      <c r="AU176" s="71"/>
      <c r="AV176" s="71"/>
      <c r="AW176" s="71"/>
      <c r="AX176" s="71"/>
      <c r="AY176" s="71"/>
      <c r="AZ176" s="71"/>
      <c r="BA176" s="71"/>
      <c r="BB176" s="71"/>
      <c r="BC176" s="71"/>
      <c r="BD176" s="71"/>
      <c r="BE176" s="71"/>
      <c r="BF176" s="71"/>
      <c r="BG176" s="71"/>
      <c r="BH176" s="71"/>
      <c r="BI176" s="71"/>
      <c r="BJ176" s="71"/>
      <c r="BK176" s="71"/>
      <c r="BL176" s="71"/>
      <c r="BM176" s="71"/>
    </row>
    <row r="177">
      <c r="A177" s="72"/>
      <c r="B177" s="72"/>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c r="AR177" s="71"/>
      <c r="AS177" s="71"/>
      <c r="AT177" s="71"/>
      <c r="AU177" s="71"/>
      <c r="AV177" s="71"/>
      <c r="AW177" s="71"/>
      <c r="AX177" s="71"/>
      <c r="AY177" s="71"/>
      <c r="AZ177" s="71"/>
      <c r="BA177" s="71"/>
      <c r="BB177" s="71"/>
      <c r="BC177" s="71"/>
      <c r="BD177" s="71"/>
      <c r="BE177" s="71"/>
      <c r="BF177" s="71"/>
      <c r="BG177" s="71"/>
      <c r="BH177" s="71"/>
      <c r="BI177" s="71"/>
      <c r="BJ177" s="71"/>
      <c r="BK177" s="71"/>
      <c r="BL177" s="71"/>
      <c r="BM177" s="71"/>
    </row>
    <row r="178">
      <c r="A178" s="72"/>
      <c r="B178" s="72"/>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71"/>
      <c r="AO178" s="71"/>
      <c r="AP178" s="71"/>
      <c r="AQ178" s="71"/>
      <c r="AR178" s="71"/>
      <c r="AS178" s="71"/>
      <c r="AT178" s="71"/>
      <c r="AU178" s="71"/>
      <c r="AV178" s="71"/>
      <c r="AW178" s="71"/>
      <c r="AX178" s="71"/>
      <c r="AY178" s="71"/>
      <c r="AZ178" s="71"/>
      <c r="BA178" s="71"/>
      <c r="BB178" s="71"/>
      <c r="BC178" s="71"/>
      <c r="BD178" s="71"/>
      <c r="BE178" s="71"/>
      <c r="BF178" s="71"/>
      <c r="BG178" s="71"/>
      <c r="BH178" s="71"/>
      <c r="BI178" s="71"/>
      <c r="BJ178" s="71"/>
      <c r="BK178" s="71"/>
      <c r="BL178" s="71"/>
      <c r="BM178" s="71"/>
    </row>
    <row r="179">
      <c r="A179" s="72"/>
      <c r="B179" s="72"/>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71"/>
      <c r="AO179" s="71"/>
      <c r="AP179" s="71"/>
      <c r="AQ179" s="71"/>
      <c r="AR179" s="71"/>
      <c r="AS179" s="71"/>
      <c r="AT179" s="71"/>
      <c r="AU179" s="71"/>
      <c r="AV179" s="71"/>
      <c r="AW179" s="71"/>
      <c r="AX179" s="71"/>
      <c r="AY179" s="71"/>
      <c r="AZ179" s="71"/>
      <c r="BA179" s="71"/>
      <c r="BB179" s="71"/>
      <c r="BC179" s="71"/>
      <c r="BD179" s="71"/>
      <c r="BE179" s="71"/>
      <c r="BF179" s="71"/>
      <c r="BG179" s="71"/>
      <c r="BH179" s="71"/>
      <c r="BI179" s="71"/>
      <c r="BJ179" s="71"/>
      <c r="BK179" s="71"/>
      <c r="BL179" s="71"/>
      <c r="BM179" s="71"/>
    </row>
    <row r="180">
      <c r="A180" s="72"/>
      <c r="B180" s="72"/>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71"/>
      <c r="AO180" s="71"/>
      <c r="AP180" s="71"/>
      <c r="AQ180" s="71"/>
      <c r="AR180" s="71"/>
      <c r="AS180" s="71"/>
      <c r="AT180" s="71"/>
      <c r="AU180" s="71"/>
      <c r="AV180" s="71"/>
      <c r="AW180" s="71"/>
      <c r="AX180" s="71"/>
      <c r="AY180" s="71"/>
      <c r="AZ180" s="71"/>
      <c r="BA180" s="71"/>
      <c r="BB180" s="71"/>
      <c r="BC180" s="71"/>
      <c r="BD180" s="71"/>
      <c r="BE180" s="71"/>
      <c r="BF180" s="71"/>
      <c r="BG180" s="71"/>
      <c r="BH180" s="71"/>
      <c r="BI180" s="71"/>
      <c r="BJ180" s="71"/>
      <c r="BK180" s="71"/>
      <c r="BL180" s="71"/>
      <c r="BM180" s="71"/>
    </row>
    <row r="181">
      <c r="A181" s="72"/>
      <c r="B181" s="72"/>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c r="AR181" s="71"/>
      <c r="AS181" s="71"/>
      <c r="AT181" s="71"/>
      <c r="AU181" s="71"/>
      <c r="AV181" s="71"/>
      <c r="AW181" s="71"/>
      <c r="AX181" s="71"/>
      <c r="AY181" s="71"/>
      <c r="AZ181" s="71"/>
      <c r="BA181" s="71"/>
      <c r="BB181" s="71"/>
      <c r="BC181" s="71"/>
      <c r="BD181" s="71"/>
      <c r="BE181" s="71"/>
      <c r="BF181" s="71"/>
      <c r="BG181" s="71"/>
      <c r="BH181" s="71"/>
      <c r="BI181" s="71"/>
      <c r="BJ181" s="71"/>
      <c r="BK181" s="71"/>
      <c r="BL181" s="71"/>
      <c r="BM181" s="71"/>
    </row>
    <row r="182">
      <c r="A182" s="72"/>
      <c r="B182" s="72"/>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c r="AR182" s="71"/>
      <c r="AS182" s="71"/>
      <c r="AT182" s="71"/>
      <c r="AU182" s="71"/>
      <c r="AV182" s="71"/>
      <c r="AW182" s="71"/>
      <c r="AX182" s="71"/>
      <c r="AY182" s="71"/>
      <c r="AZ182" s="71"/>
      <c r="BA182" s="71"/>
      <c r="BB182" s="71"/>
      <c r="BC182" s="71"/>
      <c r="BD182" s="71"/>
      <c r="BE182" s="71"/>
      <c r="BF182" s="71"/>
      <c r="BG182" s="71"/>
      <c r="BH182" s="71"/>
      <c r="BI182" s="71"/>
      <c r="BJ182" s="71"/>
      <c r="BK182" s="71"/>
      <c r="BL182" s="71"/>
      <c r="BM182" s="71"/>
    </row>
    <row r="183">
      <c r="A183" s="72"/>
      <c r="B183" s="72"/>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c r="AR183" s="71"/>
      <c r="AS183" s="71"/>
      <c r="AT183" s="71"/>
      <c r="AU183" s="71"/>
      <c r="AV183" s="71"/>
      <c r="AW183" s="71"/>
      <c r="AX183" s="71"/>
      <c r="AY183" s="71"/>
      <c r="AZ183" s="71"/>
      <c r="BA183" s="71"/>
      <c r="BB183" s="71"/>
      <c r="BC183" s="71"/>
      <c r="BD183" s="71"/>
      <c r="BE183" s="71"/>
      <c r="BF183" s="71"/>
      <c r="BG183" s="71"/>
      <c r="BH183" s="71"/>
      <c r="BI183" s="71"/>
      <c r="BJ183" s="71"/>
      <c r="BK183" s="71"/>
      <c r="BL183" s="71"/>
      <c r="BM183" s="71"/>
    </row>
    <row r="184">
      <c r="A184" s="72"/>
      <c r="B184" s="72"/>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c r="AR184" s="71"/>
      <c r="AS184" s="71"/>
      <c r="AT184" s="71"/>
      <c r="AU184" s="71"/>
      <c r="AV184" s="71"/>
      <c r="AW184" s="71"/>
      <c r="AX184" s="71"/>
      <c r="AY184" s="71"/>
      <c r="AZ184" s="71"/>
      <c r="BA184" s="71"/>
      <c r="BB184" s="71"/>
      <c r="BC184" s="71"/>
      <c r="BD184" s="71"/>
      <c r="BE184" s="71"/>
      <c r="BF184" s="71"/>
      <c r="BG184" s="71"/>
      <c r="BH184" s="71"/>
      <c r="BI184" s="71"/>
      <c r="BJ184" s="71"/>
      <c r="BK184" s="71"/>
      <c r="BL184" s="71"/>
      <c r="BM184" s="71"/>
    </row>
    <row r="185">
      <c r="A185" s="72"/>
      <c r="B185" s="72"/>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c r="AR185" s="71"/>
      <c r="AS185" s="71"/>
      <c r="AT185" s="71"/>
      <c r="AU185" s="71"/>
      <c r="AV185" s="71"/>
      <c r="AW185" s="71"/>
      <c r="AX185" s="71"/>
      <c r="AY185" s="71"/>
      <c r="AZ185" s="71"/>
      <c r="BA185" s="71"/>
      <c r="BB185" s="71"/>
      <c r="BC185" s="71"/>
      <c r="BD185" s="71"/>
      <c r="BE185" s="71"/>
      <c r="BF185" s="71"/>
      <c r="BG185" s="71"/>
      <c r="BH185" s="71"/>
      <c r="BI185" s="71"/>
      <c r="BJ185" s="71"/>
      <c r="BK185" s="71"/>
      <c r="BL185" s="71"/>
      <c r="BM185" s="71"/>
    </row>
    <row r="186">
      <c r="A186" s="72"/>
      <c r="B186" s="72"/>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c r="AR186" s="71"/>
      <c r="AS186" s="71"/>
      <c r="AT186" s="71"/>
      <c r="AU186" s="71"/>
      <c r="AV186" s="71"/>
      <c r="AW186" s="71"/>
      <c r="AX186" s="71"/>
      <c r="AY186" s="71"/>
      <c r="AZ186" s="71"/>
      <c r="BA186" s="71"/>
      <c r="BB186" s="71"/>
      <c r="BC186" s="71"/>
      <c r="BD186" s="71"/>
      <c r="BE186" s="71"/>
      <c r="BF186" s="71"/>
      <c r="BG186" s="71"/>
      <c r="BH186" s="71"/>
      <c r="BI186" s="71"/>
      <c r="BJ186" s="71"/>
      <c r="BK186" s="71"/>
      <c r="BL186" s="71"/>
      <c r="BM186" s="71"/>
    </row>
    <row r="187">
      <c r="A187" s="72"/>
      <c r="B187" s="72"/>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c r="AR187" s="71"/>
      <c r="AS187" s="71"/>
      <c r="AT187" s="71"/>
      <c r="AU187" s="71"/>
      <c r="AV187" s="71"/>
      <c r="AW187" s="71"/>
      <c r="AX187" s="71"/>
      <c r="AY187" s="71"/>
      <c r="AZ187" s="71"/>
      <c r="BA187" s="71"/>
      <c r="BB187" s="71"/>
      <c r="BC187" s="71"/>
      <c r="BD187" s="71"/>
      <c r="BE187" s="71"/>
      <c r="BF187" s="71"/>
      <c r="BG187" s="71"/>
      <c r="BH187" s="71"/>
      <c r="BI187" s="71"/>
      <c r="BJ187" s="71"/>
      <c r="BK187" s="71"/>
      <c r="BL187" s="71"/>
      <c r="BM187" s="71"/>
    </row>
    <row r="188">
      <c r="A188" s="72"/>
      <c r="B188" s="72"/>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71"/>
      <c r="AO188" s="71"/>
      <c r="AP188" s="71"/>
      <c r="AQ188" s="71"/>
      <c r="AR188" s="71"/>
      <c r="AS188" s="71"/>
      <c r="AT188" s="71"/>
      <c r="AU188" s="71"/>
      <c r="AV188" s="71"/>
      <c r="AW188" s="71"/>
      <c r="AX188" s="71"/>
      <c r="AY188" s="71"/>
      <c r="AZ188" s="71"/>
      <c r="BA188" s="71"/>
      <c r="BB188" s="71"/>
      <c r="BC188" s="71"/>
      <c r="BD188" s="71"/>
      <c r="BE188" s="71"/>
      <c r="BF188" s="71"/>
      <c r="BG188" s="71"/>
      <c r="BH188" s="71"/>
      <c r="BI188" s="71"/>
      <c r="BJ188" s="71"/>
      <c r="BK188" s="71"/>
      <c r="BL188" s="71"/>
      <c r="BM188" s="71"/>
    </row>
    <row r="189">
      <c r="A189" s="72"/>
      <c r="B189" s="72"/>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c r="AR189" s="71"/>
      <c r="AS189" s="71"/>
      <c r="AT189" s="71"/>
      <c r="AU189" s="71"/>
      <c r="AV189" s="71"/>
      <c r="AW189" s="71"/>
      <c r="AX189" s="71"/>
      <c r="AY189" s="71"/>
      <c r="AZ189" s="71"/>
      <c r="BA189" s="71"/>
      <c r="BB189" s="71"/>
      <c r="BC189" s="71"/>
      <c r="BD189" s="71"/>
      <c r="BE189" s="71"/>
      <c r="BF189" s="71"/>
      <c r="BG189" s="71"/>
      <c r="BH189" s="71"/>
      <c r="BI189" s="71"/>
      <c r="BJ189" s="71"/>
      <c r="BK189" s="71"/>
      <c r="BL189" s="71"/>
      <c r="BM189" s="71"/>
    </row>
    <row r="190">
      <c r="A190" s="72"/>
      <c r="B190" s="72"/>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c r="AQ190" s="71"/>
      <c r="AR190" s="71"/>
      <c r="AS190" s="71"/>
      <c r="AT190" s="71"/>
      <c r="AU190" s="71"/>
      <c r="AV190" s="71"/>
      <c r="AW190" s="71"/>
      <c r="AX190" s="71"/>
      <c r="AY190" s="71"/>
      <c r="AZ190" s="71"/>
      <c r="BA190" s="71"/>
      <c r="BB190" s="71"/>
      <c r="BC190" s="71"/>
      <c r="BD190" s="71"/>
      <c r="BE190" s="71"/>
      <c r="BF190" s="71"/>
      <c r="BG190" s="71"/>
      <c r="BH190" s="71"/>
      <c r="BI190" s="71"/>
      <c r="BJ190" s="71"/>
      <c r="BK190" s="71"/>
      <c r="BL190" s="71"/>
      <c r="BM190" s="71"/>
    </row>
    <row r="191">
      <c r="A191" s="72"/>
      <c r="B191" s="72"/>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c r="AR191" s="71"/>
      <c r="AS191" s="71"/>
      <c r="AT191" s="71"/>
      <c r="AU191" s="71"/>
      <c r="AV191" s="71"/>
      <c r="AW191" s="71"/>
      <c r="AX191" s="71"/>
      <c r="AY191" s="71"/>
      <c r="AZ191" s="71"/>
      <c r="BA191" s="71"/>
      <c r="BB191" s="71"/>
      <c r="BC191" s="71"/>
      <c r="BD191" s="71"/>
      <c r="BE191" s="71"/>
      <c r="BF191" s="71"/>
      <c r="BG191" s="71"/>
      <c r="BH191" s="71"/>
      <c r="BI191" s="71"/>
      <c r="BJ191" s="71"/>
      <c r="BK191" s="71"/>
      <c r="BL191" s="71"/>
      <c r="BM191" s="71"/>
    </row>
    <row r="192">
      <c r="A192" s="72"/>
      <c r="B192" s="72"/>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c r="AR192" s="71"/>
      <c r="AS192" s="71"/>
      <c r="AT192" s="71"/>
      <c r="AU192" s="71"/>
      <c r="AV192" s="71"/>
      <c r="AW192" s="71"/>
      <c r="AX192" s="71"/>
      <c r="AY192" s="71"/>
      <c r="AZ192" s="71"/>
      <c r="BA192" s="71"/>
      <c r="BB192" s="71"/>
      <c r="BC192" s="71"/>
      <c r="BD192" s="71"/>
      <c r="BE192" s="71"/>
      <c r="BF192" s="71"/>
      <c r="BG192" s="71"/>
      <c r="BH192" s="71"/>
      <c r="BI192" s="71"/>
      <c r="BJ192" s="71"/>
      <c r="BK192" s="71"/>
      <c r="BL192" s="71"/>
      <c r="BM192" s="71"/>
    </row>
    <row r="193">
      <c r="A193" s="72"/>
      <c r="B193" s="72"/>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c r="AR193" s="71"/>
      <c r="AS193" s="71"/>
      <c r="AT193" s="71"/>
      <c r="AU193" s="71"/>
      <c r="AV193" s="71"/>
      <c r="AW193" s="71"/>
      <c r="AX193" s="71"/>
      <c r="AY193" s="71"/>
      <c r="AZ193" s="71"/>
      <c r="BA193" s="71"/>
      <c r="BB193" s="71"/>
      <c r="BC193" s="71"/>
      <c r="BD193" s="71"/>
      <c r="BE193" s="71"/>
      <c r="BF193" s="71"/>
      <c r="BG193" s="71"/>
      <c r="BH193" s="71"/>
      <c r="BI193" s="71"/>
      <c r="BJ193" s="71"/>
      <c r="BK193" s="71"/>
      <c r="BL193" s="71"/>
      <c r="BM193" s="71"/>
    </row>
    <row r="194">
      <c r="A194" s="72"/>
      <c r="B194" s="72"/>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c r="AR194" s="71"/>
      <c r="AS194" s="71"/>
      <c r="AT194" s="71"/>
      <c r="AU194" s="71"/>
      <c r="AV194" s="71"/>
      <c r="AW194" s="71"/>
      <c r="AX194" s="71"/>
      <c r="AY194" s="71"/>
      <c r="AZ194" s="71"/>
      <c r="BA194" s="71"/>
      <c r="BB194" s="71"/>
      <c r="BC194" s="71"/>
      <c r="BD194" s="71"/>
      <c r="BE194" s="71"/>
      <c r="BF194" s="71"/>
      <c r="BG194" s="71"/>
      <c r="BH194" s="71"/>
      <c r="BI194" s="71"/>
      <c r="BJ194" s="71"/>
      <c r="BK194" s="71"/>
      <c r="BL194" s="71"/>
      <c r="BM194" s="71"/>
    </row>
    <row r="195">
      <c r="A195" s="72"/>
      <c r="B195" s="72"/>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c r="AR195" s="71"/>
      <c r="AS195" s="71"/>
      <c r="AT195" s="71"/>
      <c r="AU195" s="71"/>
      <c r="AV195" s="71"/>
      <c r="AW195" s="71"/>
      <c r="AX195" s="71"/>
      <c r="AY195" s="71"/>
      <c r="AZ195" s="71"/>
      <c r="BA195" s="71"/>
      <c r="BB195" s="71"/>
      <c r="BC195" s="71"/>
      <c r="BD195" s="71"/>
      <c r="BE195" s="71"/>
      <c r="BF195" s="71"/>
      <c r="BG195" s="71"/>
      <c r="BH195" s="71"/>
      <c r="BI195" s="71"/>
      <c r="BJ195" s="71"/>
      <c r="BK195" s="71"/>
      <c r="BL195" s="71"/>
      <c r="BM195" s="71"/>
    </row>
    <row r="196">
      <c r="A196" s="72"/>
      <c r="B196" s="72"/>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c r="AR196" s="71"/>
      <c r="AS196" s="71"/>
      <c r="AT196" s="71"/>
      <c r="AU196" s="71"/>
      <c r="AV196" s="71"/>
      <c r="AW196" s="71"/>
      <c r="AX196" s="71"/>
      <c r="AY196" s="71"/>
      <c r="AZ196" s="71"/>
      <c r="BA196" s="71"/>
      <c r="BB196" s="71"/>
      <c r="BC196" s="71"/>
      <c r="BD196" s="71"/>
      <c r="BE196" s="71"/>
      <c r="BF196" s="71"/>
      <c r="BG196" s="71"/>
      <c r="BH196" s="71"/>
      <c r="BI196" s="71"/>
      <c r="BJ196" s="71"/>
      <c r="BK196" s="71"/>
      <c r="BL196" s="71"/>
      <c r="BM196" s="71"/>
    </row>
    <row r="197">
      <c r="A197" s="72"/>
      <c r="B197" s="72"/>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c r="AR197" s="71"/>
      <c r="AS197" s="71"/>
      <c r="AT197" s="71"/>
      <c r="AU197" s="71"/>
      <c r="AV197" s="71"/>
      <c r="AW197" s="71"/>
      <c r="AX197" s="71"/>
      <c r="AY197" s="71"/>
      <c r="AZ197" s="71"/>
      <c r="BA197" s="71"/>
      <c r="BB197" s="71"/>
      <c r="BC197" s="71"/>
      <c r="BD197" s="71"/>
      <c r="BE197" s="71"/>
      <c r="BF197" s="71"/>
      <c r="BG197" s="71"/>
      <c r="BH197" s="71"/>
      <c r="BI197" s="71"/>
      <c r="BJ197" s="71"/>
      <c r="BK197" s="71"/>
      <c r="BL197" s="71"/>
      <c r="BM197" s="71"/>
    </row>
    <row r="198">
      <c r="A198" s="72"/>
      <c r="B198" s="72"/>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c r="AR198" s="71"/>
      <c r="AS198" s="71"/>
      <c r="AT198" s="71"/>
      <c r="AU198" s="71"/>
      <c r="AV198" s="71"/>
      <c r="AW198" s="71"/>
      <c r="AX198" s="71"/>
      <c r="AY198" s="71"/>
      <c r="AZ198" s="71"/>
      <c r="BA198" s="71"/>
      <c r="BB198" s="71"/>
      <c r="BC198" s="71"/>
      <c r="BD198" s="71"/>
      <c r="BE198" s="71"/>
      <c r="BF198" s="71"/>
      <c r="BG198" s="71"/>
      <c r="BH198" s="71"/>
      <c r="BI198" s="71"/>
      <c r="BJ198" s="71"/>
      <c r="BK198" s="71"/>
      <c r="BL198" s="71"/>
      <c r="BM198" s="71"/>
    </row>
    <row r="199">
      <c r="A199" s="72"/>
      <c r="B199" s="72"/>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c r="AR199" s="71"/>
      <c r="AS199" s="71"/>
      <c r="AT199" s="71"/>
      <c r="AU199" s="71"/>
      <c r="AV199" s="71"/>
      <c r="AW199" s="71"/>
      <c r="AX199" s="71"/>
      <c r="AY199" s="71"/>
      <c r="AZ199" s="71"/>
      <c r="BA199" s="71"/>
      <c r="BB199" s="71"/>
      <c r="BC199" s="71"/>
      <c r="BD199" s="71"/>
      <c r="BE199" s="71"/>
      <c r="BF199" s="71"/>
      <c r="BG199" s="71"/>
      <c r="BH199" s="71"/>
      <c r="BI199" s="71"/>
      <c r="BJ199" s="71"/>
      <c r="BK199" s="71"/>
      <c r="BL199" s="71"/>
      <c r="BM199" s="71"/>
    </row>
    <row r="200">
      <c r="A200" s="72"/>
      <c r="B200" s="72"/>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c r="AR200" s="71"/>
      <c r="AS200" s="71"/>
      <c r="AT200" s="71"/>
      <c r="AU200" s="71"/>
      <c r="AV200" s="71"/>
      <c r="AW200" s="71"/>
      <c r="AX200" s="71"/>
      <c r="AY200" s="71"/>
      <c r="AZ200" s="71"/>
      <c r="BA200" s="71"/>
      <c r="BB200" s="71"/>
      <c r="BC200" s="71"/>
      <c r="BD200" s="71"/>
      <c r="BE200" s="71"/>
      <c r="BF200" s="71"/>
      <c r="BG200" s="71"/>
      <c r="BH200" s="71"/>
      <c r="BI200" s="71"/>
      <c r="BJ200" s="71"/>
      <c r="BK200" s="71"/>
      <c r="BL200" s="71"/>
      <c r="BM200" s="71"/>
    </row>
    <row r="201">
      <c r="A201" s="72"/>
      <c r="B201" s="72"/>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c r="AR201" s="71"/>
      <c r="AS201" s="71"/>
      <c r="AT201" s="71"/>
      <c r="AU201" s="71"/>
      <c r="AV201" s="71"/>
      <c r="AW201" s="71"/>
      <c r="AX201" s="71"/>
      <c r="AY201" s="71"/>
      <c r="AZ201" s="71"/>
      <c r="BA201" s="71"/>
      <c r="BB201" s="71"/>
      <c r="BC201" s="71"/>
      <c r="BD201" s="71"/>
      <c r="BE201" s="71"/>
      <c r="BF201" s="71"/>
      <c r="BG201" s="71"/>
      <c r="BH201" s="71"/>
      <c r="BI201" s="71"/>
      <c r="BJ201" s="71"/>
      <c r="BK201" s="71"/>
      <c r="BL201" s="71"/>
      <c r="BM201" s="71"/>
    </row>
    <row r="202">
      <c r="A202" s="72"/>
      <c r="B202" s="72"/>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c r="AR202" s="71"/>
      <c r="AS202" s="71"/>
      <c r="AT202" s="71"/>
      <c r="AU202" s="71"/>
      <c r="AV202" s="71"/>
      <c r="AW202" s="71"/>
      <c r="AX202" s="71"/>
      <c r="AY202" s="71"/>
      <c r="AZ202" s="71"/>
      <c r="BA202" s="71"/>
      <c r="BB202" s="71"/>
      <c r="BC202" s="71"/>
      <c r="BD202" s="71"/>
      <c r="BE202" s="71"/>
      <c r="BF202" s="71"/>
      <c r="BG202" s="71"/>
      <c r="BH202" s="71"/>
      <c r="BI202" s="71"/>
      <c r="BJ202" s="71"/>
      <c r="BK202" s="71"/>
      <c r="BL202" s="71"/>
      <c r="BM202" s="71"/>
    </row>
    <row r="203">
      <c r="A203" s="72"/>
      <c r="B203" s="72"/>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c r="AR203" s="71"/>
      <c r="AS203" s="71"/>
      <c r="AT203" s="71"/>
      <c r="AU203" s="71"/>
      <c r="AV203" s="71"/>
      <c r="AW203" s="71"/>
      <c r="AX203" s="71"/>
      <c r="AY203" s="71"/>
      <c r="AZ203" s="71"/>
      <c r="BA203" s="71"/>
      <c r="BB203" s="71"/>
      <c r="BC203" s="71"/>
      <c r="BD203" s="71"/>
      <c r="BE203" s="71"/>
      <c r="BF203" s="71"/>
      <c r="BG203" s="71"/>
      <c r="BH203" s="71"/>
      <c r="BI203" s="71"/>
      <c r="BJ203" s="71"/>
      <c r="BK203" s="71"/>
      <c r="BL203" s="71"/>
      <c r="BM203" s="71"/>
    </row>
    <row r="204">
      <c r="A204" s="72"/>
      <c r="B204" s="72"/>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c r="AR204" s="71"/>
      <c r="AS204" s="71"/>
      <c r="AT204" s="71"/>
      <c r="AU204" s="71"/>
      <c r="AV204" s="71"/>
      <c r="AW204" s="71"/>
      <c r="AX204" s="71"/>
      <c r="AY204" s="71"/>
      <c r="AZ204" s="71"/>
      <c r="BA204" s="71"/>
      <c r="BB204" s="71"/>
      <c r="BC204" s="71"/>
      <c r="BD204" s="71"/>
      <c r="BE204" s="71"/>
      <c r="BF204" s="71"/>
      <c r="BG204" s="71"/>
      <c r="BH204" s="71"/>
      <c r="BI204" s="71"/>
      <c r="BJ204" s="71"/>
      <c r="BK204" s="71"/>
      <c r="BL204" s="71"/>
      <c r="BM204" s="71"/>
    </row>
    <row r="205">
      <c r="A205" s="72"/>
      <c r="B205" s="72"/>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c r="AR205" s="71"/>
      <c r="AS205" s="71"/>
      <c r="AT205" s="71"/>
      <c r="AU205" s="71"/>
      <c r="AV205" s="71"/>
      <c r="AW205" s="71"/>
      <c r="AX205" s="71"/>
      <c r="AY205" s="71"/>
      <c r="AZ205" s="71"/>
      <c r="BA205" s="71"/>
      <c r="BB205" s="71"/>
      <c r="BC205" s="71"/>
      <c r="BD205" s="71"/>
      <c r="BE205" s="71"/>
      <c r="BF205" s="71"/>
      <c r="BG205" s="71"/>
      <c r="BH205" s="71"/>
      <c r="BI205" s="71"/>
      <c r="BJ205" s="71"/>
      <c r="BK205" s="71"/>
      <c r="BL205" s="71"/>
      <c r="BM205" s="71"/>
    </row>
    <row r="206">
      <c r="A206" s="72"/>
      <c r="B206" s="72"/>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c r="AR206" s="71"/>
      <c r="AS206" s="71"/>
      <c r="AT206" s="71"/>
      <c r="AU206" s="71"/>
      <c r="AV206" s="71"/>
      <c r="AW206" s="71"/>
      <c r="AX206" s="71"/>
      <c r="AY206" s="71"/>
      <c r="AZ206" s="71"/>
      <c r="BA206" s="71"/>
      <c r="BB206" s="71"/>
      <c r="BC206" s="71"/>
      <c r="BD206" s="71"/>
      <c r="BE206" s="71"/>
      <c r="BF206" s="71"/>
      <c r="BG206" s="71"/>
      <c r="BH206" s="71"/>
      <c r="BI206" s="71"/>
      <c r="BJ206" s="71"/>
      <c r="BK206" s="71"/>
      <c r="BL206" s="71"/>
      <c r="BM206" s="71"/>
    </row>
    <row r="207">
      <c r="A207" s="72"/>
      <c r="B207" s="72"/>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c r="AR207" s="71"/>
      <c r="AS207" s="71"/>
      <c r="AT207" s="71"/>
      <c r="AU207" s="71"/>
      <c r="AV207" s="71"/>
      <c r="AW207" s="71"/>
      <c r="AX207" s="71"/>
      <c r="AY207" s="71"/>
      <c r="AZ207" s="71"/>
      <c r="BA207" s="71"/>
      <c r="BB207" s="71"/>
      <c r="BC207" s="71"/>
      <c r="BD207" s="71"/>
      <c r="BE207" s="71"/>
      <c r="BF207" s="71"/>
      <c r="BG207" s="71"/>
      <c r="BH207" s="71"/>
      <c r="BI207" s="71"/>
      <c r="BJ207" s="71"/>
      <c r="BK207" s="71"/>
      <c r="BL207" s="71"/>
      <c r="BM207" s="71"/>
    </row>
    <row r="208">
      <c r="A208" s="72"/>
      <c r="B208" s="72"/>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c r="AR208" s="71"/>
      <c r="AS208" s="71"/>
      <c r="AT208" s="71"/>
      <c r="AU208" s="71"/>
      <c r="AV208" s="71"/>
      <c r="AW208" s="71"/>
      <c r="AX208" s="71"/>
      <c r="AY208" s="71"/>
      <c r="AZ208" s="71"/>
      <c r="BA208" s="71"/>
      <c r="BB208" s="71"/>
      <c r="BC208" s="71"/>
      <c r="BD208" s="71"/>
      <c r="BE208" s="71"/>
      <c r="BF208" s="71"/>
      <c r="BG208" s="71"/>
      <c r="BH208" s="71"/>
      <c r="BI208" s="71"/>
      <c r="BJ208" s="71"/>
      <c r="BK208" s="71"/>
      <c r="BL208" s="71"/>
      <c r="BM208" s="71"/>
    </row>
    <row r="209">
      <c r="A209" s="72"/>
      <c r="B209" s="72"/>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c r="AR209" s="71"/>
      <c r="AS209" s="71"/>
      <c r="AT209" s="71"/>
      <c r="AU209" s="71"/>
      <c r="AV209" s="71"/>
      <c r="AW209" s="71"/>
      <c r="AX209" s="71"/>
      <c r="AY209" s="71"/>
      <c r="AZ209" s="71"/>
      <c r="BA209" s="71"/>
      <c r="BB209" s="71"/>
      <c r="BC209" s="71"/>
      <c r="BD209" s="71"/>
      <c r="BE209" s="71"/>
      <c r="BF209" s="71"/>
      <c r="BG209" s="71"/>
      <c r="BH209" s="71"/>
      <c r="BI209" s="71"/>
      <c r="BJ209" s="71"/>
      <c r="BK209" s="71"/>
      <c r="BL209" s="71"/>
      <c r="BM209" s="71"/>
    </row>
    <row r="210">
      <c r="A210" s="72"/>
      <c r="B210" s="72"/>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c r="AR210" s="71"/>
      <c r="AS210" s="71"/>
      <c r="AT210" s="71"/>
      <c r="AU210" s="71"/>
      <c r="AV210" s="71"/>
      <c r="AW210" s="71"/>
      <c r="AX210" s="71"/>
      <c r="AY210" s="71"/>
      <c r="AZ210" s="71"/>
      <c r="BA210" s="71"/>
      <c r="BB210" s="71"/>
      <c r="BC210" s="71"/>
      <c r="BD210" s="71"/>
      <c r="BE210" s="71"/>
      <c r="BF210" s="71"/>
      <c r="BG210" s="71"/>
      <c r="BH210" s="71"/>
      <c r="BI210" s="71"/>
      <c r="BJ210" s="71"/>
      <c r="BK210" s="71"/>
      <c r="BL210" s="71"/>
      <c r="BM210" s="71"/>
    </row>
    <row r="211">
      <c r="A211" s="72"/>
      <c r="B211" s="72"/>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c r="AR211" s="71"/>
      <c r="AS211" s="71"/>
      <c r="AT211" s="71"/>
      <c r="AU211" s="71"/>
      <c r="AV211" s="71"/>
      <c r="AW211" s="71"/>
      <c r="AX211" s="71"/>
      <c r="AY211" s="71"/>
      <c r="AZ211" s="71"/>
      <c r="BA211" s="71"/>
      <c r="BB211" s="71"/>
      <c r="BC211" s="71"/>
      <c r="BD211" s="71"/>
      <c r="BE211" s="71"/>
      <c r="BF211" s="71"/>
      <c r="BG211" s="71"/>
      <c r="BH211" s="71"/>
      <c r="BI211" s="71"/>
      <c r="BJ211" s="71"/>
      <c r="BK211" s="71"/>
      <c r="BL211" s="71"/>
      <c r="BM211" s="71"/>
    </row>
    <row r="212">
      <c r="A212" s="72"/>
      <c r="B212" s="72"/>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c r="AR212" s="71"/>
      <c r="AS212" s="71"/>
      <c r="AT212" s="71"/>
      <c r="AU212" s="71"/>
      <c r="AV212" s="71"/>
      <c r="AW212" s="71"/>
      <c r="AX212" s="71"/>
      <c r="AY212" s="71"/>
      <c r="AZ212" s="71"/>
      <c r="BA212" s="71"/>
      <c r="BB212" s="71"/>
      <c r="BC212" s="71"/>
      <c r="BD212" s="71"/>
      <c r="BE212" s="71"/>
      <c r="BF212" s="71"/>
      <c r="BG212" s="71"/>
      <c r="BH212" s="71"/>
      <c r="BI212" s="71"/>
      <c r="BJ212" s="71"/>
      <c r="BK212" s="71"/>
      <c r="BL212" s="71"/>
      <c r="BM212" s="71"/>
    </row>
    <row r="213">
      <c r="A213" s="72"/>
      <c r="B213" s="72"/>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c r="AR213" s="71"/>
      <c r="AS213" s="71"/>
      <c r="AT213" s="71"/>
      <c r="AU213" s="71"/>
      <c r="AV213" s="71"/>
      <c r="AW213" s="71"/>
      <c r="AX213" s="71"/>
      <c r="AY213" s="71"/>
      <c r="AZ213" s="71"/>
      <c r="BA213" s="71"/>
      <c r="BB213" s="71"/>
      <c r="BC213" s="71"/>
      <c r="BD213" s="71"/>
      <c r="BE213" s="71"/>
      <c r="BF213" s="71"/>
      <c r="BG213" s="71"/>
      <c r="BH213" s="71"/>
      <c r="BI213" s="71"/>
      <c r="BJ213" s="71"/>
      <c r="BK213" s="71"/>
      <c r="BL213" s="71"/>
      <c r="BM213" s="71"/>
    </row>
    <row r="214">
      <c r="A214" s="72"/>
      <c r="B214" s="72"/>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c r="AR214" s="71"/>
      <c r="AS214" s="71"/>
      <c r="AT214" s="71"/>
      <c r="AU214" s="71"/>
      <c r="AV214" s="71"/>
      <c r="AW214" s="71"/>
      <c r="AX214" s="71"/>
      <c r="AY214" s="71"/>
      <c r="AZ214" s="71"/>
      <c r="BA214" s="71"/>
      <c r="BB214" s="71"/>
      <c r="BC214" s="71"/>
      <c r="BD214" s="71"/>
      <c r="BE214" s="71"/>
      <c r="BF214" s="71"/>
      <c r="BG214" s="71"/>
      <c r="BH214" s="71"/>
      <c r="BI214" s="71"/>
      <c r="BJ214" s="71"/>
      <c r="BK214" s="71"/>
      <c r="BL214" s="71"/>
      <c r="BM214" s="71"/>
    </row>
    <row r="215">
      <c r="A215" s="72"/>
      <c r="B215" s="72"/>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c r="AR215" s="71"/>
      <c r="AS215" s="71"/>
      <c r="AT215" s="71"/>
      <c r="AU215" s="71"/>
      <c r="AV215" s="71"/>
      <c r="AW215" s="71"/>
      <c r="AX215" s="71"/>
      <c r="AY215" s="71"/>
      <c r="AZ215" s="71"/>
      <c r="BA215" s="71"/>
      <c r="BB215" s="71"/>
      <c r="BC215" s="71"/>
      <c r="BD215" s="71"/>
      <c r="BE215" s="71"/>
      <c r="BF215" s="71"/>
      <c r="BG215" s="71"/>
      <c r="BH215" s="71"/>
      <c r="BI215" s="71"/>
      <c r="BJ215" s="71"/>
      <c r="BK215" s="71"/>
      <c r="BL215" s="71"/>
      <c r="BM215" s="71"/>
    </row>
    <row r="216">
      <c r="A216" s="72"/>
      <c r="B216" s="72"/>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c r="AR216" s="71"/>
      <c r="AS216" s="71"/>
      <c r="AT216" s="71"/>
      <c r="AU216" s="71"/>
      <c r="AV216" s="71"/>
      <c r="AW216" s="71"/>
      <c r="AX216" s="71"/>
      <c r="AY216" s="71"/>
      <c r="AZ216" s="71"/>
      <c r="BA216" s="71"/>
      <c r="BB216" s="71"/>
      <c r="BC216" s="71"/>
      <c r="BD216" s="71"/>
      <c r="BE216" s="71"/>
      <c r="BF216" s="71"/>
      <c r="BG216" s="71"/>
      <c r="BH216" s="71"/>
      <c r="BI216" s="71"/>
      <c r="BJ216" s="71"/>
      <c r="BK216" s="71"/>
      <c r="BL216" s="71"/>
      <c r="BM216" s="71"/>
    </row>
    <row r="217">
      <c r="A217" s="72"/>
      <c r="B217" s="72"/>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c r="AR217" s="71"/>
      <c r="AS217" s="71"/>
      <c r="AT217" s="71"/>
      <c r="AU217" s="71"/>
      <c r="AV217" s="71"/>
      <c r="AW217" s="71"/>
      <c r="AX217" s="71"/>
      <c r="AY217" s="71"/>
      <c r="AZ217" s="71"/>
      <c r="BA217" s="71"/>
      <c r="BB217" s="71"/>
      <c r="BC217" s="71"/>
      <c r="BD217" s="71"/>
      <c r="BE217" s="71"/>
      <c r="BF217" s="71"/>
      <c r="BG217" s="71"/>
      <c r="BH217" s="71"/>
      <c r="BI217" s="71"/>
      <c r="BJ217" s="71"/>
      <c r="BK217" s="71"/>
      <c r="BL217" s="71"/>
      <c r="BM217" s="71"/>
    </row>
    <row r="218">
      <c r="A218" s="72"/>
      <c r="B218" s="72"/>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c r="AR218" s="71"/>
      <c r="AS218" s="71"/>
      <c r="AT218" s="71"/>
      <c r="AU218" s="71"/>
      <c r="AV218" s="71"/>
      <c r="AW218" s="71"/>
      <c r="AX218" s="71"/>
      <c r="AY218" s="71"/>
      <c r="AZ218" s="71"/>
      <c r="BA218" s="71"/>
      <c r="BB218" s="71"/>
      <c r="BC218" s="71"/>
      <c r="BD218" s="71"/>
      <c r="BE218" s="71"/>
      <c r="BF218" s="71"/>
      <c r="BG218" s="71"/>
      <c r="BH218" s="71"/>
      <c r="BI218" s="71"/>
      <c r="BJ218" s="71"/>
      <c r="BK218" s="71"/>
      <c r="BL218" s="71"/>
      <c r="BM218" s="71"/>
    </row>
    <row r="219">
      <c r="A219" s="72"/>
      <c r="B219" s="72"/>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c r="AR219" s="71"/>
      <c r="AS219" s="71"/>
      <c r="AT219" s="71"/>
      <c r="AU219" s="71"/>
      <c r="AV219" s="71"/>
      <c r="AW219" s="71"/>
      <c r="AX219" s="71"/>
      <c r="AY219" s="71"/>
      <c r="AZ219" s="71"/>
      <c r="BA219" s="71"/>
      <c r="BB219" s="71"/>
      <c r="BC219" s="71"/>
      <c r="BD219" s="71"/>
      <c r="BE219" s="71"/>
      <c r="BF219" s="71"/>
      <c r="BG219" s="71"/>
      <c r="BH219" s="71"/>
      <c r="BI219" s="71"/>
      <c r="BJ219" s="71"/>
      <c r="BK219" s="71"/>
      <c r="BL219" s="71"/>
      <c r="BM219" s="71"/>
    </row>
    <row r="220">
      <c r="A220" s="72"/>
      <c r="B220" s="72"/>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c r="AR220" s="71"/>
      <c r="AS220" s="71"/>
      <c r="AT220" s="71"/>
      <c r="AU220" s="71"/>
      <c r="AV220" s="71"/>
      <c r="AW220" s="71"/>
      <c r="AX220" s="71"/>
      <c r="AY220" s="71"/>
      <c r="AZ220" s="71"/>
      <c r="BA220" s="71"/>
      <c r="BB220" s="71"/>
      <c r="BC220" s="71"/>
      <c r="BD220" s="71"/>
      <c r="BE220" s="71"/>
      <c r="BF220" s="71"/>
      <c r="BG220" s="71"/>
      <c r="BH220" s="71"/>
      <c r="BI220" s="71"/>
      <c r="BJ220" s="71"/>
      <c r="BK220" s="71"/>
      <c r="BL220" s="71"/>
      <c r="BM220" s="71"/>
    </row>
    <row r="221">
      <c r="A221" s="72"/>
      <c r="B221" s="72"/>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c r="AR221" s="71"/>
      <c r="AS221" s="71"/>
      <c r="AT221" s="71"/>
      <c r="AU221" s="71"/>
      <c r="AV221" s="71"/>
      <c r="AW221" s="71"/>
      <c r="AX221" s="71"/>
      <c r="AY221" s="71"/>
      <c r="AZ221" s="71"/>
      <c r="BA221" s="71"/>
      <c r="BB221" s="71"/>
      <c r="BC221" s="71"/>
      <c r="BD221" s="71"/>
      <c r="BE221" s="71"/>
      <c r="BF221" s="71"/>
      <c r="BG221" s="71"/>
      <c r="BH221" s="71"/>
      <c r="BI221" s="71"/>
      <c r="BJ221" s="71"/>
      <c r="BK221" s="71"/>
      <c r="BL221" s="71"/>
      <c r="BM221" s="71"/>
    </row>
    <row r="222">
      <c r="A222" s="72"/>
      <c r="B222" s="72"/>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c r="AR222" s="71"/>
      <c r="AS222" s="71"/>
      <c r="AT222" s="71"/>
      <c r="AU222" s="71"/>
      <c r="AV222" s="71"/>
      <c r="AW222" s="71"/>
      <c r="AX222" s="71"/>
      <c r="AY222" s="71"/>
      <c r="AZ222" s="71"/>
      <c r="BA222" s="71"/>
      <c r="BB222" s="71"/>
      <c r="BC222" s="71"/>
      <c r="BD222" s="71"/>
      <c r="BE222" s="71"/>
      <c r="BF222" s="71"/>
      <c r="BG222" s="71"/>
      <c r="BH222" s="71"/>
      <c r="BI222" s="71"/>
      <c r="BJ222" s="71"/>
      <c r="BK222" s="71"/>
      <c r="BL222" s="71"/>
      <c r="BM222" s="71"/>
    </row>
    <row r="223">
      <c r="A223" s="72"/>
      <c r="B223" s="72"/>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c r="AR223" s="71"/>
      <c r="AS223" s="71"/>
      <c r="AT223" s="71"/>
      <c r="AU223" s="71"/>
      <c r="AV223" s="71"/>
      <c r="AW223" s="71"/>
      <c r="AX223" s="71"/>
      <c r="AY223" s="71"/>
      <c r="AZ223" s="71"/>
      <c r="BA223" s="71"/>
      <c r="BB223" s="71"/>
      <c r="BC223" s="71"/>
      <c r="BD223" s="71"/>
      <c r="BE223" s="71"/>
      <c r="BF223" s="71"/>
      <c r="BG223" s="71"/>
      <c r="BH223" s="71"/>
      <c r="BI223" s="71"/>
      <c r="BJ223" s="71"/>
      <c r="BK223" s="71"/>
      <c r="BL223" s="71"/>
      <c r="BM223" s="71"/>
    </row>
    <row r="224">
      <c r="A224" s="72"/>
      <c r="B224" s="72"/>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c r="AR224" s="71"/>
      <c r="AS224" s="71"/>
      <c r="AT224" s="71"/>
      <c r="AU224" s="71"/>
      <c r="AV224" s="71"/>
      <c r="AW224" s="71"/>
      <c r="AX224" s="71"/>
      <c r="AY224" s="71"/>
      <c r="AZ224" s="71"/>
      <c r="BA224" s="71"/>
      <c r="BB224" s="71"/>
      <c r="BC224" s="71"/>
      <c r="BD224" s="71"/>
      <c r="BE224" s="71"/>
      <c r="BF224" s="71"/>
      <c r="BG224" s="71"/>
      <c r="BH224" s="71"/>
      <c r="BI224" s="71"/>
      <c r="BJ224" s="71"/>
      <c r="BK224" s="71"/>
      <c r="BL224" s="71"/>
      <c r="BM224" s="71"/>
    </row>
    <row r="225">
      <c r="A225" s="72"/>
      <c r="B225" s="72"/>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c r="AR225" s="71"/>
      <c r="AS225" s="71"/>
      <c r="AT225" s="71"/>
      <c r="AU225" s="71"/>
      <c r="AV225" s="71"/>
      <c r="AW225" s="71"/>
      <c r="AX225" s="71"/>
      <c r="AY225" s="71"/>
      <c r="AZ225" s="71"/>
      <c r="BA225" s="71"/>
      <c r="BB225" s="71"/>
      <c r="BC225" s="71"/>
      <c r="BD225" s="71"/>
      <c r="BE225" s="71"/>
      <c r="BF225" s="71"/>
      <c r="BG225" s="71"/>
      <c r="BH225" s="71"/>
      <c r="BI225" s="71"/>
      <c r="BJ225" s="71"/>
      <c r="BK225" s="71"/>
      <c r="BL225" s="71"/>
      <c r="BM225" s="71"/>
    </row>
    <row r="226">
      <c r="A226" s="72"/>
      <c r="B226" s="72"/>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c r="AR226" s="71"/>
      <c r="AS226" s="71"/>
      <c r="AT226" s="71"/>
      <c r="AU226" s="71"/>
      <c r="AV226" s="71"/>
      <c r="AW226" s="71"/>
      <c r="AX226" s="71"/>
      <c r="AY226" s="71"/>
      <c r="AZ226" s="71"/>
      <c r="BA226" s="71"/>
      <c r="BB226" s="71"/>
      <c r="BC226" s="71"/>
      <c r="BD226" s="71"/>
      <c r="BE226" s="71"/>
      <c r="BF226" s="71"/>
      <c r="BG226" s="71"/>
      <c r="BH226" s="71"/>
      <c r="BI226" s="71"/>
      <c r="BJ226" s="71"/>
      <c r="BK226" s="71"/>
      <c r="BL226" s="71"/>
      <c r="BM226" s="71"/>
    </row>
    <row r="227">
      <c r="A227" s="72"/>
      <c r="B227" s="72"/>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c r="AR227" s="71"/>
      <c r="AS227" s="71"/>
      <c r="AT227" s="71"/>
      <c r="AU227" s="71"/>
      <c r="AV227" s="71"/>
      <c r="AW227" s="71"/>
      <c r="AX227" s="71"/>
      <c r="AY227" s="71"/>
      <c r="AZ227" s="71"/>
      <c r="BA227" s="71"/>
      <c r="BB227" s="71"/>
      <c r="BC227" s="71"/>
      <c r="BD227" s="71"/>
      <c r="BE227" s="71"/>
      <c r="BF227" s="71"/>
      <c r="BG227" s="71"/>
      <c r="BH227" s="71"/>
      <c r="BI227" s="71"/>
      <c r="BJ227" s="71"/>
      <c r="BK227" s="71"/>
      <c r="BL227" s="71"/>
      <c r="BM227" s="71"/>
    </row>
    <row r="228">
      <c r="A228" s="72"/>
      <c r="B228" s="72"/>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71"/>
      <c r="AO228" s="71"/>
      <c r="AP228" s="71"/>
      <c r="AQ228" s="71"/>
      <c r="AR228" s="71"/>
      <c r="AS228" s="71"/>
      <c r="AT228" s="71"/>
      <c r="AU228" s="71"/>
      <c r="AV228" s="71"/>
      <c r="AW228" s="71"/>
      <c r="AX228" s="71"/>
      <c r="AY228" s="71"/>
      <c r="AZ228" s="71"/>
      <c r="BA228" s="71"/>
      <c r="BB228" s="71"/>
      <c r="BC228" s="71"/>
      <c r="BD228" s="71"/>
      <c r="BE228" s="71"/>
      <c r="BF228" s="71"/>
      <c r="BG228" s="71"/>
      <c r="BH228" s="71"/>
      <c r="BI228" s="71"/>
      <c r="BJ228" s="71"/>
      <c r="BK228" s="71"/>
      <c r="BL228" s="71"/>
      <c r="BM228" s="71"/>
    </row>
    <row r="229">
      <c r="A229" s="72"/>
      <c r="B229" s="72"/>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c r="AP229" s="71"/>
      <c r="AQ229" s="71"/>
      <c r="AR229" s="71"/>
      <c r="AS229" s="71"/>
      <c r="AT229" s="71"/>
      <c r="AU229" s="71"/>
      <c r="AV229" s="71"/>
      <c r="AW229" s="71"/>
      <c r="AX229" s="71"/>
      <c r="AY229" s="71"/>
      <c r="AZ229" s="71"/>
      <c r="BA229" s="71"/>
      <c r="BB229" s="71"/>
      <c r="BC229" s="71"/>
      <c r="BD229" s="71"/>
      <c r="BE229" s="71"/>
      <c r="BF229" s="71"/>
      <c r="BG229" s="71"/>
      <c r="BH229" s="71"/>
      <c r="BI229" s="71"/>
      <c r="BJ229" s="71"/>
      <c r="BK229" s="71"/>
      <c r="BL229" s="71"/>
      <c r="BM229" s="71"/>
    </row>
    <row r="230">
      <c r="A230" s="72"/>
      <c r="B230" s="72"/>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71"/>
      <c r="AO230" s="71"/>
      <c r="AP230" s="71"/>
      <c r="AQ230" s="71"/>
      <c r="AR230" s="71"/>
      <c r="AS230" s="71"/>
      <c r="AT230" s="71"/>
      <c r="AU230" s="71"/>
      <c r="AV230" s="71"/>
      <c r="AW230" s="71"/>
      <c r="AX230" s="71"/>
      <c r="AY230" s="71"/>
      <c r="AZ230" s="71"/>
      <c r="BA230" s="71"/>
      <c r="BB230" s="71"/>
      <c r="BC230" s="71"/>
      <c r="BD230" s="71"/>
      <c r="BE230" s="71"/>
      <c r="BF230" s="71"/>
      <c r="BG230" s="71"/>
      <c r="BH230" s="71"/>
      <c r="BI230" s="71"/>
      <c r="BJ230" s="71"/>
      <c r="BK230" s="71"/>
      <c r="BL230" s="71"/>
      <c r="BM230" s="71"/>
    </row>
    <row r="231">
      <c r="A231" s="72"/>
      <c r="B231" s="72"/>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c r="AR231" s="71"/>
      <c r="AS231" s="71"/>
      <c r="AT231" s="71"/>
      <c r="AU231" s="71"/>
      <c r="AV231" s="71"/>
      <c r="AW231" s="71"/>
      <c r="AX231" s="71"/>
      <c r="AY231" s="71"/>
      <c r="AZ231" s="71"/>
      <c r="BA231" s="71"/>
      <c r="BB231" s="71"/>
      <c r="BC231" s="71"/>
      <c r="BD231" s="71"/>
      <c r="BE231" s="71"/>
      <c r="BF231" s="71"/>
      <c r="BG231" s="71"/>
      <c r="BH231" s="71"/>
      <c r="BI231" s="71"/>
      <c r="BJ231" s="71"/>
      <c r="BK231" s="71"/>
      <c r="BL231" s="71"/>
      <c r="BM231" s="71"/>
    </row>
    <row r="232">
      <c r="A232" s="72"/>
      <c r="B232" s="72"/>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71"/>
      <c r="AO232" s="71"/>
      <c r="AP232" s="71"/>
      <c r="AQ232" s="71"/>
      <c r="AR232" s="71"/>
      <c r="AS232" s="71"/>
      <c r="AT232" s="71"/>
      <c r="AU232" s="71"/>
      <c r="AV232" s="71"/>
      <c r="AW232" s="71"/>
      <c r="AX232" s="71"/>
      <c r="AY232" s="71"/>
      <c r="AZ232" s="71"/>
      <c r="BA232" s="71"/>
      <c r="BB232" s="71"/>
      <c r="BC232" s="71"/>
      <c r="BD232" s="71"/>
      <c r="BE232" s="71"/>
      <c r="BF232" s="71"/>
      <c r="BG232" s="71"/>
      <c r="BH232" s="71"/>
      <c r="BI232" s="71"/>
      <c r="BJ232" s="71"/>
      <c r="BK232" s="71"/>
      <c r="BL232" s="71"/>
      <c r="BM232" s="71"/>
    </row>
    <row r="233">
      <c r="A233" s="72"/>
      <c r="B233" s="72"/>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c r="AR233" s="71"/>
      <c r="AS233" s="71"/>
      <c r="AT233" s="71"/>
      <c r="AU233" s="71"/>
      <c r="AV233" s="71"/>
      <c r="AW233" s="71"/>
      <c r="AX233" s="71"/>
      <c r="AY233" s="71"/>
      <c r="AZ233" s="71"/>
      <c r="BA233" s="71"/>
      <c r="BB233" s="71"/>
      <c r="BC233" s="71"/>
      <c r="BD233" s="71"/>
      <c r="BE233" s="71"/>
      <c r="BF233" s="71"/>
      <c r="BG233" s="71"/>
      <c r="BH233" s="71"/>
      <c r="BI233" s="71"/>
      <c r="BJ233" s="71"/>
      <c r="BK233" s="71"/>
      <c r="BL233" s="71"/>
      <c r="BM233" s="71"/>
    </row>
    <row r="234">
      <c r="A234" s="72"/>
      <c r="B234" s="72"/>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71"/>
      <c r="AO234" s="71"/>
      <c r="AP234" s="71"/>
      <c r="AQ234" s="71"/>
      <c r="AR234" s="71"/>
      <c r="AS234" s="71"/>
      <c r="AT234" s="71"/>
      <c r="AU234" s="71"/>
      <c r="AV234" s="71"/>
      <c r="AW234" s="71"/>
      <c r="AX234" s="71"/>
      <c r="AY234" s="71"/>
      <c r="AZ234" s="71"/>
      <c r="BA234" s="71"/>
      <c r="BB234" s="71"/>
      <c r="BC234" s="71"/>
      <c r="BD234" s="71"/>
      <c r="BE234" s="71"/>
      <c r="BF234" s="71"/>
      <c r="BG234" s="71"/>
      <c r="BH234" s="71"/>
      <c r="BI234" s="71"/>
      <c r="BJ234" s="71"/>
      <c r="BK234" s="71"/>
      <c r="BL234" s="71"/>
      <c r="BM234" s="71"/>
    </row>
    <row r="235">
      <c r="A235" s="72"/>
      <c r="B235" s="72"/>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71"/>
      <c r="AO235" s="71"/>
      <c r="AP235" s="71"/>
      <c r="AQ235" s="71"/>
      <c r="AR235" s="71"/>
      <c r="AS235" s="71"/>
      <c r="AT235" s="71"/>
      <c r="AU235" s="71"/>
      <c r="AV235" s="71"/>
      <c r="AW235" s="71"/>
      <c r="AX235" s="71"/>
      <c r="AY235" s="71"/>
      <c r="AZ235" s="71"/>
      <c r="BA235" s="71"/>
      <c r="BB235" s="71"/>
      <c r="BC235" s="71"/>
      <c r="BD235" s="71"/>
      <c r="BE235" s="71"/>
      <c r="BF235" s="71"/>
      <c r="BG235" s="71"/>
      <c r="BH235" s="71"/>
      <c r="BI235" s="71"/>
      <c r="BJ235" s="71"/>
      <c r="BK235" s="71"/>
      <c r="BL235" s="71"/>
      <c r="BM235" s="71"/>
    </row>
    <row r="236">
      <c r="A236" s="72"/>
      <c r="B236" s="72"/>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71"/>
      <c r="AO236" s="71"/>
      <c r="AP236" s="71"/>
      <c r="AQ236" s="71"/>
      <c r="AR236" s="71"/>
      <c r="AS236" s="71"/>
      <c r="AT236" s="71"/>
      <c r="AU236" s="71"/>
      <c r="AV236" s="71"/>
      <c r="AW236" s="71"/>
      <c r="AX236" s="71"/>
      <c r="AY236" s="71"/>
      <c r="AZ236" s="71"/>
      <c r="BA236" s="71"/>
      <c r="BB236" s="71"/>
      <c r="BC236" s="71"/>
      <c r="BD236" s="71"/>
      <c r="BE236" s="71"/>
      <c r="BF236" s="71"/>
      <c r="BG236" s="71"/>
      <c r="BH236" s="71"/>
      <c r="BI236" s="71"/>
      <c r="BJ236" s="71"/>
      <c r="BK236" s="71"/>
      <c r="BL236" s="71"/>
      <c r="BM236" s="71"/>
    </row>
    <row r="237">
      <c r="A237" s="72"/>
      <c r="B237" s="72"/>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71"/>
      <c r="AO237" s="71"/>
      <c r="AP237" s="71"/>
      <c r="AQ237" s="71"/>
      <c r="AR237" s="71"/>
      <c r="AS237" s="71"/>
      <c r="AT237" s="71"/>
      <c r="AU237" s="71"/>
      <c r="AV237" s="71"/>
      <c r="AW237" s="71"/>
      <c r="AX237" s="71"/>
      <c r="AY237" s="71"/>
      <c r="AZ237" s="71"/>
      <c r="BA237" s="71"/>
      <c r="BB237" s="71"/>
      <c r="BC237" s="71"/>
      <c r="BD237" s="71"/>
      <c r="BE237" s="71"/>
      <c r="BF237" s="71"/>
      <c r="BG237" s="71"/>
      <c r="BH237" s="71"/>
      <c r="BI237" s="71"/>
      <c r="BJ237" s="71"/>
      <c r="BK237" s="71"/>
      <c r="BL237" s="71"/>
      <c r="BM237" s="71"/>
    </row>
    <row r="238">
      <c r="A238" s="72"/>
      <c r="B238" s="72"/>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71"/>
      <c r="AO238" s="71"/>
      <c r="AP238" s="71"/>
      <c r="AQ238" s="71"/>
      <c r="AR238" s="71"/>
      <c r="AS238" s="71"/>
      <c r="AT238" s="71"/>
      <c r="AU238" s="71"/>
      <c r="AV238" s="71"/>
      <c r="AW238" s="71"/>
      <c r="AX238" s="71"/>
      <c r="AY238" s="71"/>
      <c r="AZ238" s="71"/>
      <c r="BA238" s="71"/>
      <c r="BB238" s="71"/>
      <c r="BC238" s="71"/>
      <c r="BD238" s="71"/>
      <c r="BE238" s="71"/>
      <c r="BF238" s="71"/>
      <c r="BG238" s="71"/>
      <c r="BH238" s="71"/>
      <c r="BI238" s="71"/>
      <c r="BJ238" s="71"/>
      <c r="BK238" s="71"/>
      <c r="BL238" s="71"/>
      <c r="BM238" s="71"/>
    </row>
    <row r="239">
      <c r="A239" s="72"/>
      <c r="B239" s="72"/>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c r="AR239" s="71"/>
      <c r="AS239" s="71"/>
      <c r="AT239" s="71"/>
      <c r="AU239" s="71"/>
      <c r="AV239" s="71"/>
      <c r="AW239" s="71"/>
      <c r="AX239" s="71"/>
      <c r="AY239" s="71"/>
      <c r="AZ239" s="71"/>
      <c r="BA239" s="71"/>
      <c r="BB239" s="71"/>
      <c r="BC239" s="71"/>
      <c r="BD239" s="71"/>
      <c r="BE239" s="71"/>
      <c r="BF239" s="71"/>
      <c r="BG239" s="71"/>
      <c r="BH239" s="71"/>
      <c r="BI239" s="71"/>
      <c r="BJ239" s="71"/>
      <c r="BK239" s="71"/>
      <c r="BL239" s="71"/>
      <c r="BM239" s="71"/>
    </row>
    <row r="240">
      <c r="A240" s="72"/>
      <c r="B240" s="72"/>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71"/>
      <c r="AO240" s="71"/>
      <c r="AP240" s="71"/>
      <c r="AQ240" s="71"/>
      <c r="AR240" s="71"/>
      <c r="AS240" s="71"/>
      <c r="AT240" s="71"/>
      <c r="AU240" s="71"/>
      <c r="AV240" s="71"/>
      <c r="AW240" s="71"/>
      <c r="AX240" s="71"/>
      <c r="AY240" s="71"/>
      <c r="AZ240" s="71"/>
      <c r="BA240" s="71"/>
      <c r="BB240" s="71"/>
      <c r="BC240" s="71"/>
      <c r="BD240" s="71"/>
      <c r="BE240" s="71"/>
      <c r="BF240" s="71"/>
      <c r="BG240" s="71"/>
      <c r="BH240" s="71"/>
      <c r="BI240" s="71"/>
      <c r="BJ240" s="71"/>
      <c r="BK240" s="71"/>
      <c r="BL240" s="71"/>
      <c r="BM240" s="71"/>
    </row>
    <row r="241">
      <c r="A241" s="72"/>
      <c r="B241" s="72"/>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71"/>
      <c r="AO241" s="71"/>
      <c r="AP241" s="71"/>
      <c r="AQ241" s="71"/>
      <c r="AR241" s="71"/>
      <c r="AS241" s="71"/>
      <c r="AT241" s="71"/>
      <c r="AU241" s="71"/>
      <c r="AV241" s="71"/>
      <c r="AW241" s="71"/>
      <c r="AX241" s="71"/>
      <c r="AY241" s="71"/>
      <c r="AZ241" s="71"/>
      <c r="BA241" s="71"/>
      <c r="BB241" s="71"/>
      <c r="BC241" s="71"/>
      <c r="BD241" s="71"/>
      <c r="BE241" s="71"/>
      <c r="BF241" s="71"/>
      <c r="BG241" s="71"/>
      <c r="BH241" s="71"/>
      <c r="BI241" s="71"/>
      <c r="BJ241" s="71"/>
      <c r="BK241" s="71"/>
      <c r="BL241" s="71"/>
      <c r="BM241" s="71"/>
    </row>
    <row r="242">
      <c r="A242" s="72"/>
      <c r="B242" s="72"/>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71"/>
      <c r="AO242" s="71"/>
      <c r="AP242" s="71"/>
      <c r="AQ242" s="71"/>
      <c r="AR242" s="71"/>
      <c r="AS242" s="71"/>
      <c r="AT242" s="71"/>
      <c r="AU242" s="71"/>
      <c r="AV242" s="71"/>
      <c r="AW242" s="71"/>
      <c r="AX242" s="71"/>
      <c r="AY242" s="71"/>
      <c r="AZ242" s="71"/>
      <c r="BA242" s="71"/>
      <c r="BB242" s="71"/>
      <c r="BC242" s="71"/>
      <c r="BD242" s="71"/>
      <c r="BE242" s="71"/>
      <c r="BF242" s="71"/>
      <c r="BG242" s="71"/>
      <c r="BH242" s="71"/>
      <c r="BI242" s="71"/>
      <c r="BJ242" s="71"/>
      <c r="BK242" s="71"/>
      <c r="BL242" s="71"/>
      <c r="BM242" s="71"/>
    </row>
    <row r="243">
      <c r="A243" s="72"/>
      <c r="B243" s="72"/>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71"/>
      <c r="AO243" s="71"/>
      <c r="AP243" s="71"/>
      <c r="AQ243" s="71"/>
      <c r="AR243" s="71"/>
      <c r="AS243" s="71"/>
      <c r="AT243" s="71"/>
      <c r="AU243" s="71"/>
      <c r="AV243" s="71"/>
      <c r="AW243" s="71"/>
      <c r="AX243" s="71"/>
      <c r="AY243" s="71"/>
      <c r="AZ243" s="71"/>
      <c r="BA243" s="71"/>
      <c r="BB243" s="71"/>
      <c r="BC243" s="71"/>
      <c r="BD243" s="71"/>
      <c r="BE243" s="71"/>
      <c r="BF243" s="71"/>
      <c r="BG243" s="71"/>
      <c r="BH243" s="71"/>
      <c r="BI243" s="71"/>
      <c r="BJ243" s="71"/>
      <c r="BK243" s="71"/>
      <c r="BL243" s="71"/>
      <c r="BM243" s="71"/>
    </row>
    <row r="244">
      <c r="A244" s="72"/>
      <c r="B244" s="72"/>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71"/>
      <c r="AO244" s="71"/>
      <c r="AP244" s="71"/>
      <c r="AQ244" s="71"/>
      <c r="AR244" s="71"/>
      <c r="AS244" s="71"/>
      <c r="AT244" s="71"/>
      <c r="AU244" s="71"/>
      <c r="AV244" s="71"/>
      <c r="AW244" s="71"/>
      <c r="AX244" s="71"/>
      <c r="AY244" s="71"/>
      <c r="AZ244" s="71"/>
      <c r="BA244" s="71"/>
      <c r="BB244" s="71"/>
      <c r="BC244" s="71"/>
      <c r="BD244" s="71"/>
      <c r="BE244" s="71"/>
      <c r="BF244" s="71"/>
      <c r="BG244" s="71"/>
      <c r="BH244" s="71"/>
      <c r="BI244" s="71"/>
      <c r="BJ244" s="71"/>
      <c r="BK244" s="71"/>
      <c r="BL244" s="71"/>
      <c r="BM244" s="71"/>
    </row>
    <row r="245">
      <c r="A245" s="72"/>
      <c r="B245" s="72"/>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1"/>
      <c r="AQ245" s="71"/>
      <c r="AR245" s="71"/>
      <c r="AS245" s="71"/>
      <c r="AT245" s="71"/>
      <c r="AU245" s="71"/>
      <c r="AV245" s="71"/>
      <c r="AW245" s="71"/>
      <c r="AX245" s="71"/>
      <c r="AY245" s="71"/>
      <c r="AZ245" s="71"/>
      <c r="BA245" s="71"/>
      <c r="BB245" s="71"/>
      <c r="BC245" s="71"/>
      <c r="BD245" s="71"/>
      <c r="BE245" s="71"/>
      <c r="BF245" s="71"/>
      <c r="BG245" s="71"/>
      <c r="BH245" s="71"/>
      <c r="BI245" s="71"/>
      <c r="BJ245" s="71"/>
      <c r="BK245" s="71"/>
      <c r="BL245" s="71"/>
      <c r="BM245" s="71"/>
    </row>
    <row r="246">
      <c r="A246" s="72"/>
      <c r="B246" s="72"/>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71"/>
      <c r="AO246" s="71"/>
      <c r="AP246" s="71"/>
      <c r="AQ246" s="71"/>
      <c r="AR246" s="71"/>
      <c r="AS246" s="71"/>
      <c r="AT246" s="71"/>
      <c r="AU246" s="71"/>
      <c r="AV246" s="71"/>
      <c r="AW246" s="71"/>
      <c r="AX246" s="71"/>
      <c r="AY246" s="71"/>
      <c r="AZ246" s="71"/>
      <c r="BA246" s="71"/>
      <c r="BB246" s="71"/>
      <c r="BC246" s="71"/>
      <c r="BD246" s="71"/>
      <c r="BE246" s="71"/>
      <c r="BF246" s="71"/>
      <c r="BG246" s="71"/>
      <c r="BH246" s="71"/>
      <c r="BI246" s="71"/>
      <c r="BJ246" s="71"/>
      <c r="BK246" s="71"/>
      <c r="BL246" s="71"/>
      <c r="BM246" s="71"/>
    </row>
    <row r="247">
      <c r="A247" s="72"/>
      <c r="B247" s="72"/>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71"/>
      <c r="AO247" s="71"/>
      <c r="AP247" s="71"/>
      <c r="AQ247" s="71"/>
      <c r="AR247" s="71"/>
      <c r="AS247" s="71"/>
      <c r="AT247" s="71"/>
      <c r="AU247" s="71"/>
      <c r="AV247" s="71"/>
      <c r="AW247" s="71"/>
      <c r="AX247" s="71"/>
      <c r="AY247" s="71"/>
      <c r="AZ247" s="71"/>
      <c r="BA247" s="71"/>
      <c r="BB247" s="71"/>
      <c r="BC247" s="71"/>
      <c r="BD247" s="71"/>
      <c r="BE247" s="71"/>
      <c r="BF247" s="71"/>
      <c r="BG247" s="71"/>
      <c r="BH247" s="71"/>
      <c r="BI247" s="71"/>
      <c r="BJ247" s="71"/>
      <c r="BK247" s="71"/>
      <c r="BL247" s="71"/>
      <c r="BM247" s="71"/>
    </row>
    <row r="248">
      <c r="A248" s="72"/>
      <c r="B248" s="72"/>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71"/>
      <c r="AO248" s="71"/>
      <c r="AP248" s="71"/>
      <c r="AQ248" s="71"/>
      <c r="AR248" s="71"/>
      <c r="AS248" s="71"/>
      <c r="AT248" s="71"/>
      <c r="AU248" s="71"/>
      <c r="AV248" s="71"/>
      <c r="AW248" s="71"/>
      <c r="AX248" s="71"/>
      <c r="AY248" s="71"/>
      <c r="AZ248" s="71"/>
      <c r="BA248" s="71"/>
      <c r="BB248" s="71"/>
      <c r="BC248" s="71"/>
      <c r="BD248" s="71"/>
      <c r="BE248" s="71"/>
      <c r="BF248" s="71"/>
      <c r="BG248" s="71"/>
      <c r="BH248" s="71"/>
      <c r="BI248" s="71"/>
      <c r="BJ248" s="71"/>
      <c r="BK248" s="71"/>
      <c r="BL248" s="71"/>
      <c r="BM248" s="71"/>
    </row>
    <row r="249">
      <c r="A249" s="72"/>
      <c r="B249" s="72"/>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71"/>
      <c r="AO249" s="71"/>
      <c r="AP249" s="71"/>
      <c r="AQ249" s="71"/>
      <c r="AR249" s="71"/>
      <c r="AS249" s="71"/>
      <c r="AT249" s="71"/>
      <c r="AU249" s="71"/>
      <c r="AV249" s="71"/>
      <c r="AW249" s="71"/>
      <c r="AX249" s="71"/>
      <c r="AY249" s="71"/>
      <c r="AZ249" s="71"/>
      <c r="BA249" s="71"/>
      <c r="BB249" s="71"/>
      <c r="BC249" s="71"/>
      <c r="BD249" s="71"/>
      <c r="BE249" s="71"/>
      <c r="BF249" s="71"/>
      <c r="BG249" s="71"/>
      <c r="BH249" s="71"/>
      <c r="BI249" s="71"/>
      <c r="BJ249" s="71"/>
      <c r="BK249" s="71"/>
      <c r="BL249" s="71"/>
      <c r="BM249" s="71"/>
    </row>
    <row r="250">
      <c r="A250" s="72"/>
      <c r="B250" s="72"/>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71"/>
      <c r="AO250" s="71"/>
      <c r="AP250" s="71"/>
      <c r="AQ250" s="71"/>
      <c r="AR250" s="71"/>
      <c r="AS250" s="71"/>
      <c r="AT250" s="71"/>
      <c r="AU250" s="71"/>
      <c r="AV250" s="71"/>
      <c r="AW250" s="71"/>
      <c r="AX250" s="71"/>
      <c r="AY250" s="71"/>
      <c r="AZ250" s="71"/>
      <c r="BA250" s="71"/>
      <c r="BB250" s="71"/>
      <c r="BC250" s="71"/>
      <c r="BD250" s="71"/>
      <c r="BE250" s="71"/>
      <c r="BF250" s="71"/>
      <c r="BG250" s="71"/>
      <c r="BH250" s="71"/>
      <c r="BI250" s="71"/>
      <c r="BJ250" s="71"/>
      <c r="BK250" s="71"/>
      <c r="BL250" s="71"/>
      <c r="BM250" s="71"/>
    </row>
    <row r="251">
      <c r="A251" s="72"/>
      <c r="B251" s="72"/>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71"/>
      <c r="AO251" s="71"/>
      <c r="AP251" s="71"/>
      <c r="AQ251" s="71"/>
      <c r="AR251" s="71"/>
      <c r="AS251" s="71"/>
      <c r="AT251" s="71"/>
      <c r="AU251" s="71"/>
      <c r="AV251" s="71"/>
      <c r="AW251" s="71"/>
      <c r="AX251" s="71"/>
      <c r="AY251" s="71"/>
      <c r="AZ251" s="71"/>
      <c r="BA251" s="71"/>
      <c r="BB251" s="71"/>
      <c r="BC251" s="71"/>
      <c r="BD251" s="71"/>
      <c r="BE251" s="71"/>
      <c r="BF251" s="71"/>
      <c r="BG251" s="71"/>
      <c r="BH251" s="71"/>
      <c r="BI251" s="71"/>
      <c r="BJ251" s="71"/>
      <c r="BK251" s="71"/>
      <c r="BL251" s="71"/>
      <c r="BM251" s="71"/>
    </row>
    <row r="252">
      <c r="A252" s="72"/>
      <c r="B252" s="72"/>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71"/>
      <c r="AO252" s="71"/>
      <c r="AP252" s="71"/>
      <c r="AQ252" s="71"/>
      <c r="AR252" s="71"/>
      <c r="AS252" s="71"/>
      <c r="AT252" s="71"/>
      <c r="AU252" s="71"/>
      <c r="AV252" s="71"/>
      <c r="AW252" s="71"/>
      <c r="AX252" s="71"/>
      <c r="AY252" s="71"/>
      <c r="AZ252" s="71"/>
      <c r="BA252" s="71"/>
      <c r="BB252" s="71"/>
      <c r="BC252" s="71"/>
      <c r="BD252" s="71"/>
      <c r="BE252" s="71"/>
      <c r="BF252" s="71"/>
      <c r="BG252" s="71"/>
      <c r="BH252" s="71"/>
      <c r="BI252" s="71"/>
      <c r="BJ252" s="71"/>
      <c r="BK252" s="71"/>
      <c r="BL252" s="71"/>
      <c r="BM252" s="71"/>
    </row>
    <row r="253">
      <c r="A253" s="72"/>
      <c r="B253" s="72"/>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71"/>
      <c r="AO253" s="71"/>
      <c r="AP253" s="71"/>
      <c r="AQ253" s="71"/>
      <c r="AR253" s="71"/>
      <c r="AS253" s="71"/>
      <c r="AT253" s="71"/>
      <c r="AU253" s="71"/>
      <c r="AV253" s="71"/>
      <c r="AW253" s="71"/>
      <c r="AX253" s="71"/>
      <c r="AY253" s="71"/>
      <c r="AZ253" s="71"/>
      <c r="BA253" s="71"/>
      <c r="BB253" s="71"/>
      <c r="BC253" s="71"/>
      <c r="BD253" s="71"/>
      <c r="BE253" s="71"/>
      <c r="BF253" s="71"/>
      <c r="BG253" s="71"/>
      <c r="BH253" s="71"/>
      <c r="BI253" s="71"/>
      <c r="BJ253" s="71"/>
      <c r="BK253" s="71"/>
      <c r="BL253" s="71"/>
      <c r="BM253" s="71"/>
    </row>
    <row r="254">
      <c r="A254" s="72"/>
      <c r="B254" s="72"/>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71"/>
      <c r="AO254" s="71"/>
      <c r="AP254" s="71"/>
      <c r="AQ254" s="71"/>
      <c r="AR254" s="71"/>
      <c r="AS254" s="71"/>
      <c r="AT254" s="71"/>
      <c r="AU254" s="71"/>
      <c r="AV254" s="71"/>
      <c r="AW254" s="71"/>
      <c r="AX254" s="71"/>
      <c r="AY254" s="71"/>
      <c r="AZ254" s="71"/>
      <c r="BA254" s="71"/>
      <c r="BB254" s="71"/>
      <c r="BC254" s="71"/>
      <c r="BD254" s="71"/>
      <c r="BE254" s="71"/>
      <c r="BF254" s="71"/>
      <c r="BG254" s="71"/>
      <c r="BH254" s="71"/>
      <c r="BI254" s="71"/>
      <c r="BJ254" s="71"/>
      <c r="BK254" s="71"/>
      <c r="BL254" s="71"/>
      <c r="BM254" s="71"/>
    </row>
    <row r="255">
      <c r="A255" s="72"/>
      <c r="B255" s="72"/>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c r="AQ255" s="71"/>
      <c r="AR255" s="71"/>
      <c r="AS255" s="71"/>
      <c r="AT255" s="71"/>
      <c r="AU255" s="71"/>
      <c r="AV255" s="71"/>
      <c r="AW255" s="71"/>
      <c r="AX255" s="71"/>
      <c r="AY255" s="71"/>
      <c r="AZ255" s="71"/>
      <c r="BA255" s="71"/>
      <c r="BB255" s="71"/>
      <c r="BC255" s="71"/>
      <c r="BD255" s="71"/>
      <c r="BE255" s="71"/>
      <c r="BF255" s="71"/>
      <c r="BG255" s="71"/>
      <c r="BH255" s="71"/>
      <c r="BI255" s="71"/>
      <c r="BJ255" s="71"/>
      <c r="BK255" s="71"/>
      <c r="BL255" s="71"/>
      <c r="BM255" s="71"/>
    </row>
    <row r="256">
      <c r="A256" s="72"/>
      <c r="B256" s="72"/>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71"/>
      <c r="AO256" s="71"/>
      <c r="AP256" s="71"/>
      <c r="AQ256" s="71"/>
      <c r="AR256" s="71"/>
      <c r="AS256" s="71"/>
      <c r="AT256" s="71"/>
      <c r="AU256" s="71"/>
      <c r="AV256" s="71"/>
      <c r="AW256" s="71"/>
      <c r="AX256" s="71"/>
      <c r="AY256" s="71"/>
      <c r="AZ256" s="71"/>
      <c r="BA256" s="71"/>
      <c r="BB256" s="71"/>
      <c r="BC256" s="71"/>
      <c r="BD256" s="71"/>
      <c r="BE256" s="71"/>
      <c r="BF256" s="71"/>
      <c r="BG256" s="71"/>
      <c r="BH256" s="71"/>
      <c r="BI256" s="71"/>
      <c r="BJ256" s="71"/>
      <c r="BK256" s="71"/>
      <c r="BL256" s="71"/>
      <c r="BM256" s="71"/>
    </row>
    <row r="257">
      <c r="A257" s="72"/>
      <c r="B257" s="72"/>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71"/>
      <c r="AO257" s="71"/>
      <c r="AP257" s="71"/>
      <c r="AQ257" s="71"/>
      <c r="AR257" s="71"/>
      <c r="AS257" s="71"/>
      <c r="AT257" s="71"/>
      <c r="AU257" s="71"/>
      <c r="AV257" s="71"/>
      <c r="AW257" s="71"/>
      <c r="AX257" s="71"/>
      <c r="AY257" s="71"/>
      <c r="AZ257" s="71"/>
      <c r="BA257" s="71"/>
      <c r="BB257" s="71"/>
      <c r="BC257" s="71"/>
      <c r="BD257" s="71"/>
      <c r="BE257" s="71"/>
      <c r="BF257" s="71"/>
      <c r="BG257" s="71"/>
      <c r="BH257" s="71"/>
      <c r="BI257" s="71"/>
      <c r="BJ257" s="71"/>
      <c r="BK257" s="71"/>
      <c r="BL257" s="71"/>
      <c r="BM257" s="71"/>
    </row>
    <row r="258">
      <c r="A258" s="72"/>
      <c r="B258" s="72"/>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c r="AR258" s="71"/>
      <c r="AS258" s="71"/>
      <c r="AT258" s="71"/>
      <c r="AU258" s="71"/>
      <c r="AV258" s="71"/>
      <c r="AW258" s="71"/>
      <c r="AX258" s="71"/>
      <c r="AY258" s="71"/>
      <c r="AZ258" s="71"/>
      <c r="BA258" s="71"/>
      <c r="BB258" s="71"/>
      <c r="BC258" s="71"/>
      <c r="BD258" s="71"/>
      <c r="BE258" s="71"/>
      <c r="BF258" s="71"/>
      <c r="BG258" s="71"/>
      <c r="BH258" s="71"/>
      <c r="BI258" s="71"/>
      <c r="BJ258" s="71"/>
      <c r="BK258" s="71"/>
      <c r="BL258" s="71"/>
      <c r="BM258" s="71"/>
    </row>
    <row r="259">
      <c r="A259" s="72"/>
      <c r="B259" s="72"/>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71"/>
      <c r="AO259" s="71"/>
      <c r="AP259" s="71"/>
      <c r="AQ259" s="71"/>
      <c r="AR259" s="71"/>
      <c r="AS259" s="71"/>
      <c r="AT259" s="71"/>
      <c r="AU259" s="71"/>
      <c r="AV259" s="71"/>
      <c r="AW259" s="71"/>
      <c r="AX259" s="71"/>
      <c r="AY259" s="71"/>
      <c r="AZ259" s="71"/>
      <c r="BA259" s="71"/>
      <c r="BB259" s="71"/>
      <c r="BC259" s="71"/>
      <c r="BD259" s="71"/>
      <c r="BE259" s="71"/>
      <c r="BF259" s="71"/>
      <c r="BG259" s="71"/>
      <c r="BH259" s="71"/>
      <c r="BI259" s="71"/>
      <c r="BJ259" s="71"/>
      <c r="BK259" s="71"/>
      <c r="BL259" s="71"/>
      <c r="BM259" s="71"/>
    </row>
    <row r="260">
      <c r="A260" s="72"/>
      <c r="B260" s="72"/>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71"/>
      <c r="AO260" s="71"/>
      <c r="AP260" s="71"/>
      <c r="AQ260" s="71"/>
      <c r="AR260" s="71"/>
      <c r="AS260" s="71"/>
      <c r="AT260" s="71"/>
      <c r="AU260" s="71"/>
      <c r="AV260" s="71"/>
      <c r="AW260" s="71"/>
      <c r="AX260" s="71"/>
      <c r="AY260" s="71"/>
      <c r="AZ260" s="71"/>
      <c r="BA260" s="71"/>
      <c r="BB260" s="71"/>
      <c r="BC260" s="71"/>
      <c r="BD260" s="71"/>
      <c r="BE260" s="71"/>
      <c r="BF260" s="71"/>
      <c r="BG260" s="71"/>
      <c r="BH260" s="71"/>
      <c r="BI260" s="71"/>
      <c r="BJ260" s="71"/>
      <c r="BK260" s="71"/>
      <c r="BL260" s="71"/>
      <c r="BM260" s="71"/>
    </row>
    <row r="261">
      <c r="A261" s="72"/>
      <c r="B261" s="72"/>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71"/>
      <c r="AO261" s="71"/>
      <c r="AP261" s="71"/>
      <c r="AQ261" s="71"/>
      <c r="AR261" s="71"/>
      <c r="AS261" s="71"/>
      <c r="AT261" s="71"/>
      <c r="AU261" s="71"/>
      <c r="AV261" s="71"/>
      <c r="AW261" s="71"/>
      <c r="AX261" s="71"/>
      <c r="AY261" s="71"/>
      <c r="AZ261" s="71"/>
      <c r="BA261" s="71"/>
      <c r="BB261" s="71"/>
      <c r="BC261" s="71"/>
      <c r="BD261" s="71"/>
      <c r="BE261" s="71"/>
      <c r="BF261" s="71"/>
      <c r="BG261" s="71"/>
      <c r="BH261" s="71"/>
      <c r="BI261" s="71"/>
      <c r="BJ261" s="71"/>
      <c r="BK261" s="71"/>
      <c r="BL261" s="71"/>
      <c r="BM261" s="71"/>
    </row>
    <row r="262">
      <c r="A262" s="72"/>
      <c r="B262" s="72"/>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71"/>
      <c r="AO262" s="71"/>
      <c r="AP262" s="71"/>
      <c r="AQ262" s="71"/>
      <c r="AR262" s="71"/>
      <c r="AS262" s="71"/>
      <c r="AT262" s="71"/>
      <c r="AU262" s="71"/>
      <c r="AV262" s="71"/>
      <c r="AW262" s="71"/>
      <c r="AX262" s="71"/>
      <c r="AY262" s="71"/>
      <c r="AZ262" s="71"/>
      <c r="BA262" s="71"/>
      <c r="BB262" s="71"/>
      <c r="BC262" s="71"/>
      <c r="BD262" s="71"/>
      <c r="BE262" s="71"/>
      <c r="BF262" s="71"/>
      <c r="BG262" s="71"/>
      <c r="BH262" s="71"/>
      <c r="BI262" s="71"/>
      <c r="BJ262" s="71"/>
      <c r="BK262" s="71"/>
      <c r="BL262" s="71"/>
      <c r="BM262" s="71"/>
    </row>
    <row r="263">
      <c r="A263" s="72"/>
      <c r="B263" s="72"/>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71"/>
      <c r="AO263" s="71"/>
      <c r="AP263" s="71"/>
      <c r="AQ263" s="71"/>
      <c r="AR263" s="71"/>
      <c r="AS263" s="71"/>
      <c r="AT263" s="71"/>
      <c r="AU263" s="71"/>
      <c r="AV263" s="71"/>
      <c r="AW263" s="71"/>
      <c r="AX263" s="71"/>
      <c r="AY263" s="71"/>
      <c r="AZ263" s="71"/>
      <c r="BA263" s="71"/>
      <c r="BB263" s="71"/>
      <c r="BC263" s="71"/>
      <c r="BD263" s="71"/>
      <c r="BE263" s="71"/>
      <c r="BF263" s="71"/>
      <c r="BG263" s="71"/>
      <c r="BH263" s="71"/>
      <c r="BI263" s="71"/>
      <c r="BJ263" s="71"/>
      <c r="BK263" s="71"/>
      <c r="BL263" s="71"/>
      <c r="BM263" s="71"/>
    </row>
    <row r="264">
      <c r="A264" s="72"/>
      <c r="B264" s="72"/>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71"/>
      <c r="AO264" s="71"/>
      <c r="AP264" s="71"/>
      <c r="AQ264" s="71"/>
      <c r="AR264" s="71"/>
      <c r="AS264" s="71"/>
      <c r="AT264" s="71"/>
      <c r="AU264" s="71"/>
      <c r="AV264" s="71"/>
      <c r="AW264" s="71"/>
      <c r="AX264" s="71"/>
      <c r="AY264" s="71"/>
      <c r="AZ264" s="71"/>
      <c r="BA264" s="71"/>
      <c r="BB264" s="71"/>
      <c r="BC264" s="71"/>
      <c r="BD264" s="71"/>
      <c r="BE264" s="71"/>
      <c r="BF264" s="71"/>
      <c r="BG264" s="71"/>
      <c r="BH264" s="71"/>
      <c r="BI264" s="71"/>
      <c r="BJ264" s="71"/>
      <c r="BK264" s="71"/>
      <c r="BL264" s="71"/>
      <c r="BM264" s="71"/>
    </row>
    <row r="265">
      <c r="A265" s="72"/>
      <c r="B265" s="72"/>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71"/>
      <c r="AO265" s="71"/>
      <c r="AP265" s="71"/>
      <c r="AQ265" s="71"/>
      <c r="AR265" s="71"/>
      <c r="AS265" s="71"/>
      <c r="AT265" s="71"/>
      <c r="AU265" s="71"/>
      <c r="AV265" s="71"/>
      <c r="AW265" s="71"/>
      <c r="AX265" s="71"/>
      <c r="AY265" s="71"/>
      <c r="AZ265" s="71"/>
      <c r="BA265" s="71"/>
      <c r="BB265" s="71"/>
      <c r="BC265" s="71"/>
      <c r="BD265" s="71"/>
      <c r="BE265" s="71"/>
      <c r="BF265" s="71"/>
      <c r="BG265" s="71"/>
      <c r="BH265" s="71"/>
      <c r="BI265" s="71"/>
      <c r="BJ265" s="71"/>
      <c r="BK265" s="71"/>
      <c r="BL265" s="71"/>
      <c r="BM265" s="71"/>
    </row>
    <row r="266">
      <c r="A266" s="72"/>
      <c r="B266" s="72"/>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71"/>
      <c r="AO266" s="71"/>
      <c r="AP266" s="71"/>
      <c r="AQ266" s="71"/>
      <c r="AR266" s="71"/>
      <c r="AS266" s="71"/>
      <c r="AT266" s="71"/>
      <c r="AU266" s="71"/>
      <c r="AV266" s="71"/>
      <c r="AW266" s="71"/>
      <c r="AX266" s="71"/>
      <c r="AY266" s="71"/>
      <c r="AZ266" s="71"/>
      <c r="BA266" s="71"/>
      <c r="BB266" s="71"/>
      <c r="BC266" s="71"/>
      <c r="BD266" s="71"/>
      <c r="BE266" s="71"/>
      <c r="BF266" s="71"/>
      <c r="BG266" s="71"/>
      <c r="BH266" s="71"/>
      <c r="BI266" s="71"/>
      <c r="BJ266" s="71"/>
      <c r="BK266" s="71"/>
      <c r="BL266" s="71"/>
      <c r="BM266" s="71"/>
    </row>
    <row r="267">
      <c r="A267" s="72"/>
      <c r="B267" s="72"/>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71"/>
      <c r="AO267" s="71"/>
      <c r="AP267" s="71"/>
      <c r="AQ267" s="71"/>
      <c r="AR267" s="71"/>
      <c r="AS267" s="71"/>
      <c r="AT267" s="71"/>
      <c r="AU267" s="71"/>
      <c r="AV267" s="71"/>
      <c r="AW267" s="71"/>
      <c r="AX267" s="71"/>
      <c r="AY267" s="71"/>
      <c r="AZ267" s="71"/>
      <c r="BA267" s="71"/>
      <c r="BB267" s="71"/>
      <c r="BC267" s="71"/>
      <c r="BD267" s="71"/>
      <c r="BE267" s="71"/>
      <c r="BF267" s="71"/>
      <c r="BG267" s="71"/>
      <c r="BH267" s="71"/>
      <c r="BI267" s="71"/>
      <c r="BJ267" s="71"/>
      <c r="BK267" s="71"/>
      <c r="BL267" s="71"/>
      <c r="BM267" s="71"/>
    </row>
    <row r="268">
      <c r="A268" s="72"/>
      <c r="B268" s="72"/>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71"/>
      <c r="AO268" s="71"/>
      <c r="AP268" s="71"/>
      <c r="AQ268" s="71"/>
      <c r="AR268" s="71"/>
      <c r="AS268" s="71"/>
      <c r="AT268" s="71"/>
      <c r="AU268" s="71"/>
      <c r="AV268" s="71"/>
      <c r="AW268" s="71"/>
      <c r="AX268" s="71"/>
      <c r="AY268" s="71"/>
      <c r="AZ268" s="71"/>
      <c r="BA268" s="71"/>
      <c r="BB268" s="71"/>
      <c r="BC268" s="71"/>
      <c r="BD268" s="71"/>
      <c r="BE268" s="71"/>
      <c r="BF268" s="71"/>
      <c r="BG268" s="71"/>
      <c r="BH268" s="71"/>
      <c r="BI268" s="71"/>
      <c r="BJ268" s="71"/>
      <c r="BK268" s="71"/>
      <c r="BL268" s="71"/>
      <c r="BM268" s="71"/>
    </row>
    <row r="269">
      <c r="A269" s="72"/>
      <c r="B269" s="72"/>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71"/>
      <c r="AO269" s="71"/>
      <c r="AP269" s="71"/>
      <c r="AQ269" s="71"/>
      <c r="AR269" s="71"/>
      <c r="AS269" s="71"/>
      <c r="AT269" s="71"/>
      <c r="AU269" s="71"/>
      <c r="AV269" s="71"/>
      <c r="AW269" s="71"/>
      <c r="AX269" s="71"/>
      <c r="AY269" s="71"/>
      <c r="AZ269" s="71"/>
      <c r="BA269" s="71"/>
      <c r="BB269" s="71"/>
      <c r="BC269" s="71"/>
      <c r="BD269" s="71"/>
      <c r="BE269" s="71"/>
      <c r="BF269" s="71"/>
      <c r="BG269" s="71"/>
      <c r="BH269" s="71"/>
      <c r="BI269" s="71"/>
      <c r="BJ269" s="71"/>
      <c r="BK269" s="71"/>
      <c r="BL269" s="71"/>
      <c r="BM269" s="71"/>
    </row>
    <row r="270">
      <c r="A270" s="72"/>
      <c r="B270" s="72"/>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71"/>
      <c r="AO270" s="71"/>
      <c r="AP270" s="71"/>
      <c r="AQ270" s="71"/>
      <c r="AR270" s="71"/>
      <c r="AS270" s="71"/>
      <c r="AT270" s="71"/>
      <c r="AU270" s="71"/>
      <c r="AV270" s="71"/>
      <c r="AW270" s="71"/>
      <c r="AX270" s="71"/>
      <c r="AY270" s="71"/>
      <c r="AZ270" s="71"/>
      <c r="BA270" s="71"/>
      <c r="BB270" s="71"/>
      <c r="BC270" s="71"/>
      <c r="BD270" s="71"/>
      <c r="BE270" s="71"/>
      <c r="BF270" s="71"/>
      <c r="BG270" s="71"/>
      <c r="BH270" s="71"/>
      <c r="BI270" s="71"/>
      <c r="BJ270" s="71"/>
      <c r="BK270" s="71"/>
      <c r="BL270" s="71"/>
      <c r="BM270" s="71"/>
    </row>
    <row r="271">
      <c r="A271" s="72"/>
      <c r="B271" s="72"/>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c r="AR271" s="71"/>
      <c r="AS271" s="71"/>
      <c r="AT271" s="71"/>
      <c r="AU271" s="71"/>
      <c r="AV271" s="71"/>
      <c r="AW271" s="71"/>
      <c r="AX271" s="71"/>
      <c r="AY271" s="71"/>
      <c r="AZ271" s="71"/>
      <c r="BA271" s="71"/>
      <c r="BB271" s="71"/>
      <c r="BC271" s="71"/>
      <c r="BD271" s="71"/>
      <c r="BE271" s="71"/>
      <c r="BF271" s="71"/>
      <c r="BG271" s="71"/>
      <c r="BH271" s="71"/>
      <c r="BI271" s="71"/>
      <c r="BJ271" s="71"/>
      <c r="BK271" s="71"/>
      <c r="BL271" s="71"/>
      <c r="BM271" s="71"/>
    </row>
    <row r="272">
      <c r="A272" s="72"/>
      <c r="B272" s="72"/>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71"/>
      <c r="AO272" s="71"/>
      <c r="AP272" s="71"/>
      <c r="AQ272" s="71"/>
      <c r="AR272" s="71"/>
      <c r="AS272" s="71"/>
      <c r="AT272" s="71"/>
      <c r="AU272" s="71"/>
      <c r="AV272" s="71"/>
      <c r="AW272" s="71"/>
      <c r="AX272" s="71"/>
      <c r="AY272" s="71"/>
      <c r="AZ272" s="71"/>
      <c r="BA272" s="71"/>
      <c r="BB272" s="71"/>
      <c r="BC272" s="71"/>
      <c r="BD272" s="71"/>
      <c r="BE272" s="71"/>
      <c r="BF272" s="71"/>
      <c r="BG272" s="71"/>
      <c r="BH272" s="71"/>
      <c r="BI272" s="71"/>
      <c r="BJ272" s="71"/>
      <c r="BK272" s="71"/>
      <c r="BL272" s="71"/>
      <c r="BM272" s="71"/>
    </row>
    <row r="273">
      <c r="A273" s="72"/>
      <c r="B273" s="72"/>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71"/>
      <c r="AO273" s="71"/>
      <c r="AP273" s="71"/>
      <c r="AQ273" s="71"/>
      <c r="AR273" s="71"/>
      <c r="AS273" s="71"/>
      <c r="AT273" s="71"/>
      <c r="AU273" s="71"/>
      <c r="AV273" s="71"/>
      <c r="AW273" s="71"/>
      <c r="AX273" s="71"/>
      <c r="AY273" s="71"/>
      <c r="AZ273" s="71"/>
      <c r="BA273" s="71"/>
      <c r="BB273" s="71"/>
      <c r="BC273" s="71"/>
      <c r="BD273" s="71"/>
      <c r="BE273" s="71"/>
      <c r="BF273" s="71"/>
      <c r="BG273" s="71"/>
      <c r="BH273" s="71"/>
      <c r="BI273" s="71"/>
      <c r="BJ273" s="71"/>
      <c r="BK273" s="71"/>
      <c r="BL273" s="71"/>
      <c r="BM273" s="71"/>
    </row>
    <row r="274">
      <c r="A274" s="72"/>
      <c r="B274" s="72"/>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71"/>
      <c r="AO274" s="71"/>
      <c r="AP274" s="71"/>
      <c r="AQ274" s="71"/>
      <c r="AR274" s="71"/>
      <c r="AS274" s="71"/>
      <c r="AT274" s="71"/>
      <c r="AU274" s="71"/>
      <c r="AV274" s="71"/>
      <c r="AW274" s="71"/>
      <c r="AX274" s="71"/>
      <c r="AY274" s="71"/>
      <c r="AZ274" s="71"/>
      <c r="BA274" s="71"/>
      <c r="BB274" s="71"/>
      <c r="BC274" s="71"/>
      <c r="BD274" s="71"/>
      <c r="BE274" s="71"/>
      <c r="BF274" s="71"/>
      <c r="BG274" s="71"/>
      <c r="BH274" s="71"/>
      <c r="BI274" s="71"/>
      <c r="BJ274" s="71"/>
      <c r="BK274" s="71"/>
      <c r="BL274" s="71"/>
      <c r="BM274" s="71"/>
    </row>
    <row r="275">
      <c r="A275" s="72"/>
      <c r="B275" s="72"/>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71"/>
      <c r="AO275" s="71"/>
      <c r="AP275" s="71"/>
      <c r="AQ275" s="71"/>
      <c r="AR275" s="71"/>
      <c r="AS275" s="71"/>
      <c r="AT275" s="71"/>
      <c r="AU275" s="71"/>
      <c r="AV275" s="71"/>
      <c r="AW275" s="71"/>
      <c r="AX275" s="71"/>
      <c r="AY275" s="71"/>
      <c r="AZ275" s="71"/>
      <c r="BA275" s="71"/>
      <c r="BB275" s="71"/>
      <c r="BC275" s="71"/>
      <c r="BD275" s="71"/>
      <c r="BE275" s="71"/>
      <c r="BF275" s="71"/>
      <c r="BG275" s="71"/>
      <c r="BH275" s="71"/>
      <c r="BI275" s="71"/>
      <c r="BJ275" s="71"/>
      <c r="BK275" s="71"/>
      <c r="BL275" s="71"/>
      <c r="BM275" s="71"/>
    </row>
    <row r="276">
      <c r="A276" s="72"/>
      <c r="B276" s="72"/>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71"/>
      <c r="AO276" s="71"/>
      <c r="AP276" s="71"/>
      <c r="AQ276" s="71"/>
      <c r="AR276" s="71"/>
      <c r="AS276" s="71"/>
      <c r="AT276" s="71"/>
      <c r="AU276" s="71"/>
      <c r="AV276" s="71"/>
      <c r="AW276" s="71"/>
      <c r="AX276" s="71"/>
      <c r="AY276" s="71"/>
      <c r="AZ276" s="71"/>
      <c r="BA276" s="71"/>
      <c r="BB276" s="71"/>
      <c r="BC276" s="71"/>
      <c r="BD276" s="71"/>
      <c r="BE276" s="71"/>
      <c r="BF276" s="71"/>
      <c r="BG276" s="71"/>
      <c r="BH276" s="71"/>
      <c r="BI276" s="71"/>
      <c r="BJ276" s="71"/>
      <c r="BK276" s="71"/>
      <c r="BL276" s="71"/>
      <c r="BM276" s="71"/>
    </row>
    <row r="277">
      <c r="A277" s="72"/>
      <c r="B277" s="72"/>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c r="AR277" s="71"/>
      <c r="AS277" s="71"/>
      <c r="AT277" s="71"/>
      <c r="AU277" s="71"/>
      <c r="AV277" s="71"/>
      <c r="AW277" s="71"/>
      <c r="AX277" s="71"/>
      <c r="AY277" s="71"/>
      <c r="AZ277" s="71"/>
      <c r="BA277" s="71"/>
      <c r="BB277" s="71"/>
      <c r="BC277" s="71"/>
      <c r="BD277" s="71"/>
      <c r="BE277" s="71"/>
      <c r="BF277" s="71"/>
      <c r="BG277" s="71"/>
      <c r="BH277" s="71"/>
      <c r="BI277" s="71"/>
      <c r="BJ277" s="71"/>
      <c r="BK277" s="71"/>
      <c r="BL277" s="71"/>
      <c r="BM277" s="71"/>
    </row>
    <row r="278">
      <c r="A278" s="72"/>
      <c r="B278" s="72"/>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c r="AR278" s="71"/>
      <c r="AS278" s="71"/>
      <c r="AT278" s="71"/>
      <c r="AU278" s="71"/>
      <c r="AV278" s="71"/>
      <c r="AW278" s="71"/>
      <c r="AX278" s="71"/>
      <c r="AY278" s="71"/>
      <c r="AZ278" s="71"/>
      <c r="BA278" s="71"/>
      <c r="BB278" s="71"/>
      <c r="BC278" s="71"/>
      <c r="BD278" s="71"/>
      <c r="BE278" s="71"/>
      <c r="BF278" s="71"/>
      <c r="BG278" s="71"/>
      <c r="BH278" s="71"/>
      <c r="BI278" s="71"/>
      <c r="BJ278" s="71"/>
      <c r="BK278" s="71"/>
      <c r="BL278" s="71"/>
      <c r="BM278" s="71"/>
    </row>
    <row r="279">
      <c r="A279" s="72"/>
      <c r="B279" s="72"/>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c r="AR279" s="71"/>
      <c r="AS279" s="71"/>
      <c r="AT279" s="71"/>
      <c r="AU279" s="71"/>
      <c r="AV279" s="71"/>
      <c r="AW279" s="71"/>
      <c r="AX279" s="71"/>
      <c r="AY279" s="71"/>
      <c r="AZ279" s="71"/>
      <c r="BA279" s="71"/>
      <c r="BB279" s="71"/>
      <c r="BC279" s="71"/>
      <c r="BD279" s="71"/>
      <c r="BE279" s="71"/>
      <c r="BF279" s="71"/>
      <c r="BG279" s="71"/>
      <c r="BH279" s="71"/>
      <c r="BI279" s="71"/>
      <c r="BJ279" s="71"/>
      <c r="BK279" s="71"/>
      <c r="BL279" s="71"/>
      <c r="BM279" s="71"/>
    </row>
    <row r="280">
      <c r="A280" s="72"/>
      <c r="B280" s="72"/>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c r="AR280" s="71"/>
      <c r="AS280" s="71"/>
      <c r="AT280" s="71"/>
      <c r="AU280" s="71"/>
      <c r="AV280" s="71"/>
      <c r="AW280" s="71"/>
      <c r="AX280" s="71"/>
      <c r="AY280" s="71"/>
      <c r="AZ280" s="71"/>
      <c r="BA280" s="71"/>
      <c r="BB280" s="71"/>
      <c r="BC280" s="71"/>
      <c r="BD280" s="71"/>
      <c r="BE280" s="71"/>
      <c r="BF280" s="71"/>
      <c r="BG280" s="71"/>
      <c r="BH280" s="71"/>
      <c r="BI280" s="71"/>
      <c r="BJ280" s="71"/>
      <c r="BK280" s="71"/>
      <c r="BL280" s="71"/>
      <c r="BM280" s="71"/>
    </row>
    <row r="281">
      <c r="A281" s="72"/>
      <c r="B281" s="72"/>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c r="AR281" s="71"/>
      <c r="AS281" s="71"/>
      <c r="AT281" s="71"/>
      <c r="AU281" s="71"/>
      <c r="AV281" s="71"/>
      <c r="AW281" s="71"/>
      <c r="AX281" s="71"/>
      <c r="AY281" s="71"/>
      <c r="AZ281" s="71"/>
      <c r="BA281" s="71"/>
      <c r="BB281" s="71"/>
      <c r="BC281" s="71"/>
      <c r="BD281" s="71"/>
      <c r="BE281" s="71"/>
      <c r="BF281" s="71"/>
      <c r="BG281" s="71"/>
      <c r="BH281" s="71"/>
      <c r="BI281" s="71"/>
      <c r="BJ281" s="71"/>
      <c r="BK281" s="71"/>
      <c r="BL281" s="71"/>
      <c r="BM281" s="71"/>
    </row>
    <row r="282">
      <c r="A282" s="72"/>
      <c r="B282" s="72"/>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c r="AR282" s="71"/>
      <c r="AS282" s="71"/>
      <c r="AT282" s="71"/>
      <c r="AU282" s="71"/>
      <c r="AV282" s="71"/>
      <c r="AW282" s="71"/>
      <c r="AX282" s="71"/>
      <c r="AY282" s="71"/>
      <c r="AZ282" s="71"/>
      <c r="BA282" s="71"/>
      <c r="BB282" s="71"/>
      <c r="BC282" s="71"/>
      <c r="BD282" s="71"/>
      <c r="BE282" s="71"/>
      <c r="BF282" s="71"/>
      <c r="BG282" s="71"/>
      <c r="BH282" s="71"/>
      <c r="BI282" s="71"/>
      <c r="BJ282" s="71"/>
      <c r="BK282" s="71"/>
      <c r="BL282" s="71"/>
      <c r="BM282" s="71"/>
    </row>
    <row r="283">
      <c r="A283" s="72"/>
      <c r="B283" s="72"/>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c r="AR283" s="71"/>
      <c r="AS283" s="71"/>
      <c r="AT283" s="71"/>
      <c r="AU283" s="71"/>
      <c r="AV283" s="71"/>
      <c r="AW283" s="71"/>
      <c r="AX283" s="71"/>
      <c r="AY283" s="71"/>
      <c r="AZ283" s="71"/>
      <c r="BA283" s="71"/>
      <c r="BB283" s="71"/>
      <c r="BC283" s="71"/>
      <c r="BD283" s="71"/>
      <c r="BE283" s="71"/>
      <c r="BF283" s="71"/>
      <c r="BG283" s="71"/>
      <c r="BH283" s="71"/>
      <c r="BI283" s="71"/>
      <c r="BJ283" s="71"/>
      <c r="BK283" s="71"/>
      <c r="BL283" s="71"/>
      <c r="BM283" s="71"/>
    </row>
    <row r="284">
      <c r="A284" s="72"/>
      <c r="B284" s="72"/>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c r="AR284" s="71"/>
      <c r="AS284" s="71"/>
      <c r="AT284" s="71"/>
      <c r="AU284" s="71"/>
      <c r="AV284" s="71"/>
      <c r="AW284" s="71"/>
      <c r="AX284" s="71"/>
      <c r="AY284" s="71"/>
      <c r="AZ284" s="71"/>
      <c r="BA284" s="71"/>
      <c r="BB284" s="71"/>
      <c r="BC284" s="71"/>
      <c r="BD284" s="71"/>
      <c r="BE284" s="71"/>
      <c r="BF284" s="71"/>
      <c r="BG284" s="71"/>
      <c r="BH284" s="71"/>
      <c r="BI284" s="71"/>
      <c r="BJ284" s="71"/>
      <c r="BK284" s="71"/>
      <c r="BL284" s="71"/>
      <c r="BM284" s="71"/>
    </row>
    <row r="285">
      <c r="A285" s="72"/>
      <c r="B285" s="72"/>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1"/>
      <c r="AQ285" s="71"/>
      <c r="AR285" s="71"/>
      <c r="AS285" s="71"/>
      <c r="AT285" s="71"/>
      <c r="AU285" s="71"/>
      <c r="AV285" s="71"/>
      <c r="AW285" s="71"/>
      <c r="AX285" s="71"/>
      <c r="AY285" s="71"/>
      <c r="AZ285" s="71"/>
      <c r="BA285" s="71"/>
      <c r="BB285" s="71"/>
      <c r="BC285" s="71"/>
      <c r="BD285" s="71"/>
      <c r="BE285" s="71"/>
      <c r="BF285" s="71"/>
      <c r="BG285" s="71"/>
      <c r="BH285" s="71"/>
      <c r="BI285" s="71"/>
      <c r="BJ285" s="71"/>
      <c r="BK285" s="71"/>
      <c r="BL285" s="71"/>
      <c r="BM285" s="71"/>
    </row>
    <row r="286">
      <c r="A286" s="72"/>
      <c r="B286" s="72"/>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71"/>
      <c r="AO286" s="71"/>
      <c r="AP286" s="71"/>
      <c r="AQ286" s="71"/>
      <c r="AR286" s="71"/>
      <c r="AS286" s="71"/>
      <c r="AT286" s="71"/>
      <c r="AU286" s="71"/>
      <c r="AV286" s="71"/>
      <c r="AW286" s="71"/>
      <c r="AX286" s="71"/>
      <c r="AY286" s="71"/>
      <c r="AZ286" s="71"/>
      <c r="BA286" s="71"/>
      <c r="BB286" s="71"/>
      <c r="BC286" s="71"/>
      <c r="BD286" s="71"/>
      <c r="BE286" s="71"/>
      <c r="BF286" s="71"/>
      <c r="BG286" s="71"/>
      <c r="BH286" s="71"/>
      <c r="BI286" s="71"/>
      <c r="BJ286" s="71"/>
      <c r="BK286" s="71"/>
      <c r="BL286" s="71"/>
      <c r="BM286" s="71"/>
    </row>
    <row r="287">
      <c r="A287" s="72"/>
      <c r="B287" s="72"/>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71"/>
      <c r="AO287" s="71"/>
      <c r="AP287" s="71"/>
      <c r="AQ287" s="71"/>
      <c r="AR287" s="71"/>
      <c r="AS287" s="71"/>
      <c r="AT287" s="71"/>
      <c r="AU287" s="71"/>
      <c r="AV287" s="71"/>
      <c r="AW287" s="71"/>
      <c r="AX287" s="71"/>
      <c r="AY287" s="71"/>
      <c r="AZ287" s="71"/>
      <c r="BA287" s="71"/>
      <c r="BB287" s="71"/>
      <c r="BC287" s="71"/>
      <c r="BD287" s="71"/>
      <c r="BE287" s="71"/>
      <c r="BF287" s="71"/>
      <c r="BG287" s="71"/>
      <c r="BH287" s="71"/>
      <c r="BI287" s="71"/>
      <c r="BJ287" s="71"/>
      <c r="BK287" s="71"/>
      <c r="BL287" s="71"/>
      <c r="BM287" s="71"/>
    </row>
    <row r="288">
      <c r="A288" s="72"/>
      <c r="B288" s="72"/>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c r="AR288" s="71"/>
      <c r="AS288" s="71"/>
      <c r="AT288" s="71"/>
      <c r="AU288" s="71"/>
      <c r="AV288" s="71"/>
      <c r="AW288" s="71"/>
      <c r="AX288" s="71"/>
      <c r="AY288" s="71"/>
      <c r="AZ288" s="71"/>
      <c r="BA288" s="71"/>
      <c r="BB288" s="71"/>
      <c r="BC288" s="71"/>
      <c r="BD288" s="71"/>
      <c r="BE288" s="71"/>
      <c r="BF288" s="71"/>
      <c r="BG288" s="71"/>
      <c r="BH288" s="71"/>
      <c r="BI288" s="71"/>
      <c r="BJ288" s="71"/>
      <c r="BK288" s="71"/>
      <c r="BL288" s="71"/>
      <c r="BM288" s="71"/>
    </row>
    <row r="289">
      <c r="A289" s="72"/>
      <c r="B289" s="72"/>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c r="AR289" s="71"/>
      <c r="AS289" s="71"/>
      <c r="AT289" s="71"/>
      <c r="AU289" s="71"/>
      <c r="AV289" s="71"/>
      <c r="AW289" s="71"/>
      <c r="AX289" s="71"/>
      <c r="AY289" s="71"/>
      <c r="AZ289" s="71"/>
      <c r="BA289" s="71"/>
      <c r="BB289" s="71"/>
      <c r="BC289" s="71"/>
      <c r="BD289" s="71"/>
      <c r="BE289" s="71"/>
      <c r="BF289" s="71"/>
      <c r="BG289" s="71"/>
      <c r="BH289" s="71"/>
      <c r="BI289" s="71"/>
      <c r="BJ289" s="71"/>
      <c r="BK289" s="71"/>
      <c r="BL289" s="71"/>
      <c r="BM289" s="71"/>
    </row>
    <row r="290">
      <c r="A290" s="72"/>
      <c r="B290" s="72"/>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c r="AR290" s="71"/>
      <c r="AS290" s="71"/>
      <c r="AT290" s="71"/>
      <c r="AU290" s="71"/>
      <c r="AV290" s="71"/>
      <c r="AW290" s="71"/>
      <c r="AX290" s="71"/>
      <c r="AY290" s="71"/>
      <c r="AZ290" s="71"/>
      <c r="BA290" s="71"/>
      <c r="BB290" s="71"/>
      <c r="BC290" s="71"/>
      <c r="BD290" s="71"/>
      <c r="BE290" s="71"/>
      <c r="BF290" s="71"/>
      <c r="BG290" s="71"/>
      <c r="BH290" s="71"/>
      <c r="BI290" s="71"/>
      <c r="BJ290" s="71"/>
      <c r="BK290" s="71"/>
      <c r="BL290" s="71"/>
      <c r="BM290" s="71"/>
    </row>
    <row r="291">
      <c r="A291" s="72"/>
      <c r="B291" s="72"/>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row>
    <row r="292">
      <c r="A292" s="72"/>
      <c r="B292" s="72"/>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row>
    <row r="293">
      <c r="A293" s="72"/>
      <c r="B293" s="72"/>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row>
    <row r="294">
      <c r="A294" s="72"/>
      <c r="B294" s="72"/>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row>
    <row r="295">
      <c r="A295" s="72"/>
      <c r="B295" s="72"/>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row>
    <row r="296">
      <c r="A296" s="72"/>
      <c r="B296" s="72"/>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row>
    <row r="297">
      <c r="A297" s="72"/>
      <c r="B297" s="72"/>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row>
    <row r="298">
      <c r="A298" s="72"/>
      <c r="B298" s="72"/>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c r="AR298" s="71"/>
      <c r="AS298" s="71"/>
      <c r="AT298" s="71"/>
      <c r="AU298" s="71"/>
      <c r="AV298" s="71"/>
      <c r="AW298" s="71"/>
      <c r="AX298" s="71"/>
      <c r="AY298" s="71"/>
      <c r="AZ298" s="71"/>
      <c r="BA298" s="71"/>
      <c r="BB298" s="71"/>
      <c r="BC298" s="71"/>
      <c r="BD298" s="71"/>
      <c r="BE298" s="71"/>
      <c r="BF298" s="71"/>
      <c r="BG298" s="71"/>
      <c r="BH298" s="71"/>
      <c r="BI298" s="71"/>
      <c r="BJ298" s="71"/>
      <c r="BK298" s="71"/>
      <c r="BL298" s="71"/>
      <c r="BM298" s="71"/>
    </row>
    <row r="299">
      <c r="A299" s="72"/>
      <c r="B299" s="72"/>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row>
    <row r="300">
      <c r="A300" s="72"/>
      <c r="B300" s="72"/>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row>
    <row r="301">
      <c r="A301" s="72"/>
      <c r="B301" s="72"/>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c r="AR301" s="71"/>
      <c r="AS301" s="71"/>
      <c r="AT301" s="71"/>
      <c r="AU301" s="71"/>
      <c r="AV301" s="71"/>
      <c r="AW301" s="71"/>
      <c r="AX301" s="71"/>
      <c r="AY301" s="71"/>
      <c r="AZ301" s="71"/>
      <c r="BA301" s="71"/>
      <c r="BB301" s="71"/>
      <c r="BC301" s="71"/>
      <c r="BD301" s="71"/>
      <c r="BE301" s="71"/>
      <c r="BF301" s="71"/>
      <c r="BG301" s="71"/>
      <c r="BH301" s="71"/>
      <c r="BI301" s="71"/>
      <c r="BJ301" s="71"/>
      <c r="BK301" s="71"/>
      <c r="BL301" s="71"/>
      <c r="BM301" s="71"/>
    </row>
    <row r="302">
      <c r="A302" s="72"/>
      <c r="B302" s="72"/>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c r="AR302" s="71"/>
      <c r="AS302" s="71"/>
      <c r="AT302" s="71"/>
      <c r="AU302" s="71"/>
      <c r="AV302" s="71"/>
      <c r="AW302" s="71"/>
      <c r="AX302" s="71"/>
      <c r="AY302" s="71"/>
      <c r="AZ302" s="71"/>
      <c r="BA302" s="71"/>
      <c r="BB302" s="71"/>
      <c r="BC302" s="71"/>
      <c r="BD302" s="71"/>
      <c r="BE302" s="71"/>
      <c r="BF302" s="71"/>
      <c r="BG302" s="71"/>
      <c r="BH302" s="71"/>
      <c r="BI302" s="71"/>
      <c r="BJ302" s="71"/>
      <c r="BK302" s="71"/>
      <c r="BL302" s="71"/>
      <c r="BM302" s="71"/>
    </row>
    <row r="303">
      <c r="A303" s="72"/>
      <c r="B303" s="72"/>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row>
    <row r="304">
      <c r="A304" s="72"/>
      <c r="B304" s="72"/>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c r="AR304" s="71"/>
      <c r="AS304" s="71"/>
      <c r="AT304" s="71"/>
      <c r="AU304" s="71"/>
      <c r="AV304" s="71"/>
      <c r="AW304" s="71"/>
      <c r="AX304" s="71"/>
      <c r="AY304" s="71"/>
      <c r="AZ304" s="71"/>
      <c r="BA304" s="71"/>
      <c r="BB304" s="71"/>
      <c r="BC304" s="71"/>
      <c r="BD304" s="71"/>
      <c r="BE304" s="71"/>
      <c r="BF304" s="71"/>
      <c r="BG304" s="71"/>
      <c r="BH304" s="71"/>
      <c r="BI304" s="71"/>
      <c r="BJ304" s="71"/>
      <c r="BK304" s="71"/>
      <c r="BL304" s="71"/>
      <c r="BM304" s="71"/>
    </row>
    <row r="305">
      <c r="A305" s="72"/>
      <c r="B305" s="72"/>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row>
    <row r="306">
      <c r="A306" s="72"/>
      <c r="B306" s="72"/>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c r="AR306" s="71"/>
      <c r="AS306" s="71"/>
      <c r="AT306" s="71"/>
      <c r="AU306" s="71"/>
      <c r="AV306" s="71"/>
      <c r="AW306" s="71"/>
      <c r="AX306" s="71"/>
      <c r="AY306" s="71"/>
      <c r="AZ306" s="71"/>
      <c r="BA306" s="71"/>
      <c r="BB306" s="71"/>
      <c r="BC306" s="71"/>
      <c r="BD306" s="71"/>
      <c r="BE306" s="71"/>
      <c r="BF306" s="71"/>
      <c r="BG306" s="71"/>
      <c r="BH306" s="71"/>
      <c r="BI306" s="71"/>
      <c r="BJ306" s="71"/>
      <c r="BK306" s="71"/>
      <c r="BL306" s="71"/>
      <c r="BM306" s="71"/>
    </row>
    <row r="307">
      <c r="A307" s="72"/>
      <c r="B307" s="72"/>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row>
    <row r="308">
      <c r="A308" s="72"/>
      <c r="B308" s="72"/>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c r="AR308" s="71"/>
      <c r="AS308" s="71"/>
      <c r="AT308" s="71"/>
      <c r="AU308" s="71"/>
      <c r="AV308" s="71"/>
      <c r="AW308" s="71"/>
      <c r="AX308" s="71"/>
      <c r="AY308" s="71"/>
      <c r="AZ308" s="71"/>
      <c r="BA308" s="71"/>
      <c r="BB308" s="71"/>
      <c r="BC308" s="71"/>
      <c r="BD308" s="71"/>
      <c r="BE308" s="71"/>
      <c r="BF308" s="71"/>
      <c r="BG308" s="71"/>
      <c r="BH308" s="71"/>
      <c r="BI308" s="71"/>
      <c r="BJ308" s="71"/>
      <c r="BK308" s="71"/>
      <c r="BL308" s="71"/>
      <c r="BM308" s="71"/>
    </row>
    <row r="309">
      <c r="A309" s="72"/>
      <c r="B309" s="72"/>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row>
    <row r="310">
      <c r="A310" s="72"/>
      <c r="B310" s="72"/>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row>
    <row r="311">
      <c r="A311" s="72"/>
      <c r="B311" s="72"/>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c r="AR311" s="71"/>
      <c r="AS311" s="71"/>
      <c r="AT311" s="71"/>
      <c r="AU311" s="71"/>
      <c r="AV311" s="71"/>
      <c r="AW311" s="71"/>
      <c r="AX311" s="71"/>
      <c r="AY311" s="71"/>
      <c r="AZ311" s="71"/>
      <c r="BA311" s="71"/>
      <c r="BB311" s="71"/>
      <c r="BC311" s="71"/>
      <c r="BD311" s="71"/>
      <c r="BE311" s="71"/>
      <c r="BF311" s="71"/>
      <c r="BG311" s="71"/>
      <c r="BH311" s="71"/>
      <c r="BI311" s="71"/>
      <c r="BJ311" s="71"/>
      <c r="BK311" s="71"/>
      <c r="BL311" s="71"/>
      <c r="BM311" s="71"/>
    </row>
    <row r="312">
      <c r="A312" s="72"/>
      <c r="B312" s="72"/>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row>
    <row r="313">
      <c r="A313" s="72"/>
      <c r="B313" s="72"/>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row>
    <row r="314">
      <c r="A314" s="72"/>
      <c r="B314" s="72"/>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row>
    <row r="315">
      <c r="A315" s="72"/>
      <c r="B315" s="72"/>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row>
    <row r="316">
      <c r="A316" s="72"/>
      <c r="B316" s="72"/>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c r="AR316" s="71"/>
      <c r="AS316" s="71"/>
      <c r="AT316" s="71"/>
      <c r="AU316" s="71"/>
      <c r="AV316" s="71"/>
      <c r="AW316" s="71"/>
      <c r="AX316" s="71"/>
      <c r="AY316" s="71"/>
      <c r="AZ316" s="71"/>
      <c r="BA316" s="71"/>
      <c r="BB316" s="71"/>
      <c r="BC316" s="71"/>
      <c r="BD316" s="71"/>
      <c r="BE316" s="71"/>
      <c r="BF316" s="71"/>
      <c r="BG316" s="71"/>
      <c r="BH316" s="71"/>
      <c r="BI316" s="71"/>
      <c r="BJ316" s="71"/>
      <c r="BK316" s="71"/>
      <c r="BL316" s="71"/>
      <c r="BM316" s="71"/>
    </row>
    <row r="317">
      <c r="A317" s="72"/>
      <c r="B317" s="72"/>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c r="AR317" s="71"/>
      <c r="AS317" s="71"/>
      <c r="AT317" s="71"/>
      <c r="AU317" s="71"/>
      <c r="AV317" s="71"/>
      <c r="AW317" s="71"/>
      <c r="AX317" s="71"/>
      <c r="AY317" s="71"/>
      <c r="AZ317" s="71"/>
      <c r="BA317" s="71"/>
      <c r="BB317" s="71"/>
      <c r="BC317" s="71"/>
      <c r="BD317" s="71"/>
      <c r="BE317" s="71"/>
      <c r="BF317" s="71"/>
      <c r="BG317" s="71"/>
      <c r="BH317" s="71"/>
      <c r="BI317" s="71"/>
      <c r="BJ317" s="71"/>
      <c r="BK317" s="71"/>
      <c r="BL317" s="71"/>
      <c r="BM317" s="71"/>
    </row>
    <row r="318">
      <c r="A318" s="72"/>
      <c r="B318" s="72"/>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c r="AR318" s="71"/>
      <c r="AS318" s="71"/>
      <c r="AT318" s="71"/>
      <c r="AU318" s="71"/>
      <c r="AV318" s="71"/>
      <c r="AW318" s="71"/>
      <c r="AX318" s="71"/>
      <c r="AY318" s="71"/>
      <c r="AZ318" s="71"/>
      <c r="BA318" s="71"/>
      <c r="BB318" s="71"/>
      <c r="BC318" s="71"/>
      <c r="BD318" s="71"/>
      <c r="BE318" s="71"/>
      <c r="BF318" s="71"/>
      <c r="BG318" s="71"/>
      <c r="BH318" s="71"/>
      <c r="BI318" s="71"/>
      <c r="BJ318" s="71"/>
      <c r="BK318" s="71"/>
      <c r="BL318" s="71"/>
      <c r="BM318" s="71"/>
    </row>
    <row r="319">
      <c r="A319" s="72"/>
      <c r="B319" s="72"/>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c r="AR319" s="71"/>
      <c r="AS319" s="71"/>
      <c r="AT319" s="71"/>
      <c r="AU319" s="71"/>
      <c r="AV319" s="71"/>
      <c r="AW319" s="71"/>
      <c r="AX319" s="71"/>
      <c r="AY319" s="71"/>
      <c r="AZ319" s="71"/>
      <c r="BA319" s="71"/>
      <c r="BB319" s="71"/>
      <c r="BC319" s="71"/>
      <c r="BD319" s="71"/>
      <c r="BE319" s="71"/>
      <c r="BF319" s="71"/>
      <c r="BG319" s="71"/>
      <c r="BH319" s="71"/>
      <c r="BI319" s="71"/>
      <c r="BJ319" s="71"/>
      <c r="BK319" s="71"/>
      <c r="BL319" s="71"/>
      <c r="BM319" s="71"/>
    </row>
    <row r="320">
      <c r="A320" s="72"/>
      <c r="B320" s="72"/>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row>
    <row r="321">
      <c r="A321" s="72"/>
      <c r="B321" s="72"/>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row>
    <row r="322">
      <c r="A322" s="72"/>
      <c r="B322" s="72"/>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c r="AR322" s="71"/>
      <c r="AS322" s="71"/>
      <c r="AT322" s="71"/>
      <c r="AU322" s="71"/>
      <c r="AV322" s="71"/>
      <c r="AW322" s="71"/>
      <c r="AX322" s="71"/>
      <c r="AY322" s="71"/>
      <c r="AZ322" s="71"/>
      <c r="BA322" s="71"/>
      <c r="BB322" s="71"/>
      <c r="BC322" s="71"/>
      <c r="BD322" s="71"/>
      <c r="BE322" s="71"/>
      <c r="BF322" s="71"/>
      <c r="BG322" s="71"/>
      <c r="BH322" s="71"/>
      <c r="BI322" s="71"/>
      <c r="BJ322" s="71"/>
      <c r="BK322" s="71"/>
      <c r="BL322" s="71"/>
      <c r="BM322" s="71"/>
    </row>
    <row r="323">
      <c r="A323" s="72"/>
      <c r="B323" s="72"/>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c r="AR323" s="71"/>
      <c r="AS323" s="71"/>
      <c r="AT323" s="71"/>
      <c r="AU323" s="71"/>
      <c r="AV323" s="71"/>
      <c r="AW323" s="71"/>
      <c r="AX323" s="71"/>
      <c r="AY323" s="71"/>
      <c r="AZ323" s="71"/>
      <c r="BA323" s="71"/>
      <c r="BB323" s="71"/>
      <c r="BC323" s="71"/>
      <c r="BD323" s="71"/>
      <c r="BE323" s="71"/>
      <c r="BF323" s="71"/>
      <c r="BG323" s="71"/>
      <c r="BH323" s="71"/>
      <c r="BI323" s="71"/>
      <c r="BJ323" s="71"/>
      <c r="BK323" s="71"/>
      <c r="BL323" s="71"/>
      <c r="BM323" s="71"/>
    </row>
    <row r="324">
      <c r="A324" s="72"/>
      <c r="B324" s="72"/>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c r="AR324" s="71"/>
      <c r="AS324" s="71"/>
      <c r="AT324" s="71"/>
      <c r="AU324" s="71"/>
      <c r="AV324" s="71"/>
      <c r="AW324" s="71"/>
      <c r="AX324" s="71"/>
      <c r="AY324" s="71"/>
      <c r="AZ324" s="71"/>
      <c r="BA324" s="71"/>
      <c r="BB324" s="71"/>
      <c r="BC324" s="71"/>
      <c r="BD324" s="71"/>
      <c r="BE324" s="71"/>
      <c r="BF324" s="71"/>
      <c r="BG324" s="71"/>
      <c r="BH324" s="71"/>
      <c r="BI324" s="71"/>
      <c r="BJ324" s="71"/>
      <c r="BK324" s="71"/>
      <c r="BL324" s="71"/>
      <c r="BM324" s="71"/>
    </row>
    <row r="325">
      <c r="A325" s="72"/>
      <c r="B325" s="72"/>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c r="AR325" s="71"/>
      <c r="AS325" s="71"/>
      <c r="AT325" s="71"/>
      <c r="AU325" s="71"/>
      <c r="AV325" s="71"/>
      <c r="AW325" s="71"/>
      <c r="AX325" s="71"/>
      <c r="AY325" s="71"/>
      <c r="AZ325" s="71"/>
      <c r="BA325" s="71"/>
      <c r="BB325" s="71"/>
      <c r="BC325" s="71"/>
      <c r="BD325" s="71"/>
      <c r="BE325" s="71"/>
      <c r="BF325" s="71"/>
      <c r="BG325" s="71"/>
      <c r="BH325" s="71"/>
      <c r="BI325" s="71"/>
      <c r="BJ325" s="71"/>
      <c r="BK325" s="71"/>
      <c r="BL325" s="71"/>
      <c r="BM325" s="71"/>
    </row>
    <row r="326">
      <c r="A326" s="72"/>
      <c r="B326" s="72"/>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c r="AR326" s="71"/>
      <c r="AS326" s="71"/>
      <c r="AT326" s="71"/>
      <c r="AU326" s="71"/>
      <c r="AV326" s="71"/>
      <c r="AW326" s="71"/>
      <c r="AX326" s="71"/>
      <c r="AY326" s="71"/>
      <c r="AZ326" s="71"/>
      <c r="BA326" s="71"/>
      <c r="BB326" s="71"/>
      <c r="BC326" s="71"/>
      <c r="BD326" s="71"/>
      <c r="BE326" s="71"/>
      <c r="BF326" s="71"/>
      <c r="BG326" s="71"/>
      <c r="BH326" s="71"/>
      <c r="BI326" s="71"/>
      <c r="BJ326" s="71"/>
      <c r="BK326" s="71"/>
      <c r="BL326" s="71"/>
      <c r="BM326" s="71"/>
    </row>
    <row r="327">
      <c r="A327" s="72"/>
      <c r="B327" s="72"/>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c r="AR327" s="71"/>
      <c r="AS327" s="71"/>
      <c r="AT327" s="71"/>
      <c r="AU327" s="71"/>
      <c r="AV327" s="71"/>
      <c r="AW327" s="71"/>
      <c r="AX327" s="71"/>
      <c r="AY327" s="71"/>
      <c r="AZ327" s="71"/>
      <c r="BA327" s="71"/>
      <c r="BB327" s="71"/>
      <c r="BC327" s="71"/>
      <c r="BD327" s="71"/>
      <c r="BE327" s="71"/>
      <c r="BF327" s="71"/>
      <c r="BG327" s="71"/>
      <c r="BH327" s="71"/>
      <c r="BI327" s="71"/>
      <c r="BJ327" s="71"/>
      <c r="BK327" s="71"/>
      <c r="BL327" s="71"/>
      <c r="BM327" s="71"/>
    </row>
    <row r="328">
      <c r="A328" s="72"/>
      <c r="B328" s="72"/>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c r="AA328" s="71"/>
      <c r="AB328" s="71"/>
      <c r="AC328" s="71"/>
      <c r="AD328" s="71"/>
      <c r="AE328" s="71"/>
      <c r="AF328" s="71"/>
      <c r="AG328" s="71"/>
      <c r="AH328" s="71"/>
      <c r="AI328" s="71"/>
      <c r="AJ328" s="71"/>
      <c r="AK328" s="71"/>
      <c r="AL328" s="71"/>
      <c r="AM328" s="71"/>
      <c r="AN328" s="71"/>
      <c r="AO328" s="71"/>
      <c r="AP328" s="71"/>
      <c r="AQ328" s="71"/>
      <c r="AR328" s="71"/>
      <c r="AS328" s="71"/>
      <c r="AT328" s="71"/>
      <c r="AU328" s="71"/>
      <c r="AV328" s="71"/>
      <c r="AW328" s="71"/>
      <c r="AX328" s="71"/>
      <c r="AY328" s="71"/>
      <c r="AZ328" s="71"/>
      <c r="BA328" s="71"/>
      <c r="BB328" s="71"/>
      <c r="BC328" s="71"/>
      <c r="BD328" s="71"/>
      <c r="BE328" s="71"/>
      <c r="BF328" s="71"/>
      <c r="BG328" s="71"/>
      <c r="BH328" s="71"/>
      <c r="BI328" s="71"/>
      <c r="BJ328" s="71"/>
      <c r="BK328" s="71"/>
      <c r="BL328" s="71"/>
      <c r="BM328" s="71"/>
    </row>
    <row r="329">
      <c r="A329" s="72"/>
      <c r="B329" s="72"/>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row>
    <row r="330">
      <c r="A330" s="72"/>
      <c r="B330" s="72"/>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row>
    <row r="331">
      <c r="A331" s="72"/>
      <c r="B331" s="72"/>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row>
    <row r="332">
      <c r="A332" s="72"/>
      <c r="B332" s="72"/>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c r="AA332" s="71"/>
      <c r="AB332" s="71"/>
      <c r="AC332" s="71"/>
      <c r="AD332" s="71"/>
      <c r="AE332" s="71"/>
      <c r="AF332" s="71"/>
      <c r="AG332" s="71"/>
      <c r="AH332" s="71"/>
      <c r="AI332" s="71"/>
      <c r="AJ332" s="71"/>
      <c r="AK332" s="71"/>
      <c r="AL332" s="71"/>
      <c r="AM332" s="71"/>
      <c r="AN332" s="71"/>
      <c r="AO332" s="71"/>
      <c r="AP332" s="71"/>
      <c r="AQ332" s="71"/>
      <c r="AR332" s="71"/>
      <c r="AS332" s="71"/>
      <c r="AT332" s="71"/>
      <c r="AU332" s="71"/>
      <c r="AV332" s="71"/>
      <c r="AW332" s="71"/>
      <c r="AX332" s="71"/>
      <c r="AY332" s="71"/>
      <c r="AZ332" s="71"/>
      <c r="BA332" s="71"/>
      <c r="BB332" s="71"/>
      <c r="BC332" s="71"/>
      <c r="BD332" s="71"/>
      <c r="BE332" s="71"/>
      <c r="BF332" s="71"/>
      <c r="BG332" s="71"/>
      <c r="BH332" s="71"/>
      <c r="BI332" s="71"/>
      <c r="BJ332" s="71"/>
      <c r="BK332" s="71"/>
      <c r="BL332" s="71"/>
      <c r="BM332" s="71"/>
    </row>
    <row r="333">
      <c r="A333" s="72"/>
      <c r="B333" s="72"/>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c r="AA333" s="71"/>
      <c r="AB333" s="71"/>
      <c r="AC333" s="71"/>
      <c r="AD333" s="71"/>
      <c r="AE333" s="71"/>
      <c r="AF333" s="71"/>
      <c r="AG333" s="71"/>
      <c r="AH333" s="71"/>
      <c r="AI333" s="71"/>
      <c r="AJ333" s="71"/>
      <c r="AK333" s="71"/>
      <c r="AL333" s="71"/>
      <c r="AM333" s="71"/>
      <c r="AN333" s="71"/>
      <c r="AO333" s="71"/>
      <c r="AP333" s="71"/>
      <c r="AQ333" s="71"/>
      <c r="AR333" s="71"/>
      <c r="AS333" s="71"/>
      <c r="AT333" s="71"/>
      <c r="AU333" s="71"/>
      <c r="AV333" s="71"/>
      <c r="AW333" s="71"/>
      <c r="AX333" s="71"/>
      <c r="AY333" s="71"/>
      <c r="AZ333" s="71"/>
      <c r="BA333" s="71"/>
      <c r="BB333" s="71"/>
      <c r="BC333" s="71"/>
      <c r="BD333" s="71"/>
      <c r="BE333" s="71"/>
      <c r="BF333" s="71"/>
      <c r="BG333" s="71"/>
      <c r="BH333" s="71"/>
      <c r="BI333" s="71"/>
      <c r="BJ333" s="71"/>
      <c r="BK333" s="71"/>
      <c r="BL333" s="71"/>
      <c r="BM333" s="71"/>
    </row>
    <row r="334">
      <c r="A334" s="72"/>
      <c r="B334" s="72"/>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c r="AA334" s="71"/>
      <c r="AB334" s="71"/>
      <c r="AC334" s="71"/>
      <c r="AD334" s="71"/>
      <c r="AE334" s="71"/>
      <c r="AF334" s="71"/>
      <c r="AG334" s="71"/>
      <c r="AH334" s="71"/>
      <c r="AI334" s="71"/>
      <c r="AJ334" s="71"/>
      <c r="AK334" s="71"/>
      <c r="AL334" s="71"/>
      <c r="AM334" s="71"/>
      <c r="AN334" s="71"/>
      <c r="AO334" s="71"/>
      <c r="AP334" s="71"/>
      <c r="AQ334" s="71"/>
      <c r="AR334" s="71"/>
      <c r="AS334" s="71"/>
      <c r="AT334" s="71"/>
      <c r="AU334" s="71"/>
      <c r="AV334" s="71"/>
      <c r="AW334" s="71"/>
      <c r="AX334" s="71"/>
      <c r="AY334" s="71"/>
      <c r="AZ334" s="71"/>
      <c r="BA334" s="71"/>
      <c r="BB334" s="71"/>
      <c r="BC334" s="71"/>
      <c r="BD334" s="71"/>
      <c r="BE334" s="71"/>
      <c r="BF334" s="71"/>
      <c r="BG334" s="71"/>
      <c r="BH334" s="71"/>
      <c r="BI334" s="71"/>
      <c r="BJ334" s="71"/>
      <c r="BK334" s="71"/>
      <c r="BL334" s="71"/>
      <c r="BM334" s="71"/>
    </row>
    <row r="335">
      <c r="A335" s="72"/>
      <c r="B335" s="72"/>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c r="AC335" s="71"/>
      <c r="AD335" s="71"/>
      <c r="AE335" s="71"/>
      <c r="AF335" s="71"/>
      <c r="AG335" s="71"/>
      <c r="AH335" s="71"/>
      <c r="AI335" s="71"/>
      <c r="AJ335" s="71"/>
      <c r="AK335" s="71"/>
      <c r="AL335" s="71"/>
      <c r="AM335" s="71"/>
      <c r="AN335" s="71"/>
      <c r="AO335" s="71"/>
      <c r="AP335" s="71"/>
      <c r="AQ335" s="71"/>
      <c r="AR335" s="71"/>
      <c r="AS335" s="71"/>
      <c r="AT335" s="71"/>
      <c r="AU335" s="71"/>
      <c r="AV335" s="71"/>
      <c r="AW335" s="71"/>
      <c r="AX335" s="71"/>
      <c r="AY335" s="71"/>
      <c r="AZ335" s="71"/>
      <c r="BA335" s="71"/>
      <c r="BB335" s="71"/>
      <c r="BC335" s="71"/>
      <c r="BD335" s="71"/>
      <c r="BE335" s="71"/>
      <c r="BF335" s="71"/>
      <c r="BG335" s="71"/>
      <c r="BH335" s="71"/>
      <c r="BI335" s="71"/>
      <c r="BJ335" s="71"/>
      <c r="BK335" s="71"/>
      <c r="BL335" s="71"/>
      <c r="BM335" s="71"/>
    </row>
    <row r="336">
      <c r="A336" s="72"/>
      <c r="B336" s="72"/>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c r="AA336" s="71"/>
      <c r="AB336" s="71"/>
      <c r="AC336" s="71"/>
      <c r="AD336" s="71"/>
      <c r="AE336" s="71"/>
      <c r="AF336" s="71"/>
      <c r="AG336" s="71"/>
      <c r="AH336" s="71"/>
      <c r="AI336" s="71"/>
      <c r="AJ336" s="71"/>
      <c r="AK336" s="71"/>
      <c r="AL336" s="71"/>
      <c r="AM336" s="71"/>
      <c r="AN336" s="71"/>
      <c r="AO336" s="71"/>
      <c r="AP336" s="71"/>
      <c r="AQ336" s="71"/>
      <c r="AR336" s="71"/>
      <c r="AS336" s="71"/>
      <c r="AT336" s="71"/>
      <c r="AU336" s="71"/>
      <c r="AV336" s="71"/>
      <c r="AW336" s="71"/>
      <c r="AX336" s="71"/>
      <c r="AY336" s="71"/>
      <c r="AZ336" s="71"/>
      <c r="BA336" s="71"/>
      <c r="BB336" s="71"/>
      <c r="BC336" s="71"/>
      <c r="BD336" s="71"/>
      <c r="BE336" s="71"/>
      <c r="BF336" s="71"/>
      <c r="BG336" s="71"/>
      <c r="BH336" s="71"/>
      <c r="BI336" s="71"/>
      <c r="BJ336" s="71"/>
      <c r="BK336" s="71"/>
      <c r="BL336" s="71"/>
      <c r="BM336" s="71"/>
    </row>
    <row r="337">
      <c r="A337" s="72"/>
      <c r="B337" s="72"/>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c r="AA337" s="71"/>
      <c r="AB337" s="71"/>
      <c r="AC337" s="71"/>
      <c r="AD337" s="71"/>
      <c r="AE337" s="71"/>
      <c r="AF337" s="71"/>
      <c r="AG337" s="71"/>
      <c r="AH337" s="71"/>
      <c r="AI337" s="71"/>
      <c r="AJ337" s="71"/>
      <c r="AK337" s="71"/>
      <c r="AL337" s="71"/>
      <c r="AM337" s="71"/>
      <c r="AN337" s="71"/>
      <c r="AO337" s="71"/>
      <c r="AP337" s="71"/>
      <c r="AQ337" s="71"/>
      <c r="AR337" s="71"/>
      <c r="AS337" s="71"/>
      <c r="AT337" s="71"/>
      <c r="AU337" s="71"/>
      <c r="AV337" s="71"/>
      <c r="AW337" s="71"/>
      <c r="AX337" s="71"/>
      <c r="AY337" s="71"/>
      <c r="AZ337" s="71"/>
      <c r="BA337" s="71"/>
      <c r="BB337" s="71"/>
      <c r="BC337" s="71"/>
      <c r="BD337" s="71"/>
      <c r="BE337" s="71"/>
      <c r="BF337" s="71"/>
      <c r="BG337" s="71"/>
      <c r="BH337" s="71"/>
      <c r="BI337" s="71"/>
      <c r="BJ337" s="71"/>
      <c r="BK337" s="71"/>
      <c r="BL337" s="71"/>
      <c r="BM337" s="71"/>
    </row>
    <row r="338">
      <c r="A338" s="72"/>
      <c r="B338" s="72"/>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row>
    <row r="339">
      <c r="A339" s="72"/>
      <c r="B339" s="72"/>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c r="AA339" s="71"/>
      <c r="AB339" s="71"/>
      <c r="AC339" s="71"/>
      <c r="AD339" s="71"/>
      <c r="AE339" s="71"/>
      <c r="AF339" s="71"/>
      <c r="AG339" s="71"/>
      <c r="AH339" s="71"/>
      <c r="AI339" s="71"/>
      <c r="AJ339" s="71"/>
      <c r="AK339" s="71"/>
      <c r="AL339" s="71"/>
      <c r="AM339" s="71"/>
      <c r="AN339" s="71"/>
      <c r="AO339" s="71"/>
      <c r="AP339" s="71"/>
      <c r="AQ339" s="71"/>
      <c r="AR339" s="71"/>
      <c r="AS339" s="71"/>
      <c r="AT339" s="71"/>
      <c r="AU339" s="71"/>
      <c r="AV339" s="71"/>
      <c r="AW339" s="71"/>
      <c r="AX339" s="71"/>
      <c r="AY339" s="71"/>
      <c r="AZ339" s="71"/>
      <c r="BA339" s="71"/>
      <c r="BB339" s="71"/>
      <c r="BC339" s="71"/>
      <c r="BD339" s="71"/>
      <c r="BE339" s="71"/>
      <c r="BF339" s="71"/>
      <c r="BG339" s="71"/>
      <c r="BH339" s="71"/>
      <c r="BI339" s="71"/>
      <c r="BJ339" s="71"/>
      <c r="BK339" s="71"/>
      <c r="BL339" s="71"/>
      <c r="BM339" s="71"/>
    </row>
    <row r="340">
      <c r="A340" s="72"/>
      <c r="B340" s="72"/>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71"/>
      <c r="AH340" s="71"/>
      <c r="AI340" s="71"/>
      <c r="AJ340" s="71"/>
      <c r="AK340" s="71"/>
      <c r="AL340" s="71"/>
      <c r="AM340" s="71"/>
      <c r="AN340" s="71"/>
      <c r="AO340" s="71"/>
      <c r="AP340" s="71"/>
      <c r="AQ340" s="71"/>
      <c r="AR340" s="71"/>
      <c r="AS340" s="71"/>
      <c r="AT340" s="71"/>
      <c r="AU340" s="71"/>
      <c r="AV340" s="71"/>
      <c r="AW340" s="71"/>
      <c r="AX340" s="71"/>
      <c r="AY340" s="71"/>
      <c r="AZ340" s="71"/>
      <c r="BA340" s="71"/>
      <c r="BB340" s="71"/>
      <c r="BC340" s="71"/>
      <c r="BD340" s="71"/>
      <c r="BE340" s="71"/>
      <c r="BF340" s="71"/>
      <c r="BG340" s="71"/>
      <c r="BH340" s="71"/>
      <c r="BI340" s="71"/>
      <c r="BJ340" s="71"/>
      <c r="BK340" s="71"/>
      <c r="BL340" s="71"/>
      <c r="BM340" s="71"/>
    </row>
    <row r="341">
      <c r="A341" s="72"/>
      <c r="B341" s="72"/>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71"/>
      <c r="AG341" s="71"/>
      <c r="AH341" s="71"/>
      <c r="AI341" s="71"/>
      <c r="AJ341" s="71"/>
      <c r="AK341" s="71"/>
      <c r="AL341" s="71"/>
      <c r="AM341" s="71"/>
      <c r="AN341" s="71"/>
      <c r="AO341" s="71"/>
      <c r="AP341" s="71"/>
      <c r="AQ341" s="71"/>
      <c r="AR341" s="71"/>
      <c r="AS341" s="71"/>
      <c r="AT341" s="71"/>
      <c r="AU341" s="71"/>
      <c r="AV341" s="71"/>
      <c r="AW341" s="71"/>
      <c r="AX341" s="71"/>
      <c r="AY341" s="71"/>
      <c r="AZ341" s="71"/>
      <c r="BA341" s="71"/>
      <c r="BB341" s="71"/>
      <c r="BC341" s="71"/>
      <c r="BD341" s="71"/>
      <c r="BE341" s="71"/>
      <c r="BF341" s="71"/>
      <c r="BG341" s="71"/>
      <c r="BH341" s="71"/>
      <c r="BI341" s="71"/>
      <c r="BJ341" s="71"/>
      <c r="BK341" s="71"/>
      <c r="BL341" s="71"/>
      <c r="BM341" s="71"/>
    </row>
    <row r="342">
      <c r="A342" s="72"/>
      <c r="B342" s="72"/>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c r="AA342" s="71"/>
      <c r="AB342" s="71"/>
      <c r="AC342" s="71"/>
      <c r="AD342" s="71"/>
      <c r="AE342" s="71"/>
      <c r="AF342" s="71"/>
      <c r="AG342" s="71"/>
      <c r="AH342" s="71"/>
      <c r="AI342" s="71"/>
      <c r="AJ342" s="71"/>
      <c r="AK342" s="71"/>
      <c r="AL342" s="71"/>
      <c r="AM342" s="71"/>
      <c r="AN342" s="71"/>
      <c r="AO342" s="71"/>
      <c r="AP342" s="71"/>
      <c r="AQ342" s="71"/>
      <c r="AR342" s="71"/>
      <c r="AS342" s="71"/>
      <c r="AT342" s="71"/>
      <c r="AU342" s="71"/>
      <c r="AV342" s="71"/>
      <c r="AW342" s="71"/>
      <c r="AX342" s="71"/>
      <c r="AY342" s="71"/>
      <c r="AZ342" s="71"/>
      <c r="BA342" s="71"/>
      <c r="BB342" s="71"/>
      <c r="BC342" s="71"/>
      <c r="BD342" s="71"/>
      <c r="BE342" s="71"/>
      <c r="BF342" s="71"/>
      <c r="BG342" s="71"/>
      <c r="BH342" s="71"/>
      <c r="BI342" s="71"/>
      <c r="BJ342" s="71"/>
      <c r="BK342" s="71"/>
      <c r="BL342" s="71"/>
      <c r="BM342" s="71"/>
    </row>
    <row r="343">
      <c r="A343" s="72"/>
      <c r="B343" s="72"/>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c r="AA343" s="71"/>
      <c r="AB343" s="71"/>
      <c r="AC343" s="71"/>
      <c r="AD343" s="71"/>
      <c r="AE343" s="71"/>
      <c r="AF343" s="71"/>
      <c r="AG343" s="71"/>
      <c r="AH343" s="71"/>
      <c r="AI343" s="71"/>
      <c r="AJ343" s="71"/>
      <c r="AK343" s="71"/>
      <c r="AL343" s="71"/>
      <c r="AM343" s="71"/>
      <c r="AN343" s="71"/>
      <c r="AO343" s="71"/>
      <c r="AP343" s="71"/>
      <c r="AQ343" s="71"/>
      <c r="AR343" s="71"/>
      <c r="AS343" s="71"/>
      <c r="AT343" s="71"/>
      <c r="AU343" s="71"/>
      <c r="AV343" s="71"/>
      <c r="AW343" s="71"/>
      <c r="AX343" s="71"/>
      <c r="AY343" s="71"/>
      <c r="AZ343" s="71"/>
      <c r="BA343" s="71"/>
      <c r="BB343" s="71"/>
      <c r="BC343" s="71"/>
      <c r="BD343" s="71"/>
      <c r="BE343" s="71"/>
      <c r="BF343" s="71"/>
      <c r="BG343" s="71"/>
      <c r="BH343" s="71"/>
      <c r="BI343" s="71"/>
      <c r="BJ343" s="71"/>
      <c r="BK343" s="71"/>
      <c r="BL343" s="71"/>
      <c r="BM343" s="71"/>
    </row>
    <row r="344">
      <c r="A344" s="72"/>
      <c r="B344" s="72"/>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c r="AA344" s="71"/>
      <c r="AB344" s="71"/>
      <c r="AC344" s="71"/>
      <c r="AD344" s="71"/>
      <c r="AE344" s="71"/>
      <c r="AF344" s="71"/>
      <c r="AG344" s="71"/>
      <c r="AH344" s="71"/>
      <c r="AI344" s="71"/>
      <c r="AJ344" s="71"/>
      <c r="AK344" s="71"/>
      <c r="AL344" s="71"/>
      <c r="AM344" s="71"/>
      <c r="AN344" s="71"/>
      <c r="AO344" s="71"/>
      <c r="AP344" s="71"/>
      <c r="AQ344" s="71"/>
      <c r="AR344" s="71"/>
      <c r="AS344" s="71"/>
      <c r="AT344" s="71"/>
      <c r="AU344" s="71"/>
      <c r="AV344" s="71"/>
      <c r="AW344" s="71"/>
      <c r="AX344" s="71"/>
      <c r="AY344" s="71"/>
      <c r="AZ344" s="71"/>
      <c r="BA344" s="71"/>
      <c r="BB344" s="71"/>
      <c r="BC344" s="71"/>
      <c r="BD344" s="71"/>
      <c r="BE344" s="71"/>
      <c r="BF344" s="71"/>
      <c r="BG344" s="71"/>
      <c r="BH344" s="71"/>
      <c r="BI344" s="71"/>
      <c r="BJ344" s="71"/>
      <c r="BK344" s="71"/>
      <c r="BL344" s="71"/>
      <c r="BM344" s="71"/>
    </row>
    <row r="345">
      <c r="A345" s="72"/>
      <c r="B345" s="72"/>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c r="AA345" s="71"/>
      <c r="AB345" s="71"/>
      <c r="AC345" s="71"/>
      <c r="AD345" s="71"/>
      <c r="AE345" s="71"/>
      <c r="AF345" s="71"/>
      <c r="AG345" s="71"/>
      <c r="AH345" s="71"/>
      <c r="AI345" s="71"/>
      <c r="AJ345" s="71"/>
      <c r="AK345" s="71"/>
      <c r="AL345" s="71"/>
      <c r="AM345" s="71"/>
      <c r="AN345" s="71"/>
      <c r="AO345" s="71"/>
      <c r="AP345" s="71"/>
      <c r="AQ345" s="71"/>
      <c r="AR345" s="71"/>
      <c r="AS345" s="71"/>
      <c r="AT345" s="71"/>
      <c r="AU345" s="71"/>
      <c r="AV345" s="71"/>
      <c r="AW345" s="71"/>
      <c r="AX345" s="71"/>
      <c r="AY345" s="71"/>
      <c r="AZ345" s="71"/>
      <c r="BA345" s="71"/>
      <c r="BB345" s="71"/>
      <c r="BC345" s="71"/>
      <c r="BD345" s="71"/>
      <c r="BE345" s="71"/>
      <c r="BF345" s="71"/>
      <c r="BG345" s="71"/>
      <c r="BH345" s="71"/>
      <c r="BI345" s="71"/>
      <c r="BJ345" s="71"/>
      <c r="BK345" s="71"/>
      <c r="BL345" s="71"/>
      <c r="BM345" s="71"/>
    </row>
    <row r="346">
      <c r="A346" s="72"/>
      <c r="B346" s="72"/>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c r="AA346" s="71"/>
      <c r="AB346" s="71"/>
      <c r="AC346" s="71"/>
      <c r="AD346" s="71"/>
      <c r="AE346" s="71"/>
      <c r="AF346" s="71"/>
      <c r="AG346" s="71"/>
      <c r="AH346" s="71"/>
      <c r="AI346" s="71"/>
      <c r="AJ346" s="71"/>
      <c r="AK346" s="71"/>
      <c r="AL346" s="71"/>
      <c r="AM346" s="71"/>
      <c r="AN346" s="71"/>
      <c r="AO346" s="71"/>
      <c r="AP346" s="71"/>
      <c r="AQ346" s="71"/>
      <c r="AR346" s="71"/>
      <c r="AS346" s="71"/>
      <c r="AT346" s="71"/>
      <c r="AU346" s="71"/>
      <c r="AV346" s="71"/>
      <c r="AW346" s="71"/>
      <c r="AX346" s="71"/>
      <c r="AY346" s="71"/>
      <c r="AZ346" s="71"/>
      <c r="BA346" s="71"/>
      <c r="BB346" s="71"/>
      <c r="BC346" s="71"/>
      <c r="BD346" s="71"/>
      <c r="BE346" s="71"/>
      <c r="BF346" s="71"/>
      <c r="BG346" s="71"/>
      <c r="BH346" s="71"/>
      <c r="BI346" s="71"/>
      <c r="BJ346" s="71"/>
      <c r="BK346" s="71"/>
      <c r="BL346" s="71"/>
      <c r="BM346" s="71"/>
    </row>
    <row r="347">
      <c r="A347" s="72"/>
      <c r="B347" s="72"/>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c r="AA347" s="71"/>
      <c r="AB347" s="71"/>
      <c r="AC347" s="71"/>
      <c r="AD347" s="71"/>
      <c r="AE347" s="71"/>
      <c r="AF347" s="71"/>
      <c r="AG347" s="71"/>
      <c r="AH347" s="71"/>
      <c r="AI347" s="71"/>
      <c r="AJ347" s="71"/>
      <c r="AK347" s="71"/>
      <c r="AL347" s="71"/>
      <c r="AM347" s="71"/>
      <c r="AN347" s="71"/>
      <c r="AO347" s="71"/>
      <c r="AP347" s="71"/>
      <c r="AQ347" s="71"/>
      <c r="AR347" s="71"/>
      <c r="AS347" s="71"/>
      <c r="AT347" s="71"/>
      <c r="AU347" s="71"/>
      <c r="AV347" s="71"/>
      <c r="AW347" s="71"/>
      <c r="AX347" s="71"/>
      <c r="AY347" s="71"/>
      <c r="AZ347" s="71"/>
      <c r="BA347" s="71"/>
      <c r="BB347" s="71"/>
      <c r="BC347" s="71"/>
      <c r="BD347" s="71"/>
      <c r="BE347" s="71"/>
      <c r="BF347" s="71"/>
      <c r="BG347" s="71"/>
      <c r="BH347" s="71"/>
      <c r="BI347" s="71"/>
      <c r="BJ347" s="71"/>
      <c r="BK347" s="71"/>
      <c r="BL347" s="71"/>
      <c r="BM347" s="71"/>
    </row>
    <row r="348">
      <c r="A348" s="72"/>
      <c r="B348" s="72"/>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row>
    <row r="349">
      <c r="A349" s="72"/>
      <c r="B349" s="72"/>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row>
    <row r="350">
      <c r="A350" s="72"/>
      <c r="B350" s="72"/>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c r="AA350" s="71"/>
      <c r="AB350" s="71"/>
      <c r="AC350" s="71"/>
      <c r="AD350" s="71"/>
      <c r="AE350" s="71"/>
      <c r="AF350" s="71"/>
      <c r="AG350" s="71"/>
      <c r="AH350" s="71"/>
      <c r="AI350" s="71"/>
      <c r="AJ350" s="71"/>
      <c r="AK350" s="71"/>
      <c r="AL350" s="71"/>
      <c r="AM350" s="71"/>
      <c r="AN350" s="71"/>
      <c r="AO350" s="71"/>
      <c r="AP350" s="71"/>
      <c r="AQ350" s="71"/>
      <c r="AR350" s="71"/>
      <c r="AS350" s="71"/>
      <c r="AT350" s="71"/>
      <c r="AU350" s="71"/>
      <c r="AV350" s="71"/>
      <c r="AW350" s="71"/>
      <c r="AX350" s="71"/>
      <c r="AY350" s="71"/>
      <c r="AZ350" s="71"/>
      <c r="BA350" s="71"/>
      <c r="BB350" s="71"/>
      <c r="BC350" s="71"/>
      <c r="BD350" s="71"/>
      <c r="BE350" s="71"/>
      <c r="BF350" s="71"/>
      <c r="BG350" s="71"/>
      <c r="BH350" s="71"/>
      <c r="BI350" s="71"/>
      <c r="BJ350" s="71"/>
      <c r="BK350" s="71"/>
      <c r="BL350" s="71"/>
      <c r="BM350" s="71"/>
    </row>
    <row r="351">
      <c r="A351" s="72"/>
      <c r="B351" s="72"/>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c r="AA351" s="71"/>
      <c r="AB351" s="71"/>
      <c r="AC351" s="71"/>
      <c r="AD351" s="71"/>
      <c r="AE351" s="71"/>
      <c r="AF351" s="71"/>
      <c r="AG351" s="71"/>
      <c r="AH351" s="71"/>
      <c r="AI351" s="71"/>
      <c r="AJ351" s="71"/>
      <c r="AK351" s="71"/>
      <c r="AL351" s="71"/>
      <c r="AM351" s="71"/>
      <c r="AN351" s="71"/>
      <c r="AO351" s="71"/>
      <c r="AP351" s="71"/>
      <c r="AQ351" s="71"/>
      <c r="AR351" s="71"/>
      <c r="AS351" s="71"/>
      <c r="AT351" s="71"/>
      <c r="AU351" s="71"/>
      <c r="AV351" s="71"/>
      <c r="AW351" s="71"/>
      <c r="AX351" s="71"/>
      <c r="AY351" s="71"/>
      <c r="AZ351" s="71"/>
      <c r="BA351" s="71"/>
      <c r="BB351" s="71"/>
      <c r="BC351" s="71"/>
      <c r="BD351" s="71"/>
      <c r="BE351" s="71"/>
      <c r="BF351" s="71"/>
      <c r="BG351" s="71"/>
      <c r="BH351" s="71"/>
      <c r="BI351" s="71"/>
      <c r="BJ351" s="71"/>
      <c r="BK351" s="71"/>
      <c r="BL351" s="71"/>
      <c r="BM351" s="71"/>
    </row>
    <row r="352">
      <c r="A352" s="72"/>
      <c r="B352" s="72"/>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c r="AA352" s="71"/>
      <c r="AB352" s="71"/>
      <c r="AC352" s="71"/>
      <c r="AD352" s="71"/>
      <c r="AE352" s="71"/>
      <c r="AF352" s="71"/>
      <c r="AG352" s="71"/>
      <c r="AH352" s="71"/>
      <c r="AI352" s="71"/>
      <c r="AJ352" s="71"/>
      <c r="AK352" s="71"/>
      <c r="AL352" s="71"/>
      <c r="AM352" s="71"/>
      <c r="AN352" s="71"/>
      <c r="AO352" s="71"/>
      <c r="AP352" s="71"/>
      <c r="AQ352" s="71"/>
      <c r="AR352" s="71"/>
      <c r="AS352" s="71"/>
      <c r="AT352" s="71"/>
      <c r="AU352" s="71"/>
      <c r="AV352" s="71"/>
      <c r="AW352" s="71"/>
      <c r="AX352" s="71"/>
      <c r="AY352" s="71"/>
      <c r="AZ352" s="71"/>
      <c r="BA352" s="71"/>
      <c r="BB352" s="71"/>
      <c r="BC352" s="71"/>
      <c r="BD352" s="71"/>
      <c r="BE352" s="71"/>
      <c r="BF352" s="71"/>
      <c r="BG352" s="71"/>
      <c r="BH352" s="71"/>
      <c r="BI352" s="71"/>
      <c r="BJ352" s="71"/>
      <c r="BK352" s="71"/>
      <c r="BL352" s="71"/>
      <c r="BM352" s="71"/>
    </row>
    <row r="353">
      <c r="A353" s="72"/>
      <c r="B353" s="72"/>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c r="AA353" s="71"/>
      <c r="AB353" s="71"/>
      <c r="AC353" s="71"/>
      <c r="AD353" s="71"/>
      <c r="AE353" s="71"/>
      <c r="AF353" s="71"/>
      <c r="AG353" s="71"/>
      <c r="AH353" s="71"/>
      <c r="AI353" s="71"/>
      <c r="AJ353" s="71"/>
      <c r="AK353" s="71"/>
      <c r="AL353" s="71"/>
      <c r="AM353" s="71"/>
      <c r="AN353" s="71"/>
      <c r="AO353" s="71"/>
      <c r="AP353" s="71"/>
      <c r="AQ353" s="71"/>
      <c r="AR353" s="71"/>
      <c r="AS353" s="71"/>
      <c r="AT353" s="71"/>
      <c r="AU353" s="71"/>
      <c r="AV353" s="71"/>
      <c r="AW353" s="71"/>
      <c r="AX353" s="71"/>
      <c r="AY353" s="71"/>
      <c r="AZ353" s="71"/>
      <c r="BA353" s="71"/>
      <c r="BB353" s="71"/>
      <c r="BC353" s="71"/>
      <c r="BD353" s="71"/>
      <c r="BE353" s="71"/>
      <c r="BF353" s="71"/>
      <c r="BG353" s="71"/>
      <c r="BH353" s="71"/>
      <c r="BI353" s="71"/>
      <c r="BJ353" s="71"/>
      <c r="BK353" s="71"/>
      <c r="BL353" s="71"/>
      <c r="BM353" s="71"/>
    </row>
    <row r="354">
      <c r="A354" s="72"/>
      <c r="B354" s="72"/>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c r="AA354" s="71"/>
      <c r="AB354" s="71"/>
      <c r="AC354" s="71"/>
      <c r="AD354" s="71"/>
      <c r="AE354" s="71"/>
      <c r="AF354" s="71"/>
      <c r="AG354" s="71"/>
      <c r="AH354" s="71"/>
      <c r="AI354" s="71"/>
      <c r="AJ354" s="71"/>
      <c r="AK354" s="71"/>
      <c r="AL354" s="71"/>
      <c r="AM354" s="71"/>
      <c r="AN354" s="71"/>
      <c r="AO354" s="71"/>
      <c r="AP354" s="71"/>
      <c r="AQ354" s="71"/>
      <c r="AR354" s="71"/>
      <c r="AS354" s="71"/>
      <c r="AT354" s="71"/>
      <c r="AU354" s="71"/>
      <c r="AV354" s="71"/>
      <c r="AW354" s="71"/>
      <c r="AX354" s="71"/>
      <c r="AY354" s="71"/>
      <c r="AZ354" s="71"/>
      <c r="BA354" s="71"/>
      <c r="BB354" s="71"/>
      <c r="BC354" s="71"/>
      <c r="BD354" s="71"/>
      <c r="BE354" s="71"/>
      <c r="BF354" s="71"/>
      <c r="BG354" s="71"/>
      <c r="BH354" s="71"/>
      <c r="BI354" s="71"/>
      <c r="BJ354" s="71"/>
      <c r="BK354" s="71"/>
      <c r="BL354" s="71"/>
      <c r="BM354" s="71"/>
    </row>
    <row r="355">
      <c r="A355" s="72"/>
      <c r="B355" s="72"/>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71"/>
      <c r="AG355" s="71"/>
      <c r="AH355" s="71"/>
      <c r="AI355" s="71"/>
      <c r="AJ355" s="71"/>
      <c r="AK355" s="71"/>
      <c r="AL355" s="71"/>
      <c r="AM355" s="71"/>
      <c r="AN355" s="71"/>
      <c r="AO355" s="71"/>
      <c r="AP355" s="71"/>
      <c r="AQ355" s="71"/>
      <c r="AR355" s="71"/>
      <c r="AS355" s="71"/>
      <c r="AT355" s="71"/>
      <c r="AU355" s="71"/>
      <c r="AV355" s="71"/>
      <c r="AW355" s="71"/>
      <c r="AX355" s="71"/>
      <c r="AY355" s="71"/>
      <c r="AZ355" s="71"/>
      <c r="BA355" s="71"/>
      <c r="BB355" s="71"/>
      <c r="BC355" s="71"/>
      <c r="BD355" s="71"/>
      <c r="BE355" s="71"/>
      <c r="BF355" s="71"/>
      <c r="BG355" s="71"/>
      <c r="BH355" s="71"/>
      <c r="BI355" s="71"/>
      <c r="BJ355" s="71"/>
      <c r="BK355" s="71"/>
      <c r="BL355" s="71"/>
      <c r="BM355" s="71"/>
    </row>
    <row r="356">
      <c r="A356" s="72"/>
      <c r="B356" s="72"/>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c r="AA356" s="71"/>
      <c r="AB356" s="71"/>
      <c r="AC356" s="71"/>
      <c r="AD356" s="71"/>
      <c r="AE356" s="71"/>
      <c r="AF356" s="71"/>
      <c r="AG356" s="71"/>
      <c r="AH356" s="71"/>
      <c r="AI356" s="71"/>
      <c r="AJ356" s="71"/>
      <c r="AK356" s="71"/>
      <c r="AL356" s="71"/>
      <c r="AM356" s="71"/>
      <c r="AN356" s="71"/>
      <c r="AO356" s="71"/>
      <c r="AP356" s="71"/>
      <c r="AQ356" s="71"/>
      <c r="AR356" s="71"/>
      <c r="AS356" s="71"/>
      <c r="AT356" s="71"/>
      <c r="AU356" s="71"/>
      <c r="AV356" s="71"/>
      <c r="AW356" s="71"/>
      <c r="AX356" s="71"/>
      <c r="AY356" s="71"/>
      <c r="AZ356" s="71"/>
      <c r="BA356" s="71"/>
      <c r="BB356" s="71"/>
      <c r="BC356" s="71"/>
      <c r="BD356" s="71"/>
      <c r="BE356" s="71"/>
      <c r="BF356" s="71"/>
      <c r="BG356" s="71"/>
      <c r="BH356" s="71"/>
      <c r="BI356" s="71"/>
      <c r="BJ356" s="71"/>
      <c r="BK356" s="71"/>
      <c r="BL356" s="71"/>
      <c r="BM356" s="71"/>
    </row>
    <row r="357">
      <c r="A357" s="72"/>
      <c r="B357" s="72"/>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c r="AA357" s="71"/>
      <c r="AB357" s="71"/>
      <c r="AC357" s="71"/>
      <c r="AD357" s="71"/>
      <c r="AE357" s="71"/>
      <c r="AF357" s="71"/>
      <c r="AG357" s="71"/>
      <c r="AH357" s="71"/>
      <c r="AI357" s="71"/>
      <c r="AJ357" s="71"/>
      <c r="AK357" s="71"/>
      <c r="AL357" s="71"/>
      <c r="AM357" s="71"/>
      <c r="AN357" s="71"/>
      <c r="AO357" s="71"/>
      <c r="AP357" s="71"/>
      <c r="AQ357" s="71"/>
      <c r="AR357" s="71"/>
      <c r="AS357" s="71"/>
      <c r="AT357" s="71"/>
      <c r="AU357" s="71"/>
      <c r="AV357" s="71"/>
      <c r="AW357" s="71"/>
      <c r="AX357" s="71"/>
      <c r="AY357" s="71"/>
      <c r="AZ357" s="71"/>
      <c r="BA357" s="71"/>
      <c r="BB357" s="71"/>
      <c r="BC357" s="71"/>
      <c r="BD357" s="71"/>
      <c r="BE357" s="71"/>
      <c r="BF357" s="71"/>
      <c r="BG357" s="71"/>
      <c r="BH357" s="71"/>
      <c r="BI357" s="71"/>
      <c r="BJ357" s="71"/>
      <c r="BK357" s="71"/>
      <c r="BL357" s="71"/>
      <c r="BM357" s="71"/>
    </row>
    <row r="358">
      <c r="A358" s="72"/>
      <c r="B358" s="72"/>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c r="AA358" s="71"/>
      <c r="AB358" s="71"/>
      <c r="AC358" s="71"/>
      <c r="AD358" s="71"/>
      <c r="AE358" s="71"/>
      <c r="AF358" s="71"/>
      <c r="AG358" s="71"/>
      <c r="AH358" s="71"/>
      <c r="AI358" s="71"/>
      <c r="AJ358" s="71"/>
      <c r="AK358" s="71"/>
      <c r="AL358" s="71"/>
      <c r="AM358" s="71"/>
      <c r="AN358" s="71"/>
      <c r="AO358" s="71"/>
      <c r="AP358" s="71"/>
      <c r="AQ358" s="71"/>
      <c r="AR358" s="71"/>
      <c r="AS358" s="71"/>
      <c r="AT358" s="71"/>
      <c r="AU358" s="71"/>
      <c r="AV358" s="71"/>
      <c r="AW358" s="71"/>
      <c r="AX358" s="71"/>
      <c r="AY358" s="71"/>
      <c r="AZ358" s="71"/>
      <c r="BA358" s="71"/>
      <c r="BB358" s="71"/>
      <c r="BC358" s="71"/>
      <c r="BD358" s="71"/>
      <c r="BE358" s="71"/>
      <c r="BF358" s="71"/>
      <c r="BG358" s="71"/>
      <c r="BH358" s="71"/>
      <c r="BI358" s="71"/>
      <c r="BJ358" s="71"/>
      <c r="BK358" s="71"/>
      <c r="BL358" s="71"/>
      <c r="BM358" s="71"/>
    </row>
    <row r="359">
      <c r="A359" s="72"/>
      <c r="B359" s="72"/>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c r="AA359" s="71"/>
      <c r="AB359" s="71"/>
      <c r="AC359" s="71"/>
      <c r="AD359" s="71"/>
      <c r="AE359" s="71"/>
      <c r="AF359" s="71"/>
      <c r="AG359" s="71"/>
      <c r="AH359" s="71"/>
      <c r="AI359" s="71"/>
      <c r="AJ359" s="71"/>
      <c r="AK359" s="71"/>
      <c r="AL359" s="71"/>
      <c r="AM359" s="71"/>
      <c r="AN359" s="71"/>
      <c r="AO359" s="71"/>
      <c r="AP359" s="71"/>
      <c r="AQ359" s="71"/>
      <c r="AR359" s="71"/>
      <c r="AS359" s="71"/>
      <c r="AT359" s="71"/>
      <c r="AU359" s="71"/>
      <c r="AV359" s="71"/>
      <c r="AW359" s="71"/>
      <c r="AX359" s="71"/>
      <c r="AY359" s="71"/>
      <c r="AZ359" s="71"/>
      <c r="BA359" s="71"/>
      <c r="BB359" s="71"/>
      <c r="BC359" s="71"/>
      <c r="BD359" s="71"/>
      <c r="BE359" s="71"/>
      <c r="BF359" s="71"/>
      <c r="BG359" s="71"/>
      <c r="BH359" s="71"/>
      <c r="BI359" s="71"/>
      <c r="BJ359" s="71"/>
      <c r="BK359" s="71"/>
      <c r="BL359" s="71"/>
      <c r="BM359" s="71"/>
    </row>
    <row r="360">
      <c r="A360" s="72"/>
      <c r="B360" s="72"/>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c r="AA360" s="71"/>
      <c r="AB360" s="71"/>
      <c r="AC360" s="71"/>
      <c r="AD360" s="71"/>
      <c r="AE360" s="71"/>
      <c r="AF360" s="71"/>
      <c r="AG360" s="71"/>
      <c r="AH360" s="71"/>
      <c r="AI360" s="71"/>
      <c r="AJ360" s="71"/>
      <c r="AK360" s="71"/>
      <c r="AL360" s="71"/>
      <c r="AM360" s="71"/>
      <c r="AN360" s="71"/>
      <c r="AO360" s="71"/>
      <c r="AP360" s="71"/>
      <c r="AQ360" s="71"/>
      <c r="AR360" s="71"/>
      <c r="AS360" s="71"/>
      <c r="AT360" s="71"/>
      <c r="AU360" s="71"/>
      <c r="AV360" s="71"/>
      <c r="AW360" s="71"/>
      <c r="AX360" s="71"/>
      <c r="AY360" s="71"/>
      <c r="AZ360" s="71"/>
      <c r="BA360" s="71"/>
      <c r="BB360" s="71"/>
      <c r="BC360" s="71"/>
      <c r="BD360" s="71"/>
      <c r="BE360" s="71"/>
      <c r="BF360" s="71"/>
      <c r="BG360" s="71"/>
      <c r="BH360" s="71"/>
      <c r="BI360" s="71"/>
      <c r="BJ360" s="71"/>
      <c r="BK360" s="71"/>
      <c r="BL360" s="71"/>
      <c r="BM360" s="71"/>
    </row>
    <row r="361">
      <c r="A361" s="72"/>
      <c r="B361" s="72"/>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row>
    <row r="362">
      <c r="A362" s="72"/>
      <c r="B362" s="72"/>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c r="AA362" s="71"/>
      <c r="AB362" s="71"/>
      <c r="AC362" s="71"/>
      <c r="AD362" s="71"/>
      <c r="AE362" s="71"/>
      <c r="AF362" s="71"/>
      <c r="AG362" s="71"/>
      <c r="AH362" s="71"/>
      <c r="AI362" s="71"/>
      <c r="AJ362" s="71"/>
      <c r="AK362" s="71"/>
      <c r="AL362" s="71"/>
      <c r="AM362" s="71"/>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row>
    <row r="363">
      <c r="A363" s="72"/>
      <c r="B363" s="72"/>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row>
    <row r="364">
      <c r="A364" s="72"/>
      <c r="B364" s="72"/>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row>
    <row r="365">
      <c r="A365" s="72"/>
      <c r="B365" s="72"/>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row>
    <row r="366">
      <c r="A366" s="72"/>
      <c r="B366" s="72"/>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row>
    <row r="367">
      <c r="A367" s="72"/>
      <c r="B367" s="72"/>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row>
    <row r="368">
      <c r="A368" s="72"/>
      <c r="B368" s="72"/>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row>
    <row r="369">
      <c r="A369" s="72"/>
      <c r="B369" s="72"/>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row>
    <row r="370">
      <c r="A370" s="72"/>
      <c r="B370" s="72"/>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row>
    <row r="371">
      <c r="A371" s="72"/>
      <c r="B371" s="72"/>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row>
    <row r="372">
      <c r="A372" s="72"/>
      <c r="B372" s="72"/>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row>
    <row r="373">
      <c r="A373" s="72"/>
      <c r="B373" s="72"/>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row>
    <row r="374">
      <c r="A374" s="72"/>
      <c r="B374" s="72"/>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row>
    <row r="375">
      <c r="A375" s="72"/>
      <c r="B375" s="72"/>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row>
    <row r="376">
      <c r="A376" s="72"/>
      <c r="B376" s="72"/>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row>
    <row r="377">
      <c r="A377" s="72"/>
      <c r="B377" s="72"/>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71"/>
      <c r="AG377" s="71"/>
      <c r="AH377" s="71"/>
      <c r="AI377" s="71"/>
      <c r="AJ377" s="71"/>
      <c r="AK377" s="71"/>
      <c r="AL377" s="71"/>
      <c r="AM377" s="71"/>
      <c r="AN377" s="71"/>
      <c r="AO377" s="71"/>
      <c r="AP377" s="71"/>
      <c r="AQ377" s="71"/>
      <c r="AR377" s="71"/>
      <c r="AS377" s="71"/>
      <c r="AT377" s="71"/>
      <c r="AU377" s="71"/>
      <c r="AV377" s="71"/>
      <c r="AW377" s="71"/>
      <c r="AX377" s="71"/>
      <c r="AY377" s="71"/>
      <c r="AZ377" s="71"/>
      <c r="BA377" s="71"/>
      <c r="BB377" s="71"/>
      <c r="BC377" s="71"/>
      <c r="BD377" s="71"/>
      <c r="BE377" s="71"/>
      <c r="BF377" s="71"/>
      <c r="BG377" s="71"/>
      <c r="BH377" s="71"/>
      <c r="BI377" s="71"/>
      <c r="BJ377" s="71"/>
      <c r="BK377" s="71"/>
      <c r="BL377" s="71"/>
      <c r="BM377" s="71"/>
    </row>
    <row r="378">
      <c r="A378" s="72"/>
      <c r="B378" s="72"/>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c r="AA378" s="71"/>
      <c r="AB378" s="71"/>
      <c r="AC378" s="71"/>
      <c r="AD378" s="71"/>
      <c r="AE378" s="71"/>
      <c r="AF378" s="71"/>
      <c r="AG378" s="71"/>
      <c r="AH378" s="71"/>
      <c r="AI378" s="71"/>
      <c r="AJ378" s="71"/>
      <c r="AK378" s="71"/>
      <c r="AL378" s="71"/>
      <c r="AM378" s="71"/>
      <c r="AN378" s="71"/>
      <c r="AO378" s="71"/>
      <c r="AP378" s="71"/>
      <c r="AQ378" s="71"/>
      <c r="AR378" s="71"/>
      <c r="AS378" s="71"/>
      <c r="AT378" s="71"/>
      <c r="AU378" s="71"/>
      <c r="AV378" s="71"/>
      <c r="AW378" s="71"/>
      <c r="AX378" s="71"/>
      <c r="AY378" s="71"/>
      <c r="AZ378" s="71"/>
      <c r="BA378" s="71"/>
      <c r="BB378" s="71"/>
      <c r="BC378" s="71"/>
      <c r="BD378" s="71"/>
      <c r="BE378" s="71"/>
      <c r="BF378" s="71"/>
      <c r="BG378" s="71"/>
      <c r="BH378" s="71"/>
      <c r="BI378" s="71"/>
      <c r="BJ378" s="71"/>
      <c r="BK378" s="71"/>
      <c r="BL378" s="71"/>
      <c r="BM378" s="71"/>
    </row>
    <row r="379">
      <c r="A379" s="72"/>
      <c r="B379" s="72"/>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c r="AA379" s="71"/>
      <c r="AB379" s="71"/>
      <c r="AC379" s="71"/>
      <c r="AD379" s="71"/>
      <c r="AE379" s="71"/>
      <c r="AF379" s="71"/>
      <c r="AG379" s="71"/>
      <c r="AH379" s="71"/>
      <c r="AI379" s="71"/>
      <c r="AJ379" s="71"/>
      <c r="AK379" s="71"/>
      <c r="AL379" s="71"/>
      <c r="AM379" s="71"/>
      <c r="AN379" s="71"/>
      <c r="AO379" s="71"/>
      <c r="AP379" s="71"/>
      <c r="AQ379" s="71"/>
      <c r="AR379" s="71"/>
      <c r="AS379" s="71"/>
      <c r="AT379" s="71"/>
      <c r="AU379" s="71"/>
      <c r="AV379" s="71"/>
      <c r="AW379" s="71"/>
      <c r="AX379" s="71"/>
      <c r="AY379" s="71"/>
      <c r="AZ379" s="71"/>
      <c r="BA379" s="71"/>
      <c r="BB379" s="71"/>
      <c r="BC379" s="71"/>
      <c r="BD379" s="71"/>
      <c r="BE379" s="71"/>
      <c r="BF379" s="71"/>
      <c r="BG379" s="71"/>
      <c r="BH379" s="71"/>
      <c r="BI379" s="71"/>
      <c r="BJ379" s="71"/>
      <c r="BK379" s="71"/>
      <c r="BL379" s="71"/>
      <c r="BM379" s="71"/>
    </row>
    <row r="380">
      <c r="A380" s="72"/>
      <c r="B380" s="72"/>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c r="AA380" s="71"/>
      <c r="AB380" s="71"/>
      <c r="AC380" s="71"/>
      <c r="AD380" s="71"/>
      <c r="AE380" s="71"/>
      <c r="AF380" s="71"/>
      <c r="AG380" s="71"/>
      <c r="AH380" s="71"/>
      <c r="AI380" s="71"/>
      <c r="AJ380" s="71"/>
      <c r="AK380" s="71"/>
      <c r="AL380" s="71"/>
      <c r="AM380" s="71"/>
      <c r="AN380" s="71"/>
      <c r="AO380" s="71"/>
      <c r="AP380" s="71"/>
      <c r="AQ380" s="71"/>
      <c r="AR380" s="71"/>
      <c r="AS380" s="71"/>
      <c r="AT380" s="71"/>
      <c r="AU380" s="71"/>
      <c r="AV380" s="71"/>
      <c r="AW380" s="71"/>
      <c r="AX380" s="71"/>
      <c r="AY380" s="71"/>
      <c r="AZ380" s="71"/>
      <c r="BA380" s="71"/>
      <c r="BB380" s="71"/>
      <c r="BC380" s="71"/>
      <c r="BD380" s="71"/>
      <c r="BE380" s="71"/>
      <c r="BF380" s="71"/>
      <c r="BG380" s="71"/>
      <c r="BH380" s="71"/>
      <c r="BI380" s="71"/>
      <c r="BJ380" s="71"/>
      <c r="BK380" s="71"/>
      <c r="BL380" s="71"/>
      <c r="BM380" s="71"/>
    </row>
    <row r="381">
      <c r="A381" s="72"/>
      <c r="B381" s="72"/>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row>
    <row r="382">
      <c r="A382" s="72"/>
      <c r="B382" s="72"/>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row>
    <row r="383">
      <c r="A383" s="72"/>
      <c r="B383" s="72"/>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row>
    <row r="384">
      <c r="A384" s="72"/>
      <c r="B384" s="72"/>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c r="AA384" s="71"/>
      <c r="AB384" s="71"/>
      <c r="AC384" s="71"/>
      <c r="AD384" s="71"/>
      <c r="AE384" s="71"/>
      <c r="AF384" s="71"/>
      <c r="AG384" s="71"/>
      <c r="AH384" s="71"/>
      <c r="AI384" s="71"/>
      <c r="AJ384" s="71"/>
      <c r="AK384" s="71"/>
      <c r="AL384" s="71"/>
      <c r="AM384" s="71"/>
      <c r="AN384" s="71"/>
      <c r="AO384" s="71"/>
      <c r="AP384" s="71"/>
      <c r="AQ384" s="71"/>
      <c r="AR384" s="71"/>
      <c r="AS384" s="71"/>
      <c r="AT384" s="71"/>
      <c r="AU384" s="71"/>
      <c r="AV384" s="71"/>
      <c r="AW384" s="71"/>
      <c r="AX384" s="71"/>
      <c r="AY384" s="71"/>
      <c r="AZ384" s="71"/>
      <c r="BA384" s="71"/>
      <c r="BB384" s="71"/>
      <c r="BC384" s="71"/>
      <c r="BD384" s="71"/>
      <c r="BE384" s="71"/>
      <c r="BF384" s="71"/>
      <c r="BG384" s="71"/>
      <c r="BH384" s="71"/>
      <c r="BI384" s="71"/>
      <c r="BJ384" s="71"/>
      <c r="BK384" s="71"/>
      <c r="BL384" s="71"/>
      <c r="BM384" s="71"/>
    </row>
    <row r="385">
      <c r="A385" s="72"/>
      <c r="B385" s="72"/>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c r="AA385" s="71"/>
      <c r="AB385" s="71"/>
      <c r="AC385" s="71"/>
      <c r="AD385" s="71"/>
      <c r="AE385" s="71"/>
      <c r="AF385" s="71"/>
      <c r="AG385" s="71"/>
      <c r="AH385" s="71"/>
      <c r="AI385" s="71"/>
      <c r="AJ385" s="71"/>
      <c r="AK385" s="71"/>
      <c r="AL385" s="71"/>
      <c r="AM385" s="71"/>
      <c r="AN385" s="71"/>
      <c r="AO385" s="71"/>
      <c r="AP385" s="71"/>
      <c r="AQ385" s="71"/>
      <c r="AR385" s="71"/>
      <c r="AS385" s="71"/>
      <c r="AT385" s="71"/>
      <c r="AU385" s="71"/>
      <c r="AV385" s="71"/>
      <c r="AW385" s="71"/>
      <c r="AX385" s="71"/>
      <c r="AY385" s="71"/>
      <c r="AZ385" s="71"/>
      <c r="BA385" s="71"/>
      <c r="BB385" s="71"/>
      <c r="BC385" s="71"/>
      <c r="BD385" s="71"/>
      <c r="BE385" s="71"/>
      <c r="BF385" s="71"/>
      <c r="BG385" s="71"/>
      <c r="BH385" s="71"/>
      <c r="BI385" s="71"/>
      <c r="BJ385" s="71"/>
      <c r="BK385" s="71"/>
      <c r="BL385" s="71"/>
      <c r="BM385" s="71"/>
    </row>
    <row r="386">
      <c r="A386" s="72"/>
      <c r="B386" s="72"/>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71"/>
      <c r="AG386" s="71"/>
      <c r="AH386" s="71"/>
      <c r="AI386" s="71"/>
      <c r="AJ386" s="71"/>
      <c r="AK386" s="71"/>
      <c r="AL386" s="71"/>
      <c r="AM386" s="71"/>
      <c r="AN386" s="71"/>
      <c r="AO386" s="71"/>
      <c r="AP386" s="71"/>
      <c r="AQ386" s="71"/>
      <c r="AR386" s="71"/>
      <c r="AS386" s="71"/>
      <c r="AT386" s="71"/>
      <c r="AU386" s="71"/>
      <c r="AV386" s="71"/>
      <c r="AW386" s="71"/>
      <c r="AX386" s="71"/>
      <c r="AY386" s="71"/>
      <c r="AZ386" s="71"/>
      <c r="BA386" s="71"/>
      <c r="BB386" s="71"/>
      <c r="BC386" s="71"/>
      <c r="BD386" s="71"/>
      <c r="BE386" s="71"/>
      <c r="BF386" s="71"/>
      <c r="BG386" s="71"/>
      <c r="BH386" s="71"/>
      <c r="BI386" s="71"/>
      <c r="BJ386" s="71"/>
      <c r="BK386" s="71"/>
      <c r="BL386" s="71"/>
      <c r="BM386" s="71"/>
    </row>
    <row r="387">
      <c r="A387" s="72"/>
      <c r="B387" s="72"/>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1"/>
      <c r="AH387" s="71"/>
      <c r="AI387" s="71"/>
      <c r="AJ387" s="71"/>
      <c r="AK387" s="71"/>
      <c r="AL387" s="71"/>
      <c r="AM387" s="71"/>
      <c r="AN387" s="71"/>
      <c r="AO387" s="71"/>
      <c r="AP387" s="71"/>
      <c r="AQ387" s="71"/>
      <c r="AR387" s="71"/>
      <c r="AS387" s="71"/>
      <c r="AT387" s="71"/>
      <c r="AU387" s="71"/>
      <c r="AV387" s="71"/>
      <c r="AW387" s="71"/>
      <c r="AX387" s="71"/>
      <c r="AY387" s="71"/>
      <c r="AZ387" s="71"/>
      <c r="BA387" s="71"/>
      <c r="BB387" s="71"/>
      <c r="BC387" s="71"/>
      <c r="BD387" s="71"/>
      <c r="BE387" s="71"/>
      <c r="BF387" s="71"/>
      <c r="BG387" s="71"/>
      <c r="BH387" s="71"/>
      <c r="BI387" s="71"/>
      <c r="BJ387" s="71"/>
      <c r="BK387" s="71"/>
      <c r="BL387" s="71"/>
      <c r="BM387" s="71"/>
    </row>
    <row r="388">
      <c r="A388" s="72"/>
      <c r="B388" s="72"/>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71"/>
      <c r="AO388" s="71"/>
      <c r="AP388" s="71"/>
      <c r="AQ388" s="71"/>
      <c r="AR388" s="71"/>
      <c r="AS388" s="71"/>
      <c r="AT388" s="71"/>
      <c r="AU388" s="71"/>
      <c r="AV388" s="71"/>
      <c r="AW388" s="71"/>
      <c r="AX388" s="71"/>
      <c r="AY388" s="71"/>
      <c r="AZ388" s="71"/>
      <c r="BA388" s="71"/>
      <c r="BB388" s="71"/>
      <c r="BC388" s="71"/>
      <c r="BD388" s="71"/>
      <c r="BE388" s="71"/>
      <c r="BF388" s="71"/>
      <c r="BG388" s="71"/>
      <c r="BH388" s="71"/>
      <c r="BI388" s="71"/>
      <c r="BJ388" s="71"/>
      <c r="BK388" s="71"/>
      <c r="BL388" s="71"/>
      <c r="BM388" s="71"/>
    </row>
    <row r="389">
      <c r="A389" s="72"/>
      <c r="B389" s="72"/>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1"/>
      <c r="AH389" s="71"/>
      <c r="AI389" s="71"/>
      <c r="AJ389" s="71"/>
      <c r="AK389" s="71"/>
      <c r="AL389" s="71"/>
      <c r="AM389" s="71"/>
      <c r="AN389" s="71"/>
      <c r="AO389" s="71"/>
      <c r="AP389" s="71"/>
      <c r="AQ389" s="71"/>
      <c r="AR389" s="71"/>
      <c r="AS389" s="71"/>
      <c r="AT389" s="71"/>
      <c r="AU389" s="71"/>
      <c r="AV389" s="71"/>
      <c r="AW389" s="71"/>
      <c r="AX389" s="71"/>
      <c r="AY389" s="71"/>
      <c r="AZ389" s="71"/>
      <c r="BA389" s="71"/>
      <c r="BB389" s="71"/>
      <c r="BC389" s="71"/>
      <c r="BD389" s="71"/>
      <c r="BE389" s="71"/>
      <c r="BF389" s="71"/>
      <c r="BG389" s="71"/>
      <c r="BH389" s="71"/>
      <c r="BI389" s="71"/>
      <c r="BJ389" s="71"/>
      <c r="BK389" s="71"/>
      <c r="BL389" s="71"/>
      <c r="BM389" s="71"/>
    </row>
    <row r="390">
      <c r="A390" s="72"/>
      <c r="B390" s="72"/>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c r="AA390" s="71"/>
      <c r="AB390" s="71"/>
      <c r="AC390" s="71"/>
      <c r="AD390" s="71"/>
      <c r="AE390" s="71"/>
      <c r="AF390" s="71"/>
      <c r="AG390" s="71"/>
      <c r="AH390" s="71"/>
      <c r="AI390" s="71"/>
      <c r="AJ390" s="71"/>
      <c r="AK390" s="71"/>
      <c r="AL390" s="71"/>
      <c r="AM390" s="71"/>
      <c r="AN390" s="71"/>
      <c r="AO390" s="71"/>
      <c r="AP390" s="71"/>
      <c r="AQ390" s="71"/>
      <c r="AR390" s="71"/>
      <c r="AS390" s="71"/>
      <c r="AT390" s="71"/>
      <c r="AU390" s="71"/>
      <c r="AV390" s="71"/>
      <c r="AW390" s="71"/>
      <c r="AX390" s="71"/>
      <c r="AY390" s="71"/>
      <c r="AZ390" s="71"/>
      <c r="BA390" s="71"/>
      <c r="BB390" s="71"/>
      <c r="BC390" s="71"/>
      <c r="BD390" s="71"/>
      <c r="BE390" s="71"/>
      <c r="BF390" s="71"/>
      <c r="BG390" s="71"/>
      <c r="BH390" s="71"/>
      <c r="BI390" s="71"/>
      <c r="BJ390" s="71"/>
      <c r="BK390" s="71"/>
      <c r="BL390" s="71"/>
      <c r="BM390" s="71"/>
    </row>
    <row r="391">
      <c r="A391" s="72"/>
      <c r="B391" s="72"/>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c r="AH391" s="71"/>
      <c r="AI391" s="71"/>
      <c r="AJ391" s="71"/>
      <c r="AK391" s="71"/>
      <c r="AL391" s="71"/>
      <c r="AM391" s="71"/>
      <c r="AN391" s="71"/>
      <c r="AO391" s="71"/>
      <c r="AP391" s="71"/>
      <c r="AQ391" s="71"/>
      <c r="AR391" s="71"/>
      <c r="AS391" s="71"/>
      <c r="AT391" s="71"/>
      <c r="AU391" s="71"/>
      <c r="AV391" s="71"/>
      <c r="AW391" s="71"/>
      <c r="AX391" s="71"/>
      <c r="AY391" s="71"/>
      <c r="AZ391" s="71"/>
      <c r="BA391" s="71"/>
      <c r="BB391" s="71"/>
      <c r="BC391" s="71"/>
      <c r="BD391" s="71"/>
      <c r="BE391" s="71"/>
      <c r="BF391" s="71"/>
      <c r="BG391" s="71"/>
      <c r="BH391" s="71"/>
      <c r="BI391" s="71"/>
      <c r="BJ391" s="71"/>
      <c r="BK391" s="71"/>
      <c r="BL391" s="71"/>
      <c r="BM391" s="71"/>
    </row>
    <row r="392">
      <c r="A392" s="72"/>
      <c r="B392" s="72"/>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71"/>
      <c r="AG392" s="71"/>
      <c r="AH392" s="71"/>
      <c r="AI392" s="71"/>
      <c r="AJ392" s="71"/>
      <c r="AK392" s="71"/>
      <c r="AL392" s="71"/>
      <c r="AM392" s="71"/>
      <c r="AN392" s="71"/>
      <c r="AO392" s="71"/>
      <c r="AP392" s="71"/>
      <c r="AQ392" s="71"/>
      <c r="AR392" s="71"/>
      <c r="AS392" s="71"/>
      <c r="AT392" s="71"/>
      <c r="AU392" s="71"/>
      <c r="AV392" s="71"/>
      <c r="AW392" s="71"/>
      <c r="AX392" s="71"/>
      <c r="AY392" s="71"/>
      <c r="AZ392" s="71"/>
      <c r="BA392" s="71"/>
      <c r="BB392" s="71"/>
      <c r="BC392" s="71"/>
      <c r="BD392" s="71"/>
      <c r="BE392" s="71"/>
      <c r="BF392" s="71"/>
      <c r="BG392" s="71"/>
      <c r="BH392" s="71"/>
      <c r="BI392" s="71"/>
      <c r="BJ392" s="71"/>
      <c r="BK392" s="71"/>
      <c r="BL392" s="71"/>
      <c r="BM392" s="71"/>
    </row>
    <row r="393">
      <c r="A393" s="72"/>
      <c r="B393" s="72"/>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row>
    <row r="394">
      <c r="A394" s="72"/>
      <c r="B394" s="72"/>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row>
    <row r="395">
      <c r="A395" s="72"/>
      <c r="B395" s="72"/>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1"/>
      <c r="AH395" s="71"/>
      <c r="AI395" s="71"/>
      <c r="AJ395" s="71"/>
      <c r="AK395" s="71"/>
      <c r="AL395" s="71"/>
      <c r="AM395" s="71"/>
      <c r="AN395" s="71"/>
      <c r="AO395" s="71"/>
      <c r="AP395" s="71"/>
      <c r="AQ395" s="71"/>
      <c r="AR395" s="71"/>
      <c r="AS395" s="71"/>
      <c r="AT395" s="71"/>
      <c r="AU395" s="71"/>
      <c r="AV395" s="71"/>
      <c r="AW395" s="71"/>
      <c r="AX395" s="71"/>
      <c r="AY395" s="71"/>
      <c r="AZ395" s="71"/>
      <c r="BA395" s="71"/>
      <c r="BB395" s="71"/>
      <c r="BC395" s="71"/>
      <c r="BD395" s="71"/>
      <c r="BE395" s="71"/>
      <c r="BF395" s="71"/>
      <c r="BG395" s="71"/>
      <c r="BH395" s="71"/>
      <c r="BI395" s="71"/>
      <c r="BJ395" s="71"/>
      <c r="BK395" s="71"/>
      <c r="BL395" s="71"/>
      <c r="BM395" s="71"/>
    </row>
    <row r="396">
      <c r="A396" s="72"/>
      <c r="B396" s="72"/>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row>
    <row r="397">
      <c r="A397" s="72"/>
      <c r="B397" s="72"/>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row>
    <row r="398">
      <c r="A398" s="72"/>
      <c r="B398" s="72"/>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row>
    <row r="399">
      <c r="A399" s="72"/>
      <c r="B399" s="72"/>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1"/>
      <c r="AH399" s="71"/>
      <c r="AI399" s="71"/>
      <c r="AJ399" s="71"/>
      <c r="AK399" s="71"/>
      <c r="AL399" s="71"/>
      <c r="AM399" s="71"/>
      <c r="AN399" s="71"/>
      <c r="AO399" s="71"/>
      <c r="AP399" s="71"/>
      <c r="AQ399" s="71"/>
      <c r="AR399" s="71"/>
      <c r="AS399" s="71"/>
      <c r="AT399" s="71"/>
      <c r="AU399" s="71"/>
      <c r="AV399" s="71"/>
      <c r="AW399" s="71"/>
      <c r="AX399" s="71"/>
      <c r="AY399" s="71"/>
      <c r="AZ399" s="71"/>
      <c r="BA399" s="71"/>
      <c r="BB399" s="71"/>
      <c r="BC399" s="71"/>
      <c r="BD399" s="71"/>
      <c r="BE399" s="71"/>
      <c r="BF399" s="71"/>
      <c r="BG399" s="71"/>
      <c r="BH399" s="71"/>
      <c r="BI399" s="71"/>
      <c r="BJ399" s="71"/>
      <c r="BK399" s="71"/>
      <c r="BL399" s="71"/>
      <c r="BM399" s="71"/>
    </row>
    <row r="400">
      <c r="A400" s="72"/>
      <c r="B400" s="72"/>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row>
    <row r="401">
      <c r="A401" s="72"/>
      <c r="B401" s="72"/>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row>
    <row r="402">
      <c r="A402" s="72"/>
      <c r="B402" s="72"/>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row>
    <row r="403">
      <c r="A403" s="72"/>
      <c r="B403" s="72"/>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1"/>
      <c r="AH403" s="71"/>
      <c r="AI403" s="71"/>
      <c r="AJ403" s="71"/>
      <c r="AK403" s="71"/>
      <c r="AL403" s="71"/>
      <c r="AM403" s="71"/>
      <c r="AN403" s="71"/>
      <c r="AO403" s="71"/>
      <c r="AP403" s="71"/>
      <c r="AQ403" s="71"/>
      <c r="AR403" s="71"/>
      <c r="AS403" s="71"/>
      <c r="AT403" s="71"/>
      <c r="AU403" s="71"/>
      <c r="AV403" s="71"/>
      <c r="AW403" s="71"/>
      <c r="AX403" s="71"/>
      <c r="AY403" s="71"/>
      <c r="AZ403" s="71"/>
      <c r="BA403" s="71"/>
      <c r="BB403" s="71"/>
      <c r="BC403" s="71"/>
      <c r="BD403" s="71"/>
      <c r="BE403" s="71"/>
      <c r="BF403" s="71"/>
      <c r="BG403" s="71"/>
      <c r="BH403" s="71"/>
      <c r="BI403" s="71"/>
      <c r="BJ403" s="71"/>
      <c r="BK403" s="71"/>
      <c r="BL403" s="71"/>
      <c r="BM403" s="71"/>
    </row>
    <row r="404">
      <c r="A404" s="72"/>
      <c r="B404" s="72"/>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row>
    <row r="405">
      <c r="A405" s="72"/>
      <c r="B405" s="72"/>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row>
    <row r="406">
      <c r="A406" s="72"/>
      <c r="B406" s="72"/>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row>
    <row r="407">
      <c r="A407" s="72"/>
      <c r="B407" s="72"/>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row>
    <row r="408">
      <c r="A408" s="72"/>
      <c r="B408" s="72"/>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c r="AA408" s="71"/>
      <c r="AB408" s="71"/>
      <c r="AC408" s="71"/>
      <c r="AD408" s="71"/>
      <c r="AE408" s="71"/>
      <c r="AF408" s="71"/>
      <c r="AG408" s="71"/>
      <c r="AH408" s="71"/>
      <c r="AI408" s="71"/>
      <c r="AJ408" s="71"/>
      <c r="AK408" s="71"/>
      <c r="AL408" s="71"/>
      <c r="AM408" s="71"/>
      <c r="AN408" s="71"/>
      <c r="AO408" s="71"/>
      <c r="AP408" s="71"/>
      <c r="AQ408" s="71"/>
      <c r="AR408" s="71"/>
      <c r="AS408" s="71"/>
      <c r="AT408" s="71"/>
      <c r="AU408" s="71"/>
      <c r="AV408" s="71"/>
      <c r="AW408" s="71"/>
      <c r="AX408" s="71"/>
      <c r="AY408" s="71"/>
      <c r="AZ408" s="71"/>
      <c r="BA408" s="71"/>
      <c r="BB408" s="71"/>
      <c r="BC408" s="71"/>
      <c r="BD408" s="71"/>
      <c r="BE408" s="71"/>
      <c r="BF408" s="71"/>
      <c r="BG408" s="71"/>
      <c r="BH408" s="71"/>
      <c r="BI408" s="71"/>
      <c r="BJ408" s="71"/>
      <c r="BK408" s="71"/>
      <c r="BL408" s="71"/>
      <c r="BM408" s="71"/>
    </row>
    <row r="409">
      <c r="A409" s="72"/>
      <c r="B409" s="72"/>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c r="AT409" s="71"/>
      <c r="AU409" s="71"/>
      <c r="AV409" s="71"/>
      <c r="AW409" s="71"/>
      <c r="AX409" s="71"/>
      <c r="AY409" s="71"/>
      <c r="AZ409" s="71"/>
      <c r="BA409" s="71"/>
      <c r="BB409" s="71"/>
      <c r="BC409" s="71"/>
      <c r="BD409" s="71"/>
      <c r="BE409" s="71"/>
      <c r="BF409" s="71"/>
      <c r="BG409" s="71"/>
      <c r="BH409" s="71"/>
      <c r="BI409" s="71"/>
      <c r="BJ409" s="71"/>
      <c r="BK409" s="71"/>
      <c r="BL409" s="71"/>
      <c r="BM409" s="71"/>
    </row>
    <row r="410">
      <c r="A410" s="72"/>
      <c r="B410" s="72"/>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row>
    <row r="411">
      <c r="A411" s="72"/>
      <c r="B411" s="72"/>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71"/>
      <c r="AO411" s="71"/>
      <c r="AP411" s="71"/>
      <c r="AQ411" s="71"/>
      <c r="AR411" s="71"/>
      <c r="AS411" s="71"/>
      <c r="AT411" s="71"/>
      <c r="AU411" s="71"/>
      <c r="AV411" s="71"/>
      <c r="AW411" s="71"/>
      <c r="AX411" s="71"/>
      <c r="AY411" s="71"/>
      <c r="AZ411" s="71"/>
      <c r="BA411" s="71"/>
      <c r="BB411" s="71"/>
      <c r="BC411" s="71"/>
      <c r="BD411" s="71"/>
      <c r="BE411" s="71"/>
      <c r="BF411" s="71"/>
      <c r="BG411" s="71"/>
      <c r="BH411" s="71"/>
      <c r="BI411" s="71"/>
      <c r="BJ411" s="71"/>
      <c r="BK411" s="71"/>
      <c r="BL411" s="71"/>
      <c r="BM411" s="71"/>
    </row>
    <row r="412">
      <c r="A412" s="72"/>
      <c r="B412" s="72"/>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row>
    <row r="413">
      <c r="A413" s="72"/>
      <c r="B413" s="72"/>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71"/>
      <c r="AO413" s="71"/>
      <c r="AP413" s="71"/>
      <c r="AQ413" s="71"/>
      <c r="AR413" s="71"/>
      <c r="AS413" s="71"/>
      <c r="AT413" s="71"/>
      <c r="AU413" s="71"/>
      <c r="AV413" s="71"/>
      <c r="AW413" s="71"/>
      <c r="AX413" s="71"/>
      <c r="AY413" s="71"/>
      <c r="AZ413" s="71"/>
      <c r="BA413" s="71"/>
      <c r="BB413" s="71"/>
      <c r="BC413" s="71"/>
      <c r="BD413" s="71"/>
      <c r="BE413" s="71"/>
      <c r="BF413" s="71"/>
      <c r="BG413" s="71"/>
      <c r="BH413" s="71"/>
      <c r="BI413" s="71"/>
      <c r="BJ413" s="71"/>
      <c r="BK413" s="71"/>
      <c r="BL413" s="71"/>
      <c r="BM413" s="71"/>
    </row>
    <row r="414">
      <c r="A414" s="72"/>
      <c r="B414" s="72"/>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71"/>
      <c r="AO414" s="71"/>
      <c r="AP414" s="71"/>
      <c r="AQ414" s="71"/>
      <c r="AR414" s="71"/>
      <c r="AS414" s="71"/>
      <c r="AT414" s="71"/>
      <c r="AU414" s="71"/>
      <c r="AV414" s="71"/>
      <c r="AW414" s="71"/>
      <c r="AX414" s="71"/>
      <c r="AY414" s="71"/>
      <c r="AZ414" s="71"/>
      <c r="BA414" s="71"/>
      <c r="BB414" s="71"/>
      <c r="BC414" s="71"/>
      <c r="BD414" s="71"/>
      <c r="BE414" s="71"/>
      <c r="BF414" s="71"/>
      <c r="BG414" s="71"/>
      <c r="BH414" s="71"/>
      <c r="BI414" s="71"/>
      <c r="BJ414" s="71"/>
      <c r="BK414" s="71"/>
      <c r="BL414" s="71"/>
      <c r="BM414" s="71"/>
    </row>
    <row r="415">
      <c r="A415" s="72"/>
      <c r="B415" s="72"/>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71"/>
      <c r="AO415" s="71"/>
      <c r="AP415" s="71"/>
      <c r="AQ415" s="71"/>
      <c r="AR415" s="71"/>
      <c r="AS415" s="71"/>
      <c r="AT415" s="71"/>
      <c r="AU415" s="71"/>
      <c r="AV415" s="71"/>
      <c r="AW415" s="71"/>
      <c r="AX415" s="71"/>
      <c r="AY415" s="71"/>
      <c r="AZ415" s="71"/>
      <c r="BA415" s="71"/>
      <c r="BB415" s="71"/>
      <c r="BC415" s="71"/>
      <c r="BD415" s="71"/>
      <c r="BE415" s="71"/>
      <c r="BF415" s="71"/>
      <c r="BG415" s="71"/>
      <c r="BH415" s="71"/>
      <c r="BI415" s="71"/>
      <c r="BJ415" s="71"/>
      <c r="BK415" s="71"/>
      <c r="BL415" s="71"/>
      <c r="BM415" s="71"/>
    </row>
    <row r="416">
      <c r="A416" s="72"/>
      <c r="B416" s="72"/>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71"/>
      <c r="AO416" s="71"/>
      <c r="AP416" s="71"/>
      <c r="AQ416" s="71"/>
      <c r="AR416" s="71"/>
      <c r="AS416" s="71"/>
      <c r="AT416" s="71"/>
      <c r="AU416" s="71"/>
      <c r="AV416" s="71"/>
      <c r="AW416" s="71"/>
      <c r="AX416" s="71"/>
      <c r="AY416" s="71"/>
      <c r="AZ416" s="71"/>
      <c r="BA416" s="71"/>
      <c r="BB416" s="71"/>
      <c r="BC416" s="71"/>
      <c r="BD416" s="71"/>
      <c r="BE416" s="71"/>
      <c r="BF416" s="71"/>
      <c r="BG416" s="71"/>
      <c r="BH416" s="71"/>
      <c r="BI416" s="71"/>
      <c r="BJ416" s="71"/>
      <c r="BK416" s="71"/>
      <c r="BL416" s="71"/>
      <c r="BM416" s="71"/>
    </row>
    <row r="417">
      <c r="A417" s="72"/>
      <c r="B417" s="72"/>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71"/>
      <c r="AO417" s="71"/>
      <c r="AP417" s="71"/>
      <c r="AQ417" s="71"/>
      <c r="AR417" s="71"/>
      <c r="AS417" s="71"/>
      <c r="AT417" s="71"/>
      <c r="AU417" s="71"/>
      <c r="AV417" s="71"/>
      <c r="AW417" s="71"/>
      <c r="AX417" s="71"/>
      <c r="AY417" s="71"/>
      <c r="AZ417" s="71"/>
      <c r="BA417" s="71"/>
      <c r="BB417" s="71"/>
      <c r="BC417" s="71"/>
      <c r="BD417" s="71"/>
      <c r="BE417" s="71"/>
      <c r="BF417" s="71"/>
      <c r="BG417" s="71"/>
      <c r="BH417" s="71"/>
      <c r="BI417" s="71"/>
      <c r="BJ417" s="71"/>
      <c r="BK417" s="71"/>
      <c r="BL417" s="71"/>
      <c r="BM417" s="71"/>
    </row>
    <row r="418">
      <c r="A418" s="72"/>
      <c r="B418" s="72"/>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71"/>
      <c r="AO418" s="71"/>
      <c r="AP418" s="71"/>
      <c r="AQ418" s="71"/>
      <c r="AR418" s="71"/>
      <c r="AS418" s="71"/>
      <c r="AT418" s="71"/>
      <c r="AU418" s="71"/>
      <c r="AV418" s="71"/>
      <c r="AW418" s="71"/>
      <c r="AX418" s="71"/>
      <c r="AY418" s="71"/>
      <c r="AZ418" s="71"/>
      <c r="BA418" s="71"/>
      <c r="BB418" s="71"/>
      <c r="BC418" s="71"/>
      <c r="BD418" s="71"/>
      <c r="BE418" s="71"/>
      <c r="BF418" s="71"/>
      <c r="BG418" s="71"/>
      <c r="BH418" s="71"/>
      <c r="BI418" s="71"/>
      <c r="BJ418" s="71"/>
      <c r="BK418" s="71"/>
      <c r="BL418" s="71"/>
      <c r="BM418" s="71"/>
    </row>
    <row r="419">
      <c r="A419" s="72"/>
      <c r="B419" s="72"/>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71"/>
      <c r="AO419" s="71"/>
      <c r="AP419" s="71"/>
      <c r="AQ419" s="71"/>
      <c r="AR419" s="71"/>
      <c r="AS419" s="71"/>
      <c r="AT419" s="71"/>
      <c r="AU419" s="71"/>
      <c r="AV419" s="71"/>
      <c r="AW419" s="71"/>
      <c r="AX419" s="71"/>
      <c r="AY419" s="71"/>
      <c r="AZ419" s="71"/>
      <c r="BA419" s="71"/>
      <c r="BB419" s="71"/>
      <c r="BC419" s="71"/>
      <c r="BD419" s="71"/>
      <c r="BE419" s="71"/>
      <c r="BF419" s="71"/>
      <c r="BG419" s="71"/>
      <c r="BH419" s="71"/>
      <c r="BI419" s="71"/>
      <c r="BJ419" s="71"/>
      <c r="BK419" s="71"/>
      <c r="BL419" s="71"/>
      <c r="BM419" s="71"/>
    </row>
    <row r="420">
      <c r="A420" s="72"/>
      <c r="B420" s="72"/>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row>
    <row r="421">
      <c r="A421" s="72"/>
      <c r="B421" s="72"/>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71"/>
      <c r="AO421" s="71"/>
      <c r="AP421" s="71"/>
      <c r="AQ421" s="71"/>
      <c r="AR421" s="71"/>
      <c r="AS421" s="71"/>
      <c r="AT421" s="71"/>
      <c r="AU421" s="71"/>
      <c r="AV421" s="71"/>
      <c r="AW421" s="71"/>
      <c r="AX421" s="71"/>
      <c r="AY421" s="71"/>
      <c r="AZ421" s="71"/>
      <c r="BA421" s="71"/>
      <c r="BB421" s="71"/>
      <c r="BC421" s="71"/>
      <c r="BD421" s="71"/>
      <c r="BE421" s="71"/>
      <c r="BF421" s="71"/>
      <c r="BG421" s="71"/>
      <c r="BH421" s="71"/>
      <c r="BI421" s="71"/>
      <c r="BJ421" s="71"/>
      <c r="BK421" s="71"/>
      <c r="BL421" s="71"/>
      <c r="BM421" s="71"/>
    </row>
    <row r="422">
      <c r="A422" s="72"/>
      <c r="B422" s="72"/>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71"/>
      <c r="AO422" s="71"/>
      <c r="AP422" s="71"/>
      <c r="AQ422" s="71"/>
      <c r="AR422" s="71"/>
      <c r="AS422" s="71"/>
      <c r="AT422" s="71"/>
      <c r="AU422" s="71"/>
      <c r="AV422" s="71"/>
      <c r="AW422" s="71"/>
      <c r="AX422" s="71"/>
      <c r="AY422" s="71"/>
      <c r="AZ422" s="71"/>
      <c r="BA422" s="71"/>
      <c r="BB422" s="71"/>
      <c r="BC422" s="71"/>
      <c r="BD422" s="71"/>
      <c r="BE422" s="71"/>
      <c r="BF422" s="71"/>
      <c r="BG422" s="71"/>
      <c r="BH422" s="71"/>
      <c r="BI422" s="71"/>
      <c r="BJ422" s="71"/>
      <c r="BK422" s="71"/>
      <c r="BL422" s="71"/>
      <c r="BM422" s="71"/>
    </row>
    <row r="423">
      <c r="A423" s="72"/>
      <c r="B423" s="72"/>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71"/>
      <c r="AO423" s="71"/>
      <c r="AP423" s="71"/>
      <c r="AQ423" s="71"/>
      <c r="AR423" s="71"/>
      <c r="AS423" s="71"/>
      <c r="AT423" s="71"/>
      <c r="AU423" s="71"/>
      <c r="AV423" s="71"/>
      <c r="AW423" s="71"/>
      <c r="AX423" s="71"/>
      <c r="AY423" s="71"/>
      <c r="AZ423" s="71"/>
      <c r="BA423" s="71"/>
      <c r="BB423" s="71"/>
      <c r="BC423" s="71"/>
      <c r="BD423" s="71"/>
      <c r="BE423" s="71"/>
      <c r="BF423" s="71"/>
      <c r="BG423" s="71"/>
      <c r="BH423" s="71"/>
      <c r="BI423" s="71"/>
      <c r="BJ423" s="71"/>
      <c r="BK423" s="71"/>
      <c r="BL423" s="71"/>
      <c r="BM423" s="71"/>
    </row>
    <row r="424">
      <c r="A424" s="72"/>
      <c r="B424" s="72"/>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71"/>
      <c r="AO424" s="71"/>
      <c r="AP424" s="71"/>
      <c r="AQ424" s="71"/>
      <c r="AR424" s="71"/>
      <c r="AS424" s="71"/>
      <c r="AT424" s="71"/>
      <c r="AU424" s="71"/>
      <c r="AV424" s="71"/>
      <c r="AW424" s="71"/>
      <c r="AX424" s="71"/>
      <c r="AY424" s="71"/>
      <c r="AZ424" s="71"/>
      <c r="BA424" s="71"/>
      <c r="BB424" s="71"/>
      <c r="BC424" s="71"/>
      <c r="BD424" s="71"/>
      <c r="BE424" s="71"/>
      <c r="BF424" s="71"/>
      <c r="BG424" s="71"/>
      <c r="BH424" s="71"/>
      <c r="BI424" s="71"/>
      <c r="BJ424" s="71"/>
      <c r="BK424" s="71"/>
      <c r="BL424" s="71"/>
      <c r="BM424" s="71"/>
    </row>
    <row r="425">
      <c r="A425" s="72"/>
      <c r="B425" s="72"/>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71"/>
      <c r="AO425" s="71"/>
      <c r="AP425" s="71"/>
      <c r="AQ425" s="71"/>
      <c r="AR425" s="71"/>
      <c r="AS425" s="71"/>
      <c r="AT425" s="71"/>
      <c r="AU425" s="71"/>
      <c r="AV425" s="71"/>
      <c r="AW425" s="71"/>
      <c r="AX425" s="71"/>
      <c r="AY425" s="71"/>
      <c r="AZ425" s="71"/>
      <c r="BA425" s="71"/>
      <c r="BB425" s="71"/>
      <c r="BC425" s="71"/>
      <c r="BD425" s="71"/>
      <c r="BE425" s="71"/>
      <c r="BF425" s="71"/>
      <c r="BG425" s="71"/>
      <c r="BH425" s="71"/>
      <c r="BI425" s="71"/>
      <c r="BJ425" s="71"/>
      <c r="BK425" s="71"/>
      <c r="BL425" s="71"/>
      <c r="BM425" s="71"/>
    </row>
    <row r="426">
      <c r="A426" s="72"/>
      <c r="B426" s="72"/>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71"/>
      <c r="AO426" s="71"/>
      <c r="AP426" s="71"/>
      <c r="AQ426" s="71"/>
      <c r="AR426" s="71"/>
      <c r="AS426" s="71"/>
      <c r="AT426" s="71"/>
      <c r="AU426" s="71"/>
      <c r="AV426" s="71"/>
      <c r="AW426" s="71"/>
      <c r="AX426" s="71"/>
      <c r="AY426" s="71"/>
      <c r="AZ426" s="71"/>
      <c r="BA426" s="71"/>
      <c r="BB426" s="71"/>
      <c r="BC426" s="71"/>
      <c r="BD426" s="71"/>
      <c r="BE426" s="71"/>
      <c r="BF426" s="71"/>
      <c r="BG426" s="71"/>
      <c r="BH426" s="71"/>
      <c r="BI426" s="71"/>
      <c r="BJ426" s="71"/>
      <c r="BK426" s="71"/>
      <c r="BL426" s="71"/>
      <c r="BM426" s="71"/>
    </row>
    <row r="427">
      <c r="A427" s="72"/>
      <c r="B427" s="72"/>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71"/>
      <c r="AO427" s="71"/>
      <c r="AP427" s="71"/>
      <c r="AQ427" s="71"/>
      <c r="AR427" s="71"/>
      <c r="AS427" s="71"/>
      <c r="AT427" s="71"/>
      <c r="AU427" s="71"/>
      <c r="AV427" s="71"/>
      <c r="AW427" s="71"/>
      <c r="AX427" s="71"/>
      <c r="AY427" s="71"/>
      <c r="AZ427" s="71"/>
      <c r="BA427" s="71"/>
      <c r="BB427" s="71"/>
      <c r="BC427" s="71"/>
      <c r="BD427" s="71"/>
      <c r="BE427" s="71"/>
      <c r="BF427" s="71"/>
      <c r="BG427" s="71"/>
      <c r="BH427" s="71"/>
      <c r="BI427" s="71"/>
      <c r="BJ427" s="71"/>
      <c r="BK427" s="71"/>
      <c r="BL427" s="71"/>
      <c r="BM427" s="71"/>
    </row>
    <row r="428">
      <c r="A428" s="72"/>
      <c r="B428" s="72"/>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71"/>
      <c r="AO428" s="71"/>
      <c r="AP428" s="71"/>
      <c r="AQ428" s="71"/>
      <c r="AR428" s="71"/>
      <c r="AS428" s="71"/>
      <c r="AT428" s="71"/>
      <c r="AU428" s="71"/>
      <c r="AV428" s="71"/>
      <c r="AW428" s="71"/>
      <c r="AX428" s="71"/>
      <c r="AY428" s="71"/>
      <c r="AZ428" s="71"/>
      <c r="BA428" s="71"/>
      <c r="BB428" s="71"/>
      <c r="BC428" s="71"/>
      <c r="BD428" s="71"/>
      <c r="BE428" s="71"/>
      <c r="BF428" s="71"/>
      <c r="BG428" s="71"/>
      <c r="BH428" s="71"/>
      <c r="BI428" s="71"/>
      <c r="BJ428" s="71"/>
      <c r="BK428" s="71"/>
      <c r="BL428" s="71"/>
      <c r="BM428" s="71"/>
    </row>
    <row r="429">
      <c r="A429" s="72"/>
      <c r="B429" s="72"/>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71"/>
      <c r="AO429" s="71"/>
      <c r="AP429" s="71"/>
      <c r="AQ429" s="71"/>
      <c r="AR429" s="71"/>
      <c r="AS429" s="71"/>
      <c r="AT429" s="71"/>
      <c r="AU429" s="71"/>
      <c r="AV429" s="71"/>
      <c r="AW429" s="71"/>
      <c r="AX429" s="71"/>
      <c r="AY429" s="71"/>
      <c r="AZ429" s="71"/>
      <c r="BA429" s="71"/>
      <c r="BB429" s="71"/>
      <c r="BC429" s="71"/>
      <c r="BD429" s="71"/>
      <c r="BE429" s="71"/>
      <c r="BF429" s="71"/>
      <c r="BG429" s="71"/>
      <c r="BH429" s="71"/>
      <c r="BI429" s="71"/>
      <c r="BJ429" s="71"/>
      <c r="BK429" s="71"/>
      <c r="BL429" s="71"/>
      <c r="BM429" s="71"/>
    </row>
    <row r="430">
      <c r="A430" s="72"/>
      <c r="B430" s="72"/>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71"/>
      <c r="AO430" s="71"/>
      <c r="AP430" s="71"/>
      <c r="AQ430" s="71"/>
      <c r="AR430" s="71"/>
      <c r="AS430" s="71"/>
      <c r="AT430" s="71"/>
      <c r="AU430" s="71"/>
      <c r="AV430" s="71"/>
      <c r="AW430" s="71"/>
      <c r="AX430" s="71"/>
      <c r="AY430" s="71"/>
      <c r="AZ430" s="71"/>
      <c r="BA430" s="71"/>
      <c r="BB430" s="71"/>
      <c r="BC430" s="71"/>
      <c r="BD430" s="71"/>
      <c r="BE430" s="71"/>
      <c r="BF430" s="71"/>
      <c r="BG430" s="71"/>
      <c r="BH430" s="71"/>
      <c r="BI430" s="71"/>
      <c r="BJ430" s="71"/>
      <c r="BK430" s="71"/>
      <c r="BL430" s="71"/>
      <c r="BM430" s="71"/>
    </row>
    <row r="431">
      <c r="A431" s="72"/>
      <c r="B431" s="72"/>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71"/>
      <c r="AO431" s="71"/>
      <c r="AP431" s="71"/>
      <c r="AQ431" s="71"/>
      <c r="AR431" s="71"/>
      <c r="AS431" s="71"/>
      <c r="AT431" s="71"/>
      <c r="AU431" s="71"/>
      <c r="AV431" s="71"/>
      <c r="AW431" s="71"/>
      <c r="AX431" s="71"/>
      <c r="AY431" s="71"/>
      <c r="AZ431" s="71"/>
      <c r="BA431" s="71"/>
      <c r="BB431" s="71"/>
      <c r="BC431" s="71"/>
      <c r="BD431" s="71"/>
      <c r="BE431" s="71"/>
      <c r="BF431" s="71"/>
      <c r="BG431" s="71"/>
      <c r="BH431" s="71"/>
      <c r="BI431" s="71"/>
      <c r="BJ431" s="71"/>
      <c r="BK431" s="71"/>
      <c r="BL431" s="71"/>
      <c r="BM431" s="71"/>
    </row>
    <row r="432">
      <c r="A432" s="72"/>
      <c r="B432" s="72"/>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71"/>
      <c r="AO432" s="71"/>
      <c r="AP432" s="71"/>
      <c r="AQ432" s="71"/>
      <c r="AR432" s="71"/>
      <c r="AS432" s="71"/>
      <c r="AT432" s="71"/>
      <c r="AU432" s="71"/>
      <c r="AV432" s="71"/>
      <c r="AW432" s="71"/>
      <c r="AX432" s="71"/>
      <c r="AY432" s="71"/>
      <c r="AZ432" s="71"/>
      <c r="BA432" s="71"/>
      <c r="BB432" s="71"/>
      <c r="BC432" s="71"/>
      <c r="BD432" s="71"/>
      <c r="BE432" s="71"/>
      <c r="BF432" s="71"/>
      <c r="BG432" s="71"/>
      <c r="BH432" s="71"/>
      <c r="BI432" s="71"/>
      <c r="BJ432" s="71"/>
      <c r="BK432" s="71"/>
      <c r="BL432" s="71"/>
      <c r="BM432" s="71"/>
    </row>
    <row r="433">
      <c r="A433" s="72"/>
      <c r="B433" s="72"/>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c r="AR433" s="71"/>
      <c r="AS433" s="71"/>
      <c r="AT433" s="71"/>
      <c r="AU433" s="71"/>
      <c r="AV433" s="71"/>
      <c r="AW433" s="71"/>
      <c r="AX433" s="71"/>
      <c r="AY433" s="71"/>
      <c r="AZ433" s="71"/>
      <c r="BA433" s="71"/>
      <c r="BB433" s="71"/>
      <c r="BC433" s="71"/>
      <c r="BD433" s="71"/>
      <c r="BE433" s="71"/>
      <c r="BF433" s="71"/>
      <c r="BG433" s="71"/>
      <c r="BH433" s="71"/>
      <c r="BI433" s="71"/>
      <c r="BJ433" s="71"/>
      <c r="BK433" s="71"/>
      <c r="BL433" s="71"/>
      <c r="BM433" s="71"/>
    </row>
    <row r="434">
      <c r="A434" s="72"/>
      <c r="B434" s="72"/>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71"/>
      <c r="AO434" s="71"/>
      <c r="AP434" s="71"/>
      <c r="AQ434" s="71"/>
      <c r="AR434" s="71"/>
      <c r="AS434" s="71"/>
      <c r="AT434" s="71"/>
      <c r="AU434" s="71"/>
      <c r="AV434" s="71"/>
      <c r="AW434" s="71"/>
      <c r="AX434" s="71"/>
      <c r="AY434" s="71"/>
      <c r="AZ434" s="71"/>
      <c r="BA434" s="71"/>
      <c r="BB434" s="71"/>
      <c r="BC434" s="71"/>
      <c r="BD434" s="71"/>
      <c r="BE434" s="71"/>
      <c r="BF434" s="71"/>
      <c r="BG434" s="71"/>
      <c r="BH434" s="71"/>
      <c r="BI434" s="71"/>
      <c r="BJ434" s="71"/>
      <c r="BK434" s="71"/>
      <c r="BL434" s="71"/>
      <c r="BM434" s="71"/>
    </row>
    <row r="435">
      <c r="A435" s="72"/>
      <c r="B435" s="72"/>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71"/>
      <c r="AO435" s="71"/>
      <c r="AP435" s="71"/>
      <c r="AQ435" s="71"/>
      <c r="AR435" s="71"/>
      <c r="AS435" s="71"/>
      <c r="AT435" s="71"/>
      <c r="AU435" s="71"/>
      <c r="AV435" s="71"/>
      <c r="AW435" s="71"/>
      <c r="AX435" s="71"/>
      <c r="AY435" s="71"/>
      <c r="AZ435" s="71"/>
      <c r="BA435" s="71"/>
      <c r="BB435" s="71"/>
      <c r="BC435" s="71"/>
      <c r="BD435" s="71"/>
      <c r="BE435" s="71"/>
      <c r="BF435" s="71"/>
      <c r="BG435" s="71"/>
      <c r="BH435" s="71"/>
      <c r="BI435" s="71"/>
      <c r="BJ435" s="71"/>
      <c r="BK435" s="71"/>
      <c r="BL435" s="71"/>
      <c r="BM435" s="71"/>
    </row>
    <row r="436">
      <c r="A436" s="72"/>
      <c r="B436" s="72"/>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71"/>
      <c r="AO436" s="71"/>
      <c r="AP436" s="71"/>
      <c r="AQ436" s="71"/>
      <c r="AR436" s="71"/>
      <c r="AS436" s="71"/>
      <c r="AT436" s="71"/>
      <c r="AU436" s="71"/>
      <c r="AV436" s="71"/>
      <c r="AW436" s="71"/>
      <c r="AX436" s="71"/>
      <c r="AY436" s="71"/>
      <c r="AZ436" s="71"/>
      <c r="BA436" s="71"/>
      <c r="BB436" s="71"/>
      <c r="BC436" s="71"/>
      <c r="BD436" s="71"/>
      <c r="BE436" s="71"/>
      <c r="BF436" s="71"/>
      <c r="BG436" s="71"/>
      <c r="BH436" s="71"/>
      <c r="BI436" s="71"/>
      <c r="BJ436" s="71"/>
      <c r="BK436" s="71"/>
      <c r="BL436" s="71"/>
      <c r="BM436" s="71"/>
    </row>
    <row r="437">
      <c r="A437" s="72"/>
      <c r="B437" s="72"/>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71"/>
      <c r="AO437" s="71"/>
      <c r="AP437" s="71"/>
      <c r="AQ437" s="71"/>
      <c r="AR437" s="71"/>
      <c r="AS437" s="71"/>
      <c r="AT437" s="71"/>
      <c r="AU437" s="71"/>
      <c r="AV437" s="71"/>
      <c r="AW437" s="71"/>
      <c r="AX437" s="71"/>
      <c r="AY437" s="71"/>
      <c r="AZ437" s="71"/>
      <c r="BA437" s="71"/>
      <c r="BB437" s="71"/>
      <c r="BC437" s="71"/>
      <c r="BD437" s="71"/>
      <c r="BE437" s="71"/>
      <c r="BF437" s="71"/>
      <c r="BG437" s="71"/>
      <c r="BH437" s="71"/>
      <c r="BI437" s="71"/>
      <c r="BJ437" s="71"/>
      <c r="BK437" s="71"/>
      <c r="BL437" s="71"/>
      <c r="BM437" s="71"/>
    </row>
    <row r="438">
      <c r="A438" s="72"/>
      <c r="B438" s="72"/>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71"/>
      <c r="AO438" s="71"/>
      <c r="AP438" s="71"/>
      <c r="AQ438" s="71"/>
      <c r="AR438" s="71"/>
      <c r="AS438" s="71"/>
      <c r="AT438" s="71"/>
      <c r="AU438" s="71"/>
      <c r="AV438" s="71"/>
      <c r="AW438" s="71"/>
      <c r="AX438" s="71"/>
      <c r="AY438" s="71"/>
      <c r="AZ438" s="71"/>
      <c r="BA438" s="71"/>
      <c r="BB438" s="71"/>
      <c r="BC438" s="71"/>
      <c r="BD438" s="71"/>
      <c r="BE438" s="71"/>
      <c r="BF438" s="71"/>
      <c r="BG438" s="71"/>
      <c r="BH438" s="71"/>
      <c r="BI438" s="71"/>
      <c r="BJ438" s="71"/>
      <c r="BK438" s="71"/>
      <c r="BL438" s="71"/>
      <c r="BM438" s="71"/>
    </row>
    <row r="439">
      <c r="A439" s="72"/>
      <c r="B439" s="72"/>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71"/>
      <c r="AO439" s="71"/>
      <c r="AP439" s="71"/>
      <c r="AQ439" s="71"/>
      <c r="AR439" s="71"/>
      <c r="AS439" s="71"/>
      <c r="AT439" s="71"/>
      <c r="AU439" s="71"/>
      <c r="AV439" s="71"/>
      <c r="AW439" s="71"/>
      <c r="AX439" s="71"/>
      <c r="AY439" s="71"/>
      <c r="AZ439" s="71"/>
      <c r="BA439" s="71"/>
      <c r="BB439" s="71"/>
      <c r="BC439" s="71"/>
      <c r="BD439" s="71"/>
      <c r="BE439" s="71"/>
      <c r="BF439" s="71"/>
      <c r="BG439" s="71"/>
      <c r="BH439" s="71"/>
      <c r="BI439" s="71"/>
      <c r="BJ439" s="71"/>
      <c r="BK439" s="71"/>
      <c r="BL439" s="71"/>
      <c r="BM439" s="71"/>
    </row>
    <row r="440">
      <c r="A440" s="72"/>
      <c r="B440" s="72"/>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71"/>
      <c r="AO440" s="71"/>
      <c r="AP440" s="71"/>
      <c r="AQ440" s="71"/>
      <c r="AR440" s="71"/>
      <c r="AS440" s="71"/>
      <c r="AT440" s="71"/>
      <c r="AU440" s="71"/>
      <c r="AV440" s="71"/>
      <c r="AW440" s="71"/>
      <c r="AX440" s="71"/>
      <c r="AY440" s="71"/>
      <c r="AZ440" s="71"/>
      <c r="BA440" s="71"/>
      <c r="BB440" s="71"/>
      <c r="BC440" s="71"/>
      <c r="BD440" s="71"/>
      <c r="BE440" s="71"/>
      <c r="BF440" s="71"/>
      <c r="BG440" s="71"/>
      <c r="BH440" s="71"/>
      <c r="BI440" s="71"/>
      <c r="BJ440" s="71"/>
      <c r="BK440" s="71"/>
      <c r="BL440" s="71"/>
      <c r="BM440" s="71"/>
    </row>
    <row r="441">
      <c r="A441" s="72"/>
      <c r="B441" s="72"/>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71"/>
      <c r="AO441" s="71"/>
      <c r="AP441" s="71"/>
      <c r="AQ441" s="71"/>
      <c r="AR441" s="71"/>
      <c r="AS441" s="71"/>
      <c r="AT441" s="71"/>
      <c r="AU441" s="71"/>
      <c r="AV441" s="71"/>
      <c r="AW441" s="71"/>
      <c r="AX441" s="71"/>
      <c r="AY441" s="71"/>
      <c r="AZ441" s="71"/>
      <c r="BA441" s="71"/>
      <c r="BB441" s="71"/>
      <c r="BC441" s="71"/>
      <c r="BD441" s="71"/>
      <c r="BE441" s="71"/>
      <c r="BF441" s="71"/>
      <c r="BG441" s="71"/>
      <c r="BH441" s="71"/>
      <c r="BI441" s="71"/>
      <c r="BJ441" s="71"/>
      <c r="BK441" s="71"/>
      <c r="BL441" s="71"/>
      <c r="BM441" s="71"/>
    </row>
    <row r="442">
      <c r="A442" s="72"/>
      <c r="B442" s="72"/>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71"/>
      <c r="AO442" s="71"/>
      <c r="AP442" s="71"/>
      <c r="AQ442" s="71"/>
      <c r="AR442" s="71"/>
      <c r="AS442" s="71"/>
      <c r="AT442" s="71"/>
      <c r="AU442" s="71"/>
      <c r="AV442" s="71"/>
      <c r="AW442" s="71"/>
      <c r="AX442" s="71"/>
      <c r="AY442" s="71"/>
      <c r="AZ442" s="71"/>
      <c r="BA442" s="71"/>
      <c r="BB442" s="71"/>
      <c r="BC442" s="71"/>
      <c r="BD442" s="71"/>
      <c r="BE442" s="71"/>
      <c r="BF442" s="71"/>
      <c r="BG442" s="71"/>
      <c r="BH442" s="71"/>
      <c r="BI442" s="71"/>
      <c r="BJ442" s="71"/>
      <c r="BK442" s="71"/>
      <c r="BL442" s="71"/>
      <c r="BM442" s="71"/>
    </row>
    <row r="443">
      <c r="A443" s="72"/>
      <c r="B443" s="72"/>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71"/>
      <c r="AO443" s="71"/>
      <c r="AP443" s="71"/>
      <c r="AQ443" s="71"/>
      <c r="AR443" s="71"/>
      <c r="AS443" s="71"/>
      <c r="AT443" s="71"/>
      <c r="AU443" s="71"/>
      <c r="AV443" s="71"/>
      <c r="AW443" s="71"/>
      <c r="AX443" s="71"/>
      <c r="AY443" s="71"/>
      <c r="AZ443" s="71"/>
      <c r="BA443" s="71"/>
      <c r="BB443" s="71"/>
      <c r="BC443" s="71"/>
      <c r="BD443" s="71"/>
      <c r="BE443" s="71"/>
      <c r="BF443" s="71"/>
      <c r="BG443" s="71"/>
      <c r="BH443" s="71"/>
      <c r="BI443" s="71"/>
      <c r="BJ443" s="71"/>
      <c r="BK443" s="71"/>
      <c r="BL443" s="71"/>
      <c r="BM443" s="71"/>
    </row>
    <row r="444">
      <c r="A444" s="72"/>
      <c r="B444" s="72"/>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71"/>
      <c r="AO444" s="71"/>
      <c r="AP444" s="71"/>
      <c r="AQ444" s="71"/>
      <c r="AR444" s="71"/>
      <c r="AS444" s="71"/>
      <c r="AT444" s="71"/>
      <c r="AU444" s="71"/>
      <c r="AV444" s="71"/>
      <c r="AW444" s="71"/>
      <c r="AX444" s="71"/>
      <c r="AY444" s="71"/>
      <c r="AZ444" s="71"/>
      <c r="BA444" s="71"/>
      <c r="BB444" s="71"/>
      <c r="BC444" s="71"/>
      <c r="BD444" s="71"/>
      <c r="BE444" s="71"/>
      <c r="BF444" s="71"/>
      <c r="BG444" s="71"/>
      <c r="BH444" s="71"/>
      <c r="BI444" s="71"/>
      <c r="BJ444" s="71"/>
      <c r="BK444" s="71"/>
      <c r="BL444" s="71"/>
      <c r="BM444" s="71"/>
    </row>
    <row r="445">
      <c r="A445" s="72"/>
      <c r="B445" s="72"/>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1"/>
      <c r="AH445" s="71"/>
      <c r="AI445" s="71"/>
      <c r="AJ445" s="71"/>
      <c r="AK445" s="71"/>
      <c r="AL445" s="71"/>
      <c r="AM445" s="71"/>
      <c r="AN445" s="71"/>
      <c r="AO445" s="71"/>
      <c r="AP445" s="71"/>
      <c r="AQ445" s="71"/>
      <c r="AR445" s="71"/>
      <c r="AS445" s="71"/>
      <c r="AT445" s="71"/>
      <c r="AU445" s="71"/>
      <c r="AV445" s="71"/>
      <c r="AW445" s="71"/>
      <c r="AX445" s="71"/>
      <c r="AY445" s="71"/>
      <c r="AZ445" s="71"/>
      <c r="BA445" s="71"/>
      <c r="BB445" s="71"/>
      <c r="BC445" s="71"/>
      <c r="BD445" s="71"/>
      <c r="BE445" s="71"/>
      <c r="BF445" s="71"/>
      <c r="BG445" s="71"/>
      <c r="BH445" s="71"/>
      <c r="BI445" s="71"/>
      <c r="BJ445" s="71"/>
      <c r="BK445" s="71"/>
      <c r="BL445" s="71"/>
      <c r="BM445" s="71"/>
    </row>
    <row r="446">
      <c r="A446" s="72"/>
      <c r="B446" s="72"/>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c r="AA446" s="71"/>
      <c r="AB446" s="71"/>
      <c r="AC446" s="71"/>
      <c r="AD446" s="71"/>
      <c r="AE446" s="71"/>
      <c r="AF446" s="71"/>
      <c r="AG446" s="71"/>
      <c r="AH446" s="71"/>
      <c r="AI446" s="71"/>
      <c r="AJ446" s="71"/>
      <c r="AK446" s="71"/>
      <c r="AL446" s="71"/>
      <c r="AM446" s="71"/>
      <c r="AN446" s="71"/>
      <c r="AO446" s="71"/>
      <c r="AP446" s="71"/>
      <c r="AQ446" s="71"/>
      <c r="AR446" s="71"/>
      <c r="AS446" s="71"/>
      <c r="AT446" s="71"/>
      <c r="AU446" s="71"/>
      <c r="AV446" s="71"/>
      <c r="AW446" s="71"/>
      <c r="AX446" s="71"/>
      <c r="AY446" s="71"/>
      <c r="AZ446" s="71"/>
      <c r="BA446" s="71"/>
      <c r="BB446" s="71"/>
      <c r="BC446" s="71"/>
      <c r="BD446" s="71"/>
      <c r="BE446" s="71"/>
      <c r="BF446" s="71"/>
      <c r="BG446" s="71"/>
      <c r="BH446" s="71"/>
      <c r="BI446" s="71"/>
      <c r="BJ446" s="71"/>
      <c r="BK446" s="71"/>
      <c r="BL446" s="71"/>
      <c r="BM446" s="71"/>
    </row>
    <row r="447">
      <c r="A447" s="72"/>
      <c r="B447" s="72"/>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1"/>
      <c r="AH447" s="71"/>
      <c r="AI447" s="71"/>
      <c r="AJ447" s="71"/>
      <c r="AK447" s="71"/>
      <c r="AL447" s="71"/>
      <c r="AM447" s="71"/>
      <c r="AN447" s="71"/>
      <c r="AO447" s="71"/>
      <c r="AP447" s="71"/>
      <c r="AQ447" s="71"/>
      <c r="AR447" s="71"/>
      <c r="AS447" s="71"/>
      <c r="AT447" s="71"/>
      <c r="AU447" s="71"/>
      <c r="AV447" s="71"/>
      <c r="AW447" s="71"/>
      <c r="AX447" s="71"/>
      <c r="AY447" s="71"/>
      <c r="AZ447" s="71"/>
      <c r="BA447" s="71"/>
      <c r="BB447" s="71"/>
      <c r="BC447" s="71"/>
      <c r="BD447" s="71"/>
      <c r="BE447" s="71"/>
      <c r="BF447" s="71"/>
      <c r="BG447" s="71"/>
      <c r="BH447" s="71"/>
      <c r="BI447" s="71"/>
      <c r="BJ447" s="71"/>
      <c r="BK447" s="71"/>
      <c r="BL447" s="71"/>
      <c r="BM447" s="71"/>
    </row>
    <row r="448">
      <c r="A448" s="72"/>
      <c r="B448" s="72"/>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71"/>
      <c r="AG448" s="71"/>
      <c r="AH448" s="71"/>
      <c r="AI448" s="71"/>
      <c r="AJ448" s="71"/>
      <c r="AK448" s="71"/>
      <c r="AL448" s="71"/>
      <c r="AM448" s="71"/>
      <c r="AN448" s="71"/>
      <c r="AO448" s="71"/>
      <c r="AP448" s="71"/>
      <c r="AQ448" s="71"/>
      <c r="AR448" s="71"/>
      <c r="AS448" s="71"/>
      <c r="AT448" s="71"/>
      <c r="AU448" s="71"/>
      <c r="AV448" s="71"/>
      <c r="AW448" s="71"/>
      <c r="AX448" s="71"/>
      <c r="AY448" s="71"/>
      <c r="AZ448" s="71"/>
      <c r="BA448" s="71"/>
      <c r="BB448" s="71"/>
      <c r="BC448" s="71"/>
      <c r="BD448" s="71"/>
      <c r="BE448" s="71"/>
      <c r="BF448" s="71"/>
      <c r="BG448" s="71"/>
      <c r="BH448" s="71"/>
      <c r="BI448" s="71"/>
      <c r="BJ448" s="71"/>
      <c r="BK448" s="71"/>
      <c r="BL448" s="71"/>
      <c r="BM448" s="71"/>
    </row>
    <row r="449">
      <c r="A449" s="72"/>
      <c r="B449" s="72"/>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1"/>
      <c r="AH449" s="71"/>
      <c r="AI449" s="71"/>
      <c r="AJ449" s="71"/>
      <c r="AK449" s="71"/>
      <c r="AL449" s="71"/>
      <c r="AM449" s="71"/>
      <c r="AN449" s="71"/>
      <c r="AO449" s="71"/>
      <c r="AP449" s="71"/>
      <c r="AQ449" s="71"/>
      <c r="AR449" s="71"/>
      <c r="AS449" s="71"/>
      <c r="AT449" s="71"/>
      <c r="AU449" s="71"/>
      <c r="AV449" s="71"/>
      <c r="AW449" s="71"/>
      <c r="AX449" s="71"/>
      <c r="AY449" s="71"/>
      <c r="AZ449" s="71"/>
      <c r="BA449" s="71"/>
      <c r="BB449" s="71"/>
      <c r="BC449" s="71"/>
      <c r="BD449" s="71"/>
      <c r="BE449" s="71"/>
      <c r="BF449" s="71"/>
      <c r="BG449" s="71"/>
      <c r="BH449" s="71"/>
      <c r="BI449" s="71"/>
      <c r="BJ449" s="71"/>
      <c r="BK449" s="71"/>
      <c r="BL449" s="71"/>
      <c r="BM449" s="71"/>
    </row>
    <row r="450">
      <c r="A450" s="72"/>
      <c r="B450" s="72"/>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71"/>
      <c r="AO450" s="71"/>
      <c r="AP450" s="71"/>
      <c r="AQ450" s="71"/>
      <c r="AR450" s="71"/>
      <c r="AS450" s="71"/>
      <c r="AT450" s="71"/>
      <c r="AU450" s="71"/>
      <c r="AV450" s="71"/>
      <c r="AW450" s="71"/>
      <c r="AX450" s="71"/>
      <c r="AY450" s="71"/>
      <c r="AZ450" s="71"/>
      <c r="BA450" s="71"/>
      <c r="BB450" s="71"/>
      <c r="BC450" s="71"/>
      <c r="BD450" s="71"/>
      <c r="BE450" s="71"/>
      <c r="BF450" s="71"/>
      <c r="BG450" s="71"/>
      <c r="BH450" s="71"/>
      <c r="BI450" s="71"/>
      <c r="BJ450" s="71"/>
      <c r="BK450" s="71"/>
      <c r="BL450" s="71"/>
      <c r="BM450" s="71"/>
    </row>
    <row r="451">
      <c r="A451" s="72"/>
      <c r="B451" s="72"/>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1"/>
      <c r="AH451" s="71"/>
      <c r="AI451" s="71"/>
      <c r="AJ451" s="71"/>
      <c r="AK451" s="71"/>
      <c r="AL451" s="71"/>
      <c r="AM451" s="71"/>
      <c r="AN451" s="71"/>
      <c r="AO451" s="71"/>
      <c r="AP451" s="71"/>
      <c r="AQ451" s="71"/>
      <c r="AR451" s="71"/>
      <c r="AS451" s="71"/>
      <c r="AT451" s="71"/>
      <c r="AU451" s="71"/>
      <c r="AV451" s="71"/>
      <c r="AW451" s="71"/>
      <c r="AX451" s="71"/>
      <c r="AY451" s="71"/>
      <c r="AZ451" s="71"/>
      <c r="BA451" s="71"/>
      <c r="BB451" s="71"/>
      <c r="BC451" s="71"/>
      <c r="BD451" s="71"/>
      <c r="BE451" s="71"/>
      <c r="BF451" s="71"/>
      <c r="BG451" s="71"/>
      <c r="BH451" s="71"/>
      <c r="BI451" s="71"/>
      <c r="BJ451" s="71"/>
      <c r="BK451" s="71"/>
      <c r="BL451" s="71"/>
      <c r="BM451" s="71"/>
    </row>
    <row r="452">
      <c r="A452" s="72"/>
      <c r="B452" s="72"/>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c r="AA452" s="71"/>
      <c r="AB452" s="71"/>
      <c r="AC452" s="71"/>
      <c r="AD452" s="71"/>
      <c r="AE452" s="71"/>
      <c r="AF452" s="71"/>
      <c r="AG452" s="71"/>
      <c r="AH452" s="71"/>
      <c r="AI452" s="71"/>
      <c r="AJ452" s="71"/>
      <c r="AK452" s="71"/>
      <c r="AL452" s="71"/>
      <c r="AM452" s="71"/>
      <c r="AN452" s="71"/>
      <c r="AO452" s="71"/>
      <c r="AP452" s="71"/>
      <c r="AQ452" s="71"/>
      <c r="AR452" s="71"/>
      <c r="AS452" s="71"/>
      <c r="AT452" s="71"/>
      <c r="AU452" s="71"/>
      <c r="AV452" s="71"/>
      <c r="AW452" s="71"/>
      <c r="AX452" s="71"/>
      <c r="AY452" s="71"/>
      <c r="AZ452" s="71"/>
      <c r="BA452" s="71"/>
      <c r="BB452" s="71"/>
      <c r="BC452" s="71"/>
      <c r="BD452" s="71"/>
      <c r="BE452" s="71"/>
      <c r="BF452" s="71"/>
      <c r="BG452" s="71"/>
      <c r="BH452" s="71"/>
      <c r="BI452" s="71"/>
      <c r="BJ452" s="71"/>
      <c r="BK452" s="71"/>
      <c r="BL452" s="71"/>
      <c r="BM452" s="71"/>
    </row>
    <row r="453">
      <c r="A453" s="72"/>
      <c r="B453" s="72"/>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1"/>
      <c r="AH453" s="71"/>
      <c r="AI453" s="71"/>
      <c r="AJ453" s="71"/>
      <c r="AK453" s="71"/>
      <c r="AL453" s="71"/>
      <c r="AM453" s="71"/>
      <c r="AN453" s="71"/>
      <c r="AO453" s="71"/>
      <c r="AP453" s="71"/>
      <c r="AQ453" s="71"/>
      <c r="AR453" s="71"/>
      <c r="AS453" s="71"/>
      <c r="AT453" s="71"/>
      <c r="AU453" s="71"/>
      <c r="AV453" s="71"/>
      <c r="AW453" s="71"/>
      <c r="AX453" s="71"/>
      <c r="AY453" s="71"/>
      <c r="AZ453" s="71"/>
      <c r="BA453" s="71"/>
      <c r="BB453" s="71"/>
      <c r="BC453" s="71"/>
      <c r="BD453" s="71"/>
      <c r="BE453" s="71"/>
      <c r="BF453" s="71"/>
      <c r="BG453" s="71"/>
      <c r="BH453" s="71"/>
      <c r="BI453" s="71"/>
      <c r="BJ453" s="71"/>
      <c r="BK453" s="71"/>
      <c r="BL453" s="71"/>
      <c r="BM453" s="71"/>
    </row>
    <row r="454">
      <c r="A454" s="72"/>
      <c r="B454" s="72"/>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c r="AA454" s="71"/>
      <c r="AB454" s="71"/>
      <c r="AC454" s="71"/>
      <c r="AD454" s="71"/>
      <c r="AE454" s="71"/>
      <c r="AF454" s="71"/>
      <c r="AG454" s="71"/>
      <c r="AH454" s="71"/>
      <c r="AI454" s="71"/>
      <c r="AJ454" s="71"/>
      <c r="AK454" s="71"/>
      <c r="AL454" s="71"/>
      <c r="AM454" s="71"/>
      <c r="AN454" s="71"/>
      <c r="AO454" s="71"/>
      <c r="AP454" s="71"/>
      <c r="AQ454" s="71"/>
      <c r="AR454" s="71"/>
      <c r="AS454" s="71"/>
      <c r="AT454" s="71"/>
      <c r="AU454" s="71"/>
      <c r="AV454" s="71"/>
      <c r="AW454" s="71"/>
      <c r="AX454" s="71"/>
      <c r="AY454" s="71"/>
      <c r="AZ454" s="71"/>
      <c r="BA454" s="71"/>
      <c r="BB454" s="71"/>
      <c r="BC454" s="71"/>
      <c r="BD454" s="71"/>
      <c r="BE454" s="71"/>
      <c r="BF454" s="71"/>
      <c r="BG454" s="71"/>
      <c r="BH454" s="71"/>
      <c r="BI454" s="71"/>
      <c r="BJ454" s="71"/>
      <c r="BK454" s="71"/>
      <c r="BL454" s="71"/>
      <c r="BM454" s="71"/>
    </row>
    <row r="455">
      <c r="A455" s="72"/>
      <c r="B455" s="72"/>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1"/>
      <c r="AH455" s="71"/>
      <c r="AI455" s="71"/>
      <c r="AJ455" s="71"/>
      <c r="AK455" s="71"/>
      <c r="AL455" s="71"/>
      <c r="AM455" s="71"/>
      <c r="AN455" s="71"/>
      <c r="AO455" s="71"/>
      <c r="AP455" s="71"/>
      <c r="AQ455" s="71"/>
      <c r="AR455" s="71"/>
      <c r="AS455" s="71"/>
      <c r="AT455" s="71"/>
      <c r="AU455" s="71"/>
      <c r="AV455" s="71"/>
      <c r="AW455" s="71"/>
      <c r="AX455" s="71"/>
      <c r="AY455" s="71"/>
      <c r="AZ455" s="71"/>
      <c r="BA455" s="71"/>
      <c r="BB455" s="71"/>
      <c r="BC455" s="71"/>
      <c r="BD455" s="71"/>
      <c r="BE455" s="71"/>
      <c r="BF455" s="71"/>
      <c r="BG455" s="71"/>
      <c r="BH455" s="71"/>
      <c r="BI455" s="71"/>
      <c r="BJ455" s="71"/>
      <c r="BK455" s="71"/>
      <c r="BL455" s="71"/>
      <c r="BM455" s="71"/>
    </row>
    <row r="456">
      <c r="A456" s="72"/>
      <c r="B456" s="72"/>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c r="AA456" s="71"/>
      <c r="AB456" s="71"/>
      <c r="AC456" s="71"/>
      <c r="AD456" s="71"/>
      <c r="AE456" s="71"/>
      <c r="AF456" s="71"/>
      <c r="AG456" s="71"/>
      <c r="AH456" s="71"/>
      <c r="AI456" s="71"/>
      <c r="AJ456" s="71"/>
      <c r="AK456" s="71"/>
      <c r="AL456" s="71"/>
      <c r="AM456" s="71"/>
      <c r="AN456" s="71"/>
      <c r="AO456" s="71"/>
      <c r="AP456" s="71"/>
      <c r="AQ456" s="71"/>
      <c r="AR456" s="71"/>
      <c r="AS456" s="71"/>
      <c r="AT456" s="71"/>
      <c r="AU456" s="71"/>
      <c r="AV456" s="71"/>
      <c r="AW456" s="71"/>
      <c r="AX456" s="71"/>
      <c r="AY456" s="71"/>
      <c r="AZ456" s="71"/>
      <c r="BA456" s="71"/>
      <c r="BB456" s="71"/>
      <c r="BC456" s="71"/>
      <c r="BD456" s="71"/>
      <c r="BE456" s="71"/>
      <c r="BF456" s="71"/>
      <c r="BG456" s="71"/>
      <c r="BH456" s="71"/>
      <c r="BI456" s="71"/>
      <c r="BJ456" s="71"/>
      <c r="BK456" s="71"/>
      <c r="BL456" s="71"/>
      <c r="BM456" s="71"/>
    </row>
    <row r="457">
      <c r="A457" s="72"/>
      <c r="B457" s="72"/>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71"/>
      <c r="AO457" s="71"/>
      <c r="AP457" s="71"/>
      <c r="AQ457" s="71"/>
      <c r="AR457" s="71"/>
      <c r="AS457" s="71"/>
      <c r="AT457" s="71"/>
      <c r="AU457" s="71"/>
      <c r="AV457" s="71"/>
      <c r="AW457" s="71"/>
      <c r="AX457" s="71"/>
      <c r="AY457" s="71"/>
      <c r="AZ457" s="71"/>
      <c r="BA457" s="71"/>
      <c r="BB457" s="71"/>
      <c r="BC457" s="71"/>
      <c r="BD457" s="71"/>
      <c r="BE457" s="71"/>
      <c r="BF457" s="71"/>
      <c r="BG457" s="71"/>
      <c r="BH457" s="71"/>
      <c r="BI457" s="71"/>
      <c r="BJ457" s="71"/>
      <c r="BK457" s="71"/>
      <c r="BL457" s="71"/>
      <c r="BM457" s="71"/>
    </row>
    <row r="458">
      <c r="A458" s="72"/>
      <c r="B458" s="72"/>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c r="AA458" s="71"/>
      <c r="AB458" s="71"/>
      <c r="AC458" s="71"/>
      <c r="AD458" s="71"/>
      <c r="AE458" s="71"/>
      <c r="AF458" s="71"/>
      <c r="AG458" s="71"/>
      <c r="AH458" s="71"/>
      <c r="AI458" s="71"/>
      <c r="AJ458" s="71"/>
      <c r="AK458" s="71"/>
      <c r="AL458" s="71"/>
      <c r="AM458" s="71"/>
      <c r="AN458" s="71"/>
      <c r="AO458" s="71"/>
      <c r="AP458" s="71"/>
      <c r="AQ458" s="71"/>
      <c r="AR458" s="71"/>
      <c r="AS458" s="71"/>
      <c r="AT458" s="71"/>
      <c r="AU458" s="71"/>
      <c r="AV458" s="71"/>
      <c r="AW458" s="71"/>
      <c r="AX458" s="71"/>
      <c r="AY458" s="71"/>
      <c r="AZ458" s="71"/>
      <c r="BA458" s="71"/>
      <c r="BB458" s="71"/>
      <c r="BC458" s="71"/>
      <c r="BD458" s="71"/>
      <c r="BE458" s="71"/>
      <c r="BF458" s="71"/>
      <c r="BG458" s="71"/>
      <c r="BH458" s="71"/>
      <c r="BI458" s="71"/>
      <c r="BJ458" s="71"/>
      <c r="BK458" s="71"/>
      <c r="BL458" s="71"/>
      <c r="BM458" s="71"/>
    </row>
    <row r="459">
      <c r="A459" s="72"/>
      <c r="B459" s="72"/>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1"/>
      <c r="AH459" s="71"/>
      <c r="AI459" s="71"/>
      <c r="AJ459" s="71"/>
      <c r="AK459" s="71"/>
      <c r="AL459" s="71"/>
      <c r="AM459" s="71"/>
      <c r="AN459" s="71"/>
      <c r="AO459" s="71"/>
      <c r="AP459" s="71"/>
      <c r="AQ459" s="71"/>
      <c r="AR459" s="71"/>
      <c r="AS459" s="71"/>
      <c r="AT459" s="71"/>
      <c r="AU459" s="71"/>
      <c r="AV459" s="71"/>
      <c r="AW459" s="71"/>
      <c r="AX459" s="71"/>
      <c r="AY459" s="71"/>
      <c r="AZ459" s="71"/>
      <c r="BA459" s="71"/>
      <c r="BB459" s="71"/>
      <c r="BC459" s="71"/>
      <c r="BD459" s="71"/>
      <c r="BE459" s="71"/>
      <c r="BF459" s="71"/>
      <c r="BG459" s="71"/>
      <c r="BH459" s="71"/>
      <c r="BI459" s="71"/>
      <c r="BJ459" s="71"/>
      <c r="BK459" s="71"/>
      <c r="BL459" s="71"/>
      <c r="BM459" s="71"/>
    </row>
    <row r="460">
      <c r="A460" s="72"/>
      <c r="B460" s="72"/>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c r="AA460" s="71"/>
      <c r="AB460" s="71"/>
      <c r="AC460" s="71"/>
      <c r="AD460" s="71"/>
      <c r="AE460" s="71"/>
      <c r="AF460" s="71"/>
      <c r="AG460" s="71"/>
      <c r="AH460" s="71"/>
      <c r="AI460" s="71"/>
      <c r="AJ460" s="71"/>
      <c r="AK460" s="71"/>
      <c r="AL460" s="71"/>
      <c r="AM460" s="71"/>
      <c r="AN460" s="71"/>
      <c r="AO460" s="71"/>
      <c r="AP460" s="71"/>
      <c r="AQ460" s="71"/>
      <c r="AR460" s="71"/>
      <c r="AS460" s="71"/>
      <c r="AT460" s="71"/>
      <c r="AU460" s="71"/>
      <c r="AV460" s="71"/>
      <c r="AW460" s="71"/>
      <c r="AX460" s="71"/>
      <c r="AY460" s="71"/>
      <c r="AZ460" s="71"/>
      <c r="BA460" s="71"/>
      <c r="BB460" s="71"/>
      <c r="BC460" s="71"/>
      <c r="BD460" s="71"/>
      <c r="BE460" s="71"/>
      <c r="BF460" s="71"/>
      <c r="BG460" s="71"/>
      <c r="BH460" s="71"/>
      <c r="BI460" s="71"/>
      <c r="BJ460" s="71"/>
      <c r="BK460" s="71"/>
      <c r="BL460" s="71"/>
      <c r="BM460" s="71"/>
    </row>
    <row r="461">
      <c r="A461" s="72"/>
      <c r="B461" s="72"/>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1"/>
      <c r="AH461" s="71"/>
      <c r="AI461" s="71"/>
      <c r="AJ461" s="71"/>
      <c r="AK461" s="71"/>
      <c r="AL461" s="71"/>
      <c r="AM461" s="71"/>
      <c r="AN461" s="71"/>
      <c r="AO461" s="71"/>
      <c r="AP461" s="71"/>
      <c r="AQ461" s="71"/>
      <c r="AR461" s="71"/>
      <c r="AS461" s="71"/>
      <c r="AT461" s="71"/>
      <c r="AU461" s="71"/>
      <c r="AV461" s="71"/>
      <c r="AW461" s="71"/>
      <c r="AX461" s="71"/>
      <c r="AY461" s="71"/>
      <c r="AZ461" s="71"/>
      <c r="BA461" s="71"/>
      <c r="BB461" s="71"/>
      <c r="BC461" s="71"/>
      <c r="BD461" s="71"/>
      <c r="BE461" s="71"/>
      <c r="BF461" s="71"/>
      <c r="BG461" s="71"/>
      <c r="BH461" s="71"/>
      <c r="BI461" s="71"/>
      <c r="BJ461" s="71"/>
      <c r="BK461" s="71"/>
      <c r="BL461" s="71"/>
      <c r="BM461" s="71"/>
    </row>
    <row r="462">
      <c r="A462" s="72"/>
      <c r="B462" s="72"/>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c r="AA462" s="71"/>
      <c r="AB462" s="71"/>
      <c r="AC462" s="71"/>
      <c r="AD462" s="71"/>
      <c r="AE462" s="71"/>
      <c r="AF462" s="71"/>
      <c r="AG462" s="71"/>
      <c r="AH462" s="71"/>
      <c r="AI462" s="71"/>
      <c r="AJ462" s="71"/>
      <c r="AK462" s="71"/>
      <c r="AL462" s="71"/>
      <c r="AM462" s="71"/>
      <c r="AN462" s="71"/>
      <c r="AO462" s="71"/>
      <c r="AP462" s="71"/>
      <c r="AQ462" s="71"/>
      <c r="AR462" s="71"/>
      <c r="AS462" s="71"/>
      <c r="AT462" s="71"/>
      <c r="AU462" s="71"/>
      <c r="AV462" s="71"/>
      <c r="AW462" s="71"/>
      <c r="AX462" s="71"/>
      <c r="AY462" s="71"/>
      <c r="AZ462" s="71"/>
      <c r="BA462" s="71"/>
      <c r="BB462" s="71"/>
      <c r="BC462" s="71"/>
      <c r="BD462" s="71"/>
      <c r="BE462" s="71"/>
      <c r="BF462" s="71"/>
      <c r="BG462" s="71"/>
      <c r="BH462" s="71"/>
      <c r="BI462" s="71"/>
      <c r="BJ462" s="71"/>
      <c r="BK462" s="71"/>
      <c r="BL462" s="71"/>
      <c r="BM462" s="71"/>
    </row>
    <row r="463">
      <c r="A463" s="72"/>
      <c r="B463" s="72"/>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1"/>
      <c r="AH463" s="71"/>
      <c r="AI463" s="71"/>
      <c r="AJ463" s="71"/>
      <c r="AK463" s="71"/>
      <c r="AL463" s="71"/>
      <c r="AM463" s="71"/>
      <c r="AN463" s="71"/>
      <c r="AO463" s="71"/>
      <c r="AP463" s="71"/>
      <c r="AQ463" s="71"/>
      <c r="AR463" s="71"/>
      <c r="AS463" s="71"/>
      <c r="AT463" s="71"/>
      <c r="AU463" s="71"/>
      <c r="AV463" s="71"/>
      <c r="AW463" s="71"/>
      <c r="AX463" s="71"/>
      <c r="AY463" s="71"/>
      <c r="AZ463" s="71"/>
      <c r="BA463" s="71"/>
      <c r="BB463" s="71"/>
      <c r="BC463" s="71"/>
      <c r="BD463" s="71"/>
      <c r="BE463" s="71"/>
      <c r="BF463" s="71"/>
      <c r="BG463" s="71"/>
      <c r="BH463" s="71"/>
      <c r="BI463" s="71"/>
      <c r="BJ463" s="71"/>
      <c r="BK463" s="71"/>
      <c r="BL463" s="71"/>
      <c r="BM463" s="71"/>
    </row>
    <row r="464">
      <c r="A464" s="72"/>
      <c r="B464" s="72"/>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c r="AA464" s="71"/>
      <c r="AB464" s="71"/>
      <c r="AC464" s="71"/>
      <c r="AD464" s="71"/>
      <c r="AE464" s="71"/>
      <c r="AF464" s="71"/>
      <c r="AG464" s="71"/>
      <c r="AH464" s="71"/>
      <c r="AI464" s="71"/>
      <c r="AJ464" s="71"/>
      <c r="AK464" s="71"/>
      <c r="AL464" s="71"/>
      <c r="AM464" s="71"/>
      <c r="AN464" s="71"/>
      <c r="AO464" s="71"/>
      <c r="AP464" s="71"/>
      <c r="AQ464" s="71"/>
      <c r="AR464" s="71"/>
      <c r="AS464" s="71"/>
      <c r="AT464" s="71"/>
      <c r="AU464" s="71"/>
      <c r="AV464" s="71"/>
      <c r="AW464" s="71"/>
      <c r="AX464" s="71"/>
      <c r="AY464" s="71"/>
      <c r="AZ464" s="71"/>
      <c r="BA464" s="71"/>
      <c r="BB464" s="71"/>
      <c r="BC464" s="71"/>
      <c r="BD464" s="71"/>
      <c r="BE464" s="71"/>
      <c r="BF464" s="71"/>
      <c r="BG464" s="71"/>
      <c r="BH464" s="71"/>
      <c r="BI464" s="71"/>
      <c r="BJ464" s="71"/>
      <c r="BK464" s="71"/>
      <c r="BL464" s="71"/>
      <c r="BM464" s="71"/>
    </row>
    <row r="465">
      <c r="A465" s="72"/>
      <c r="B465" s="72"/>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1"/>
      <c r="AH465" s="71"/>
      <c r="AI465" s="71"/>
      <c r="AJ465" s="71"/>
      <c r="AK465" s="71"/>
      <c r="AL465" s="71"/>
      <c r="AM465" s="71"/>
      <c r="AN465" s="71"/>
      <c r="AO465" s="71"/>
      <c r="AP465" s="71"/>
      <c r="AQ465" s="71"/>
      <c r="AR465" s="71"/>
      <c r="AS465" s="71"/>
      <c r="AT465" s="71"/>
      <c r="AU465" s="71"/>
      <c r="AV465" s="71"/>
      <c r="AW465" s="71"/>
      <c r="AX465" s="71"/>
      <c r="AY465" s="71"/>
      <c r="AZ465" s="71"/>
      <c r="BA465" s="71"/>
      <c r="BB465" s="71"/>
      <c r="BC465" s="71"/>
      <c r="BD465" s="71"/>
      <c r="BE465" s="71"/>
      <c r="BF465" s="71"/>
      <c r="BG465" s="71"/>
      <c r="BH465" s="71"/>
      <c r="BI465" s="71"/>
      <c r="BJ465" s="71"/>
      <c r="BK465" s="71"/>
      <c r="BL465" s="71"/>
      <c r="BM465" s="71"/>
    </row>
    <row r="466">
      <c r="A466" s="72"/>
      <c r="B466" s="72"/>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c r="AA466" s="71"/>
      <c r="AB466" s="71"/>
      <c r="AC466" s="71"/>
      <c r="AD466" s="71"/>
      <c r="AE466" s="71"/>
      <c r="AF466" s="71"/>
      <c r="AG466" s="71"/>
      <c r="AH466" s="71"/>
      <c r="AI466" s="71"/>
      <c r="AJ466" s="71"/>
      <c r="AK466" s="71"/>
      <c r="AL466" s="71"/>
      <c r="AM466" s="71"/>
      <c r="AN466" s="71"/>
      <c r="AO466" s="71"/>
      <c r="AP466" s="71"/>
      <c r="AQ466" s="71"/>
      <c r="AR466" s="71"/>
      <c r="AS466" s="71"/>
      <c r="AT466" s="71"/>
      <c r="AU466" s="71"/>
      <c r="AV466" s="71"/>
      <c r="AW466" s="71"/>
      <c r="AX466" s="71"/>
      <c r="AY466" s="71"/>
      <c r="AZ466" s="71"/>
      <c r="BA466" s="71"/>
      <c r="BB466" s="71"/>
      <c r="BC466" s="71"/>
      <c r="BD466" s="71"/>
      <c r="BE466" s="71"/>
      <c r="BF466" s="71"/>
      <c r="BG466" s="71"/>
      <c r="BH466" s="71"/>
      <c r="BI466" s="71"/>
      <c r="BJ466" s="71"/>
      <c r="BK466" s="71"/>
      <c r="BL466" s="71"/>
      <c r="BM466" s="71"/>
    </row>
    <row r="467">
      <c r="A467" s="72"/>
      <c r="B467" s="72"/>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1"/>
      <c r="AH467" s="71"/>
      <c r="AI467" s="71"/>
      <c r="AJ467" s="71"/>
      <c r="AK467" s="71"/>
      <c r="AL467" s="71"/>
      <c r="AM467" s="71"/>
      <c r="AN467" s="71"/>
      <c r="AO467" s="71"/>
      <c r="AP467" s="71"/>
      <c r="AQ467" s="71"/>
      <c r="AR467" s="71"/>
      <c r="AS467" s="71"/>
      <c r="AT467" s="71"/>
      <c r="AU467" s="71"/>
      <c r="AV467" s="71"/>
      <c r="AW467" s="71"/>
      <c r="AX467" s="71"/>
      <c r="AY467" s="71"/>
      <c r="AZ467" s="71"/>
      <c r="BA467" s="71"/>
      <c r="BB467" s="71"/>
      <c r="BC467" s="71"/>
      <c r="BD467" s="71"/>
      <c r="BE467" s="71"/>
      <c r="BF467" s="71"/>
      <c r="BG467" s="71"/>
      <c r="BH467" s="71"/>
      <c r="BI467" s="71"/>
      <c r="BJ467" s="71"/>
      <c r="BK467" s="71"/>
      <c r="BL467" s="71"/>
      <c r="BM467" s="71"/>
    </row>
    <row r="468">
      <c r="A468" s="72"/>
      <c r="B468" s="72"/>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c r="AA468" s="71"/>
      <c r="AB468" s="71"/>
      <c r="AC468" s="71"/>
      <c r="AD468" s="71"/>
      <c r="AE468" s="71"/>
      <c r="AF468" s="71"/>
      <c r="AG468" s="71"/>
      <c r="AH468" s="71"/>
      <c r="AI468" s="71"/>
      <c r="AJ468" s="71"/>
      <c r="AK468" s="71"/>
      <c r="AL468" s="71"/>
      <c r="AM468" s="71"/>
      <c r="AN468" s="71"/>
      <c r="AO468" s="71"/>
      <c r="AP468" s="71"/>
      <c r="AQ468" s="71"/>
      <c r="AR468" s="71"/>
      <c r="AS468" s="71"/>
      <c r="AT468" s="71"/>
      <c r="AU468" s="71"/>
      <c r="AV468" s="71"/>
      <c r="AW468" s="71"/>
      <c r="AX468" s="71"/>
      <c r="AY468" s="71"/>
      <c r="AZ468" s="71"/>
      <c r="BA468" s="71"/>
      <c r="BB468" s="71"/>
      <c r="BC468" s="71"/>
      <c r="BD468" s="71"/>
      <c r="BE468" s="71"/>
      <c r="BF468" s="71"/>
      <c r="BG468" s="71"/>
      <c r="BH468" s="71"/>
      <c r="BI468" s="71"/>
      <c r="BJ468" s="71"/>
      <c r="BK468" s="71"/>
      <c r="BL468" s="71"/>
      <c r="BM468" s="71"/>
    </row>
    <row r="469">
      <c r="A469" s="72"/>
      <c r="B469" s="72"/>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1"/>
      <c r="AH469" s="71"/>
      <c r="AI469" s="71"/>
      <c r="AJ469" s="71"/>
      <c r="AK469" s="71"/>
      <c r="AL469" s="71"/>
      <c r="AM469" s="71"/>
      <c r="AN469" s="71"/>
      <c r="AO469" s="71"/>
      <c r="AP469" s="71"/>
      <c r="AQ469" s="71"/>
      <c r="AR469" s="71"/>
      <c r="AS469" s="71"/>
      <c r="AT469" s="71"/>
      <c r="AU469" s="71"/>
      <c r="AV469" s="71"/>
      <c r="AW469" s="71"/>
      <c r="AX469" s="71"/>
      <c r="AY469" s="71"/>
      <c r="AZ469" s="71"/>
      <c r="BA469" s="71"/>
      <c r="BB469" s="71"/>
      <c r="BC469" s="71"/>
      <c r="BD469" s="71"/>
      <c r="BE469" s="71"/>
      <c r="BF469" s="71"/>
      <c r="BG469" s="71"/>
      <c r="BH469" s="71"/>
      <c r="BI469" s="71"/>
      <c r="BJ469" s="71"/>
      <c r="BK469" s="71"/>
      <c r="BL469" s="71"/>
      <c r="BM469" s="71"/>
    </row>
    <row r="470">
      <c r="A470" s="72"/>
      <c r="B470" s="72"/>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c r="AA470" s="71"/>
      <c r="AB470" s="71"/>
      <c r="AC470" s="71"/>
      <c r="AD470" s="71"/>
      <c r="AE470" s="71"/>
      <c r="AF470" s="71"/>
      <c r="AG470" s="71"/>
      <c r="AH470" s="71"/>
      <c r="AI470" s="71"/>
      <c r="AJ470" s="71"/>
      <c r="AK470" s="71"/>
      <c r="AL470" s="71"/>
      <c r="AM470" s="71"/>
      <c r="AN470" s="71"/>
      <c r="AO470" s="71"/>
      <c r="AP470" s="71"/>
      <c r="AQ470" s="71"/>
      <c r="AR470" s="71"/>
      <c r="AS470" s="71"/>
      <c r="AT470" s="71"/>
      <c r="AU470" s="71"/>
      <c r="AV470" s="71"/>
      <c r="AW470" s="71"/>
      <c r="AX470" s="71"/>
      <c r="AY470" s="71"/>
      <c r="AZ470" s="71"/>
      <c r="BA470" s="71"/>
      <c r="BB470" s="71"/>
      <c r="BC470" s="71"/>
      <c r="BD470" s="71"/>
      <c r="BE470" s="71"/>
      <c r="BF470" s="71"/>
      <c r="BG470" s="71"/>
      <c r="BH470" s="71"/>
      <c r="BI470" s="71"/>
      <c r="BJ470" s="71"/>
      <c r="BK470" s="71"/>
      <c r="BL470" s="71"/>
      <c r="BM470" s="71"/>
    </row>
    <row r="471">
      <c r="A471" s="72"/>
      <c r="B471" s="72"/>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1"/>
      <c r="AH471" s="71"/>
      <c r="AI471" s="71"/>
      <c r="AJ471" s="71"/>
      <c r="AK471" s="71"/>
      <c r="AL471" s="71"/>
      <c r="AM471" s="71"/>
      <c r="AN471" s="71"/>
      <c r="AO471" s="71"/>
      <c r="AP471" s="71"/>
      <c r="AQ471" s="71"/>
      <c r="AR471" s="71"/>
      <c r="AS471" s="71"/>
      <c r="AT471" s="71"/>
      <c r="AU471" s="71"/>
      <c r="AV471" s="71"/>
      <c r="AW471" s="71"/>
      <c r="AX471" s="71"/>
      <c r="AY471" s="71"/>
      <c r="AZ471" s="71"/>
      <c r="BA471" s="71"/>
      <c r="BB471" s="71"/>
      <c r="BC471" s="71"/>
      <c r="BD471" s="71"/>
      <c r="BE471" s="71"/>
      <c r="BF471" s="71"/>
      <c r="BG471" s="71"/>
      <c r="BH471" s="71"/>
      <c r="BI471" s="71"/>
      <c r="BJ471" s="71"/>
      <c r="BK471" s="71"/>
      <c r="BL471" s="71"/>
      <c r="BM471" s="71"/>
    </row>
    <row r="472">
      <c r="A472" s="72"/>
      <c r="B472" s="72"/>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c r="AA472" s="71"/>
      <c r="AB472" s="71"/>
      <c r="AC472" s="71"/>
      <c r="AD472" s="71"/>
      <c r="AE472" s="71"/>
      <c r="AF472" s="71"/>
      <c r="AG472" s="71"/>
      <c r="AH472" s="71"/>
      <c r="AI472" s="71"/>
      <c r="AJ472" s="71"/>
      <c r="AK472" s="71"/>
      <c r="AL472" s="71"/>
      <c r="AM472" s="71"/>
      <c r="AN472" s="71"/>
      <c r="AO472" s="71"/>
      <c r="AP472" s="71"/>
      <c r="AQ472" s="71"/>
      <c r="AR472" s="71"/>
      <c r="AS472" s="71"/>
      <c r="AT472" s="71"/>
      <c r="AU472" s="71"/>
      <c r="AV472" s="71"/>
      <c r="AW472" s="71"/>
      <c r="AX472" s="71"/>
      <c r="AY472" s="71"/>
      <c r="AZ472" s="71"/>
      <c r="BA472" s="71"/>
      <c r="BB472" s="71"/>
      <c r="BC472" s="71"/>
      <c r="BD472" s="71"/>
      <c r="BE472" s="71"/>
      <c r="BF472" s="71"/>
      <c r="BG472" s="71"/>
      <c r="BH472" s="71"/>
      <c r="BI472" s="71"/>
      <c r="BJ472" s="71"/>
      <c r="BK472" s="71"/>
      <c r="BL472" s="71"/>
      <c r="BM472" s="71"/>
    </row>
    <row r="473">
      <c r="A473" s="72"/>
      <c r="B473" s="72"/>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1"/>
      <c r="AH473" s="71"/>
      <c r="AI473" s="71"/>
      <c r="AJ473" s="71"/>
      <c r="AK473" s="71"/>
      <c r="AL473" s="71"/>
      <c r="AM473" s="71"/>
      <c r="AN473" s="71"/>
      <c r="AO473" s="71"/>
      <c r="AP473" s="71"/>
      <c r="AQ473" s="71"/>
      <c r="AR473" s="71"/>
      <c r="AS473" s="71"/>
      <c r="AT473" s="71"/>
      <c r="AU473" s="71"/>
      <c r="AV473" s="71"/>
      <c r="AW473" s="71"/>
      <c r="AX473" s="71"/>
      <c r="AY473" s="71"/>
      <c r="AZ473" s="71"/>
      <c r="BA473" s="71"/>
      <c r="BB473" s="71"/>
      <c r="BC473" s="71"/>
      <c r="BD473" s="71"/>
      <c r="BE473" s="71"/>
      <c r="BF473" s="71"/>
      <c r="BG473" s="71"/>
      <c r="BH473" s="71"/>
      <c r="BI473" s="71"/>
      <c r="BJ473" s="71"/>
      <c r="BK473" s="71"/>
      <c r="BL473" s="71"/>
      <c r="BM473" s="71"/>
    </row>
    <row r="474">
      <c r="A474" s="72"/>
      <c r="B474" s="72"/>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c r="AA474" s="71"/>
      <c r="AB474" s="71"/>
      <c r="AC474" s="71"/>
      <c r="AD474" s="71"/>
      <c r="AE474" s="71"/>
      <c r="AF474" s="71"/>
      <c r="AG474" s="71"/>
      <c r="AH474" s="71"/>
      <c r="AI474" s="71"/>
      <c r="AJ474" s="71"/>
      <c r="AK474" s="71"/>
      <c r="AL474" s="71"/>
      <c r="AM474" s="71"/>
      <c r="AN474" s="71"/>
      <c r="AO474" s="71"/>
      <c r="AP474" s="71"/>
      <c r="AQ474" s="71"/>
      <c r="AR474" s="71"/>
      <c r="AS474" s="71"/>
      <c r="AT474" s="71"/>
      <c r="AU474" s="71"/>
      <c r="AV474" s="71"/>
      <c r="AW474" s="71"/>
      <c r="AX474" s="71"/>
      <c r="AY474" s="71"/>
      <c r="AZ474" s="71"/>
      <c r="BA474" s="71"/>
      <c r="BB474" s="71"/>
      <c r="BC474" s="71"/>
      <c r="BD474" s="71"/>
      <c r="BE474" s="71"/>
      <c r="BF474" s="71"/>
      <c r="BG474" s="71"/>
      <c r="BH474" s="71"/>
      <c r="BI474" s="71"/>
      <c r="BJ474" s="71"/>
      <c r="BK474" s="71"/>
      <c r="BL474" s="71"/>
      <c r="BM474" s="71"/>
    </row>
    <row r="475">
      <c r="A475" s="72"/>
      <c r="B475" s="72"/>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1"/>
      <c r="AH475" s="71"/>
      <c r="AI475" s="71"/>
      <c r="AJ475" s="71"/>
      <c r="AK475" s="71"/>
      <c r="AL475" s="71"/>
      <c r="AM475" s="71"/>
      <c r="AN475" s="71"/>
      <c r="AO475" s="71"/>
      <c r="AP475" s="71"/>
      <c r="AQ475" s="71"/>
      <c r="AR475" s="71"/>
      <c r="AS475" s="71"/>
      <c r="AT475" s="71"/>
      <c r="AU475" s="71"/>
      <c r="AV475" s="71"/>
      <c r="AW475" s="71"/>
      <c r="AX475" s="71"/>
      <c r="AY475" s="71"/>
      <c r="AZ475" s="71"/>
      <c r="BA475" s="71"/>
      <c r="BB475" s="71"/>
      <c r="BC475" s="71"/>
      <c r="BD475" s="71"/>
      <c r="BE475" s="71"/>
      <c r="BF475" s="71"/>
      <c r="BG475" s="71"/>
      <c r="BH475" s="71"/>
      <c r="BI475" s="71"/>
      <c r="BJ475" s="71"/>
      <c r="BK475" s="71"/>
      <c r="BL475" s="71"/>
      <c r="BM475" s="71"/>
    </row>
    <row r="476">
      <c r="A476" s="72"/>
      <c r="B476" s="72"/>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c r="AA476" s="71"/>
      <c r="AB476" s="71"/>
      <c r="AC476" s="71"/>
      <c r="AD476" s="71"/>
      <c r="AE476" s="71"/>
      <c r="AF476" s="71"/>
      <c r="AG476" s="71"/>
      <c r="AH476" s="71"/>
      <c r="AI476" s="71"/>
      <c r="AJ476" s="71"/>
      <c r="AK476" s="71"/>
      <c r="AL476" s="71"/>
      <c r="AM476" s="71"/>
      <c r="AN476" s="71"/>
      <c r="AO476" s="71"/>
      <c r="AP476" s="71"/>
      <c r="AQ476" s="71"/>
      <c r="AR476" s="71"/>
      <c r="AS476" s="71"/>
      <c r="AT476" s="71"/>
      <c r="AU476" s="71"/>
      <c r="AV476" s="71"/>
      <c r="AW476" s="71"/>
      <c r="AX476" s="71"/>
      <c r="AY476" s="71"/>
      <c r="AZ476" s="71"/>
      <c r="BA476" s="71"/>
      <c r="BB476" s="71"/>
      <c r="BC476" s="71"/>
      <c r="BD476" s="71"/>
      <c r="BE476" s="71"/>
      <c r="BF476" s="71"/>
      <c r="BG476" s="71"/>
      <c r="BH476" s="71"/>
      <c r="BI476" s="71"/>
      <c r="BJ476" s="71"/>
      <c r="BK476" s="71"/>
      <c r="BL476" s="71"/>
      <c r="BM476" s="71"/>
    </row>
    <row r="477">
      <c r="A477" s="72"/>
      <c r="B477" s="72"/>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1"/>
      <c r="AH477" s="71"/>
      <c r="AI477" s="71"/>
      <c r="AJ477" s="71"/>
      <c r="AK477" s="71"/>
      <c r="AL477" s="71"/>
      <c r="AM477" s="71"/>
      <c r="AN477" s="71"/>
      <c r="AO477" s="71"/>
      <c r="AP477" s="71"/>
      <c r="AQ477" s="71"/>
      <c r="AR477" s="71"/>
      <c r="AS477" s="71"/>
      <c r="AT477" s="71"/>
      <c r="AU477" s="71"/>
      <c r="AV477" s="71"/>
      <c r="AW477" s="71"/>
      <c r="AX477" s="71"/>
      <c r="AY477" s="71"/>
      <c r="AZ477" s="71"/>
      <c r="BA477" s="71"/>
      <c r="BB477" s="71"/>
      <c r="BC477" s="71"/>
      <c r="BD477" s="71"/>
      <c r="BE477" s="71"/>
      <c r="BF477" s="71"/>
      <c r="BG477" s="71"/>
      <c r="BH477" s="71"/>
      <c r="BI477" s="71"/>
      <c r="BJ477" s="71"/>
      <c r="BK477" s="71"/>
      <c r="BL477" s="71"/>
      <c r="BM477" s="71"/>
    </row>
    <row r="478">
      <c r="A478" s="72"/>
      <c r="B478" s="72"/>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c r="AA478" s="71"/>
      <c r="AB478" s="71"/>
      <c r="AC478" s="71"/>
      <c r="AD478" s="71"/>
      <c r="AE478" s="71"/>
      <c r="AF478" s="71"/>
      <c r="AG478" s="71"/>
      <c r="AH478" s="71"/>
      <c r="AI478" s="71"/>
      <c r="AJ478" s="71"/>
      <c r="AK478" s="71"/>
      <c r="AL478" s="71"/>
      <c r="AM478" s="71"/>
      <c r="AN478" s="71"/>
      <c r="AO478" s="71"/>
      <c r="AP478" s="71"/>
      <c r="AQ478" s="71"/>
      <c r="AR478" s="71"/>
      <c r="AS478" s="71"/>
      <c r="AT478" s="71"/>
      <c r="AU478" s="71"/>
      <c r="AV478" s="71"/>
      <c r="AW478" s="71"/>
      <c r="AX478" s="71"/>
      <c r="AY478" s="71"/>
      <c r="AZ478" s="71"/>
      <c r="BA478" s="71"/>
      <c r="BB478" s="71"/>
      <c r="BC478" s="71"/>
      <c r="BD478" s="71"/>
      <c r="BE478" s="71"/>
      <c r="BF478" s="71"/>
      <c r="BG478" s="71"/>
      <c r="BH478" s="71"/>
      <c r="BI478" s="71"/>
      <c r="BJ478" s="71"/>
      <c r="BK478" s="71"/>
      <c r="BL478" s="71"/>
      <c r="BM478" s="71"/>
    </row>
    <row r="479">
      <c r="A479" s="72"/>
      <c r="B479" s="72"/>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1"/>
      <c r="AH479" s="71"/>
      <c r="AI479" s="71"/>
      <c r="AJ479" s="71"/>
      <c r="AK479" s="71"/>
      <c r="AL479" s="71"/>
      <c r="AM479" s="71"/>
      <c r="AN479" s="71"/>
      <c r="AO479" s="71"/>
      <c r="AP479" s="71"/>
      <c r="AQ479" s="71"/>
      <c r="AR479" s="71"/>
      <c r="AS479" s="71"/>
      <c r="AT479" s="71"/>
      <c r="AU479" s="71"/>
      <c r="AV479" s="71"/>
      <c r="AW479" s="71"/>
      <c r="AX479" s="71"/>
      <c r="AY479" s="71"/>
      <c r="AZ479" s="71"/>
      <c r="BA479" s="71"/>
      <c r="BB479" s="71"/>
      <c r="BC479" s="71"/>
      <c r="BD479" s="71"/>
      <c r="BE479" s="71"/>
      <c r="BF479" s="71"/>
      <c r="BG479" s="71"/>
      <c r="BH479" s="71"/>
      <c r="BI479" s="71"/>
      <c r="BJ479" s="71"/>
      <c r="BK479" s="71"/>
      <c r="BL479" s="71"/>
      <c r="BM479" s="71"/>
    </row>
    <row r="480">
      <c r="A480" s="72"/>
      <c r="B480" s="72"/>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c r="AA480" s="71"/>
      <c r="AB480" s="71"/>
      <c r="AC480" s="71"/>
      <c r="AD480" s="71"/>
      <c r="AE480" s="71"/>
      <c r="AF480" s="71"/>
      <c r="AG480" s="71"/>
      <c r="AH480" s="71"/>
      <c r="AI480" s="71"/>
      <c r="AJ480" s="71"/>
      <c r="AK480" s="71"/>
      <c r="AL480" s="71"/>
      <c r="AM480" s="71"/>
      <c r="AN480" s="71"/>
      <c r="AO480" s="71"/>
      <c r="AP480" s="71"/>
      <c r="AQ480" s="71"/>
      <c r="AR480" s="71"/>
      <c r="AS480" s="71"/>
      <c r="AT480" s="71"/>
      <c r="AU480" s="71"/>
      <c r="AV480" s="71"/>
      <c r="AW480" s="71"/>
      <c r="AX480" s="71"/>
      <c r="AY480" s="71"/>
      <c r="AZ480" s="71"/>
      <c r="BA480" s="71"/>
      <c r="BB480" s="71"/>
      <c r="BC480" s="71"/>
      <c r="BD480" s="71"/>
      <c r="BE480" s="71"/>
      <c r="BF480" s="71"/>
      <c r="BG480" s="71"/>
      <c r="BH480" s="71"/>
      <c r="BI480" s="71"/>
      <c r="BJ480" s="71"/>
      <c r="BK480" s="71"/>
      <c r="BL480" s="71"/>
      <c r="BM480" s="71"/>
    </row>
    <row r="481">
      <c r="A481" s="72"/>
      <c r="B481" s="72"/>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1"/>
      <c r="AH481" s="71"/>
      <c r="AI481" s="71"/>
      <c r="AJ481" s="71"/>
      <c r="AK481" s="71"/>
      <c r="AL481" s="71"/>
      <c r="AM481" s="71"/>
      <c r="AN481" s="71"/>
      <c r="AO481" s="71"/>
      <c r="AP481" s="71"/>
      <c r="AQ481" s="71"/>
      <c r="AR481" s="71"/>
      <c r="AS481" s="71"/>
      <c r="AT481" s="71"/>
      <c r="AU481" s="71"/>
      <c r="AV481" s="71"/>
      <c r="AW481" s="71"/>
      <c r="AX481" s="71"/>
      <c r="AY481" s="71"/>
      <c r="AZ481" s="71"/>
      <c r="BA481" s="71"/>
      <c r="BB481" s="71"/>
      <c r="BC481" s="71"/>
      <c r="BD481" s="71"/>
      <c r="BE481" s="71"/>
      <c r="BF481" s="71"/>
      <c r="BG481" s="71"/>
      <c r="BH481" s="71"/>
      <c r="BI481" s="71"/>
      <c r="BJ481" s="71"/>
      <c r="BK481" s="71"/>
      <c r="BL481" s="71"/>
      <c r="BM481" s="71"/>
    </row>
    <row r="482">
      <c r="A482" s="72"/>
      <c r="B482" s="72"/>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c r="AA482" s="71"/>
      <c r="AB482" s="71"/>
      <c r="AC482" s="71"/>
      <c r="AD482" s="71"/>
      <c r="AE482" s="71"/>
      <c r="AF482" s="71"/>
      <c r="AG482" s="71"/>
      <c r="AH482" s="71"/>
      <c r="AI482" s="71"/>
      <c r="AJ482" s="71"/>
      <c r="AK482" s="71"/>
      <c r="AL482" s="71"/>
      <c r="AM482" s="71"/>
      <c r="AN482" s="71"/>
      <c r="AO482" s="71"/>
      <c r="AP482" s="71"/>
      <c r="AQ482" s="71"/>
      <c r="AR482" s="71"/>
      <c r="AS482" s="71"/>
      <c r="AT482" s="71"/>
      <c r="AU482" s="71"/>
      <c r="AV482" s="71"/>
      <c r="AW482" s="71"/>
      <c r="AX482" s="71"/>
      <c r="AY482" s="71"/>
      <c r="AZ482" s="71"/>
      <c r="BA482" s="71"/>
      <c r="BB482" s="71"/>
      <c r="BC482" s="71"/>
      <c r="BD482" s="71"/>
      <c r="BE482" s="71"/>
      <c r="BF482" s="71"/>
      <c r="BG482" s="71"/>
      <c r="BH482" s="71"/>
      <c r="BI482" s="71"/>
      <c r="BJ482" s="71"/>
      <c r="BK482" s="71"/>
      <c r="BL482" s="71"/>
      <c r="BM482" s="71"/>
    </row>
    <row r="483">
      <c r="A483" s="72"/>
      <c r="B483" s="72"/>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1"/>
      <c r="AH483" s="71"/>
      <c r="AI483" s="71"/>
      <c r="AJ483" s="71"/>
      <c r="AK483" s="71"/>
      <c r="AL483" s="71"/>
      <c r="AM483" s="71"/>
      <c r="AN483" s="71"/>
      <c r="AO483" s="71"/>
      <c r="AP483" s="71"/>
      <c r="AQ483" s="71"/>
      <c r="AR483" s="71"/>
      <c r="AS483" s="71"/>
      <c r="AT483" s="71"/>
      <c r="AU483" s="71"/>
      <c r="AV483" s="71"/>
      <c r="AW483" s="71"/>
      <c r="AX483" s="71"/>
      <c r="AY483" s="71"/>
      <c r="AZ483" s="71"/>
      <c r="BA483" s="71"/>
      <c r="BB483" s="71"/>
      <c r="BC483" s="71"/>
      <c r="BD483" s="71"/>
      <c r="BE483" s="71"/>
      <c r="BF483" s="71"/>
      <c r="BG483" s="71"/>
      <c r="BH483" s="71"/>
      <c r="BI483" s="71"/>
      <c r="BJ483" s="71"/>
      <c r="BK483" s="71"/>
      <c r="BL483" s="71"/>
      <c r="BM483" s="71"/>
    </row>
    <row r="484">
      <c r="A484" s="72"/>
      <c r="B484" s="72"/>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71"/>
      <c r="AO484" s="71"/>
      <c r="AP484" s="71"/>
      <c r="AQ484" s="71"/>
      <c r="AR484" s="71"/>
      <c r="AS484" s="71"/>
      <c r="AT484" s="71"/>
      <c r="AU484" s="71"/>
      <c r="AV484" s="71"/>
      <c r="AW484" s="71"/>
      <c r="AX484" s="71"/>
      <c r="AY484" s="71"/>
      <c r="AZ484" s="71"/>
      <c r="BA484" s="71"/>
      <c r="BB484" s="71"/>
      <c r="BC484" s="71"/>
      <c r="BD484" s="71"/>
      <c r="BE484" s="71"/>
      <c r="BF484" s="71"/>
      <c r="BG484" s="71"/>
      <c r="BH484" s="71"/>
      <c r="BI484" s="71"/>
      <c r="BJ484" s="71"/>
      <c r="BK484" s="71"/>
      <c r="BL484" s="71"/>
      <c r="BM484" s="71"/>
    </row>
    <row r="485">
      <c r="A485" s="72"/>
      <c r="B485" s="72"/>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1"/>
      <c r="AH485" s="71"/>
      <c r="AI485" s="71"/>
      <c r="AJ485" s="71"/>
      <c r="AK485" s="71"/>
      <c r="AL485" s="71"/>
      <c r="AM485" s="71"/>
      <c r="AN485" s="71"/>
      <c r="AO485" s="71"/>
      <c r="AP485" s="71"/>
      <c r="AQ485" s="71"/>
      <c r="AR485" s="71"/>
      <c r="AS485" s="71"/>
      <c r="AT485" s="71"/>
      <c r="AU485" s="71"/>
      <c r="AV485" s="71"/>
      <c r="AW485" s="71"/>
      <c r="AX485" s="71"/>
      <c r="AY485" s="71"/>
      <c r="AZ485" s="71"/>
      <c r="BA485" s="71"/>
      <c r="BB485" s="71"/>
      <c r="BC485" s="71"/>
      <c r="BD485" s="71"/>
      <c r="BE485" s="71"/>
      <c r="BF485" s="71"/>
      <c r="BG485" s="71"/>
      <c r="BH485" s="71"/>
      <c r="BI485" s="71"/>
      <c r="BJ485" s="71"/>
      <c r="BK485" s="71"/>
      <c r="BL485" s="71"/>
      <c r="BM485" s="71"/>
    </row>
    <row r="486">
      <c r="A486" s="72"/>
      <c r="B486" s="72"/>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c r="AA486" s="71"/>
      <c r="AB486" s="71"/>
      <c r="AC486" s="71"/>
      <c r="AD486" s="71"/>
      <c r="AE486" s="71"/>
      <c r="AF486" s="71"/>
      <c r="AG486" s="71"/>
      <c r="AH486" s="71"/>
      <c r="AI486" s="71"/>
      <c r="AJ486" s="71"/>
      <c r="AK486" s="71"/>
      <c r="AL486" s="71"/>
      <c r="AM486" s="71"/>
      <c r="AN486" s="71"/>
      <c r="AO486" s="71"/>
      <c r="AP486" s="71"/>
      <c r="AQ486" s="71"/>
      <c r="AR486" s="71"/>
      <c r="AS486" s="71"/>
      <c r="AT486" s="71"/>
      <c r="AU486" s="71"/>
      <c r="AV486" s="71"/>
      <c r="AW486" s="71"/>
      <c r="AX486" s="71"/>
      <c r="AY486" s="71"/>
      <c r="AZ486" s="71"/>
      <c r="BA486" s="71"/>
      <c r="BB486" s="71"/>
      <c r="BC486" s="71"/>
      <c r="BD486" s="71"/>
      <c r="BE486" s="71"/>
      <c r="BF486" s="71"/>
      <c r="BG486" s="71"/>
      <c r="BH486" s="71"/>
      <c r="BI486" s="71"/>
      <c r="BJ486" s="71"/>
      <c r="BK486" s="71"/>
      <c r="BL486" s="71"/>
      <c r="BM486" s="71"/>
    </row>
    <row r="487">
      <c r="A487" s="72"/>
      <c r="B487" s="72"/>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1"/>
      <c r="AH487" s="71"/>
      <c r="AI487" s="71"/>
      <c r="AJ487" s="71"/>
      <c r="AK487" s="71"/>
      <c r="AL487" s="71"/>
      <c r="AM487" s="71"/>
      <c r="AN487" s="71"/>
      <c r="AO487" s="71"/>
      <c r="AP487" s="71"/>
      <c r="AQ487" s="71"/>
      <c r="AR487" s="71"/>
      <c r="AS487" s="71"/>
      <c r="AT487" s="71"/>
      <c r="AU487" s="71"/>
      <c r="AV487" s="71"/>
      <c r="AW487" s="71"/>
      <c r="AX487" s="71"/>
      <c r="AY487" s="71"/>
      <c r="AZ487" s="71"/>
      <c r="BA487" s="71"/>
      <c r="BB487" s="71"/>
      <c r="BC487" s="71"/>
      <c r="BD487" s="71"/>
      <c r="BE487" s="71"/>
      <c r="BF487" s="71"/>
      <c r="BG487" s="71"/>
      <c r="BH487" s="71"/>
      <c r="BI487" s="71"/>
      <c r="BJ487" s="71"/>
      <c r="BK487" s="71"/>
      <c r="BL487" s="71"/>
      <c r="BM487" s="71"/>
    </row>
    <row r="488">
      <c r="A488" s="72"/>
      <c r="B488" s="72"/>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c r="AA488" s="71"/>
      <c r="AB488" s="71"/>
      <c r="AC488" s="71"/>
      <c r="AD488" s="71"/>
      <c r="AE488" s="71"/>
      <c r="AF488" s="71"/>
      <c r="AG488" s="71"/>
      <c r="AH488" s="71"/>
      <c r="AI488" s="71"/>
      <c r="AJ488" s="71"/>
      <c r="AK488" s="71"/>
      <c r="AL488" s="71"/>
      <c r="AM488" s="71"/>
      <c r="AN488" s="71"/>
      <c r="AO488" s="71"/>
      <c r="AP488" s="71"/>
      <c r="AQ488" s="71"/>
      <c r="AR488" s="71"/>
      <c r="AS488" s="71"/>
      <c r="AT488" s="71"/>
      <c r="AU488" s="71"/>
      <c r="AV488" s="71"/>
      <c r="AW488" s="71"/>
      <c r="AX488" s="71"/>
      <c r="AY488" s="71"/>
      <c r="AZ488" s="71"/>
      <c r="BA488" s="71"/>
      <c r="BB488" s="71"/>
      <c r="BC488" s="71"/>
      <c r="BD488" s="71"/>
      <c r="BE488" s="71"/>
      <c r="BF488" s="71"/>
      <c r="BG488" s="71"/>
      <c r="BH488" s="71"/>
      <c r="BI488" s="71"/>
      <c r="BJ488" s="71"/>
      <c r="BK488" s="71"/>
      <c r="BL488" s="71"/>
      <c r="BM488" s="71"/>
    </row>
    <row r="489">
      <c r="A489" s="72"/>
      <c r="B489" s="72"/>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1"/>
      <c r="AH489" s="71"/>
      <c r="AI489" s="71"/>
      <c r="AJ489" s="71"/>
      <c r="AK489" s="71"/>
      <c r="AL489" s="71"/>
      <c r="AM489" s="71"/>
      <c r="AN489" s="71"/>
      <c r="AO489" s="71"/>
      <c r="AP489" s="71"/>
      <c r="AQ489" s="71"/>
      <c r="AR489" s="71"/>
      <c r="AS489" s="71"/>
      <c r="AT489" s="71"/>
      <c r="AU489" s="71"/>
      <c r="AV489" s="71"/>
      <c r="AW489" s="71"/>
      <c r="AX489" s="71"/>
      <c r="AY489" s="71"/>
      <c r="AZ489" s="71"/>
      <c r="BA489" s="71"/>
      <c r="BB489" s="71"/>
      <c r="BC489" s="71"/>
      <c r="BD489" s="71"/>
      <c r="BE489" s="71"/>
      <c r="BF489" s="71"/>
      <c r="BG489" s="71"/>
      <c r="BH489" s="71"/>
      <c r="BI489" s="71"/>
      <c r="BJ489" s="71"/>
      <c r="BK489" s="71"/>
      <c r="BL489" s="71"/>
      <c r="BM489" s="71"/>
    </row>
    <row r="490">
      <c r="A490" s="72"/>
      <c r="B490" s="72"/>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c r="AA490" s="71"/>
      <c r="AB490" s="71"/>
      <c r="AC490" s="71"/>
      <c r="AD490" s="71"/>
      <c r="AE490" s="71"/>
      <c r="AF490" s="71"/>
      <c r="AG490" s="71"/>
      <c r="AH490" s="71"/>
      <c r="AI490" s="71"/>
      <c r="AJ490" s="71"/>
      <c r="AK490" s="71"/>
      <c r="AL490" s="71"/>
      <c r="AM490" s="71"/>
      <c r="AN490" s="71"/>
      <c r="AO490" s="71"/>
      <c r="AP490" s="71"/>
      <c r="AQ490" s="71"/>
      <c r="AR490" s="71"/>
      <c r="AS490" s="71"/>
      <c r="AT490" s="71"/>
      <c r="AU490" s="71"/>
      <c r="AV490" s="71"/>
      <c r="AW490" s="71"/>
      <c r="AX490" s="71"/>
      <c r="AY490" s="71"/>
      <c r="AZ490" s="71"/>
      <c r="BA490" s="71"/>
      <c r="BB490" s="71"/>
      <c r="BC490" s="71"/>
      <c r="BD490" s="71"/>
      <c r="BE490" s="71"/>
      <c r="BF490" s="71"/>
      <c r="BG490" s="71"/>
      <c r="BH490" s="71"/>
      <c r="BI490" s="71"/>
      <c r="BJ490" s="71"/>
      <c r="BK490" s="71"/>
      <c r="BL490" s="71"/>
      <c r="BM490" s="71"/>
    </row>
    <row r="491">
      <c r="A491" s="72"/>
      <c r="B491" s="72"/>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1"/>
      <c r="AH491" s="71"/>
      <c r="AI491" s="71"/>
      <c r="AJ491" s="71"/>
      <c r="AK491" s="71"/>
      <c r="AL491" s="71"/>
      <c r="AM491" s="71"/>
      <c r="AN491" s="71"/>
      <c r="AO491" s="71"/>
      <c r="AP491" s="71"/>
      <c r="AQ491" s="71"/>
      <c r="AR491" s="71"/>
      <c r="AS491" s="71"/>
      <c r="AT491" s="71"/>
      <c r="AU491" s="71"/>
      <c r="AV491" s="71"/>
      <c r="AW491" s="71"/>
      <c r="AX491" s="71"/>
      <c r="AY491" s="71"/>
      <c r="AZ491" s="71"/>
      <c r="BA491" s="71"/>
      <c r="BB491" s="71"/>
      <c r="BC491" s="71"/>
      <c r="BD491" s="71"/>
      <c r="BE491" s="71"/>
      <c r="BF491" s="71"/>
      <c r="BG491" s="71"/>
      <c r="BH491" s="71"/>
      <c r="BI491" s="71"/>
      <c r="BJ491" s="71"/>
      <c r="BK491" s="71"/>
      <c r="BL491" s="71"/>
      <c r="BM491" s="71"/>
    </row>
    <row r="492">
      <c r="A492" s="72"/>
      <c r="B492" s="72"/>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c r="AA492" s="71"/>
      <c r="AB492" s="71"/>
      <c r="AC492" s="71"/>
      <c r="AD492" s="71"/>
      <c r="AE492" s="71"/>
      <c r="AF492" s="71"/>
      <c r="AG492" s="71"/>
      <c r="AH492" s="71"/>
      <c r="AI492" s="71"/>
      <c r="AJ492" s="71"/>
      <c r="AK492" s="71"/>
      <c r="AL492" s="71"/>
      <c r="AM492" s="71"/>
      <c r="AN492" s="71"/>
      <c r="AO492" s="71"/>
      <c r="AP492" s="71"/>
      <c r="AQ492" s="71"/>
      <c r="AR492" s="71"/>
      <c r="AS492" s="71"/>
      <c r="AT492" s="71"/>
      <c r="AU492" s="71"/>
      <c r="AV492" s="71"/>
      <c r="AW492" s="71"/>
      <c r="AX492" s="71"/>
      <c r="AY492" s="71"/>
      <c r="AZ492" s="71"/>
      <c r="BA492" s="71"/>
      <c r="BB492" s="71"/>
      <c r="BC492" s="71"/>
      <c r="BD492" s="71"/>
      <c r="BE492" s="71"/>
      <c r="BF492" s="71"/>
      <c r="BG492" s="71"/>
      <c r="BH492" s="71"/>
      <c r="BI492" s="71"/>
      <c r="BJ492" s="71"/>
      <c r="BK492" s="71"/>
      <c r="BL492" s="71"/>
      <c r="BM492" s="71"/>
    </row>
    <row r="493">
      <c r="A493" s="72"/>
      <c r="B493" s="72"/>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1"/>
      <c r="AH493" s="71"/>
      <c r="AI493" s="71"/>
      <c r="AJ493" s="71"/>
      <c r="AK493" s="71"/>
      <c r="AL493" s="71"/>
      <c r="AM493" s="71"/>
      <c r="AN493" s="71"/>
      <c r="AO493" s="71"/>
      <c r="AP493" s="71"/>
      <c r="AQ493" s="71"/>
      <c r="AR493" s="71"/>
      <c r="AS493" s="71"/>
      <c r="AT493" s="71"/>
      <c r="AU493" s="71"/>
      <c r="AV493" s="71"/>
      <c r="AW493" s="71"/>
      <c r="AX493" s="71"/>
      <c r="AY493" s="71"/>
      <c r="AZ493" s="71"/>
      <c r="BA493" s="71"/>
      <c r="BB493" s="71"/>
      <c r="BC493" s="71"/>
      <c r="BD493" s="71"/>
      <c r="BE493" s="71"/>
      <c r="BF493" s="71"/>
      <c r="BG493" s="71"/>
      <c r="BH493" s="71"/>
      <c r="BI493" s="71"/>
      <c r="BJ493" s="71"/>
      <c r="BK493" s="71"/>
      <c r="BL493" s="71"/>
      <c r="BM493" s="71"/>
    </row>
    <row r="494">
      <c r="A494" s="72"/>
      <c r="B494" s="72"/>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c r="AA494" s="71"/>
      <c r="AB494" s="71"/>
      <c r="AC494" s="71"/>
      <c r="AD494" s="71"/>
      <c r="AE494" s="71"/>
      <c r="AF494" s="71"/>
      <c r="AG494" s="71"/>
      <c r="AH494" s="71"/>
      <c r="AI494" s="71"/>
      <c r="AJ494" s="71"/>
      <c r="AK494" s="71"/>
      <c r="AL494" s="71"/>
      <c r="AM494" s="71"/>
      <c r="AN494" s="71"/>
      <c r="AO494" s="71"/>
      <c r="AP494" s="71"/>
      <c r="AQ494" s="71"/>
      <c r="AR494" s="71"/>
      <c r="AS494" s="71"/>
      <c r="AT494" s="71"/>
      <c r="AU494" s="71"/>
      <c r="AV494" s="71"/>
      <c r="AW494" s="71"/>
      <c r="AX494" s="71"/>
      <c r="AY494" s="71"/>
      <c r="AZ494" s="71"/>
      <c r="BA494" s="71"/>
      <c r="BB494" s="71"/>
      <c r="BC494" s="71"/>
      <c r="BD494" s="71"/>
      <c r="BE494" s="71"/>
      <c r="BF494" s="71"/>
      <c r="BG494" s="71"/>
      <c r="BH494" s="71"/>
      <c r="BI494" s="71"/>
      <c r="BJ494" s="71"/>
      <c r="BK494" s="71"/>
      <c r="BL494" s="71"/>
      <c r="BM494" s="71"/>
    </row>
    <row r="495">
      <c r="A495" s="72"/>
      <c r="B495" s="72"/>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1"/>
      <c r="AH495" s="71"/>
      <c r="AI495" s="71"/>
      <c r="AJ495" s="71"/>
      <c r="AK495" s="71"/>
      <c r="AL495" s="71"/>
      <c r="AM495" s="71"/>
      <c r="AN495" s="71"/>
      <c r="AO495" s="71"/>
      <c r="AP495" s="71"/>
      <c r="AQ495" s="71"/>
      <c r="AR495" s="71"/>
      <c r="AS495" s="71"/>
      <c r="AT495" s="71"/>
      <c r="AU495" s="71"/>
      <c r="AV495" s="71"/>
      <c r="AW495" s="71"/>
      <c r="AX495" s="71"/>
      <c r="AY495" s="71"/>
      <c r="AZ495" s="71"/>
      <c r="BA495" s="71"/>
      <c r="BB495" s="71"/>
      <c r="BC495" s="71"/>
      <c r="BD495" s="71"/>
      <c r="BE495" s="71"/>
      <c r="BF495" s="71"/>
      <c r="BG495" s="71"/>
      <c r="BH495" s="71"/>
      <c r="BI495" s="71"/>
      <c r="BJ495" s="71"/>
      <c r="BK495" s="71"/>
      <c r="BL495" s="71"/>
      <c r="BM495" s="71"/>
    </row>
    <row r="496">
      <c r="A496" s="72"/>
      <c r="B496" s="72"/>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c r="AA496" s="71"/>
      <c r="AB496" s="71"/>
      <c r="AC496" s="71"/>
      <c r="AD496" s="71"/>
      <c r="AE496" s="71"/>
      <c r="AF496" s="71"/>
      <c r="AG496" s="71"/>
      <c r="AH496" s="71"/>
      <c r="AI496" s="71"/>
      <c r="AJ496" s="71"/>
      <c r="AK496" s="71"/>
      <c r="AL496" s="71"/>
      <c r="AM496" s="71"/>
      <c r="AN496" s="71"/>
      <c r="AO496" s="71"/>
      <c r="AP496" s="71"/>
      <c r="AQ496" s="71"/>
      <c r="AR496" s="71"/>
      <c r="AS496" s="71"/>
      <c r="AT496" s="71"/>
      <c r="AU496" s="71"/>
      <c r="AV496" s="71"/>
      <c r="AW496" s="71"/>
      <c r="AX496" s="71"/>
      <c r="AY496" s="71"/>
      <c r="AZ496" s="71"/>
      <c r="BA496" s="71"/>
      <c r="BB496" s="71"/>
      <c r="BC496" s="71"/>
      <c r="BD496" s="71"/>
      <c r="BE496" s="71"/>
      <c r="BF496" s="71"/>
      <c r="BG496" s="71"/>
      <c r="BH496" s="71"/>
      <c r="BI496" s="71"/>
      <c r="BJ496" s="71"/>
      <c r="BK496" s="71"/>
      <c r="BL496" s="71"/>
      <c r="BM496" s="71"/>
    </row>
    <row r="497">
      <c r="A497" s="72"/>
      <c r="B497" s="72"/>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1"/>
      <c r="AH497" s="71"/>
      <c r="AI497" s="71"/>
      <c r="AJ497" s="71"/>
      <c r="AK497" s="71"/>
      <c r="AL497" s="71"/>
      <c r="AM497" s="71"/>
      <c r="AN497" s="71"/>
      <c r="AO497" s="71"/>
      <c r="AP497" s="71"/>
      <c r="AQ497" s="71"/>
      <c r="AR497" s="71"/>
      <c r="AS497" s="71"/>
      <c r="AT497" s="71"/>
      <c r="AU497" s="71"/>
      <c r="AV497" s="71"/>
      <c r="AW497" s="71"/>
      <c r="AX497" s="71"/>
      <c r="AY497" s="71"/>
      <c r="AZ497" s="71"/>
      <c r="BA497" s="71"/>
      <c r="BB497" s="71"/>
      <c r="BC497" s="71"/>
      <c r="BD497" s="71"/>
      <c r="BE497" s="71"/>
      <c r="BF497" s="71"/>
      <c r="BG497" s="71"/>
      <c r="BH497" s="71"/>
      <c r="BI497" s="71"/>
      <c r="BJ497" s="71"/>
      <c r="BK497" s="71"/>
      <c r="BL497" s="71"/>
      <c r="BM497" s="71"/>
    </row>
    <row r="498">
      <c r="A498" s="72"/>
      <c r="B498" s="72"/>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c r="AA498" s="71"/>
      <c r="AB498" s="71"/>
      <c r="AC498" s="71"/>
      <c r="AD498" s="71"/>
      <c r="AE498" s="71"/>
      <c r="AF498" s="71"/>
      <c r="AG498" s="71"/>
      <c r="AH498" s="71"/>
      <c r="AI498" s="71"/>
      <c r="AJ498" s="71"/>
      <c r="AK498" s="71"/>
      <c r="AL498" s="71"/>
      <c r="AM498" s="71"/>
      <c r="AN498" s="71"/>
      <c r="AO498" s="71"/>
      <c r="AP498" s="71"/>
      <c r="AQ498" s="71"/>
      <c r="AR498" s="71"/>
      <c r="AS498" s="71"/>
      <c r="AT498" s="71"/>
      <c r="AU498" s="71"/>
      <c r="AV498" s="71"/>
      <c r="AW498" s="71"/>
      <c r="AX498" s="71"/>
      <c r="AY498" s="71"/>
      <c r="AZ498" s="71"/>
      <c r="BA498" s="71"/>
      <c r="BB498" s="71"/>
      <c r="BC498" s="71"/>
      <c r="BD498" s="71"/>
      <c r="BE498" s="71"/>
      <c r="BF498" s="71"/>
      <c r="BG498" s="71"/>
      <c r="BH498" s="71"/>
      <c r="BI498" s="71"/>
      <c r="BJ498" s="71"/>
      <c r="BK498" s="71"/>
      <c r="BL498" s="71"/>
      <c r="BM498" s="71"/>
    </row>
    <row r="499">
      <c r="A499" s="72"/>
      <c r="B499" s="72"/>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1"/>
      <c r="AH499" s="71"/>
      <c r="AI499" s="71"/>
      <c r="AJ499" s="71"/>
      <c r="AK499" s="71"/>
      <c r="AL499" s="71"/>
      <c r="AM499" s="71"/>
      <c r="AN499" s="71"/>
      <c r="AO499" s="71"/>
      <c r="AP499" s="71"/>
      <c r="AQ499" s="71"/>
      <c r="AR499" s="71"/>
      <c r="AS499" s="71"/>
      <c r="AT499" s="71"/>
      <c r="AU499" s="71"/>
      <c r="AV499" s="71"/>
      <c r="AW499" s="71"/>
      <c r="AX499" s="71"/>
      <c r="AY499" s="71"/>
      <c r="AZ499" s="71"/>
      <c r="BA499" s="71"/>
      <c r="BB499" s="71"/>
      <c r="BC499" s="71"/>
      <c r="BD499" s="71"/>
      <c r="BE499" s="71"/>
      <c r="BF499" s="71"/>
      <c r="BG499" s="71"/>
      <c r="BH499" s="71"/>
      <c r="BI499" s="71"/>
      <c r="BJ499" s="71"/>
      <c r="BK499" s="71"/>
      <c r="BL499" s="71"/>
      <c r="BM499" s="71"/>
    </row>
    <row r="500">
      <c r="A500" s="72"/>
      <c r="B500" s="72"/>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c r="AA500" s="71"/>
      <c r="AB500" s="71"/>
      <c r="AC500" s="71"/>
      <c r="AD500" s="71"/>
      <c r="AE500" s="71"/>
      <c r="AF500" s="71"/>
      <c r="AG500" s="71"/>
      <c r="AH500" s="71"/>
      <c r="AI500" s="71"/>
      <c r="AJ500" s="71"/>
      <c r="AK500" s="71"/>
      <c r="AL500" s="71"/>
      <c r="AM500" s="71"/>
      <c r="AN500" s="71"/>
      <c r="AO500" s="71"/>
      <c r="AP500" s="71"/>
      <c r="AQ500" s="71"/>
      <c r="AR500" s="71"/>
      <c r="AS500" s="71"/>
      <c r="AT500" s="71"/>
      <c r="AU500" s="71"/>
      <c r="AV500" s="71"/>
      <c r="AW500" s="71"/>
      <c r="AX500" s="71"/>
      <c r="AY500" s="71"/>
      <c r="AZ500" s="71"/>
      <c r="BA500" s="71"/>
      <c r="BB500" s="71"/>
      <c r="BC500" s="71"/>
      <c r="BD500" s="71"/>
      <c r="BE500" s="71"/>
      <c r="BF500" s="71"/>
      <c r="BG500" s="71"/>
      <c r="BH500" s="71"/>
      <c r="BI500" s="71"/>
      <c r="BJ500" s="71"/>
      <c r="BK500" s="71"/>
      <c r="BL500" s="71"/>
      <c r="BM500" s="71"/>
    </row>
    <row r="501">
      <c r="A501" s="72"/>
      <c r="B501" s="72"/>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1"/>
      <c r="AH501" s="71"/>
      <c r="AI501" s="71"/>
      <c r="AJ501" s="71"/>
      <c r="AK501" s="71"/>
      <c r="AL501" s="71"/>
      <c r="AM501" s="71"/>
      <c r="AN501" s="71"/>
      <c r="AO501" s="71"/>
      <c r="AP501" s="71"/>
      <c r="AQ501" s="71"/>
      <c r="AR501" s="71"/>
      <c r="AS501" s="71"/>
      <c r="AT501" s="71"/>
      <c r="AU501" s="71"/>
      <c r="AV501" s="71"/>
      <c r="AW501" s="71"/>
      <c r="AX501" s="71"/>
      <c r="AY501" s="71"/>
      <c r="AZ501" s="71"/>
      <c r="BA501" s="71"/>
      <c r="BB501" s="71"/>
      <c r="BC501" s="71"/>
      <c r="BD501" s="71"/>
      <c r="BE501" s="71"/>
      <c r="BF501" s="71"/>
      <c r="BG501" s="71"/>
      <c r="BH501" s="71"/>
      <c r="BI501" s="71"/>
      <c r="BJ501" s="71"/>
      <c r="BK501" s="71"/>
      <c r="BL501" s="71"/>
      <c r="BM501" s="71"/>
    </row>
    <row r="502">
      <c r="A502" s="72"/>
      <c r="B502" s="72"/>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c r="AA502" s="71"/>
      <c r="AB502" s="71"/>
      <c r="AC502" s="71"/>
      <c r="AD502" s="71"/>
      <c r="AE502" s="71"/>
      <c r="AF502" s="71"/>
      <c r="AG502" s="71"/>
      <c r="AH502" s="71"/>
      <c r="AI502" s="71"/>
      <c r="AJ502" s="71"/>
      <c r="AK502" s="71"/>
      <c r="AL502" s="71"/>
      <c r="AM502" s="71"/>
      <c r="AN502" s="71"/>
      <c r="AO502" s="71"/>
      <c r="AP502" s="71"/>
      <c r="AQ502" s="71"/>
      <c r="AR502" s="71"/>
      <c r="AS502" s="71"/>
      <c r="AT502" s="71"/>
      <c r="AU502" s="71"/>
      <c r="AV502" s="71"/>
      <c r="AW502" s="71"/>
      <c r="AX502" s="71"/>
      <c r="AY502" s="71"/>
      <c r="AZ502" s="71"/>
      <c r="BA502" s="71"/>
      <c r="BB502" s="71"/>
      <c r="BC502" s="71"/>
      <c r="BD502" s="71"/>
      <c r="BE502" s="71"/>
      <c r="BF502" s="71"/>
      <c r="BG502" s="71"/>
      <c r="BH502" s="71"/>
      <c r="BI502" s="71"/>
      <c r="BJ502" s="71"/>
      <c r="BK502" s="71"/>
      <c r="BL502" s="71"/>
      <c r="BM502" s="71"/>
    </row>
    <row r="503">
      <c r="A503" s="72"/>
      <c r="B503" s="72"/>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1"/>
      <c r="AH503" s="71"/>
      <c r="AI503" s="71"/>
      <c r="AJ503" s="71"/>
      <c r="AK503" s="71"/>
      <c r="AL503" s="71"/>
      <c r="AM503" s="71"/>
      <c r="AN503" s="71"/>
      <c r="AO503" s="71"/>
      <c r="AP503" s="71"/>
      <c r="AQ503" s="71"/>
      <c r="AR503" s="71"/>
      <c r="AS503" s="71"/>
      <c r="AT503" s="71"/>
      <c r="AU503" s="71"/>
      <c r="AV503" s="71"/>
      <c r="AW503" s="71"/>
      <c r="AX503" s="71"/>
      <c r="AY503" s="71"/>
      <c r="AZ503" s="71"/>
      <c r="BA503" s="71"/>
      <c r="BB503" s="71"/>
      <c r="BC503" s="71"/>
      <c r="BD503" s="71"/>
      <c r="BE503" s="71"/>
      <c r="BF503" s="71"/>
      <c r="BG503" s="71"/>
      <c r="BH503" s="71"/>
      <c r="BI503" s="71"/>
      <c r="BJ503" s="71"/>
      <c r="BK503" s="71"/>
      <c r="BL503" s="71"/>
      <c r="BM503" s="71"/>
    </row>
    <row r="504">
      <c r="A504" s="72"/>
      <c r="B504" s="72"/>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c r="AA504" s="71"/>
      <c r="AB504" s="71"/>
      <c r="AC504" s="71"/>
      <c r="AD504" s="71"/>
      <c r="AE504" s="71"/>
      <c r="AF504" s="71"/>
      <c r="AG504" s="71"/>
      <c r="AH504" s="71"/>
      <c r="AI504" s="71"/>
      <c r="AJ504" s="71"/>
      <c r="AK504" s="71"/>
      <c r="AL504" s="71"/>
      <c r="AM504" s="71"/>
      <c r="AN504" s="71"/>
      <c r="AO504" s="71"/>
      <c r="AP504" s="71"/>
      <c r="AQ504" s="71"/>
      <c r="AR504" s="71"/>
      <c r="AS504" s="71"/>
      <c r="AT504" s="71"/>
      <c r="AU504" s="71"/>
      <c r="AV504" s="71"/>
      <c r="AW504" s="71"/>
      <c r="AX504" s="71"/>
      <c r="AY504" s="71"/>
      <c r="AZ504" s="71"/>
      <c r="BA504" s="71"/>
      <c r="BB504" s="71"/>
      <c r="BC504" s="71"/>
      <c r="BD504" s="71"/>
      <c r="BE504" s="71"/>
      <c r="BF504" s="71"/>
      <c r="BG504" s="71"/>
      <c r="BH504" s="71"/>
      <c r="BI504" s="71"/>
      <c r="BJ504" s="71"/>
      <c r="BK504" s="71"/>
      <c r="BL504" s="71"/>
      <c r="BM504" s="71"/>
    </row>
    <row r="505">
      <c r="A505" s="72"/>
      <c r="B505" s="72"/>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1"/>
      <c r="AH505" s="71"/>
      <c r="AI505" s="71"/>
      <c r="AJ505" s="71"/>
      <c r="AK505" s="71"/>
      <c r="AL505" s="71"/>
      <c r="AM505" s="71"/>
      <c r="AN505" s="71"/>
      <c r="AO505" s="71"/>
      <c r="AP505" s="71"/>
      <c r="AQ505" s="71"/>
      <c r="AR505" s="71"/>
      <c r="AS505" s="71"/>
      <c r="AT505" s="71"/>
      <c r="AU505" s="71"/>
      <c r="AV505" s="71"/>
      <c r="AW505" s="71"/>
      <c r="AX505" s="71"/>
      <c r="AY505" s="71"/>
      <c r="AZ505" s="71"/>
      <c r="BA505" s="71"/>
      <c r="BB505" s="71"/>
      <c r="BC505" s="71"/>
      <c r="BD505" s="71"/>
      <c r="BE505" s="71"/>
      <c r="BF505" s="71"/>
      <c r="BG505" s="71"/>
      <c r="BH505" s="71"/>
      <c r="BI505" s="71"/>
      <c r="BJ505" s="71"/>
      <c r="BK505" s="71"/>
      <c r="BL505" s="71"/>
      <c r="BM505" s="71"/>
    </row>
    <row r="506">
      <c r="A506" s="72"/>
      <c r="B506" s="72"/>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c r="AA506" s="71"/>
      <c r="AB506" s="71"/>
      <c r="AC506" s="71"/>
      <c r="AD506" s="71"/>
      <c r="AE506" s="71"/>
      <c r="AF506" s="71"/>
      <c r="AG506" s="71"/>
      <c r="AH506" s="71"/>
      <c r="AI506" s="71"/>
      <c r="AJ506" s="71"/>
      <c r="AK506" s="71"/>
      <c r="AL506" s="71"/>
      <c r="AM506" s="71"/>
      <c r="AN506" s="71"/>
      <c r="AO506" s="71"/>
      <c r="AP506" s="71"/>
      <c r="AQ506" s="71"/>
      <c r="AR506" s="71"/>
      <c r="AS506" s="71"/>
      <c r="AT506" s="71"/>
      <c r="AU506" s="71"/>
      <c r="AV506" s="71"/>
      <c r="AW506" s="71"/>
      <c r="AX506" s="71"/>
      <c r="AY506" s="71"/>
      <c r="AZ506" s="71"/>
      <c r="BA506" s="71"/>
      <c r="BB506" s="71"/>
      <c r="BC506" s="71"/>
      <c r="BD506" s="71"/>
      <c r="BE506" s="71"/>
      <c r="BF506" s="71"/>
      <c r="BG506" s="71"/>
      <c r="BH506" s="71"/>
      <c r="BI506" s="71"/>
      <c r="BJ506" s="71"/>
      <c r="BK506" s="71"/>
      <c r="BL506" s="71"/>
      <c r="BM506" s="71"/>
    </row>
    <row r="507">
      <c r="A507" s="72"/>
      <c r="B507" s="72"/>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1"/>
      <c r="AH507" s="71"/>
      <c r="AI507" s="71"/>
      <c r="AJ507" s="71"/>
      <c r="AK507" s="71"/>
      <c r="AL507" s="71"/>
      <c r="AM507" s="71"/>
      <c r="AN507" s="71"/>
      <c r="AO507" s="71"/>
      <c r="AP507" s="71"/>
      <c r="AQ507" s="71"/>
      <c r="AR507" s="71"/>
      <c r="AS507" s="71"/>
      <c r="AT507" s="71"/>
      <c r="AU507" s="71"/>
      <c r="AV507" s="71"/>
      <c r="AW507" s="71"/>
      <c r="AX507" s="71"/>
      <c r="AY507" s="71"/>
      <c r="AZ507" s="71"/>
      <c r="BA507" s="71"/>
      <c r="BB507" s="71"/>
      <c r="BC507" s="71"/>
      <c r="BD507" s="71"/>
      <c r="BE507" s="71"/>
      <c r="BF507" s="71"/>
      <c r="BG507" s="71"/>
      <c r="BH507" s="71"/>
      <c r="BI507" s="71"/>
      <c r="BJ507" s="71"/>
      <c r="BK507" s="71"/>
      <c r="BL507" s="71"/>
      <c r="BM507" s="71"/>
    </row>
    <row r="508">
      <c r="A508" s="72"/>
      <c r="B508" s="72"/>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c r="AA508" s="71"/>
      <c r="AB508" s="71"/>
      <c r="AC508" s="71"/>
      <c r="AD508" s="71"/>
      <c r="AE508" s="71"/>
      <c r="AF508" s="71"/>
      <c r="AG508" s="71"/>
      <c r="AH508" s="71"/>
      <c r="AI508" s="71"/>
      <c r="AJ508" s="71"/>
      <c r="AK508" s="71"/>
      <c r="AL508" s="71"/>
      <c r="AM508" s="71"/>
      <c r="AN508" s="71"/>
      <c r="AO508" s="71"/>
      <c r="AP508" s="71"/>
      <c r="AQ508" s="71"/>
      <c r="AR508" s="71"/>
      <c r="AS508" s="71"/>
      <c r="AT508" s="71"/>
      <c r="AU508" s="71"/>
      <c r="AV508" s="71"/>
      <c r="AW508" s="71"/>
      <c r="AX508" s="71"/>
      <c r="AY508" s="71"/>
      <c r="AZ508" s="71"/>
      <c r="BA508" s="71"/>
      <c r="BB508" s="71"/>
      <c r="BC508" s="71"/>
      <c r="BD508" s="71"/>
      <c r="BE508" s="71"/>
      <c r="BF508" s="71"/>
      <c r="BG508" s="71"/>
      <c r="BH508" s="71"/>
      <c r="BI508" s="71"/>
      <c r="BJ508" s="71"/>
      <c r="BK508" s="71"/>
      <c r="BL508" s="71"/>
      <c r="BM508" s="71"/>
    </row>
    <row r="509">
      <c r="A509" s="72"/>
      <c r="B509" s="72"/>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1"/>
      <c r="AH509" s="71"/>
      <c r="AI509" s="71"/>
      <c r="AJ509" s="71"/>
      <c r="AK509" s="71"/>
      <c r="AL509" s="71"/>
      <c r="AM509" s="71"/>
      <c r="AN509" s="71"/>
      <c r="AO509" s="71"/>
      <c r="AP509" s="71"/>
      <c r="AQ509" s="71"/>
      <c r="AR509" s="71"/>
      <c r="AS509" s="71"/>
      <c r="AT509" s="71"/>
      <c r="AU509" s="71"/>
      <c r="AV509" s="71"/>
      <c r="AW509" s="71"/>
      <c r="AX509" s="71"/>
      <c r="AY509" s="71"/>
      <c r="AZ509" s="71"/>
      <c r="BA509" s="71"/>
      <c r="BB509" s="71"/>
      <c r="BC509" s="71"/>
      <c r="BD509" s="71"/>
      <c r="BE509" s="71"/>
      <c r="BF509" s="71"/>
      <c r="BG509" s="71"/>
      <c r="BH509" s="71"/>
      <c r="BI509" s="71"/>
      <c r="BJ509" s="71"/>
      <c r="BK509" s="71"/>
      <c r="BL509" s="71"/>
      <c r="BM509" s="71"/>
    </row>
    <row r="510">
      <c r="A510" s="72"/>
      <c r="B510" s="72"/>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c r="AA510" s="71"/>
      <c r="AB510" s="71"/>
      <c r="AC510" s="71"/>
      <c r="AD510" s="71"/>
      <c r="AE510" s="71"/>
      <c r="AF510" s="71"/>
      <c r="AG510" s="71"/>
      <c r="AH510" s="71"/>
      <c r="AI510" s="71"/>
      <c r="AJ510" s="71"/>
      <c r="AK510" s="71"/>
      <c r="AL510" s="71"/>
      <c r="AM510" s="71"/>
      <c r="AN510" s="71"/>
      <c r="AO510" s="71"/>
      <c r="AP510" s="71"/>
      <c r="AQ510" s="71"/>
      <c r="AR510" s="71"/>
      <c r="AS510" s="71"/>
      <c r="AT510" s="71"/>
      <c r="AU510" s="71"/>
      <c r="AV510" s="71"/>
      <c r="AW510" s="71"/>
      <c r="AX510" s="71"/>
      <c r="AY510" s="71"/>
      <c r="AZ510" s="71"/>
      <c r="BA510" s="71"/>
      <c r="BB510" s="71"/>
      <c r="BC510" s="71"/>
      <c r="BD510" s="71"/>
      <c r="BE510" s="71"/>
      <c r="BF510" s="71"/>
      <c r="BG510" s="71"/>
      <c r="BH510" s="71"/>
      <c r="BI510" s="71"/>
      <c r="BJ510" s="71"/>
      <c r="BK510" s="71"/>
      <c r="BL510" s="71"/>
      <c r="BM510" s="71"/>
    </row>
    <row r="511">
      <c r="A511" s="72"/>
      <c r="B511" s="72"/>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71"/>
      <c r="AO511" s="71"/>
      <c r="AP511" s="71"/>
      <c r="AQ511" s="71"/>
      <c r="AR511" s="71"/>
      <c r="AS511" s="71"/>
      <c r="AT511" s="71"/>
      <c r="AU511" s="71"/>
      <c r="AV511" s="71"/>
      <c r="AW511" s="71"/>
      <c r="AX511" s="71"/>
      <c r="AY511" s="71"/>
      <c r="AZ511" s="71"/>
      <c r="BA511" s="71"/>
      <c r="BB511" s="71"/>
      <c r="BC511" s="71"/>
      <c r="BD511" s="71"/>
      <c r="BE511" s="71"/>
      <c r="BF511" s="71"/>
      <c r="BG511" s="71"/>
      <c r="BH511" s="71"/>
      <c r="BI511" s="71"/>
      <c r="BJ511" s="71"/>
      <c r="BK511" s="71"/>
      <c r="BL511" s="71"/>
      <c r="BM511" s="71"/>
    </row>
    <row r="512">
      <c r="A512" s="72"/>
      <c r="B512" s="72"/>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c r="AA512" s="71"/>
      <c r="AB512" s="71"/>
      <c r="AC512" s="71"/>
      <c r="AD512" s="71"/>
      <c r="AE512" s="71"/>
      <c r="AF512" s="71"/>
      <c r="AG512" s="71"/>
      <c r="AH512" s="71"/>
      <c r="AI512" s="71"/>
      <c r="AJ512" s="71"/>
      <c r="AK512" s="71"/>
      <c r="AL512" s="71"/>
      <c r="AM512" s="71"/>
      <c r="AN512" s="71"/>
      <c r="AO512" s="71"/>
      <c r="AP512" s="71"/>
      <c r="AQ512" s="71"/>
      <c r="AR512" s="71"/>
      <c r="AS512" s="71"/>
      <c r="AT512" s="71"/>
      <c r="AU512" s="71"/>
      <c r="AV512" s="71"/>
      <c r="AW512" s="71"/>
      <c r="AX512" s="71"/>
      <c r="AY512" s="71"/>
      <c r="AZ512" s="71"/>
      <c r="BA512" s="71"/>
      <c r="BB512" s="71"/>
      <c r="BC512" s="71"/>
      <c r="BD512" s="71"/>
      <c r="BE512" s="71"/>
      <c r="BF512" s="71"/>
      <c r="BG512" s="71"/>
      <c r="BH512" s="71"/>
      <c r="BI512" s="71"/>
      <c r="BJ512" s="71"/>
      <c r="BK512" s="71"/>
      <c r="BL512" s="71"/>
      <c r="BM512" s="71"/>
    </row>
    <row r="513">
      <c r="A513" s="72"/>
      <c r="B513" s="72"/>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1"/>
      <c r="AH513" s="71"/>
      <c r="AI513" s="71"/>
      <c r="AJ513" s="71"/>
      <c r="AK513" s="71"/>
      <c r="AL513" s="71"/>
      <c r="AM513" s="71"/>
      <c r="AN513" s="71"/>
      <c r="AO513" s="71"/>
      <c r="AP513" s="71"/>
      <c r="AQ513" s="71"/>
      <c r="AR513" s="71"/>
      <c r="AS513" s="71"/>
      <c r="AT513" s="71"/>
      <c r="AU513" s="71"/>
      <c r="AV513" s="71"/>
      <c r="AW513" s="71"/>
      <c r="AX513" s="71"/>
      <c r="AY513" s="71"/>
      <c r="AZ513" s="71"/>
      <c r="BA513" s="71"/>
      <c r="BB513" s="71"/>
      <c r="BC513" s="71"/>
      <c r="BD513" s="71"/>
      <c r="BE513" s="71"/>
      <c r="BF513" s="71"/>
      <c r="BG513" s="71"/>
      <c r="BH513" s="71"/>
      <c r="BI513" s="71"/>
      <c r="BJ513" s="71"/>
      <c r="BK513" s="71"/>
      <c r="BL513" s="71"/>
      <c r="BM513" s="71"/>
    </row>
    <row r="514">
      <c r="A514" s="72"/>
      <c r="B514" s="72"/>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c r="AA514" s="71"/>
      <c r="AB514" s="71"/>
      <c r="AC514" s="71"/>
      <c r="AD514" s="71"/>
      <c r="AE514" s="71"/>
      <c r="AF514" s="71"/>
      <c r="AG514" s="71"/>
      <c r="AH514" s="71"/>
      <c r="AI514" s="71"/>
      <c r="AJ514" s="71"/>
      <c r="AK514" s="71"/>
      <c r="AL514" s="71"/>
      <c r="AM514" s="71"/>
      <c r="AN514" s="71"/>
      <c r="AO514" s="71"/>
      <c r="AP514" s="71"/>
      <c r="AQ514" s="71"/>
      <c r="AR514" s="71"/>
      <c r="AS514" s="71"/>
      <c r="AT514" s="71"/>
      <c r="AU514" s="71"/>
      <c r="AV514" s="71"/>
      <c r="AW514" s="71"/>
      <c r="AX514" s="71"/>
      <c r="AY514" s="71"/>
      <c r="AZ514" s="71"/>
      <c r="BA514" s="71"/>
      <c r="BB514" s="71"/>
      <c r="BC514" s="71"/>
      <c r="BD514" s="71"/>
      <c r="BE514" s="71"/>
      <c r="BF514" s="71"/>
      <c r="BG514" s="71"/>
      <c r="BH514" s="71"/>
      <c r="BI514" s="71"/>
      <c r="BJ514" s="71"/>
      <c r="BK514" s="71"/>
      <c r="BL514" s="71"/>
      <c r="BM514" s="71"/>
    </row>
    <row r="515">
      <c r="A515" s="72"/>
      <c r="B515" s="72"/>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1"/>
      <c r="AH515" s="71"/>
      <c r="AI515" s="71"/>
      <c r="AJ515" s="71"/>
      <c r="AK515" s="71"/>
      <c r="AL515" s="71"/>
      <c r="AM515" s="71"/>
      <c r="AN515" s="71"/>
      <c r="AO515" s="71"/>
      <c r="AP515" s="71"/>
      <c r="AQ515" s="71"/>
      <c r="AR515" s="71"/>
      <c r="AS515" s="71"/>
      <c r="AT515" s="71"/>
      <c r="AU515" s="71"/>
      <c r="AV515" s="71"/>
      <c r="AW515" s="71"/>
      <c r="AX515" s="71"/>
      <c r="AY515" s="71"/>
      <c r="AZ515" s="71"/>
      <c r="BA515" s="71"/>
      <c r="BB515" s="71"/>
      <c r="BC515" s="71"/>
      <c r="BD515" s="71"/>
      <c r="BE515" s="71"/>
      <c r="BF515" s="71"/>
      <c r="BG515" s="71"/>
      <c r="BH515" s="71"/>
      <c r="BI515" s="71"/>
      <c r="BJ515" s="71"/>
      <c r="BK515" s="71"/>
      <c r="BL515" s="71"/>
      <c r="BM515" s="71"/>
    </row>
    <row r="516">
      <c r="A516" s="72"/>
      <c r="B516" s="72"/>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71"/>
      <c r="AG516" s="71"/>
      <c r="AH516" s="71"/>
      <c r="AI516" s="71"/>
      <c r="AJ516" s="71"/>
      <c r="AK516" s="71"/>
      <c r="AL516" s="71"/>
      <c r="AM516" s="71"/>
      <c r="AN516" s="71"/>
      <c r="AO516" s="71"/>
      <c r="AP516" s="71"/>
      <c r="AQ516" s="71"/>
      <c r="AR516" s="71"/>
      <c r="AS516" s="71"/>
      <c r="AT516" s="71"/>
      <c r="AU516" s="71"/>
      <c r="AV516" s="71"/>
      <c r="AW516" s="71"/>
      <c r="AX516" s="71"/>
      <c r="AY516" s="71"/>
      <c r="AZ516" s="71"/>
      <c r="BA516" s="71"/>
      <c r="BB516" s="71"/>
      <c r="BC516" s="71"/>
      <c r="BD516" s="71"/>
      <c r="BE516" s="71"/>
      <c r="BF516" s="71"/>
      <c r="BG516" s="71"/>
      <c r="BH516" s="71"/>
      <c r="BI516" s="71"/>
      <c r="BJ516" s="71"/>
      <c r="BK516" s="71"/>
      <c r="BL516" s="71"/>
      <c r="BM516" s="71"/>
    </row>
    <row r="517">
      <c r="A517" s="72"/>
      <c r="B517" s="72"/>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1"/>
      <c r="AH517" s="71"/>
      <c r="AI517" s="71"/>
      <c r="AJ517" s="71"/>
      <c r="AK517" s="71"/>
      <c r="AL517" s="71"/>
      <c r="AM517" s="71"/>
      <c r="AN517" s="71"/>
      <c r="AO517" s="71"/>
      <c r="AP517" s="71"/>
      <c r="AQ517" s="71"/>
      <c r="AR517" s="71"/>
      <c r="AS517" s="71"/>
      <c r="AT517" s="71"/>
      <c r="AU517" s="71"/>
      <c r="AV517" s="71"/>
      <c r="AW517" s="71"/>
      <c r="AX517" s="71"/>
      <c r="AY517" s="71"/>
      <c r="AZ517" s="71"/>
      <c r="BA517" s="71"/>
      <c r="BB517" s="71"/>
      <c r="BC517" s="71"/>
      <c r="BD517" s="71"/>
      <c r="BE517" s="71"/>
      <c r="BF517" s="71"/>
      <c r="BG517" s="71"/>
      <c r="BH517" s="71"/>
      <c r="BI517" s="71"/>
      <c r="BJ517" s="71"/>
      <c r="BK517" s="71"/>
      <c r="BL517" s="71"/>
      <c r="BM517" s="71"/>
    </row>
    <row r="518">
      <c r="A518" s="72"/>
      <c r="B518" s="72"/>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c r="AA518" s="71"/>
      <c r="AB518" s="71"/>
      <c r="AC518" s="71"/>
      <c r="AD518" s="71"/>
      <c r="AE518" s="71"/>
      <c r="AF518" s="71"/>
      <c r="AG518" s="71"/>
      <c r="AH518" s="71"/>
      <c r="AI518" s="71"/>
      <c r="AJ518" s="71"/>
      <c r="AK518" s="71"/>
      <c r="AL518" s="71"/>
      <c r="AM518" s="71"/>
      <c r="AN518" s="71"/>
      <c r="AO518" s="71"/>
      <c r="AP518" s="71"/>
      <c r="AQ518" s="71"/>
      <c r="AR518" s="71"/>
      <c r="AS518" s="71"/>
      <c r="AT518" s="71"/>
      <c r="AU518" s="71"/>
      <c r="AV518" s="71"/>
      <c r="AW518" s="71"/>
      <c r="AX518" s="71"/>
      <c r="AY518" s="71"/>
      <c r="AZ518" s="71"/>
      <c r="BA518" s="71"/>
      <c r="BB518" s="71"/>
      <c r="BC518" s="71"/>
      <c r="BD518" s="71"/>
      <c r="BE518" s="71"/>
      <c r="BF518" s="71"/>
      <c r="BG518" s="71"/>
      <c r="BH518" s="71"/>
      <c r="BI518" s="71"/>
      <c r="BJ518" s="71"/>
      <c r="BK518" s="71"/>
      <c r="BL518" s="71"/>
      <c r="BM518" s="71"/>
    </row>
    <row r="519">
      <c r="A519" s="72"/>
      <c r="B519" s="72"/>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1"/>
      <c r="AH519" s="71"/>
      <c r="AI519" s="71"/>
      <c r="AJ519" s="71"/>
      <c r="AK519" s="71"/>
      <c r="AL519" s="71"/>
      <c r="AM519" s="71"/>
      <c r="AN519" s="71"/>
      <c r="AO519" s="71"/>
      <c r="AP519" s="71"/>
      <c r="AQ519" s="71"/>
      <c r="AR519" s="71"/>
      <c r="AS519" s="71"/>
      <c r="AT519" s="71"/>
      <c r="AU519" s="71"/>
      <c r="AV519" s="71"/>
      <c r="AW519" s="71"/>
      <c r="AX519" s="71"/>
      <c r="AY519" s="71"/>
      <c r="AZ519" s="71"/>
      <c r="BA519" s="71"/>
      <c r="BB519" s="71"/>
      <c r="BC519" s="71"/>
      <c r="BD519" s="71"/>
      <c r="BE519" s="71"/>
      <c r="BF519" s="71"/>
      <c r="BG519" s="71"/>
      <c r="BH519" s="71"/>
      <c r="BI519" s="71"/>
      <c r="BJ519" s="71"/>
      <c r="BK519" s="71"/>
      <c r="BL519" s="71"/>
      <c r="BM519" s="71"/>
    </row>
    <row r="520">
      <c r="A520" s="72"/>
      <c r="B520" s="72"/>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c r="AA520" s="71"/>
      <c r="AB520" s="71"/>
      <c r="AC520" s="71"/>
      <c r="AD520" s="71"/>
      <c r="AE520" s="71"/>
      <c r="AF520" s="71"/>
      <c r="AG520" s="71"/>
      <c r="AH520" s="71"/>
      <c r="AI520" s="71"/>
      <c r="AJ520" s="71"/>
      <c r="AK520" s="71"/>
      <c r="AL520" s="71"/>
      <c r="AM520" s="71"/>
      <c r="AN520" s="71"/>
      <c r="AO520" s="71"/>
      <c r="AP520" s="71"/>
      <c r="AQ520" s="71"/>
      <c r="AR520" s="71"/>
      <c r="AS520" s="71"/>
      <c r="AT520" s="71"/>
      <c r="AU520" s="71"/>
      <c r="AV520" s="71"/>
      <c r="AW520" s="71"/>
      <c r="AX520" s="71"/>
      <c r="AY520" s="71"/>
      <c r="AZ520" s="71"/>
      <c r="BA520" s="71"/>
      <c r="BB520" s="71"/>
      <c r="BC520" s="71"/>
      <c r="BD520" s="71"/>
      <c r="BE520" s="71"/>
      <c r="BF520" s="71"/>
      <c r="BG520" s="71"/>
      <c r="BH520" s="71"/>
      <c r="BI520" s="71"/>
      <c r="BJ520" s="71"/>
      <c r="BK520" s="71"/>
      <c r="BL520" s="71"/>
      <c r="BM520" s="71"/>
    </row>
    <row r="521">
      <c r="A521" s="72"/>
      <c r="B521" s="72"/>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1"/>
      <c r="AH521" s="71"/>
      <c r="AI521" s="71"/>
      <c r="AJ521" s="71"/>
      <c r="AK521" s="71"/>
      <c r="AL521" s="71"/>
      <c r="AM521" s="71"/>
      <c r="AN521" s="71"/>
      <c r="AO521" s="71"/>
      <c r="AP521" s="71"/>
      <c r="AQ521" s="71"/>
      <c r="AR521" s="71"/>
      <c r="AS521" s="71"/>
      <c r="AT521" s="71"/>
      <c r="AU521" s="71"/>
      <c r="AV521" s="71"/>
      <c r="AW521" s="71"/>
      <c r="AX521" s="71"/>
      <c r="AY521" s="71"/>
      <c r="AZ521" s="71"/>
      <c r="BA521" s="71"/>
      <c r="BB521" s="71"/>
      <c r="BC521" s="71"/>
      <c r="BD521" s="71"/>
      <c r="BE521" s="71"/>
      <c r="BF521" s="71"/>
      <c r="BG521" s="71"/>
      <c r="BH521" s="71"/>
      <c r="BI521" s="71"/>
      <c r="BJ521" s="71"/>
      <c r="BK521" s="71"/>
      <c r="BL521" s="71"/>
      <c r="BM521" s="71"/>
    </row>
    <row r="522">
      <c r="A522" s="72"/>
      <c r="B522" s="72"/>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c r="AA522" s="71"/>
      <c r="AB522" s="71"/>
      <c r="AC522" s="71"/>
      <c r="AD522" s="71"/>
      <c r="AE522" s="71"/>
      <c r="AF522" s="71"/>
      <c r="AG522" s="71"/>
      <c r="AH522" s="71"/>
      <c r="AI522" s="71"/>
      <c r="AJ522" s="71"/>
      <c r="AK522" s="71"/>
      <c r="AL522" s="71"/>
      <c r="AM522" s="71"/>
      <c r="AN522" s="71"/>
      <c r="AO522" s="71"/>
      <c r="AP522" s="71"/>
      <c r="AQ522" s="71"/>
      <c r="AR522" s="71"/>
      <c r="AS522" s="71"/>
      <c r="AT522" s="71"/>
      <c r="AU522" s="71"/>
      <c r="AV522" s="71"/>
      <c r="AW522" s="71"/>
      <c r="AX522" s="71"/>
      <c r="AY522" s="71"/>
      <c r="AZ522" s="71"/>
      <c r="BA522" s="71"/>
      <c r="BB522" s="71"/>
      <c r="BC522" s="71"/>
      <c r="BD522" s="71"/>
      <c r="BE522" s="71"/>
      <c r="BF522" s="71"/>
      <c r="BG522" s="71"/>
      <c r="BH522" s="71"/>
      <c r="BI522" s="71"/>
      <c r="BJ522" s="71"/>
      <c r="BK522" s="71"/>
      <c r="BL522" s="71"/>
      <c r="BM522" s="71"/>
    </row>
    <row r="523">
      <c r="A523" s="72"/>
      <c r="B523" s="72"/>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1"/>
      <c r="AH523" s="71"/>
      <c r="AI523" s="71"/>
      <c r="AJ523" s="71"/>
      <c r="AK523" s="71"/>
      <c r="AL523" s="71"/>
      <c r="AM523" s="71"/>
      <c r="AN523" s="71"/>
      <c r="AO523" s="71"/>
      <c r="AP523" s="71"/>
      <c r="AQ523" s="71"/>
      <c r="AR523" s="71"/>
      <c r="AS523" s="71"/>
      <c r="AT523" s="71"/>
      <c r="AU523" s="71"/>
      <c r="AV523" s="71"/>
      <c r="AW523" s="71"/>
      <c r="AX523" s="71"/>
      <c r="AY523" s="71"/>
      <c r="AZ523" s="71"/>
      <c r="BA523" s="71"/>
      <c r="BB523" s="71"/>
      <c r="BC523" s="71"/>
      <c r="BD523" s="71"/>
      <c r="BE523" s="71"/>
      <c r="BF523" s="71"/>
      <c r="BG523" s="71"/>
      <c r="BH523" s="71"/>
      <c r="BI523" s="71"/>
      <c r="BJ523" s="71"/>
      <c r="BK523" s="71"/>
      <c r="BL523" s="71"/>
      <c r="BM523" s="71"/>
    </row>
    <row r="524">
      <c r="A524" s="72"/>
      <c r="B524" s="72"/>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c r="AA524" s="71"/>
      <c r="AB524" s="71"/>
      <c r="AC524" s="71"/>
      <c r="AD524" s="71"/>
      <c r="AE524" s="71"/>
      <c r="AF524" s="71"/>
      <c r="AG524" s="71"/>
      <c r="AH524" s="71"/>
      <c r="AI524" s="71"/>
      <c r="AJ524" s="71"/>
      <c r="AK524" s="71"/>
      <c r="AL524" s="71"/>
      <c r="AM524" s="71"/>
      <c r="AN524" s="71"/>
      <c r="AO524" s="71"/>
      <c r="AP524" s="71"/>
      <c r="AQ524" s="71"/>
      <c r="AR524" s="71"/>
      <c r="AS524" s="71"/>
      <c r="AT524" s="71"/>
      <c r="AU524" s="71"/>
      <c r="AV524" s="71"/>
      <c r="AW524" s="71"/>
      <c r="AX524" s="71"/>
      <c r="AY524" s="71"/>
      <c r="AZ524" s="71"/>
      <c r="BA524" s="71"/>
      <c r="BB524" s="71"/>
      <c r="BC524" s="71"/>
      <c r="BD524" s="71"/>
      <c r="BE524" s="71"/>
      <c r="BF524" s="71"/>
      <c r="BG524" s="71"/>
      <c r="BH524" s="71"/>
      <c r="BI524" s="71"/>
      <c r="BJ524" s="71"/>
      <c r="BK524" s="71"/>
      <c r="BL524" s="71"/>
      <c r="BM524" s="71"/>
    </row>
    <row r="525">
      <c r="A525" s="72"/>
      <c r="B525" s="72"/>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1"/>
      <c r="AH525" s="71"/>
      <c r="AI525" s="71"/>
      <c r="AJ525" s="71"/>
      <c r="AK525" s="71"/>
      <c r="AL525" s="71"/>
      <c r="AM525" s="71"/>
      <c r="AN525" s="71"/>
      <c r="AO525" s="71"/>
      <c r="AP525" s="71"/>
      <c r="AQ525" s="71"/>
      <c r="AR525" s="71"/>
      <c r="AS525" s="71"/>
      <c r="AT525" s="71"/>
      <c r="AU525" s="71"/>
      <c r="AV525" s="71"/>
      <c r="AW525" s="71"/>
      <c r="AX525" s="71"/>
      <c r="AY525" s="71"/>
      <c r="AZ525" s="71"/>
      <c r="BA525" s="71"/>
      <c r="BB525" s="71"/>
      <c r="BC525" s="71"/>
      <c r="BD525" s="71"/>
      <c r="BE525" s="71"/>
      <c r="BF525" s="71"/>
      <c r="BG525" s="71"/>
      <c r="BH525" s="71"/>
      <c r="BI525" s="71"/>
      <c r="BJ525" s="71"/>
      <c r="BK525" s="71"/>
      <c r="BL525" s="71"/>
      <c r="BM525" s="71"/>
    </row>
    <row r="526">
      <c r="A526" s="72"/>
      <c r="B526" s="72"/>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c r="AA526" s="71"/>
      <c r="AB526" s="71"/>
      <c r="AC526" s="71"/>
      <c r="AD526" s="71"/>
      <c r="AE526" s="71"/>
      <c r="AF526" s="71"/>
      <c r="AG526" s="71"/>
      <c r="AH526" s="71"/>
      <c r="AI526" s="71"/>
      <c r="AJ526" s="71"/>
      <c r="AK526" s="71"/>
      <c r="AL526" s="71"/>
      <c r="AM526" s="71"/>
      <c r="AN526" s="71"/>
      <c r="AO526" s="71"/>
      <c r="AP526" s="71"/>
      <c r="AQ526" s="71"/>
      <c r="AR526" s="71"/>
      <c r="AS526" s="71"/>
      <c r="AT526" s="71"/>
      <c r="AU526" s="71"/>
      <c r="AV526" s="71"/>
      <c r="AW526" s="71"/>
      <c r="AX526" s="71"/>
      <c r="AY526" s="71"/>
      <c r="AZ526" s="71"/>
      <c r="BA526" s="71"/>
      <c r="BB526" s="71"/>
      <c r="BC526" s="71"/>
      <c r="BD526" s="71"/>
      <c r="BE526" s="71"/>
      <c r="BF526" s="71"/>
      <c r="BG526" s="71"/>
      <c r="BH526" s="71"/>
      <c r="BI526" s="71"/>
      <c r="BJ526" s="71"/>
      <c r="BK526" s="71"/>
      <c r="BL526" s="71"/>
      <c r="BM526" s="71"/>
    </row>
    <row r="527">
      <c r="A527" s="72"/>
      <c r="B527" s="72"/>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c r="AA527" s="71"/>
      <c r="AB527" s="71"/>
      <c r="AC527" s="71"/>
      <c r="AD527" s="71"/>
      <c r="AE527" s="71"/>
      <c r="AF527" s="71"/>
      <c r="AG527" s="71"/>
      <c r="AH527" s="71"/>
      <c r="AI527" s="71"/>
      <c r="AJ527" s="71"/>
      <c r="AK527" s="71"/>
      <c r="AL527" s="71"/>
      <c r="AM527" s="71"/>
      <c r="AN527" s="71"/>
      <c r="AO527" s="71"/>
      <c r="AP527" s="71"/>
      <c r="AQ527" s="71"/>
      <c r="AR527" s="71"/>
      <c r="AS527" s="71"/>
      <c r="AT527" s="71"/>
      <c r="AU527" s="71"/>
      <c r="AV527" s="71"/>
      <c r="AW527" s="71"/>
      <c r="AX527" s="71"/>
      <c r="AY527" s="71"/>
      <c r="AZ527" s="71"/>
      <c r="BA527" s="71"/>
      <c r="BB527" s="71"/>
      <c r="BC527" s="71"/>
      <c r="BD527" s="71"/>
      <c r="BE527" s="71"/>
      <c r="BF527" s="71"/>
      <c r="BG527" s="71"/>
      <c r="BH527" s="71"/>
      <c r="BI527" s="71"/>
      <c r="BJ527" s="71"/>
      <c r="BK527" s="71"/>
      <c r="BL527" s="71"/>
      <c r="BM527" s="71"/>
    </row>
    <row r="528">
      <c r="A528" s="72"/>
      <c r="B528" s="72"/>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c r="AA528" s="71"/>
      <c r="AB528" s="71"/>
      <c r="AC528" s="71"/>
      <c r="AD528" s="71"/>
      <c r="AE528" s="71"/>
      <c r="AF528" s="71"/>
      <c r="AG528" s="71"/>
      <c r="AH528" s="71"/>
      <c r="AI528" s="71"/>
      <c r="AJ528" s="71"/>
      <c r="AK528" s="71"/>
      <c r="AL528" s="71"/>
      <c r="AM528" s="71"/>
      <c r="AN528" s="71"/>
      <c r="AO528" s="71"/>
      <c r="AP528" s="71"/>
      <c r="AQ528" s="71"/>
      <c r="AR528" s="71"/>
      <c r="AS528" s="71"/>
      <c r="AT528" s="71"/>
      <c r="AU528" s="71"/>
      <c r="AV528" s="71"/>
      <c r="AW528" s="71"/>
      <c r="AX528" s="71"/>
      <c r="AY528" s="71"/>
      <c r="AZ528" s="71"/>
      <c r="BA528" s="71"/>
      <c r="BB528" s="71"/>
      <c r="BC528" s="71"/>
      <c r="BD528" s="71"/>
      <c r="BE528" s="71"/>
      <c r="BF528" s="71"/>
      <c r="BG528" s="71"/>
      <c r="BH528" s="71"/>
      <c r="BI528" s="71"/>
      <c r="BJ528" s="71"/>
      <c r="BK528" s="71"/>
      <c r="BL528" s="71"/>
      <c r="BM528" s="71"/>
    </row>
    <row r="529">
      <c r="A529" s="72"/>
      <c r="B529" s="72"/>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c r="AA529" s="71"/>
      <c r="AB529" s="71"/>
      <c r="AC529" s="71"/>
      <c r="AD529" s="71"/>
      <c r="AE529" s="71"/>
      <c r="AF529" s="71"/>
      <c r="AG529" s="71"/>
      <c r="AH529" s="71"/>
      <c r="AI529" s="71"/>
      <c r="AJ529" s="71"/>
      <c r="AK529" s="71"/>
      <c r="AL529" s="71"/>
      <c r="AM529" s="71"/>
      <c r="AN529" s="71"/>
      <c r="AO529" s="71"/>
      <c r="AP529" s="71"/>
      <c r="AQ529" s="71"/>
      <c r="AR529" s="71"/>
      <c r="AS529" s="71"/>
      <c r="AT529" s="71"/>
      <c r="AU529" s="71"/>
      <c r="AV529" s="71"/>
      <c r="AW529" s="71"/>
      <c r="AX529" s="71"/>
      <c r="AY529" s="71"/>
      <c r="AZ529" s="71"/>
      <c r="BA529" s="71"/>
      <c r="BB529" s="71"/>
      <c r="BC529" s="71"/>
      <c r="BD529" s="71"/>
      <c r="BE529" s="71"/>
      <c r="BF529" s="71"/>
      <c r="BG529" s="71"/>
      <c r="BH529" s="71"/>
      <c r="BI529" s="71"/>
      <c r="BJ529" s="71"/>
      <c r="BK529" s="71"/>
      <c r="BL529" s="71"/>
      <c r="BM529" s="71"/>
    </row>
    <row r="530">
      <c r="A530" s="72"/>
      <c r="B530" s="72"/>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c r="AA530" s="71"/>
      <c r="AB530" s="71"/>
      <c r="AC530" s="71"/>
      <c r="AD530" s="71"/>
      <c r="AE530" s="71"/>
      <c r="AF530" s="71"/>
      <c r="AG530" s="71"/>
      <c r="AH530" s="71"/>
      <c r="AI530" s="71"/>
      <c r="AJ530" s="71"/>
      <c r="AK530" s="71"/>
      <c r="AL530" s="71"/>
      <c r="AM530" s="71"/>
      <c r="AN530" s="71"/>
      <c r="AO530" s="71"/>
      <c r="AP530" s="71"/>
      <c r="AQ530" s="71"/>
      <c r="AR530" s="71"/>
      <c r="AS530" s="71"/>
      <c r="AT530" s="71"/>
      <c r="AU530" s="71"/>
      <c r="AV530" s="71"/>
      <c r="AW530" s="71"/>
      <c r="AX530" s="71"/>
      <c r="AY530" s="71"/>
      <c r="AZ530" s="71"/>
      <c r="BA530" s="71"/>
      <c r="BB530" s="71"/>
      <c r="BC530" s="71"/>
      <c r="BD530" s="71"/>
      <c r="BE530" s="71"/>
      <c r="BF530" s="71"/>
      <c r="BG530" s="71"/>
      <c r="BH530" s="71"/>
      <c r="BI530" s="71"/>
      <c r="BJ530" s="71"/>
      <c r="BK530" s="71"/>
      <c r="BL530" s="71"/>
      <c r="BM530" s="71"/>
    </row>
    <row r="531">
      <c r="A531" s="72"/>
      <c r="B531" s="72"/>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c r="AA531" s="71"/>
      <c r="AB531" s="71"/>
      <c r="AC531" s="71"/>
      <c r="AD531" s="71"/>
      <c r="AE531" s="71"/>
      <c r="AF531" s="71"/>
      <c r="AG531" s="71"/>
      <c r="AH531" s="71"/>
      <c r="AI531" s="71"/>
      <c r="AJ531" s="71"/>
      <c r="AK531" s="71"/>
      <c r="AL531" s="71"/>
      <c r="AM531" s="71"/>
      <c r="AN531" s="71"/>
      <c r="AO531" s="71"/>
      <c r="AP531" s="71"/>
      <c r="AQ531" s="71"/>
      <c r="AR531" s="71"/>
      <c r="AS531" s="71"/>
      <c r="AT531" s="71"/>
      <c r="AU531" s="71"/>
      <c r="AV531" s="71"/>
      <c r="AW531" s="71"/>
      <c r="AX531" s="71"/>
      <c r="AY531" s="71"/>
      <c r="AZ531" s="71"/>
      <c r="BA531" s="71"/>
      <c r="BB531" s="71"/>
      <c r="BC531" s="71"/>
      <c r="BD531" s="71"/>
      <c r="BE531" s="71"/>
      <c r="BF531" s="71"/>
      <c r="BG531" s="71"/>
      <c r="BH531" s="71"/>
      <c r="BI531" s="71"/>
      <c r="BJ531" s="71"/>
      <c r="BK531" s="71"/>
      <c r="BL531" s="71"/>
      <c r="BM531" s="71"/>
    </row>
    <row r="532">
      <c r="A532" s="72"/>
      <c r="B532" s="72"/>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c r="AA532" s="71"/>
      <c r="AB532" s="71"/>
      <c r="AC532" s="71"/>
      <c r="AD532" s="71"/>
      <c r="AE532" s="71"/>
      <c r="AF532" s="71"/>
      <c r="AG532" s="71"/>
      <c r="AH532" s="71"/>
      <c r="AI532" s="71"/>
      <c r="AJ532" s="71"/>
      <c r="AK532" s="71"/>
      <c r="AL532" s="71"/>
      <c r="AM532" s="71"/>
      <c r="AN532" s="71"/>
      <c r="AO532" s="71"/>
      <c r="AP532" s="71"/>
      <c r="AQ532" s="71"/>
      <c r="AR532" s="71"/>
      <c r="AS532" s="71"/>
      <c r="AT532" s="71"/>
      <c r="AU532" s="71"/>
      <c r="AV532" s="71"/>
      <c r="AW532" s="71"/>
      <c r="AX532" s="71"/>
      <c r="AY532" s="71"/>
      <c r="AZ532" s="71"/>
      <c r="BA532" s="71"/>
      <c r="BB532" s="71"/>
      <c r="BC532" s="71"/>
      <c r="BD532" s="71"/>
      <c r="BE532" s="71"/>
      <c r="BF532" s="71"/>
      <c r="BG532" s="71"/>
      <c r="BH532" s="71"/>
      <c r="BI532" s="71"/>
      <c r="BJ532" s="71"/>
      <c r="BK532" s="71"/>
      <c r="BL532" s="71"/>
      <c r="BM532" s="71"/>
    </row>
    <row r="533">
      <c r="A533" s="72"/>
      <c r="B533" s="72"/>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c r="AA533" s="71"/>
      <c r="AB533" s="71"/>
      <c r="AC533" s="71"/>
      <c r="AD533" s="71"/>
      <c r="AE533" s="71"/>
      <c r="AF533" s="71"/>
      <c r="AG533" s="71"/>
      <c r="AH533" s="71"/>
      <c r="AI533" s="71"/>
      <c r="AJ533" s="71"/>
      <c r="AK533" s="71"/>
      <c r="AL533" s="71"/>
      <c r="AM533" s="71"/>
      <c r="AN533" s="71"/>
      <c r="AO533" s="71"/>
      <c r="AP533" s="71"/>
      <c r="AQ533" s="71"/>
      <c r="AR533" s="71"/>
      <c r="AS533" s="71"/>
      <c r="AT533" s="71"/>
      <c r="AU533" s="71"/>
      <c r="AV533" s="71"/>
      <c r="AW533" s="71"/>
      <c r="AX533" s="71"/>
      <c r="AY533" s="71"/>
      <c r="AZ533" s="71"/>
      <c r="BA533" s="71"/>
      <c r="BB533" s="71"/>
      <c r="BC533" s="71"/>
      <c r="BD533" s="71"/>
      <c r="BE533" s="71"/>
      <c r="BF533" s="71"/>
      <c r="BG533" s="71"/>
      <c r="BH533" s="71"/>
      <c r="BI533" s="71"/>
      <c r="BJ533" s="71"/>
      <c r="BK533" s="71"/>
      <c r="BL533" s="71"/>
      <c r="BM533" s="71"/>
    </row>
    <row r="534">
      <c r="A534" s="72"/>
      <c r="B534" s="72"/>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71"/>
      <c r="AO534" s="71"/>
      <c r="AP534" s="71"/>
      <c r="AQ534" s="71"/>
      <c r="AR534" s="71"/>
      <c r="AS534" s="71"/>
      <c r="AT534" s="71"/>
      <c r="AU534" s="71"/>
      <c r="AV534" s="71"/>
      <c r="AW534" s="71"/>
      <c r="AX534" s="71"/>
      <c r="AY534" s="71"/>
      <c r="AZ534" s="71"/>
      <c r="BA534" s="71"/>
      <c r="BB534" s="71"/>
      <c r="BC534" s="71"/>
      <c r="BD534" s="71"/>
      <c r="BE534" s="71"/>
      <c r="BF534" s="71"/>
      <c r="BG534" s="71"/>
      <c r="BH534" s="71"/>
      <c r="BI534" s="71"/>
      <c r="BJ534" s="71"/>
      <c r="BK534" s="71"/>
      <c r="BL534" s="71"/>
      <c r="BM534" s="71"/>
    </row>
    <row r="535">
      <c r="A535" s="72"/>
      <c r="B535" s="72"/>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c r="AA535" s="71"/>
      <c r="AB535" s="71"/>
      <c r="AC535" s="71"/>
      <c r="AD535" s="71"/>
      <c r="AE535" s="71"/>
      <c r="AF535" s="71"/>
      <c r="AG535" s="71"/>
      <c r="AH535" s="71"/>
      <c r="AI535" s="71"/>
      <c r="AJ535" s="71"/>
      <c r="AK535" s="71"/>
      <c r="AL535" s="71"/>
      <c r="AM535" s="71"/>
      <c r="AN535" s="71"/>
      <c r="AO535" s="71"/>
      <c r="AP535" s="71"/>
      <c r="AQ535" s="71"/>
      <c r="AR535" s="71"/>
      <c r="AS535" s="71"/>
      <c r="AT535" s="71"/>
      <c r="AU535" s="71"/>
      <c r="AV535" s="71"/>
      <c r="AW535" s="71"/>
      <c r="AX535" s="71"/>
      <c r="AY535" s="71"/>
      <c r="AZ535" s="71"/>
      <c r="BA535" s="71"/>
      <c r="BB535" s="71"/>
      <c r="BC535" s="71"/>
      <c r="BD535" s="71"/>
      <c r="BE535" s="71"/>
      <c r="BF535" s="71"/>
      <c r="BG535" s="71"/>
      <c r="BH535" s="71"/>
      <c r="BI535" s="71"/>
      <c r="BJ535" s="71"/>
      <c r="BK535" s="71"/>
      <c r="BL535" s="71"/>
      <c r="BM535" s="71"/>
    </row>
    <row r="536">
      <c r="A536" s="72"/>
      <c r="B536" s="72"/>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c r="AA536" s="71"/>
      <c r="AB536" s="71"/>
      <c r="AC536" s="71"/>
      <c r="AD536" s="71"/>
      <c r="AE536" s="71"/>
      <c r="AF536" s="71"/>
      <c r="AG536" s="71"/>
      <c r="AH536" s="71"/>
      <c r="AI536" s="71"/>
      <c r="AJ536" s="71"/>
      <c r="AK536" s="71"/>
      <c r="AL536" s="71"/>
      <c r="AM536" s="71"/>
      <c r="AN536" s="71"/>
      <c r="AO536" s="71"/>
      <c r="AP536" s="71"/>
      <c r="AQ536" s="71"/>
      <c r="AR536" s="71"/>
      <c r="AS536" s="71"/>
      <c r="AT536" s="71"/>
      <c r="AU536" s="71"/>
      <c r="AV536" s="71"/>
      <c r="AW536" s="71"/>
      <c r="AX536" s="71"/>
      <c r="AY536" s="71"/>
      <c r="AZ536" s="71"/>
      <c r="BA536" s="71"/>
      <c r="BB536" s="71"/>
      <c r="BC536" s="71"/>
      <c r="BD536" s="71"/>
      <c r="BE536" s="71"/>
      <c r="BF536" s="71"/>
      <c r="BG536" s="71"/>
      <c r="BH536" s="71"/>
      <c r="BI536" s="71"/>
      <c r="BJ536" s="71"/>
      <c r="BK536" s="71"/>
      <c r="BL536" s="71"/>
      <c r="BM536" s="71"/>
    </row>
    <row r="537">
      <c r="A537" s="72"/>
      <c r="B537" s="72"/>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c r="AA537" s="71"/>
      <c r="AB537" s="71"/>
      <c r="AC537" s="71"/>
      <c r="AD537" s="71"/>
      <c r="AE537" s="71"/>
      <c r="AF537" s="71"/>
      <c r="AG537" s="71"/>
      <c r="AH537" s="71"/>
      <c r="AI537" s="71"/>
      <c r="AJ537" s="71"/>
      <c r="AK537" s="71"/>
      <c r="AL537" s="71"/>
      <c r="AM537" s="71"/>
      <c r="AN537" s="71"/>
      <c r="AO537" s="71"/>
      <c r="AP537" s="71"/>
      <c r="AQ537" s="71"/>
      <c r="AR537" s="71"/>
      <c r="AS537" s="71"/>
      <c r="AT537" s="71"/>
      <c r="AU537" s="71"/>
      <c r="AV537" s="71"/>
      <c r="AW537" s="71"/>
      <c r="AX537" s="71"/>
      <c r="AY537" s="71"/>
      <c r="AZ537" s="71"/>
      <c r="BA537" s="71"/>
      <c r="BB537" s="71"/>
      <c r="BC537" s="71"/>
      <c r="BD537" s="71"/>
      <c r="BE537" s="71"/>
      <c r="BF537" s="71"/>
      <c r="BG537" s="71"/>
      <c r="BH537" s="71"/>
      <c r="BI537" s="71"/>
      <c r="BJ537" s="71"/>
      <c r="BK537" s="71"/>
      <c r="BL537" s="71"/>
      <c r="BM537" s="71"/>
    </row>
    <row r="538">
      <c r="A538" s="72"/>
      <c r="B538" s="72"/>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c r="AA538" s="71"/>
      <c r="AB538" s="71"/>
      <c r="AC538" s="71"/>
      <c r="AD538" s="71"/>
      <c r="AE538" s="71"/>
      <c r="AF538" s="71"/>
      <c r="AG538" s="71"/>
      <c r="AH538" s="71"/>
      <c r="AI538" s="71"/>
      <c r="AJ538" s="71"/>
      <c r="AK538" s="71"/>
      <c r="AL538" s="71"/>
      <c r="AM538" s="71"/>
      <c r="AN538" s="71"/>
      <c r="AO538" s="71"/>
      <c r="AP538" s="71"/>
      <c r="AQ538" s="71"/>
      <c r="AR538" s="71"/>
      <c r="AS538" s="71"/>
      <c r="AT538" s="71"/>
      <c r="AU538" s="71"/>
      <c r="AV538" s="71"/>
      <c r="AW538" s="71"/>
      <c r="AX538" s="71"/>
      <c r="AY538" s="71"/>
      <c r="AZ538" s="71"/>
      <c r="BA538" s="71"/>
      <c r="BB538" s="71"/>
      <c r="BC538" s="71"/>
      <c r="BD538" s="71"/>
      <c r="BE538" s="71"/>
      <c r="BF538" s="71"/>
      <c r="BG538" s="71"/>
      <c r="BH538" s="71"/>
      <c r="BI538" s="71"/>
      <c r="BJ538" s="71"/>
      <c r="BK538" s="71"/>
      <c r="BL538" s="71"/>
      <c r="BM538" s="71"/>
    </row>
    <row r="539">
      <c r="A539" s="72"/>
      <c r="B539" s="72"/>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c r="AA539" s="71"/>
      <c r="AB539" s="71"/>
      <c r="AC539" s="71"/>
      <c r="AD539" s="71"/>
      <c r="AE539" s="71"/>
      <c r="AF539" s="71"/>
      <c r="AG539" s="71"/>
      <c r="AH539" s="71"/>
      <c r="AI539" s="71"/>
      <c r="AJ539" s="71"/>
      <c r="AK539" s="71"/>
      <c r="AL539" s="71"/>
      <c r="AM539" s="71"/>
      <c r="AN539" s="71"/>
      <c r="AO539" s="71"/>
      <c r="AP539" s="71"/>
      <c r="AQ539" s="71"/>
      <c r="AR539" s="71"/>
      <c r="AS539" s="71"/>
      <c r="AT539" s="71"/>
      <c r="AU539" s="71"/>
      <c r="AV539" s="71"/>
      <c r="AW539" s="71"/>
      <c r="AX539" s="71"/>
      <c r="AY539" s="71"/>
      <c r="AZ539" s="71"/>
      <c r="BA539" s="71"/>
      <c r="BB539" s="71"/>
      <c r="BC539" s="71"/>
      <c r="BD539" s="71"/>
      <c r="BE539" s="71"/>
      <c r="BF539" s="71"/>
      <c r="BG539" s="71"/>
      <c r="BH539" s="71"/>
      <c r="BI539" s="71"/>
      <c r="BJ539" s="71"/>
      <c r="BK539" s="71"/>
      <c r="BL539" s="71"/>
      <c r="BM539" s="71"/>
    </row>
    <row r="540">
      <c r="A540" s="72"/>
      <c r="B540" s="72"/>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c r="AA540" s="71"/>
      <c r="AB540" s="71"/>
      <c r="AC540" s="71"/>
      <c r="AD540" s="71"/>
      <c r="AE540" s="71"/>
      <c r="AF540" s="71"/>
      <c r="AG540" s="71"/>
      <c r="AH540" s="71"/>
      <c r="AI540" s="71"/>
      <c r="AJ540" s="71"/>
      <c r="AK540" s="71"/>
      <c r="AL540" s="71"/>
      <c r="AM540" s="71"/>
      <c r="AN540" s="71"/>
      <c r="AO540" s="71"/>
      <c r="AP540" s="71"/>
      <c r="AQ540" s="71"/>
      <c r="AR540" s="71"/>
      <c r="AS540" s="71"/>
      <c r="AT540" s="71"/>
      <c r="AU540" s="71"/>
      <c r="AV540" s="71"/>
      <c r="AW540" s="71"/>
      <c r="AX540" s="71"/>
      <c r="AY540" s="71"/>
      <c r="AZ540" s="71"/>
      <c r="BA540" s="71"/>
      <c r="BB540" s="71"/>
      <c r="BC540" s="71"/>
      <c r="BD540" s="71"/>
      <c r="BE540" s="71"/>
      <c r="BF540" s="71"/>
      <c r="BG540" s="71"/>
      <c r="BH540" s="71"/>
      <c r="BI540" s="71"/>
      <c r="BJ540" s="71"/>
      <c r="BK540" s="71"/>
      <c r="BL540" s="71"/>
      <c r="BM540" s="71"/>
    </row>
    <row r="541">
      <c r="A541" s="72"/>
      <c r="B541" s="72"/>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c r="AA541" s="71"/>
      <c r="AB541" s="71"/>
      <c r="AC541" s="71"/>
      <c r="AD541" s="71"/>
      <c r="AE541" s="71"/>
      <c r="AF541" s="71"/>
      <c r="AG541" s="71"/>
      <c r="AH541" s="71"/>
      <c r="AI541" s="71"/>
      <c r="AJ541" s="71"/>
      <c r="AK541" s="71"/>
      <c r="AL541" s="71"/>
      <c r="AM541" s="71"/>
      <c r="AN541" s="71"/>
      <c r="AO541" s="71"/>
      <c r="AP541" s="71"/>
      <c r="AQ541" s="71"/>
      <c r="AR541" s="71"/>
      <c r="AS541" s="71"/>
      <c r="AT541" s="71"/>
      <c r="AU541" s="71"/>
      <c r="AV541" s="71"/>
      <c r="AW541" s="71"/>
      <c r="AX541" s="71"/>
      <c r="AY541" s="71"/>
      <c r="AZ541" s="71"/>
      <c r="BA541" s="71"/>
      <c r="BB541" s="71"/>
      <c r="BC541" s="71"/>
      <c r="BD541" s="71"/>
      <c r="BE541" s="71"/>
      <c r="BF541" s="71"/>
      <c r="BG541" s="71"/>
      <c r="BH541" s="71"/>
      <c r="BI541" s="71"/>
      <c r="BJ541" s="71"/>
      <c r="BK541" s="71"/>
      <c r="BL541" s="71"/>
      <c r="BM541" s="71"/>
    </row>
    <row r="542">
      <c r="A542" s="72"/>
      <c r="B542" s="72"/>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c r="AA542" s="71"/>
      <c r="AB542" s="71"/>
      <c r="AC542" s="71"/>
      <c r="AD542" s="71"/>
      <c r="AE542" s="71"/>
      <c r="AF542" s="71"/>
      <c r="AG542" s="71"/>
      <c r="AH542" s="71"/>
      <c r="AI542" s="71"/>
      <c r="AJ542" s="71"/>
      <c r="AK542" s="71"/>
      <c r="AL542" s="71"/>
      <c r="AM542" s="71"/>
      <c r="AN542" s="71"/>
      <c r="AO542" s="71"/>
      <c r="AP542" s="71"/>
      <c r="AQ542" s="71"/>
      <c r="AR542" s="71"/>
      <c r="AS542" s="71"/>
      <c r="AT542" s="71"/>
      <c r="AU542" s="71"/>
      <c r="AV542" s="71"/>
      <c r="AW542" s="71"/>
      <c r="AX542" s="71"/>
      <c r="AY542" s="71"/>
      <c r="AZ542" s="71"/>
      <c r="BA542" s="71"/>
      <c r="BB542" s="71"/>
      <c r="BC542" s="71"/>
      <c r="BD542" s="71"/>
      <c r="BE542" s="71"/>
      <c r="BF542" s="71"/>
      <c r="BG542" s="71"/>
      <c r="BH542" s="71"/>
      <c r="BI542" s="71"/>
      <c r="BJ542" s="71"/>
      <c r="BK542" s="71"/>
      <c r="BL542" s="71"/>
      <c r="BM542" s="71"/>
    </row>
    <row r="543">
      <c r="A543" s="72"/>
      <c r="B543" s="72"/>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c r="AA543" s="71"/>
      <c r="AB543" s="71"/>
      <c r="AC543" s="71"/>
      <c r="AD543" s="71"/>
      <c r="AE543" s="71"/>
      <c r="AF543" s="71"/>
      <c r="AG543" s="71"/>
      <c r="AH543" s="71"/>
      <c r="AI543" s="71"/>
      <c r="AJ543" s="71"/>
      <c r="AK543" s="71"/>
      <c r="AL543" s="71"/>
      <c r="AM543" s="71"/>
      <c r="AN543" s="71"/>
      <c r="AO543" s="71"/>
      <c r="AP543" s="71"/>
      <c r="AQ543" s="71"/>
      <c r="AR543" s="71"/>
      <c r="AS543" s="71"/>
      <c r="AT543" s="71"/>
      <c r="AU543" s="71"/>
      <c r="AV543" s="71"/>
      <c r="AW543" s="71"/>
      <c r="AX543" s="71"/>
      <c r="AY543" s="71"/>
      <c r="AZ543" s="71"/>
      <c r="BA543" s="71"/>
      <c r="BB543" s="71"/>
      <c r="BC543" s="71"/>
      <c r="BD543" s="71"/>
      <c r="BE543" s="71"/>
      <c r="BF543" s="71"/>
      <c r="BG543" s="71"/>
      <c r="BH543" s="71"/>
      <c r="BI543" s="71"/>
      <c r="BJ543" s="71"/>
      <c r="BK543" s="71"/>
      <c r="BL543" s="71"/>
      <c r="BM543" s="71"/>
    </row>
    <row r="544">
      <c r="A544" s="72"/>
      <c r="B544" s="72"/>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c r="AA544" s="71"/>
      <c r="AB544" s="71"/>
      <c r="AC544" s="71"/>
      <c r="AD544" s="71"/>
      <c r="AE544" s="71"/>
      <c r="AF544" s="71"/>
      <c r="AG544" s="71"/>
      <c r="AH544" s="71"/>
      <c r="AI544" s="71"/>
      <c r="AJ544" s="71"/>
      <c r="AK544" s="71"/>
      <c r="AL544" s="71"/>
      <c r="AM544" s="71"/>
      <c r="AN544" s="71"/>
      <c r="AO544" s="71"/>
      <c r="AP544" s="71"/>
      <c r="AQ544" s="71"/>
      <c r="AR544" s="71"/>
      <c r="AS544" s="71"/>
      <c r="AT544" s="71"/>
      <c r="AU544" s="71"/>
      <c r="AV544" s="71"/>
      <c r="AW544" s="71"/>
      <c r="AX544" s="71"/>
      <c r="AY544" s="71"/>
      <c r="AZ544" s="71"/>
      <c r="BA544" s="71"/>
      <c r="BB544" s="71"/>
      <c r="BC544" s="71"/>
      <c r="BD544" s="71"/>
      <c r="BE544" s="71"/>
      <c r="BF544" s="71"/>
      <c r="BG544" s="71"/>
      <c r="BH544" s="71"/>
      <c r="BI544" s="71"/>
      <c r="BJ544" s="71"/>
      <c r="BK544" s="71"/>
      <c r="BL544" s="71"/>
      <c r="BM544" s="71"/>
    </row>
    <row r="545">
      <c r="A545" s="72"/>
      <c r="B545" s="72"/>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c r="AA545" s="71"/>
      <c r="AB545" s="71"/>
      <c r="AC545" s="71"/>
      <c r="AD545" s="71"/>
      <c r="AE545" s="71"/>
      <c r="AF545" s="71"/>
      <c r="AG545" s="71"/>
      <c r="AH545" s="71"/>
      <c r="AI545" s="71"/>
      <c r="AJ545" s="71"/>
      <c r="AK545" s="71"/>
      <c r="AL545" s="71"/>
      <c r="AM545" s="71"/>
      <c r="AN545" s="71"/>
      <c r="AO545" s="71"/>
      <c r="AP545" s="71"/>
      <c r="AQ545" s="71"/>
      <c r="AR545" s="71"/>
      <c r="AS545" s="71"/>
      <c r="AT545" s="71"/>
      <c r="AU545" s="71"/>
      <c r="AV545" s="71"/>
      <c r="AW545" s="71"/>
      <c r="AX545" s="71"/>
      <c r="AY545" s="71"/>
      <c r="AZ545" s="71"/>
      <c r="BA545" s="71"/>
      <c r="BB545" s="71"/>
      <c r="BC545" s="71"/>
      <c r="BD545" s="71"/>
      <c r="BE545" s="71"/>
      <c r="BF545" s="71"/>
      <c r="BG545" s="71"/>
      <c r="BH545" s="71"/>
      <c r="BI545" s="71"/>
      <c r="BJ545" s="71"/>
      <c r="BK545" s="71"/>
      <c r="BL545" s="71"/>
      <c r="BM545" s="71"/>
    </row>
    <row r="546">
      <c r="A546" s="72"/>
      <c r="B546" s="72"/>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c r="AA546" s="71"/>
      <c r="AB546" s="71"/>
      <c r="AC546" s="71"/>
      <c r="AD546" s="71"/>
      <c r="AE546" s="71"/>
      <c r="AF546" s="71"/>
      <c r="AG546" s="71"/>
      <c r="AH546" s="71"/>
      <c r="AI546" s="71"/>
      <c r="AJ546" s="71"/>
      <c r="AK546" s="71"/>
      <c r="AL546" s="71"/>
      <c r="AM546" s="71"/>
      <c r="AN546" s="71"/>
      <c r="AO546" s="71"/>
      <c r="AP546" s="71"/>
      <c r="AQ546" s="71"/>
      <c r="AR546" s="71"/>
      <c r="AS546" s="71"/>
      <c r="AT546" s="71"/>
      <c r="AU546" s="71"/>
      <c r="AV546" s="71"/>
      <c r="AW546" s="71"/>
      <c r="AX546" s="71"/>
      <c r="AY546" s="71"/>
      <c r="AZ546" s="71"/>
      <c r="BA546" s="71"/>
      <c r="BB546" s="71"/>
      <c r="BC546" s="71"/>
      <c r="BD546" s="71"/>
      <c r="BE546" s="71"/>
      <c r="BF546" s="71"/>
      <c r="BG546" s="71"/>
      <c r="BH546" s="71"/>
      <c r="BI546" s="71"/>
      <c r="BJ546" s="71"/>
      <c r="BK546" s="71"/>
      <c r="BL546" s="71"/>
      <c r="BM546" s="71"/>
    </row>
    <row r="547">
      <c r="A547" s="72"/>
      <c r="B547" s="72"/>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c r="AA547" s="71"/>
      <c r="AB547" s="71"/>
      <c r="AC547" s="71"/>
      <c r="AD547" s="71"/>
      <c r="AE547" s="71"/>
      <c r="AF547" s="71"/>
      <c r="AG547" s="71"/>
      <c r="AH547" s="71"/>
      <c r="AI547" s="71"/>
      <c r="AJ547" s="71"/>
      <c r="AK547" s="71"/>
      <c r="AL547" s="71"/>
      <c r="AM547" s="71"/>
      <c r="AN547" s="71"/>
      <c r="AO547" s="71"/>
      <c r="AP547" s="71"/>
      <c r="AQ547" s="71"/>
      <c r="AR547" s="71"/>
      <c r="AS547" s="71"/>
      <c r="AT547" s="71"/>
      <c r="AU547" s="71"/>
      <c r="AV547" s="71"/>
      <c r="AW547" s="71"/>
      <c r="AX547" s="71"/>
      <c r="AY547" s="71"/>
      <c r="AZ547" s="71"/>
      <c r="BA547" s="71"/>
      <c r="BB547" s="71"/>
      <c r="BC547" s="71"/>
      <c r="BD547" s="71"/>
      <c r="BE547" s="71"/>
      <c r="BF547" s="71"/>
      <c r="BG547" s="71"/>
      <c r="BH547" s="71"/>
      <c r="BI547" s="71"/>
      <c r="BJ547" s="71"/>
      <c r="BK547" s="71"/>
      <c r="BL547" s="71"/>
      <c r="BM547" s="71"/>
    </row>
    <row r="548">
      <c r="A548" s="72"/>
      <c r="B548" s="72"/>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c r="AA548" s="71"/>
      <c r="AB548" s="71"/>
      <c r="AC548" s="71"/>
      <c r="AD548" s="71"/>
      <c r="AE548" s="71"/>
      <c r="AF548" s="71"/>
      <c r="AG548" s="71"/>
      <c r="AH548" s="71"/>
      <c r="AI548" s="71"/>
      <c r="AJ548" s="71"/>
      <c r="AK548" s="71"/>
      <c r="AL548" s="71"/>
      <c r="AM548" s="71"/>
      <c r="AN548" s="71"/>
      <c r="AO548" s="71"/>
      <c r="AP548" s="71"/>
      <c r="AQ548" s="71"/>
      <c r="AR548" s="71"/>
      <c r="AS548" s="71"/>
      <c r="AT548" s="71"/>
      <c r="AU548" s="71"/>
      <c r="AV548" s="71"/>
      <c r="AW548" s="71"/>
      <c r="AX548" s="71"/>
      <c r="AY548" s="71"/>
      <c r="AZ548" s="71"/>
      <c r="BA548" s="71"/>
      <c r="BB548" s="71"/>
      <c r="BC548" s="71"/>
      <c r="BD548" s="71"/>
      <c r="BE548" s="71"/>
      <c r="BF548" s="71"/>
      <c r="BG548" s="71"/>
      <c r="BH548" s="71"/>
      <c r="BI548" s="71"/>
      <c r="BJ548" s="71"/>
      <c r="BK548" s="71"/>
      <c r="BL548" s="71"/>
      <c r="BM548" s="71"/>
    </row>
    <row r="549">
      <c r="A549" s="72"/>
      <c r="B549" s="72"/>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c r="AA549" s="71"/>
      <c r="AB549" s="71"/>
      <c r="AC549" s="71"/>
      <c r="AD549" s="71"/>
      <c r="AE549" s="71"/>
      <c r="AF549" s="71"/>
      <c r="AG549" s="71"/>
      <c r="AH549" s="71"/>
      <c r="AI549" s="71"/>
      <c r="AJ549" s="71"/>
      <c r="AK549" s="71"/>
      <c r="AL549" s="71"/>
      <c r="AM549" s="71"/>
      <c r="AN549" s="71"/>
      <c r="AO549" s="71"/>
      <c r="AP549" s="71"/>
      <c r="AQ549" s="71"/>
      <c r="AR549" s="71"/>
      <c r="AS549" s="71"/>
      <c r="AT549" s="71"/>
      <c r="AU549" s="71"/>
      <c r="AV549" s="71"/>
      <c r="AW549" s="71"/>
      <c r="AX549" s="71"/>
      <c r="AY549" s="71"/>
      <c r="AZ549" s="71"/>
      <c r="BA549" s="71"/>
      <c r="BB549" s="71"/>
      <c r="BC549" s="71"/>
      <c r="BD549" s="71"/>
      <c r="BE549" s="71"/>
      <c r="BF549" s="71"/>
      <c r="BG549" s="71"/>
      <c r="BH549" s="71"/>
      <c r="BI549" s="71"/>
      <c r="BJ549" s="71"/>
      <c r="BK549" s="71"/>
      <c r="BL549" s="71"/>
      <c r="BM549" s="71"/>
    </row>
    <row r="550">
      <c r="A550" s="72"/>
      <c r="B550" s="72"/>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c r="AA550" s="71"/>
      <c r="AB550" s="71"/>
      <c r="AC550" s="71"/>
      <c r="AD550" s="71"/>
      <c r="AE550" s="71"/>
      <c r="AF550" s="71"/>
      <c r="AG550" s="71"/>
      <c r="AH550" s="71"/>
      <c r="AI550" s="71"/>
      <c r="AJ550" s="71"/>
      <c r="AK550" s="71"/>
      <c r="AL550" s="71"/>
      <c r="AM550" s="71"/>
      <c r="AN550" s="71"/>
      <c r="AO550" s="71"/>
      <c r="AP550" s="71"/>
      <c r="AQ550" s="71"/>
      <c r="AR550" s="71"/>
      <c r="AS550" s="71"/>
      <c r="AT550" s="71"/>
      <c r="AU550" s="71"/>
      <c r="AV550" s="71"/>
      <c r="AW550" s="71"/>
      <c r="AX550" s="71"/>
      <c r="AY550" s="71"/>
      <c r="AZ550" s="71"/>
      <c r="BA550" s="71"/>
      <c r="BB550" s="71"/>
      <c r="BC550" s="71"/>
      <c r="BD550" s="71"/>
      <c r="BE550" s="71"/>
      <c r="BF550" s="71"/>
      <c r="BG550" s="71"/>
      <c r="BH550" s="71"/>
      <c r="BI550" s="71"/>
      <c r="BJ550" s="71"/>
      <c r="BK550" s="71"/>
      <c r="BL550" s="71"/>
      <c r="BM550" s="71"/>
    </row>
    <row r="551">
      <c r="A551" s="72"/>
      <c r="B551" s="72"/>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c r="AA551" s="71"/>
      <c r="AB551" s="71"/>
      <c r="AC551" s="71"/>
      <c r="AD551" s="71"/>
      <c r="AE551" s="71"/>
      <c r="AF551" s="71"/>
      <c r="AG551" s="71"/>
      <c r="AH551" s="71"/>
      <c r="AI551" s="71"/>
      <c r="AJ551" s="71"/>
      <c r="AK551" s="71"/>
      <c r="AL551" s="71"/>
      <c r="AM551" s="71"/>
      <c r="AN551" s="71"/>
      <c r="AO551" s="71"/>
      <c r="AP551" s="71"/>
      <c r="AQ551" s="71"/>
      <c r="AR551" s="71"/>
      <c r="AS551" s="71"/>
      <c r="AT551" s="71"/>
      <c r="AU551" s="71"/>
      <c r="AV551" s="71"/>
      <c r="AW551" s="71"/>
      <c r="AX551" s="71"/>
      <c r="AY551" s="71"/>
      <c r="AZ551" s="71"/>
      <c r="BA551" s="71"/>
      <c r="BB551" s="71"/>
      <c r="BC551" s="71"/>
      <c r="BD551" s="71"/>
      <c r="BE551" s="71"/>
      <c r="BF551" s="71"/>
      <c r="BG551" s="71"/>
      <c r="BH551" s="71"/>
      <c r="BI551" s="71"/>
      <c r="BJ551" s="71"/>
      <c r="BK551" s="71"/>
      <c r="BL551" s="71"/>
      <c r="BM551" s="71"/>
    </row>
    <row r="552">
      <c r="A552" s="72"/>
      <c r="B552" s="72"/>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c r="AA552" s="71"/>
      <c r="AB552" s="71"/>
      <c r="AC552" s="71"/>
      <c r="AD552" s="71"/>
      <c r="AE552" s="71"/>
      <c r="AF552" s="71"/>
      <c r="AG552" s="71"/>
      <c r="AH552" s="71"/>
      <c r="AI552" s="71"/>
      <c r="AJ552" s="71"/>
      <c r="AK552" s="71"/>
      <c r="AL552" s="71"/>
      <c r="AM552" s="71"/>
      <c r="AN552" s="71"/>
      <c r="AO552" s="71"/>
      <c r="AP552" s="71"/>
      <c r="AQ552" s="71"/>
      <c r="AR552" s="71"/>
      <c r="AS552" s="71"/>
      <c r="AT552" s="71"/>
      <c r="AU552" s="71"/>
      <c r="AV552" s="71"/>
      <c r="AW552" s="71"/>
      <c r="AX552" s="71"/>
      <c r="AY552" s="71"/>
      <c r="AZ552" s="71"/>
      <c r="BA552" s="71"/>
      <c r="BB552" s="71"/>
      <c r="BC552" s="71"/>
      <c r="BD552" s="71"/>
      <c r="BE552" s="71"/>
      <c r="BF552" s="71"/>
      <c r="BG552" s="71"/>
      <c r="BH552" s="71"/>
      <c r="BI552" s="71"/>
      <c r="BJ552" s="71"/>
      <c r="BK552" s="71"/>
      <c r="BL552" s="71"/>
      <c r="BM552" s="71"/>
    </row>
    <row r="553">
      <c r="A553" s="72"/>
      <c r="B553" s="72"/>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c r="AA553" s="71"/>
      <c r="AB553" s="71"/>
      <c r="AC553" s="71"/>
      <c r="AD553" s="71"/>
      <c r="AE553" s="71"/>
      <c r="AF553" s="71"/>
      <c r="AG553" s="71"/>
      <c r="AH553" s="71"/>
      <c r="AI553" s="71"/>
      <c r="AJ553" s="71"/>
      <c r="AK553" s="71"/>
      <c r="AL553" s="71"/>
      <c r="AM553" s="71"/>
      <c r="AN553" s="71"/>
      <c r="AO553" s="71"/>
      <c r="AP553" s="71"/>
      <c r="AQ553" s="71"/>
      <c r="AR553" s="71"/>
      <c r="AS553" s="71"/>
      <c r="AT553" s="71"/>
      <c r="AU553" s="71"/>
      <c r="AV553" s="71"/>
      <c r="AW553" s="71"/>
      <c r="AX553" s="71"/>
      <c r="AY553" s="71"/>
      <c r="AZ553" s="71"/>
      <c r="BA553" s="71"/>
      <c r="BB553" s="71"/>
      <c r="BC553" s="71"/>
      <c r="BD553" s="71"/>
      <c r="BE553" s="71"/>
      <c r="BF553" s="71"/>
      <c r="BG553" s="71"/>
      <c r="BH553" s="71"/>
      <c r="BI553" s="71"/>
      <c r="BJ553" s="71"/>
      <c r="BK553" s="71"/>
      <c r="BL553" s="71"/>
      <c r="BM553" s="71"/>
    </row>
    <row r="554">
      <c r="A554" s="72"/>
      <c r="B554" s="72"/>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c r="AA554" s="71"/>
      <c r="AB554" s="71"/>
      <c r="AC554" s="71"/>
      <c r="AD554" s="71"/>
      <c r="AE554" s="71"/>
      <c r="AF554" s="71"/>
      <c r="AG554" s="71"/>
      <c r="AH554" s="71"/>
      <c r="AI554" s="71"/>
      <c r="AJ554" s="71"/>
      <c r="AK554" s="71"/>
      <c r="AL554" s="71"/>
      <c r="AM554" s="71"/>
      <c r="AN554" s="71"/>
      <c r="AO554" s="71"/>
      <c r="AP554" s="71"/>
      <c r="AQ554" s="71"/>
      <c r="AR554" s="71"/>
      <c r="AS554" s="71"/>
      <c r="AT554" s="71"/>
      <c r="AU554" s="71"/>
      <c r="AV554" s="71"/>
      <c r="AW554" s="71"/>
      <c r="AX554" s="71"/>
      <c r="AY554" s="71"/>
      <c r="AZ554" s="71"/>
      <c r="BA554" s="71"/>
      <c r="BB554" s="71"/>
      <c r="BC554" s="71"/>
      <c r="BD554" s="71"/>
      <c r="BE554" s="71"/>
      <c r="BF554" s="71"/>
      <c r="BG554" s="71"/>
      <c r="BH554" s="71"/>
      <c r="BI554" s="71"/>
      <c r="BJ554" s="71"/>
      <c r="BK554" s="71"/>
      <c r="BL554" s="71"/>
      <c r="BM554" s="71"/>
    </row>
    <row r="555">
      <c r="A555" s="72"/>
      <c r="B555" s="72"/>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c r="AA555" s="71"/>
      <c r="AB555" s="71"/>
      <c r="AC555" s="71"/>
      <c r="AD555" s="71"/>
      <c r="AE555" s="71"/>
      <c r="AF555" s="71"/>
      <c r="AG555" s="71"/>
      <c r="AH555" s="71"/>
      <c r="AI555" s="71"/>
      <c r="AJ555" s="71"/>
      <c r="AK555" s="71"/>
      <c r="AL555" s="71"/>
      <c r="AM555" s="71"/>
      <c r="AN555" s="71"/>
      <c r="AO555" s="71"/>
      <c r="AP555" s="71"/>
      <c r="AQ555" s="71"/>
      <c r="AR555" s="71"/>
      <c r="AS555" s="71"/>
      <c r="AT555" s="71"/>
      <c r="AU555" s="71"/>
      <c r="AV555" s="71"/>
      <c r="AW555" s="71"/>
      <c r="AX555" s="71"/>
      <c r="AY555" s="71"/>
      <c r="AZ555" s="71"/>
      <c r="BA555" s="71"/>
      <c r="BB555" s="71"/>
      <c r="BC555" s="71"/>
      <c r="BD555" s="71"/>
      <c r="BE555" s="71"/>
      <c r="BF555" s="71"/>
      <c r="BG555" s="71"/>
      <c r="BH555" s="71"/>
      <c r="BI555" s="71"/>
      <c r="BJ555" s="71"/>
      <c r="BK555" s="71"/>
      <c r="BL555" s="71"/>
      <c r="BM555" s="71"/>
    </row>
    <row r="556">
      <c r="A556" s="72"/>
      <c r="B556" s="72"/>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c r="AA556" s="71"/>
      <c r="AB556" s="71"/>
      <c r="AC556" s="71"/>
      <c r="AD556" s="71"/>
      <c r="AE556" s="71"/>
      <c r="AF556" s="71"/>
      <c r="AG556" s="71"/>
      <c r="AH556" s="71"/>
      <c r="AI556" s="71"/>
      <c r="AJ556" s="71"/>
      <c r="AK556" s="71"/>
      <c r="AL556" s="71"/>
      <c r="AM556" s="71"/>
      <c r="AN556" s="71"/>
      <c r="AO556" s="71"/>
      <c r="AP556" s="71"/>
      <c r="AQ556" s="71"/>
      <c r="AR556" s="71"/>
      <c r="AS556" s="71"/>
      <c r="AT556" s="71"/>
      <c r="AU556" s="71"/>
      <c r="AV556" s="71"/>
      <c r="AW556" s="71"/>
      <c r="AX556" s="71"/>
      <c r="AY556" s="71"/>
      <c r="AZ556" s="71"/>
      <c r="BA556" s="71"/>
      <c r="BB556" s="71"/>
      <c r="BC556" s="71"/>
      <c r="BD556" s="71"/>
      <c r="BE556" s="71"/>
      <c r="BF556" s="71"/>
      <c r="BG556" s="71"/>
      <c r="BH556" s="71"/>
      <c r="BI556" s="71"/>
      <c r="BJ556" s="71"/>
      <c r="BK556" s="71"/>
      <c r="BL556" s="71"/>
      <c r="BM556" s="71"/>
    </row>
    <row r="557">
      <c r="A557" s="72"/>
      <c r="B557" s="72"/>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c r="AA557" s="71"/>
      <c r="AB557" s="71"/>
      <c r="AC557" s="71"/>
      <c r="AD557" s="71"/>
      <c r="AE557" s="71"/>
      <c r="AF557" s="71"/>
      <c r="AG557" s="71"/>
      <c r="AH557" s="71"/>
      <c r="AI557" s="71"/>
      <c r="AJ557" s="71"/>
      <c r="AK557" s="71"/>
      <c r="AL557" s="71"/>
      <c r="AM557" s="71"/>
      <c r="AN557" s="71"/>
      <c r="AO557" s="71"/>
      <c r="AP557" s="71"/>
      <c r="AQ557" s="71"/>
      <c r="AR557" s="71"/>
      <c r="AS557" s="71"/>
      <c r="AT557" s="71"/>
      <c r="AU557" s="71"/>
      <c r="AV557" s="71"/>
      <c r="AW557" s="71"/>
      <c r="AX557" s="71"/>
      <c r="AY557" s="71"/>
      <c r="AZ557" s="71"/>
      <c r="BA557" s="71"/>
      <c r="BB557" s="71"/>
      <c r="BC557" s="71"/>
      <c r="BD557" s="71"/>
      <c r="BE557" s="71"/>
      <c r="BF557" s="71"/>
      <c r="BG557" s="71"/>
      <c r="BH557" s="71"/>
      <c r="BI557" s="71"/>
      <c r="BJ557" s="71"/>
      <c r="BK557" s="71"/>
      <c r="BL557" s="71"/>
      <c r="BM557" s="71"/>
    </row>
    <row r="558">
      <c r="A558" s="72"/>
      <c r="B558" s="72"/>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c r="AA558" s="71"/>
      <c r="AB558" s="71"/>
      <c r="AC558" s="71"/>
      <c r="AD558" s="71"/>
      <c r="AE558" s="71"/>
      <c r="AF558" s="71"/>
      <c r="AG558" s="71"/>
      <c r="AH558" s="71"/>
      <c r="AI558" s="71"/>
      <c r="AJ558" s="71"/>
      <c r="AK558" s="71"/>
      <c r="AL558" s="71"/>
      <c r="AM558" s="71"/>
      <c r="AN558" s="71"/>
      <c r="AO558" s="71"/>
      <c r="AP558" s="71"/>
      <c r="AQ558" s="71"/>
      <c r="AR558" s="71"/>
      <c r="AS558" s="71"/>
      <c r="AT558" s="71"/>
      <c r="AU558" s="71"/>
      <c r="AV558" s="71"/>
      <c r="AW558" s="71"/>
      <c r="AX558" s="71"/>
      <c r="AY558" s="71"/>
      <c r="AZ558" s="71"/>
      <c r="BA558" s="71"/>
      <c r="BB558" s="71"/>
      <c r="BC558" s="71"/>
      <c r="BD558" s="71"/>
      <c r="BE558" s="71"/>
      <c r="BF558" s="71"/>
      <c r="BG558" s="71"/>
      <c r="BH558" s="71"/>
      <c r="BI558" s="71"/>
      <c r="BJ558" s="71"/>
      <c r="BK558" s="71"/>
      <c r="BL558" s="71"/>
      <c r="BM558" s="71"/>
    </row>
    <row r="559">
      <c r="A559" s="72"/>
      <c r="B559" s="72"/>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c r="AA559" s="71"/>
      <c r="AB559" s="71"/>
      <c r="AC559" s="71"/>
      <c r="AD559" s="71"/>
      <c r="AE559" s="71"/>
      <c r="AF559" s="71"/>
      <c r="AG559" s="71"/>
      <c r="AH559" s="71"/>
      <c r="AI559" s="71"/>
      <c r="AJ559" s="71"/>
      <c r="AK559" s="71"/>
      <c r="AL559" s="71"/>
      <c r="AM559" s="71"/>
      <c r="AN559" s="71"/>
      <c r="AO559" s="71"/>
      <c r="AP559" s="71"/>
      <c r="AQ559" s="71"/>
      <c r="AR559" s="71"/>
      <c r="AS559" s="71"/>
      <c r="AT559" s="71"/>
      <c r="AU559" s="71"/>
      <c r="AV559" s="71"/>
      <c r="AW559" s="71"/>
      <c r="AX559" s="71"/>
      <c r="AY559" s="71"/>
      <c r="AZ559" s="71"/>
      <c r="BA559" s="71"/>
      <c r="BB559" s="71"/>
      <c r="BC559" s="71"/>
      <c r="BD559" s="71"/>
      <c r="BE559" s="71"/>
      <c r="BF559" s="71"/>
      <c r="BG559" s="71"/>
      <c r="BH559" s="71"/>
      <c r="BI559" s="71"/>
      <c r="BJ559" s="71"/>
      <c r="BK559" s="71"/>
      <c r="BL559" s="71"/>
      <c r="BM559" s="71"/>
    </row>
    <row r="560">
      <c r="A560" s="72"/>
      <c r="B560" s="72"/>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c r="AA560" s="71"/>
      <c r="AB560" s="71"/>
      <c r="AC560" s="71"/>
      <c r="AD560" s="71"/>
      <c r="AE560" s="71"/>
      <c r="AF560" s="71"/>
      <c r="AG560" s="71"/>
      <c r="AH560" s="71"/>
      <c r="AI560" s="71"/>
      <c r="AJ560" s="71"/>
      <c r="AK560" s="71"/>
      <c r="AL560" s="71"/>
      <c r="AM560" s="71"/>
      <c r="AN560" s="71"/>
      <c r="AO560" s="71"/>
      <c r="AP560" s="71"/>
      <c r="AQ560" s="71"/>
      <c r="AR560" s="71"/>
      <c r="AS560" s="71"/>
      <c r="AT560" s="71"/>
      <c r="AU560" s="71"/>
      <c r="AV560" s="71"/>
      <c r="AW560" s="71"/>
      <c r="AX560" s="71"/>
      <c r="AY560" s="71"/>
      <c r="AZ560" s="71"/>
      <c r="BA560" s="71"/>
      <c r="BB560" s="71"/>
      <c r="BC560" s="71"/>
      <c r="BD560" s="71"/>
      <c r="BE560" s="71"/>
      <c r="BF560" s="71"/>
      <c r="BG560" s="71"/>
      <c r="BH560" s="71"/>
      <c r="BI560" s="71"/>
      <c r="BJ560" s="71"/>
      <c r="BK560" s="71"/>
      <c r="BL560" s="71"/>
      <c r="BM560" s="71"/>
    </row>
    <row r="561">
      <c r="A561" s="72"/>
      <c r="B561" s="72"/>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c r="AA561" s="71"/>
      <c r="AB561" s="71"/>
      <c r="AC561" s="71"/>
      <c r="AD561" s="71"/>
      <c r="AE561" s="71"/>
      <c r="AF561" s="71"/>
      <c r="AG561" s="71"/>
      <c r="AH561" s="71"/>
      <c r="AI561" s="71"/>
      <c r="AJ561" s="71"/>
      <c r="AK561" s="71"/>
      <c r="AL561" s="71"/>
      <c r="AM561" s="71"/>
      <c r="AN561" s="71"/>
      <c r="AO561" s="71"/>
      <c r="AP561" s="71"/>
      <c r="AQ561" s="71"/>
      <c r="AR561" s="71"/>
      <c r="AS561" s="71"/>
      <c r="AT561" s="71"/>
      <c r="AU561" s="71"/>
      <c r="AV561" s="71"/>
      <c r="AW561" s="71"/>
      <c r="AX561" s="71"/>
      <c r="AY561" s="71"/>
      <c r="AZ561" s="71"/>
      <c r="BA561" s="71"/>
      <c r="BB561" s="71"/>
      <c r="BC561" s="71"/>
      <c r="BD561" s="71"/>
      <c r="BE561" s="71"/>
      <c r="BF561" s="71"/>
      <c r="BG561" s="71"/>
      <c r="BH561" s="71"/>
      <c r="BI561" s="71"/>
      <c r="BJ561" s="71"/>
      <c r="BK561" s="71"/>
      <c r="BL561" s="71"/>
      <c r="BM561" s="71"/>
    </row>
    <row r="562">
      <c r="A562" s="72"/>
      <c r="B562" s="72"/>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c r="AA562" s="71"/>
      <c r="AB562" s="71"/>
      <c r="AC562" s="71"/>
      <c r="AD562" s="71"/>
      <c r="AE562" s="71"/>
      <c r="AF562" s="71"/>
      <c r="AG562" s="71"/>
      <c r="AH562" s="71"/>
      <c r="AI562" s="71"/>
      <c r="AJ562" s="71"/>
      <c r="AK562" s="71"/>
      <c r="AL562" s="71"/>
      <c r="AM562" s="71"/>
      <c r="AN562" s="71"/>
      <c r="AO562" s="71"/>
      <c r="AP562" s="71"/>
      <c r="AQ562" s="71"/>
      <c r="AR562" s="71"/>
      <c r="AS562" s="71"/>
      <c r="AT562" s="71"/>
      <c r="AU562" s="71"/>
      <c r="AV562" s="71"/>
      <c r="AW562" s="71"/>
      <c r="AX562" s="71"/>
      <c r="AY562" s="71"/>
      <c r="AZ562" s="71"/>
      <c r="BA562" s="71"/>
      <c r="BB562" s="71"/>
      <c r="BC562" s="71"/>
      <c r="BD562" s="71"/>
      <c r="BE562" s="71"/>
      <c r="BF562" s="71"/>
      <c r="BG562" s="71"/>
      <c r="BH562" s="71"/>
      <c r="BI562" s="71"/>
      <c r="BJ562" s="71"/>
      <c r="BK562" s="71"/>
      <c r="BL562" s="71"/>
      <c r="BM562" s="71"/>
    </row>
    <row r="563">
      <c r="A563" s="72"/>
      <c r="B563" s="72"/>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c r="AA563" s="71"/>
      <c r="AB563" s="71"/>
      <c r="AC563" s="71"/>
      <c r="AD563" s="71"/>
      <c r="AE563" s="71"/>
      <c r="AF563" s="71"/>
      <c r="AG563" s="71"/>
      <c r="AH563" s="71"/>
      <c r="AI563" s="71"/>
      <c r="AJ563" s="71"/>
      <c r="AK563" s="71"/>
      <c r="AL563" s="71"/>
      <c r="AM563" s="71"/>
      <c r="AN563" s="71"/>
      <c r="AO563" s="71"/>
      <c r="AP563" s="71"/>
      <c r="AQ563" s="71"/>
      <c r="AR563" s="71"/>
      <c r="AS563" s="71"/>
      <c r="AT563" s="71"/>
      <c r="AU563" s="71"/>
      <c r="AV563" s="71"/>
      <c r="AW563" s="71"/>
      <c r="AX563" s="71"/>
      <c r="AY563" s="71"/>
      <c r="AZ563" s="71"/>
      <c r="BA563" s="71"/>
      <c r="BB563" s="71"/>
      <c r="BC563" s="71"/>
      <c r="BD563" s="71"/>
      <c r="BE563" s="71"/>
      <c r="BF563" s="71"/>
      <c r="BG563" s="71"/>
      <c r="BH563" s="71"/>
      <c r="BI563" s="71"/>
      <c r="BJ563" s="71"/>
      <c r="BK563" s="71"/>
      <c r="BL563" s="71"/>
      <c r="BM563" s="71"/>
    </row>
    <row r="564">
      <c r="A564" s="72"/>
      <c r="B564" s="72"/>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1"/>
      <c r="AB564" s="71"/>
      <c r="AC564" s="71"/>
      <c r="AD564" s="71"/>
      <c r="AE564" s="71"/>
      <c r="AF564" s="71"/>
      <c r="AG564" s="71"/>
      <c r="AH564" s="71"/>
      <c r="AI564" s="71"/>
      <c r="AJ564" s="71"/>
      <c r="AK564" s="71"/>
      <c r="AL564" s="71"/>
      <c r="AM564" s="71"/>
      <c r="AN564" s="71"/>
      <c r="AO564" s="71"/>
      <c r="AP564" s="71"/>
      <c r="AQ564" s="71"/>
      <c r="AR564" s="71"/>
      <c r="AS564" s="71"/>
      <c r="AT564" s="71"/>
      <c r="AU564" s="71"/>
      <c r="AV564" s="71"/>
      <c r="AW564" s="71"/>
      <c r="AX564" s="71"/>
      <c r="AY564" s="71"/>
      <c r="AZ564" s="71"/>
      <c r="BA564" s="71"/>
      <c r="BB564" s="71"/>
      <c r="BC564" s="71"/>
      <c r="BD564" s="71"/>
      <c r="BE564" s="71"/>
      <c r="BF564" s="71"/>
      <c r="BG564" s="71"/>
      <c r="BH564" s="71"/>
      <c r="BI564" s="71"/>
      <c r="BJ564" s="71"/>
      <c r="BK564" s="71"/>
      <c r="BL564" s="71"/>
      <c r="BM564" s="71"/>
    </row>
    <row r="565">
      <c r="A565" s="72"/>
      <c r="B565" s="72"/>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c r="AA565" s="71"/>
      <c r="AB565" s="71"/>
      <c r="AC565" s="71"/>
      <c r="AD565" s="71"/>
      <c r="AE565" s="71"/>
      <c r="AF565" s="71"/>
      <c r="AG565" s="71"/>
      <c r="AH565" s="71"/>
      <c r="AI565" s="71"/>
      <c r="AJ565" s="71"/>
      <c r="AK565" s="71"/>
      <c r="AL565" s="71"/>
      <c r="AM565" s="71"/>
      <c r="AN565" s="71"/>
      <c r="AO565" s="71"/>
      <c r="AP565" s="71"/>
      <c r="AQ565" s="71"/>
      <c r="AR565" s="71"/>
      <c r="AS565" s="71"/>
      <c r="AT565" s="71"/>
      <c r="AU565" s="71"/>
      <c r="AV565" s="71"/>
      <c r="AW565" s="71"/>
      <c r="AX565" s="71"/>
      <c r="AY565" s="71"/>
      <c r="AZ565" s="71"/>
      <c r="BA565" s="71"/>
      <c r="BB565" s="71"/>
      <c r="BC565" s="71"/>
      <c r="BD565" s="71"/>
      <c r="BE565" s="71"/>
      <c r="BF565" s="71"/>
      <c r="BG565" s="71"/>
      <c r="BH565" s="71"/>
      <c r="BI565" s="71"/>
      <c r="BJ565" s="71"/>
      <c r="BK565" s="71"/>
      <c r="BL565" s="71"/>
      <c r="BM565" s="71"/>
    </row>
    <row r="566">
      <c r="A566" s="72"/>
      <c r="B566" s="72"/>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c r="AA566" s="71"/>
      <c r="AB566" s="71"/>
      <c r="AC566" s="71"/>
      <c r="AD566" s="71"/>
      <c r="AE566" s="71"/>
      <c r="AF566" s="71"/>
      <c r="AG566" s="71"/>
      <c r="AH566" s="71"/>
      <c r="AI566" s="71"/>
      <c r="AJ566" s="71"/>
      <c r="AK566" s="71"/>
      <c r="AL566" s="71"/>
      <c r="AM566" s="71"/>
      <c r="AN566" s="71"/>
      <c r="AO566" s="71"/>
      <c r="AP566" s="71"/>
      <c r="AQ566" s="71"/>
      <c r="AR566" s="71"/>
      <c r="AS566" s="71"/>
      <c r="AT566" s="71"/>
      <c r="AU566" s="71"/>
      <c r="AV566" s="71"/>
      <c r="AW566" s="71"/>
      <c r="AX566" s="71"/>
      <c r="AY566" s="71"/>
      <c r="AZ566" s="71"/>
      <c r="BA566" s="71"/>
      <c r="BB566" s="71"/>
      <c r="BC566" s="71"/>
      <c r="BD566" s="71"/>
      <c r="BE566" s="71"/>
      <c r="BF566" s="71"/>
      <c r="BG566" s="71"/>
      <c r="BH566" s="71"/>
      <c r="BI566" s="71"/>
      <c r="BJ566" s="71"/>
      <c r="BK566" s="71"/>
      <c r="BL566" s="71"/>
      <c r="BM566" s="71"/>
    </row>
    <row r="567">
      <c r="A567" s="72"/>
      <c r="B567" s="72"/>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c r="AA567" s="71"/>
      <c r="AB567" s="71"/>
      <c r="AC567" s="71"/>
      <c r="AD567" s="71"/>
      <c r="AE567" s="71"/>
      <c r="AF567" s="71"/>
      <c r="AG567" s="71"/>
      <c r="AH567" s="71"/>
      <c r="AI567" s="71"/>
      <c r="AJ567" s="71"/>
      <c r="AK567" s="71"/>
      <c r="AL567" s="71"/>
      <c r="AM567" s="71"/>
      <c r="AN567" s="71"/>
      <c r="AO567" s="71"/>
      <c r="AP567" s="71"/>
      <c r="AQ567" s="71"/>
      <c r="AR567" s="71"/>
      <c r="AS567" s="71"/>
      <c r="AT567" s="71"/>
      <c r="AU567" s="71"/>
      <c r="AV567" s="71"/>
      <c r="AW567" s="71"/>
      <c r="AX567" s="71"/>
      <c r="AY567" s="71"/>
      <c r="AZ567" s="71"/>
      <c r="BA567" s="71"/>
      <c r="BB567" s="71"/>
      <c r="BC567" s="71"/>
      <c r="BD567" s="71"/>
      <c r="BE567" s="71"/>
      <c r="BF567" s="71"/>
      <c r="BG567" s="71"/>
      <c r="BH567" s="71"/>
      <c r="BI567" s="71"/>
      <c r="BJ567" s="71"/>
      <c r="BK567" s="71"/>
      <c r="BL567" s="71"/>
      <c r="BM567" s="71"/>
    </row>
    <row r="568">
      <c r="A568" s="72"/>
      <c r="B568" s="72"/>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c r="AA568" s="71"/>
      <c r="AB568" s="71"/>
      <c r="AC568" s="71"/>
      <c r="AD568" s="71"/>
      <c r="AE568" s="71"/>
      <c r="AF568" s="71"/>
      <c r="AG568" s="71"/>
      <c r="AH568" s="71"/>
      <c r="AI568" s="71"/>
      <c r="AJ568" s="71"/>
      <c r="AK568" s="71"/>
      <c r="AL568" s="71"/>
      <c r="AM568" s="71"/>
      <c r="AN568" s="71"/>
      <c r="AO568" s="71"/>
      <c r="AP568" s="71"/>
      <c r="AQ568" s="71"/>
      <c r="AR568" s="71"/>
      <c r="AS568" s="71"/>
      <c r="AT568" s="71"/>
      <c r="AU568" s="71"/>
      <c r="AV568" s="71"/>
      <c r="AW568" s="71"/>
      <c r="AX568" s="71"/>
      <c r="AY568" s="71"/>
      <c r="AZ568" s="71"/>
      <c r="BA568" s="71"/>
      <c r="BB568" s="71"/>
      <c r="BC568" s="71"/>
      <c r="BD568" s="71"/>
      <c r="BE568" s="71"/>
      <c r="BF568" s="71"/>
      <c r="BG568" s="71"/>
      <c r="BH568" s="71"/>
      <c r="BI568" s="71"/>
      <c r="BJ568" s="71"/>
      <c r="BK568" s="71"/>
      <c r="BL568" s="71"/>
      <c r="BM568" s="71"/>
    </row>
    <row r="569">
      <c r="A569" s="72"/>
      <c r="B569" s="72"/>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c r="AA569" s="71"/>
      <c r="AB569" s="71"/>
      <c r="AC569" s="71"/>
      <c r="AD569" s="71"/>
      <c r="AE569" s="71"/>
      <c r="AF569" s="71"/>
      <c r="AG569" s="71"/>
      <c r="AH569" s="71"/>
      <c r="AI569" s="71"/>
      <c r="AJ569" s="71"/>
      <c r="AK569" s="71"/>
      <c r="AL569" s="71"/>
      <c r="AM569" s="71"/>
      <c r="AN569" s="71"/>
      <c r="AO569" s="71"/>
      <c r="AP569" s="71"/>
      <c r="AQ569" s="71"/>
      <c r="AR569" s="71"/>
      <c r="AS569" s="71"/>
      <c r="AT569" s="71"/>
      <c r="AU569" s="71"/>
      <c r="AV569" s="71"/>
      <c r="AW569" s="71"/>
      <c r="AX569" s="71"/>
      <c r="AY569" s="71"/>
      <c r="AZ569" s="71"/>
      <c r="BA569" s="71"/>
      <c r="BB569" s="71"/>
      <c r="BC569" s="71"/>
      <c r="BD569" s="71"/>
      <c r="BE569" s="71"/>
      <c r="BF569" s="71"/>
      <c r="BG569" s="71"/>
      <c r="BH569" s="71"/>
      <c r="BI569" s="71"/>
      <c r="BJ569" s="71"/>
      <c r="BK569" s="71"/>
      <c r="BL569" s="71"/>
      <c r="BM569" s="71"/>
    </row>
    <row r="570">
      <c r="A570" s="72"/>
      <c r="B570" s="72"/>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c r="AA570" s="71"/>
      <c r="AB570" s="71"/>
      <c r="AC570" s="71"/>
      <c r="AD570" s="71"/>
      <c r="AE570" s="71"/>
      <c r="AF570" s="71"/>
      <c r="AG570" s="71"/>
      <c r="AH570" s="71"/>
      <c r="AI570" s="71"/>
      <c r="AJ570" s="71"/>
      <c r="AK570" s="71"/>
      <c r="AL570" s="71"/>
      <c r="AM570" s="71"/>
      <c r="AN570" s="71"/>
      <c r="AO570" s="71"/>
      <c r="AP570" s="71"/>
      <c r="AQ570" s="71"/>
      <c r="AR570" s="71"/>
      <c r="AS570" s="71"/>
      <c r="AT570" s="71"/>
      <c r="AU570" s="71"/>
      <c r="AV570" s="71"/>
      <c r="AW570" s="71"/>
      <c r="AX570" s="71"/>
      <c r="AY570" s="71"/>
      <c r="AZ570" s="71"/>
      <c r="BA570" s="71"/>
      <c r="BB570" s="71"/>
      <c r="BC570" s="71"/>
      <c r="BD570" s="71"/>
      <c r="BE570" s="71"/>
      <c r="BF570" s="71"/>
      <c r="BG570" s="71"/>
      <c r="BH570" s="71"/>
      <c r="BI570" s="71"/>
      <c r="BJ570" s="71"/>
      <c r="BK570" s="71"/>
      <c r="BL570" s="71"/>
      <c r="BM570" s="71"/>
    </row>
    <row r="571">
      <c r="A571" s="72"/>
      <c r="B571" s="72"/>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c r="AA571" s="71"/>
      <c r="AB571" s="71"/>
      <c r="AC571" s="71"/>
      <c r="AD571" s="71"/>
      <c r="AE571" s="71"/>
      <c r="AF571" s="71"/>
      <c r="AG571" s="71"/>
      <c r="AH571" s="71"/>
      <c r="AI571" s="71"/>
      <c r="AJ571" s="71"/>
      <c r="AK571" s="71"/>
      <c r="AL571" s="71"/>
      <c r="AM571" s="71"/>
      <c r="AN571" s="71"/>
      <c r="AO571" s="71"/>
      <c r="AP571" s="71"/>
      <c r="AQ571" s="71"/>
      <c r="AR571" s="71"/>
      <c r="AS571" s="71"/>
      <c r="AT571" s="71"/>
      <c r="AU571" s="71"/>
      <c r="AV571" s="71"/>
      <c r="AW571" s="71"/>
      <c r="AX571" s="71"/>
      <c r="AY571" s="71"/>
      <c r="AZ571" s="71"/>
      <c r="BA571" s="71"/>
      <c r="BB571" s="71"/>
      <c r="BC571" s="71"/>
      <c r="BD571" s="71"/>
      <c r="BE571" s="71"/>
      <c r="BF571" s="71"/>
      <c r="BG571" s="71"/>
      <c r="BH571" s="71"/>
      <c r="BI571" s="71"/>
      <c r="BJ571" s="71"/>
      <c r="BK571" s="71"/>
      <c r="BL571" s="71"/>
      <c r="BM571" s="71"/>
    </row>
    <row r="572">
      <c r="A572" s="72"/>
      <c r="B572" s="72"/>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c r="AA572" s="71"/>
      <c r="AB572" s="71"/>
      <c r="AC572" s="71"/>
      <c r="AD572" s="71"/>
      <c r="AE572" s="71"/>
      <c r="AF572" s="71"/>
      <c r="AG572" s="71"/>
      <c r="AH572" s="71"/>
      <c r="AI572" s="71"/>
      <c r="AJ572" s="71"/>
      <c r="AK572" s="71"/>
      <c r="AL572" s="71"/>
      <c r="AM572" s="71"/>
      <c r="AN572" s="71"/>
      <c r="AO572" s="71"/>
      <c r="AP572" s="71"/>
      <c r="AQ572" s="71"/>
      <c r="AR572" s="71"/>
      <c r="AS572" s="71"/>
      <c r="AT572" s="71"/>
      <c r="AU572" s="71"/>
      <c r="AV572" s="71"/>
      <c r="AW572" s="71"/>
      <c r="AX572" s="71"/>
      <c r="AY572" s="71"/>
      <c r="AZ572" s="71"/>
      <c r="BA572" s="71"/>
      <c r="BB572" s="71"/>
      <c r="BC572" s="71"/>
      <c r="BD572" s="71"/>
      <c r="BE572" s="71"/>
      <c r="BF572" s="71"/>
      <c r="BG572" s="71"/>
      <c r="BH572" s="71"/>
      <c r="BI572" s="71"/>
      <c r="BJ572" s="71"/>
      <c r="BK572" s="71"/>
      <c r="BL572" s="71"/>
      <c r="BM572" s="71"/>
    </row>
    <row r="573">
      <c r="A573" s="72"/>
      <c r="B573" s="72"/>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c r="AA573" s="71"/>
      <c r="AB573" s="71"/>
      <c r="AC573" s="71"/>
      <c r="AD573" s="71"/>
      <c r="AE573" s="71"/>
      <c r="AF573" s="71"/>
      <c r="AG573" s="71"/>
      <c r="AH573" s="71"/>
      <c r="AI573" s="71"/>
      <c r="AJ573" s="71"/>
      <c r="AK573" s="71"/>
      <c r="AL573" s="71"/>
      <c r="AM573" s="71"/>
      <c r="AN573" s="71"/>
      <c r="AO573" s="71"/>
      <c r="AP573" s="71"/>
      <c r="AQ573" s="71"/>
      <c r="AR573" s="71"/>
      <c r="AS573" s="71"/>
      <c r="AT573" s="71"/>
      <c r="AU573" s="71"/>
      <c r="AV573" s="71"/>
      <c r="AW573" s="71"/>
      <c r="AX573" s="71"/>
      <c r="AY573" s="71"/>
      <c r="AZ573" s="71"/>
      <c r="BA573" s="71"/>
      <c r="BB573" s="71"/>
      <c r="BC573" s="71"/>
      <c r="BD573" s="71"/>
      <c r="BE573" s="71"/>
      <c r="BF573" s="71"/>
      <c r="BG573" s="71"/>
      <c r="BH573" s="71"/>
      <c r="BI573" s="71"/>
      <c r="BJ573" s="71"/>
      <c r="BK573" s="71"/>
      <c r="BL573" s="71"/>
      <c r="BM573" s="71"/>
    </row>
    <row r="574">
      <c r="A574" s="72"/>
      <c r="B574" s="72"/>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c r="AA574" s="71"/>
      <c r="AB574" s="71"/>
      <c r="AC574" s="71"/>
      <c r="AD574" s="71"/>
      <c r="AE574" s="71"/>
      <c r="AF574" s="71"/>
      <c r="AG574" s="71"/>
      <c r="AH574" s="71"/>
      <c r="AI574" s="71"/>
      <c r="AJ574" s="71"/>
      <c r="AK574" s="71"/>
      <c r="AL574" s="71"/>
      <c r="AM574" s="71"/>
      <c r="AN574" s="71"/>
      <c r="AO574" s="71"/>
      <c r="AP574" s="71"/>
      <c r="AQ574" s="71"/>
      <c r="AR574" s="71"/>
      <c r="AS574" s="71"/>
      <c r="AT574" s="71"/>
      <c r="AU574" s="71"/>
      <c r="AV574" s="71"/>
      <c r="AW574" s="71"/>
      <c r="AX574" s="71"/>
      <c r="AY574" s="71"/>
      <c r="AZ574" s="71"/>
      <c r="BA574" s="71"/>
      <c r="BB574" s="71"/>
      <c r="BC574" s="71"/>
      <c r="BD574" s="71"/>
      <c r="BE574" s="71"/>
      <c r="BF574" s="71"/>
      <c r="BG574" s="71"/>
      <c r="BH574" s="71"/>
      <c r="BI574" s="71"/>
      <c r="BJ574" s="71"/>
      <c r="BK574" s="71"/>
      <c r="BL574" s="71"/>
      <c r="BM574" s="71"/>
    </row>
    <row r="575">
      <c r="A575" s="72"/>
      <c r="B575" s="72"/>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c r="AA575" s="71"/>
      <c r="AB575" s="71"/>
      <c r="AC575" s="71"/>
      <c r="AD575" s="71"/>
      <c r="AE575" s="71"/>
      <c r="AF575" s="71"/>
      <c r="AG575" s="71"/>
      <c r="AH575" s="71"/>
      <c r="AI575" s="71"/>
      <c r="AJ575" s="71"/>
      <c r="AK575" s="71"/>
      <c r="AL575" s="71"/>
      <c r="AM575" s="71"/>
      <c r="AN575" s="71"/>
      <c r="AO575" s="71"/>
      <c r="AP575" s="71"/>
      <c r="AQ575" s="71"/>
      <c r="AR575" s="71"/>
      <c r="AS575" s="71"/>
      <c r="AT575" s="71"/>
      <c r="AU575" s="71"/>
      <c r="AV575" s="71"/>
      <c r="AW575" s="71"/>
      <c r="AX575" s="71"/>
      <c r="AY575" s="71"/>
      <c r="AZ575" s="71"/>
      <c r="BA575" s="71"/>
      <c r="BB575" s="71"/>
      <c r="BC575" s="71"/>
      <c r="BD575" s="71"/>
      <c r="BE575" s="71"/>
      <c r="BF575" s="71"/>
      <c r="BG575" s="71"/>
      <c r="BH575" s="71"/>
      <c r="BI575" s="71"/>
      <c r="BJ575" s="71"/>
      <c r="BK575" s="71"/>
      <c r="BL575" s="71"/>
      <c r="BM575" s="71"/>
    </row>
    <row r="576">
      <c r="A576" s="72"/>
      <c r="B576" s="72"/>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c r="AA576" s="71"/>
      <c r="AB576" s="71"/>
      <c r="AC576" s="71"/>
      <c r="AD576" s="71"/>
      <c r="AE576" s="71"/>
      <c r="AF576" s="71"/>
      <c r="AG576" s="71"/>
      <c r="AH576" s="71"/>
      <c r="AI576" s="71"/>
      <c r="AJ576" s="71"/>
      <c r="AK576" s="71"/>
      <c r="AL576" s="71"/>
      <c r="AM576" s="71"/>
      <c r="AN576" s="71"/>
      <c r="AO576" s="71"/>
      <c r="AP576" s="71"/>
      <c r="AQ576" s="71"/>
      <c r="AR576" s="71"/>
      <c r="AS576" s="71"/>
      <c r="AT576" s="71"/>
      <c r="AU576" s="71"/>
      <c r="AV576" s="71"/>
      <c r="AW576" s="71"/>
      <c r="AX576" s="71"/>
      <c r="AY576" s="71"/>
      <c r="AZ576" s="71"/>
      <c r="BA576" s="71"/>
      <c r="BB576" s="71"/>
      <c r="BC576" s="71"/>
      <c r="BD576" s="71"/>
      <c r="BE576" s="71"/>
      <c r="BF576" s="71"/>
      <c r="BG576" s="71"/>
      <c r="BH576" s="71"/>
      <c r="BI576" s="71"/>
      <c r="BJ576" s="71"/>
      <c r="BK576" s="71"/>
      <c r="BL576" s="71"/>
      <c r="BM576" s="71"/>
    </row>
    <row r="577">
      <c r="A577" s="72"/>
      <c r="B577" s="72"/>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c r="AA577" s="71"/>
      <c r="AB577" s="71"/>
      <c r="AC577" s="71"/>
      <c r="AD577" s="71"/>
      <c r="AE577" s="71"/>
      <c r="AF577" s="71"/>
      <c r="AG577" s="71"/>
      <c r="AH577" s="71"/>
      <c r="AI577" s="71"/>
      <c r="AJ577" s="71"/>
      <c r="AK577" s="71"/>
      <c r="AL577" s="71"/>
      <c r="AM577" s="71"/>
      <c r="AN577" s="71"/>
      <c r="AO577" s="71"/>
      <c r="AP577" s="71"/>
      <c r="AQ577" s="71"/>
      <c r="AR577" s="71"/>
      <c r="AS577" s="71"/>
      <c r="AT577" s="71"/>
      <c r="AU577" s="71"/>
      <c r="AV577" s="71"/>
      <c r="AW577" s="71"/>
      <c r="AX577" s="71"/>
      <c r="AY577" s="71"/>
      <c r="AZ577" s="71"/>
      <c r="BA577" s="71"/>
      <c r="BB577" s="71"/>
      <c r="BC577" s="71"/>
      <c r="BD577" s="71"/>
      <c r="BE577" s="71"/>
      <c r="BF577" s="71"/>
      <c r="BG577" s="71"/>
      <c r="BH577" s="71"/>
      <c r="BI577" s="71"/>
      <c r="BJ577" s="71"/>
      <c r="BK577" s="71"/>
      <c r="BL577" s="71"/>
      <c r="BM577" s="71"/>
    </row>
    <row r="578">
      <c r="A578" s="72"/>
      <c r="B578" s="72"/>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c r="AA578" s="71"/>
      <c r="AB578" s="71"/>
      <c r="AC578" s="71"/>
      <c r="AD578" s="71"/>
      <c r="AE578" s="71"/>
      <c r="AF578" s="71"/>
      <c r="AG578" s="71"/>
      <c r="AH578" s="71"/>
      <c r="AI578" s="71"/>
      <c r="AJ578" s="71"/>
      <c r="AK578" s="71"/>
      <c r="AL578" s="71"/>
      <c r="AM578" s="71"/>
      <c r="AN578" s="71"/>
      <c r="AO578" s="71"/>
      <c r="AP578" s="71"/>
      <c r="AQ578" s="71"/>
      <c r="AR578" s="71"/>
      <c r="AS578" s="71"/>
      <c r="AT578" s="71"/>
      <c r="AU578" s="71"/>
      <c r="AV578" s="71"/>
      <c r="AW578" s="71"/>
      <c r="AX578" s="71"/>
      <c r="AY578" s="71"/>
      <c r="AZ578" s="71"/>
      <c r="BA578" s="71"/>
      <c r="BB578" s="71"/>
      <c r="BC578" s="71"/>
      <c r="BD578" s="71"/>
      <c r="BE578" s="71"/>
      <c r="BF578" s="71"/>
      <c r="BG578" s="71"/>
      <c r="BH578" s="71"/>
      <c r="BI578" s="71"/>
      <c r="BJ578" s="71"/>
      <c r="BK578" s="71"/>
      <c r="BL578" s="71"/>
      <c r="BM578" s="71"/>
    </row>
    <row r="579">
      <c r="A579" s="72"/>
      <c r="B579" s="72"/>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c r="AA579" s="71"/>
      <c r="AB579" s="71"/>
      <c r="AC579" s="71"/>
      <c r="AD579" s="71"/>
      <c r="AE579" s="71"/>
      <c r="AF579" s="71"/>
      <c r="AG579" s="71"/>
      <c r="AH579" s="71"/>
      <c r="AI579" s="71"/>
      <c r="AJ579" s="71"/>
      <c r="AK579" s="71"/>
      <c r="AL579" s="71"/>
      <c r="AM579" s="71"/>
      <c r="AN579" s="71"/>
      <c r="AO579" s="71"/>
      <c r="AP579" s="71"/>
      <c r="AQ579" s="71"/>
      <c r="AR579" s="71"/>
      <c r="AS579" s="71"/>
      <c r="AT579" s="71"/>
      <c r="AU579" s="71"/>
      <c r="AV579" s="71"/>
      <c r="AW579" s="71"/>
      <c r="AX579" s="71"/>
      <c r="AY579" s="71"/>
      <c r="AZ579" s="71"/>
      <c r="BA579" s="71"/>
      <c r="BB579" s="71"/>
      <c r="BC579" s="71"/>
      <c r="BD579" s="71"/>
      <c r="BE579" s="71"/>
      <c r="BF579" s="71"/>
      <c r="BG579" s="71"/>
      <c r="BH579" s="71"/>
      <c r="BI579" s="71"/>
      <c r="BJ579" s="71"/>
      <c r="BK579" s="71"/>
      <c r="BL579" s="71"/>
      <c r="BM579" s="71"/>
    </row>
    <row r="580">
      <c r="A580" s="72"/>
      <c r="B580" s="72"/>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c r="AA580" s="71"/>
      <c r="AB580" s="71"/>
      <c r="AC580" s="71"/>
      <c r="AD580" s="71"/>
      <c r="AE580" s="71"/>
      <c r="AF580" s="71"/>
      <c r="AG580" s="71"/>
      <c r="AH580" s="71"/>
      <c r="AI580" s="71"/>
      <c r="AJ580" s="71"/>
      <c r="AK580" s="71"/>
      <c r="AL580" s="71"/>
      <c r="AM580" s="71"/>
      <c r="AN580" s="71"/>
      <c r="AO580" s="71"/>
      <c r="AP580" s="71"/>
      <c r="AQ580" s="71"/>
      <c r="AR580" s="71"/>
      <c r="AS580" s="71"/>
      <c r="AT580" s="71"/>
      <c r="AU580" s="71"/>
      <c r="AV580" s="71"/>
      <c r="AW580" s="71"/>
      <c r="AX580" s="71"/>
      <c r="AY580" s="71"/>
      <c r="AZ580" s="71"/>
      <c r="BA580" s="71"/>
      <c r="BB580" s="71"/>
      <c r="BC580" s="71"/>
      <c r="BD580" s="71"/>
      <c r="BE580" s="71"/>
      <c r="BF580" s="71"/>
      <c r="BG580" s="71"/>
      <c r="BH580" s="71"/>
      <c r="BI580" s="71"/>
      <c r="BJ580" s="71"/>
      <c r="BK580" s="71"/>
      <c r="BL580" s="71"/>
      <c r="BM580" s="71"/>
    </row>
    <row r="581">
      <c r="A581" s="72"/>
      <c r="B581" s="72"/>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c r="AA581" s="71"/>
      <c r="AB581" s="71"/>
      <c r="AC581" s="71"/>
      <c r="AD581" s="71"/>
      <c r="AE581" s="71"/>
      <c r="AF581" s="71"/>
      <c r="AG581" s="71"/>
      <c r="AH581" s="71"/>
      <c r="AI581" s="71"/>
      <c r="AJ581" s="71"/>
      <c r="AK581" s="71"/>
      <c r="AL581" s="71"/>
      <c r="AM581" s="71"/>
      <c r="AN581" s="71"/>
      <c r="AO581" s="71"/>
      <c r="AP581" s="71"/>
      <c r="AQ581" s="71"/>
      <c r="AR581" s="71"/>
      <c r="AS581" s="71"/>
      <c r="AT581" s="71"/>
      <c r="AU581" s="71"/>
      <c r="AV581" s="71"/>
      <c r="AW581" s="71"/>
      <c r="AX581" s="71"/>
      <c r="AY581" s="71"/>
      <c r="AZ581" s="71"/>
      <c r="BA581" s="71"/>
      <c r="BB581" s="71"/>
      <c r="BC581" s="71"/>
      <c r="BD581" s="71"/>
      <c r="BE581" s="71"/>
      <c r="BF581" s="71"/>
      <c r="BG581" s="71"/>
      <c r="BH581" s="71"/>
      <c r="BI581" s="71"/>
      <c r="BJ581" s="71"/>
      <c r="BK581" s="71"/>
      <c r="BL581" s="71"/>
      <c r="BM581" s="71"/>
    </row>
    <row r="582">
      <c r="A582" s="72"/>
      <c r="B582" s="72"/>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c r="AA582" s="71"/>
      <c r="AB582" s="71"/>
      <c r="AC582" s="71"/>
      <c r="AD582" s="71"/>
      <c r="AE582" s="71"/>
      <c r="AF582" s="71"/>
      <c r="AG582" s="71"/>
      <c r="AH582" s="71"/>
      <c r="AI582" s="71"/>
      <c r="AJ582" s="71"/>
      <c r="AK582" s="71"/>
      <c r="AL582" s="71"/>
      <c r="AM582" s="71"/>
      <c r="AN582" s="71"/>
      <c r="AO582" s="71"/>
      <c r="AP582" s="71"/>
      <c r="AQ582" s="71"/>
      <c r="AR582" s="71"/>
      <c r="AS582" s="71"/>
      <c r="AT582" s="71"/>
      <c r="AU582" s="71"/>
      <c r="AV582" s="71"/>
      <c r="AW582" s="71"/>
      <c r="AX582" s="71"/>
      <c r="AY582" s="71"/>
      <c r="AZ582" s="71"/>
      <c r="BA582" s="71"/>
      <c r="BB582" s="71"/>
      <c r="BC582" s="71"/>
      <c r="BD582" s="71"/>
      <c r="BE582" s="71"/>
      <c r="BF582" s="71"/>
      <c r="BG582" s="71"/>
      <c r="BH582" s="71"/>
      <c r="BI582" s="71"/>
      <c r="BJ582" s="71"/>
      <c r="BK582" s="71"/>
      <c r="BL582" s="71"/>
      <c r="BM582" s="71"/>
    </row>
    <row r="583">
      <c r="A583" s="72"/>
      <c r="B583" s="72"/>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c r="AA583" s="71"/>
      <c r="AB583" s="71"/>
      <c r="AC583" s="71"/>
      <c r="AD583" s="71"/>
      <c r="AE583" s="71"/>
      <c r="AF583" s="71"/>
      <c r="AG583" s="71"/>
      <c r="AH583" s="71"/>
      <c r="AI583" s="71"/>
      <c r="AJ583" s="71"/>
      <c r="AK583" s="71"/>
      <c r="AL583" s="71"/>
      <c r="AM583" s="71"/>
      <c r="AN583" s="71"/>
      <c r="AO583" s="71"/>
      <c r="AP583" s="71"/>
      <c r="AQ583" s="71"/>
      <c r="AR583" s="71"/>
      <c r="AS583" s="71"/>
      <c r="AT583" s="71"/>
      <c r="AU583" s="71"/>
      <c r="AV583" s="71"/>
      <c r="AW583" s="71"/>
      <c r="AX583" s="71"/>
      <c r="AY583" s="71"/>
      <c r="AZ583" s="71"/>
      <c r="BA583" s="71"/>
      <c r="BB583" s="71"/>
      <c r="BC583" s="71"/>
      <c r="BD583" s="71"/>
      <c r="BE583" s="71"/>
      <c r="BF583" s="71"/>
      <c r="BG583" s="71"/>
      <c r="BH583" s="71"/>
      <c r="BI583" s="71"/>
      <c r="BJ583" s="71"/>
      <c r="BK583" s="71"/>
      <c r="BL583" s="71"/>
      <c r="BM583" s="71"/>
    </row>
    <row r="584">
      <c r="A584" s="72"/>
      <c r="B584" s="72"/>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c r="AA584" s="71"/>
      <c r="AB584" s="71"/>
      <c r="AC584" s="71"/>
      <c r="AD584" s="71"/>
      <c r="AE584" s="71"/>
      <c r="AF584" s="71"/>
      <c r="AG584" s="71"/>
      <c r="AH584" s="71"/>
      <c r="AI584" s="71"/>
      <c r="AJ584" s="71"/>
      <c r="AK584" s="71"/>
      <c r="AL584" s="71"/>
      <c r="AM584" s="71"/>
      <c r="AN584" s="71"/>
      <c r="AO584" s="71"/>
      <c r="AP584" s="71"/>
      <c r="AQ584" s="71"/>
      <c r="AR584" s="71"/>
      <c r="AS584" s="71"/>
      <c r="AT584" s="71"/>
      <c r="AU584" s="71"/>
      <c r="AV584" s="71"/>
      <c r="AW584" s="71"/>
      <c r="AX584" s="71"/>
      <c r="AY584" s="71"/>
      <c r="AZ584" s="71"/>
      <c r="BA584" s="71"/>
      <c r="BB584" s="71"/>
      <c r="BC584" s="71"/>
      <c r="BD584" s="71"/>
      <c r="BE584" s="71"/>
      <c r="BF584" s="71"/>
      <c r="BG584" s="71"/>
      <c r="BH584" s="71"/>
      <c r="BI584" s="71"/>
      <c r="BJ584" s="71"/>
      <c r="BK584" s="71"/>
      <c r="BL584" s="71"/>
      <c r="BM584" s="71"/>
    </row>
    <row r="585">
      <c r="A585" s="72"/>
      <c r="B585" s="72"/>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c r="AA585" s="71"/>
      <c r="AB585" s="71"/>
      <c r="AC585" s="71"/>
      <c r="AD585" s="71"/>
      <c r="AE585" s="71"/>
      <c r="AF585" s="71"/>
      <c r="AG585" s="71"/>
      <c r="AH585" s="71"/>
      <c r="AI585" s="71"/>
      <c r="AJ585" s="71"/>
      <c r="AK585" s="71"/>
      <c r="AL585" s="71"/>
      <c r="AM585" s="71"/>
      <c r="AN585" s="71"/>
      <c r="AO585" s="71"/>
      <c r="AP585" s="71"/>
      <c r="AQ585" s="71"/>
      <c r="AR585" s="71"/>
      <c r="AS585" s="71"/>
      <c r="AT585" s="71"/>
      <c r="AU585" s="71"/>
      <c r="AV585" s="71"/>
      <c r="AW585" s="71"/>
      <c r="AX585" s="71"/>
      <c r="AY585" s="71"/>
      <c r="AZ585" s="71"/>
      <c r="BA585" s="71"/>
      <c r="BB585" s="71"/>
      <c r="BC585" s="71"/>
      <c r="BD585" s="71"/>
      <c r="BE585" s="71"/>
      <c r="BF585" s="71"/>
      <c r="BG585" s="71"/>
      <c r="BH585" s="71"/>
      <c r="BI585" s="71"/>
      <c r="BJ585" s="71"/>
      <c r="BK585" s="71"/>
      <c r="BL585" s="71"/>
      <c r="BM585" s="71"/>
    </row>
    <row r="586">
      <c r="A586" s="72"/>
      <c r="B586" s="72"/>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c r="AA586" s="71"/>
      <c r="AB586" s="71"/>
      <c r="AC586" s="71"/>
      <c r="AD586" s="71"/>
      <c r="AE586" s="71"/>
      <c r="AF586" s="71"/>
      <c r="AG586" s="71"/>
      <c r="AH586" s="71"/>
      <c r="AI586" s="71"/>
      <c r="AJ586" s="71"/>
      <c r="AK586" s="71"/>
      <c r="AL586" s="71"/>
      <c r="AM586" s="71"/>
      <c r="AN586" s="71"/>
      <c r="AO586" s="71"/>
      <c r="AP586" s="71"/>
      <c r="AQ586" s="71"/>
      <c r="AR586" s="71"/>
      <c r="AS586" s="71"/>
      <c r="AT586" s="71"/>
      <c r="AU586" s="71"/>
      <c r="AV586" s="71"/>
      <c r="AW586" s="71"/>
      <c r="AX586" s="71"/>
      <c r="AY586" s="71"/>
      <c r="AZ586" s="71"/>
      <c r="BA586" s="71"/>
      <c r="BB586" s="71"/>
      <c r="BC586" s="71"/>
      <c r="BD586" s="71"/>
      <c r="BE586" s="71"/>
      <c r="BF586" s="71"/>
      <c r="BG586" s="71"/>
      <c r="BH586" s="71"/>
      <c r="BI586" s="71"/>
      <c r="BJ586" s="71"/>
      <c r="BK586" s="71"/>
      <c r="BL586" s="71"/>
      <c r="BM586" s="71"/>
    </row>
    <row r="587">
      <c r="A587" s="72"/>
      <c r="B587" s="72"/>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c r="AA587" s="71"/>
      <c r="AB587" s="71"/>
      <c r="AC587" s="71"/>
      <c r="AD587" s="71"/>
      <c r="AE587" s="71"/>
      <c r="AF587" s="71"/>
      <c r="AG587" s="71"/>
      <c r="AH587" s="71"/>
      <c r="AI587" s="71"/>
      <c r="AJ587" s="71"/>
      <c r="AK587" s="71"/>
      <c r="AL587" s="71"/>
      <c r="AM587" s="71"/>
      <c r="AN587" s="71"/>
      <c r="AO587" s="71"/>
      <c r="AP587" s="71"/>
      <c r="AQ587" s="71"/>
      <c r="AR587" s="71"/>
      <c r="AS587" s="71"/>
      <c r="AT587" s="71"/>
      <c r="AU587" s="71"/>
      <c r="AV587" s="71"/>
      <c r="AW587" s="71"/>
      <c r="AX587" s="71"/>
      <c r="AY587" s="71"/>
      <c r="AZ587" s="71"/>
      <c r="BA587" s="71"/>
      <c r="BB587" s="71"/>
      <c r="BC587" s="71"/>
      <c r="BD587" s="71"/>
      <c r="BE587" s="71"/>
      <c r="BF587" s="71"/>
      <c r="BG587" s="71"/>
      <c r="BH587" s="71"/>
      <c r="BI587" s="71"/>
      <c r="BJ587" s="71"/>
      <c r="BK587" s="71"/>
      <c r="BL587" s="71"/>
      <c r="BM587" s="71"/>
    </row>
    <row r="588">
      <c r="A588" s="72"/>
      <c r="B588" s="72"/>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c r="AA588" s="71"/>
      <c r="AB588" s="71"/>
      <c r="AC588" s="71"/>
      <c r="AD588" s="71"/>
      <c r="AE588" s="71"/>
      <c r="AF588" s="71"/>
      <c r="AG588" s="71"/>
      <c r="AH588" s="71"/>
      <c r="AI588" s="71"/>
      <c r="AJ588" s="71"/>
      <c r="AK588" s="71"/>
      <c r="AL588" s="71"/>
      <c r="AM588" s="71"/>
      <c r="AN588" s="71"/>
      <c r="AO588" s="71"/>
      <c r="AP588" s="71"/>
      <c r="AQ588" s="71"/>
      <c r="AR588" s="71"/>
      <c r="AS588" s="71"/>
      <c r="AT588" s="71"/>
      <c r="AU588" s="71"/>
      <c r="AV588" s="71"/>
      <c r="AW588" s="71"/>
      <c r="AX588" s="71"/>
      <c r="AY588" s="71"/>
      <c r="AZ588" s="71"/>
      <c r="BA588" s="71"/>
      <c r="BB588" s="71"/>
      <c r="BC588" s="71"/>
      <c r="BD588" s="71"/>
      <c r="BE588" s="71"/>
      <c r="BF588" s="71"/>
      <c r="BG588" s="71"/>
      <c r="BH588" s="71"/>
      <c r="BI588" s="71"/>
      <c r="BJ588" s="71"/>
      <c r="BK588" s="71"/>
      <c r="BL588" s="71"/>
      <c r="BM588" s="71"/>
    </row>
    <row r="589">
      <c r="A589" s="72"/>
      <c r="B589" s="72"/>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c r="AA589" s="71"/>
      <c r="AB589" s="71"/>
      <c r="AC589" s="71"/>
      <c r="AD589" s="71"/>
      <c r="AE589" s="71"/>
      <c r="AF589" s="71"/>
      <c r="AG589" s="71"/>
      <c r="AH589" s="71"/>
      <c r="AI589" s="71"/>
      <c r="AJ589" s="71"/>
      <c r="AK589" s="71"/>
      <c r="AL589" s="71"/>
      <c r="AM589" s="71"/>
      <c r="AN589" s="71"/>
      <c r="AO589" s="71"/>
      <c r="AP589" s="71"/>
      <c r="AQ589" s="71"/>
      <c r="AR589" s="71"/>
      <c r="AS589" s="71"/>
      <c r="AT589" s="71"/>
      <c r="AU589" s="71"/>
      <c r="AV589" s="71"/>
      <c r="AW589" s="71"/>
      <c r="AX589" s="71"/>
      <c r="AY589" s="71"/>
      <c r="AZ589" s="71"/>
      <c r="BA589" s="71"/>
      <c r="BB589" s="71"/>
      <c r="BC589" s="71"/>
      <c r="BD589" s="71"/>
      <c r="BE589" s="71"/>
      <c r="BF589" s="71"/>
      <c r="BG589" s="71"/>
      <c r="BH589" s="71"/>
      <c r="BI589" s="71"/>
      <c r="BJ589" s="71"/>
      <c r="BK589" s="71"/>
      <c r="BL589" s="71"/>
      <c r="BM589" s="71"/>
    </row>
    <row r="590">
      <c r="A590" s="72"/>
      <c r="B590" s="72"/>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c r="AA590" s="71"/>
      <c r="AB590" s="71"/>
      <c r="AC590" s="71"/>
      <c r="AD590" s="71"/>
      <c r="AE590" s="71"/>
      <c r="AF590" s="71"/>
      <c r="AG590" s="71"/>
      <c r="AH590" s="71"/>
      <c r="AI590" s="71"/>
      <c r="AJ590" s="71"/>
      <c r="AK590" s="71"/>
      <c r="AL590" s="71"/>
      <c r="AM590" s="71"/>
      <c r="AN590" s="71"/>
      <c r="AO590" s="71"/>
      <c r="AP590" s="71"/>
      <c r="AQ590" s="71"/>
      <c r="AR590" s="71"/>
      <c r="AS590" s="71"/>
      <c r="AT590" s="71"/>
      <c r="AU590" s="71"/>
      <c r="AV590" s="71"/>
      <c r="AW590" s="71"/>
      <c r="AX590" s="71"/>
      <c r="AY590" s="71"/>
      <c r="AZ590" s="71"/>
      <c r="BA590" s="71"/>
      <c r="BB590" s="71"/>
      <c r="BC590" s="71"/>
      <c r="BD590" s="71"/>
      <c r="BE590" s="71"/>
      <c r="BF590" s="71"/>
      <c r="BG590" s="71"/>
      <c r="BH590" s="71"/>
      <c r="BI590" s="71"/>
      <c r="BJ590" s="71"/>
      <c r="BK590" s="71"/>
      <c r="BL590" s="71"/>
      <c r="BM590" s="71"/>
    </row>
    <row r="591">
      <c r="A591" s="72"/>
      <c r="B591" s="72"/>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c r="AA591" s="71"/>
      <c r="AB591" s="71"/>
      <c r="AC591" s="71"/>
      <c r="AD591" s="71"/>
      <c r="AE591" s="71"/>
      <c r="AF591" s="71"/>
      <c r="AG591" s="71"/>
      <c r="AH591" s="71"/>
      <c r="AI591" s="71"/>
      <c r="AJ591" s="71"/>
      <c r="AK591" s="71"/>
      <c r="AL591" s="71"/>
      <c r="AM591" s="71"/>
      <c r="AN591" s="71"/>
      <c r="AO591" s="71"/>
      <c r="AP591" s="71"/>
      <c r="AQ591" s="71"/>
      <c r="AR591" s="71"/>
      <c r="AS591" s="71"/>
      <c r="AT591" s="71"/>
      <c r="AU591" s="71"/>
      <c r="AV591" s="71"/>
      <c r="AW591" s="71"/>
      <c r="AX591" s="71"/>
      <c r="AY591" s="71"/>
      <c r="AZ591" s="71"/>
      <c r="BA591" s="71"/>
      <c r="BB591" s="71"/>
      <c r="BC591" s="71"/>
      <c r="BD591" s="71"/>
      <c r="BE591" s="71"/>
      <c r="BF591" s="71"/>
      <c r="BG591" s="71"/>
      <c r="BH591" s="71"/>
      <c r="BI591" s="71"/>
      <c r="BJ591" s="71"/>
      <c r="BK591" s="71"/>
      <c r="BL591" s="71"/>
      <c r="BM591" s="71"/>
    </row>
    <row r="592">
      <c r="A592" s="72"/>
      <c r="B592" s="72"/>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c r="AA592" s="71"/>
      <c r="AB592" s="71"/>
      <c r="AC592" s="71"/>
      <c r="AD592" s="71"/>
      <c r="AE592" s="71"/>
      <c r="AF592" s="71"/>
      <c r="AG592" s="71"/>
      <c r="AH592" s="71"/>
      <c r="AI592" s="71"/>
      <c r="AJ592" s="71"/>
      <c r="AK592" s="71"/>
      <c r="AL592" s="71"/>
      <c r="AM592" s="71"/>
      <c r="AN592" s="71"/>
      <c r="AO592" s="71"/>
      <c r="AP592" s="71"/>
      <c r="AQ592" s="71"/>
      <c r="AR592" s="71"/>
      <c r="AS592" s="71"/>
      <c r="AT592" s="71"/>
      <c r="AU592" s="71"/>
      <c r="AV592" s="71"/>
      <c r="AW592" s="71"/>
      <c r="AX592" s="71"/>
      <c r="AY592" s="71"/>
      <c r="AZ592" s="71"/>
      <c r="BA592" s="71"/>
      <c r="BB592" s="71"/>
      <c r="BC592" s="71"/>
      <c r="BD592" s="71"/>
      <c r="BE592" s="71"/>
      <c r="BF592" s="71"/>
      <c r="BG592" s="71"/>
      <c r="BH592" s="71"/>
      <c r="BI592" s="71"/>
      <c r="BJ592" s="71"/>
      <c r="BK592" s="71"/>
      <c r="BL592" s="71"/>
      <c r="BM592" s="71"/>
    </row>
    <row r="593">
      <c r="A593" s="72"/>
      <c r="B593" s="72"/>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c r="AA593" s="71"/>
      <c r="AB593" s="71"/>
      <c r="AC593" s="71"/>
      <c r="AD593" s="71"/>
      <c r="AE593" s="71"/>
      <c r="AF593" s="71"/>
      <c r="AG593" s="71"/>
      <c r="AH593" s="71"/>
      <c r="AI593" s="71"/>
      <c r="AJ593" s="71"/>
      <c r="AK593" s="71"/>
      <c r="AL593" s="71"/>
      <c r="AM593" s="71"/>
      <c r="AN593" s="71"/>
      <c r="AO593" s="71"/>
      <c r="AP593" s="71"/>
      <c r="AQ593" s="71"/>
      <c r="AR593" s="71"/>
      <c r="AS593" s="71"/>
      <c r="AT593" s="71"/>
      <c r="AU593" s="71"/>
      <c r="AV593" s="71"/>
      <c r="AW593" s="71"/>
      <c r="AX593" s="71"/>
      <c r="AY593" s="71"/>
      <c r="AZ593" s="71"/>
      <c r="BA593" s="71"/>
      <c r="BB593" s="71"/>
      <c r="BC593" s="71"/>
      <c r="BD593" s="71"/>
      <c r="BE593" s="71"/>
      <c r="BF593" s="71"/>
      <c r="BG593" s="71"/>
      <c r="BH593" s="71"/>
      <c r="BI593" s="71"/>
      <c r="BJ593" s="71"/>
      <c r="BK593" s="71"/>
      <c r="BL593" s="71"/>
      <c r="BM593" s="71"/>
    </row>
    <row r="594">
      <c r="A594" s="72"/>
      <c r="B594" s="72"/>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c r="AA594" s="71"/>
      <c r="AB594" s="71"/>
      <c r="AC594" s="71"/>
      <c r="AD594" s="71"/>
      <c r="AE594" s="71"/>
      <c r="AF594" s="71"/>
      <c r="AG594" s="71"/>
      <c r="AH594" s="71"/>
      <c r="AI594" s="71"/>
      <c r="AJ594" s="71"/>
      <c r="AK594" s="71"/>
      <c r="AL594" s="71"/>
      <c r="AM594" s="71"/>
      <c r="AN594" s="71"/>
      <c r="AO594" s="71"/>
      <c r="AP594" s="71"/>
      <c r="AQ594" s="71"/>
      <c r="AR594" s="71"/>
      <c r="AS594" s="71"/>
      <c r="AT594" s="71"/>
      <c r="AU594" s="71"/>
      <c r="AV594" s="71"/>
      <c r="AW594" s="71"/>
      <c r="AX594" s="71"/>
      <c r="AY594" s="71"/>
      <c r="AZ594" s="71"/>
      <c r="BA594" s="71"/>
      <c r="BB594" s="71"/>
      <c r="BC594" s="71"/>
      <c r="BD594" s="71"/>
      <c r="BE594" s="71"/>
      <c r="BF594" s="71"/>
      <c r="BG594" s="71"/>
      <c r="BH594" s="71"/>
      <c r="BI594" s="71"/>
      <c r="BJ594" s="71"/>
      <c r="BK594" s="71"/>
      <c r="BL594" s="71"/>
      <c r="BM594" s="71"/>
    </row>
    <row r="595">
      <c r="A595" s="72"/>
      <c r="B595" s="72"/>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71"/>
      <c r="AO595" s="71"/>
      <c r="AP595" s="71"/>
      <c r="AQ595" s="71"/>
      <c r="AR595" s="71"/>
      <c r="AS595" s="71"/>
      <c r="AT595" s="71"/>
      <c r="AU595" s="71"/>
      <c r="AV595" s="71"/>
      <c r="AW595" s="71"/>
      <c r="AX595" s="71"/>
      <c r="AY595" s="71"/>
      <c r="AZ595" s="71"/>
      <c r="BA595" s="71"/>
      <c r="BB595" s="71"/>
      <c r="BC595" s="71"/>
      <c r="BD595" s="71"/>
      <c r="BE595" s="71"/>
      <c r="BF595" s="71"/>
      <c r="BG595" s="71"/>
      <c r="BH595" s="71"/>
      <c r="BI595" s="71"/>
      <c r="BJ595" s="71"/>
      <c r="BK595" s="71"/>
      <c r="BL595" s="71"/>
      <c r="BM595" s="71"/>
    </row>
    <row r="596">
      <c r="A596" s="72"/>
      <c r="B596" s="72"/>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71"/>
      <c r="AO596" s="71"/>
      <c r="AP596" s="71"/>
      <c r="AQ596" s="71"/>
      <c r="AR596" s="71"/>
      <c r="AS596" s="71"/>
      <c r="AT596" s="71"/>
      <c r="AU596" s="71"/>
      <c r="AV596" s="71"/>
      <c r="AW596" s="71"/>
      <c r="AX596" s="71"/>
      <c r="AY596" s="71"/>
      <c r="AZ596" s="71"/>
      <c r="BA596" s="71"/>
      <c r="BB596" s="71"/>
      <c r="BC596" s="71"/>
      <c r="BD596" s="71"/>
      <c r="BE596" s="71"/>
      <c r="BF596" s="71"/>
      <c r="BG596" s="71"/>
      <c r="BH596" s="71"/>
      <c r="BI596" s="71"/>
      <c r="BJ596" s="71"/>
      <c r="BK596" s="71"/>
      <c r="BL596" s="71"/>
      <c r="BM596" s="71"/>
    </row>
    <row r="597">
      <c r="A597" s="72"/>
      <c r="B597" s="72"/>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c r="AA597" s="71"/>
      <c r="AB597" s="71"/>
      <c r="AC597" s="71"/>
      <c r="AD597" s="71"/>
      <c r="AE597" s="71"/>
      <c r="AF597" s="71"/>
      <c r="AG597" s="71"/>
      <c r="AH597" s="71"/>
      <c r="AI597" s="71"/>
      <c r="AJ597" s="71"/>
      <c r="AK597" s="71"/>
      <c r="AL597" s="71"/>
      <c r="AM597" s="71"/>
      <c r="AN597" s="71"/>
      <c r="AO597" s="71"/>
      <c r="AP597" s="71"/>
      <c r="AQ597" s="71"/>
      <c r="AR597" s="71"/>
      <c r="AS597" s="71"/>
      <c r="AT597" s="71"/>
      <c r="AU597" s="71"/>
      <c r="AV597" s="71"/>
      <c r="AW597" s="71"/>
      <c r="AX597" s="71"/>
      <c r="AY597" s="71"/>
      <c r="AZ597" s="71"/>
      <c r="BA597" s="71"/>
      <c r="BB597" s="71"/>
      <c r="BC597" s="71"/>
      <c r="BD597" s="71"/>
      <c r="BE597" s="71"/>
      <c r="BF597" s="71"/>
      <c r="BG597" s="71"/>
      <c r="BH597" s="71"/>
      <c r="BI597" s="71"/>
      <c r="BJ597" s="71"/>
      <c r="BK597" s="71"/>
      <c r="BL597" s="71"/>
      <c r="BM597" s="71"/>
    </row>
    <row r="598">
      <c r="A598" s="72"/>
      <c r="B598" s="72"/>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71"/>
      <c r="AO598" s="71"/>
      <c r="AP598" s="71"/>
      <c r="AQ598" s="71"/>
      <c r="AR598" s="71"/>
      <c r="AS598" s="71"/>
      <c r="AT598" s="71"/>
      <c r="AU598" s="71"/>
      <c r="AV598" s="71"/>
      <c r="AW598" s="71"/>
      <c r="AX598" s="71"/>
      <c r="AY598" s="71"/>
      <c r="AZ598" s="71"/>
      <c r="BA598" s="71"/>
      <c r="BB598" s="71"/>
      <c r="BC598" s="71"/>
      <c r="BD598" s="71"/>
      <c r="BE598" s="71"/>
      <c r="BF598" s="71"/>
      <c r="BG598" s="71"/>
      <c r="BH598" s="71"/>
      <c r="BI598" s="71"/>
      <c r="BJ598" s="71"/>
      <c r="BK598" s="71"/>
      <c r="BL598" s="71"/>
      <c r="BM598" s="71"/>
    </row>
    <row r="599">
      <c r="A599" s="72"/>
      <c r="B599" s="72"/>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c r="AA599" s="71"/>
      <c r="AB599" s="71"/>
      <c r="AC599" s="71"/>
      <c r="AD599" s="71"/>
      <c r="AE599" s="71"/>
      <c r="AF599" s="71"/>
      <c r="AG599" s="71"/>
      <c r="AH599" s="71"/>
      <c r="AI599" s="71"/>
      <c r="AJ599" s="71"/>
      <c r="AK599" s="71"/>
      <c r="AL599" s="71"/>
      <c r="AM599" s="71"/>
      <c r="AN599" s="71"/>
      <c r="AO599" s="71"/>
      <c r="AP599" s="71"/>
      <c r="AQ599" s="71"/>
      <c r="AR599" s="71"/>
      <c r="AS599" s="71"/>
      <c r="AT599" s="71"/>
      <c r="AU599" s="71"/>
      <c r="AV599" s="71"/>
      <c r="AW599" s="71"/>
      <c r="AX599" s="71"/>
      <c r="AY599" s="71"/>
      <c r="AZ599" s="71"/>
      <c r="BA599" s="71"/>
      <c r="BB599" s="71"/>
      <c r="BC599" s="71"/>
      <c r="BD599" s="71"/>
      <c r="BE599" s="71"/>
      <c r="BF599" s="71"/>
      <c r="BG599" s="71"/>
      <c r="BH599" s="71"/>
      <c r="BI599" s="71"/>
      <c r="BJ599" s="71"/>
      <c r="BK599" s="71"/>
      <c r="BL599" s="71"/>
      <c r="BM599" s="71"/>
    </row>
    <row r="600">
      <c r="A600" s="72"/>
      <c r="B600" s="72"/>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1"/>
      <c r="AB600" s="71"/>
      <c r="AC600" s="71"/>
      <c r="AD600" s="71"/>
      <c r="AE600" s="71"/>
      <c r="AF600" s="71"/>
      <c r="AG600" s="71"/>
      <c r="AH600" s="71"/>
      <c r="AI600" s="71"/>
      <c r="AJ600" s="71"/>
      <c r="AK600" s="71"/>
      <c r="AL600" s="71"/>
      <c r="AM600" s="71"/>
      <c r="AN600" s="71"/>
      <c r="AO600" s="71"/>
      <c r="AP600" s="71"/>
      <c r="AQ600" s="71"/>
      <c r="AR600" s="71"/>
      <c r="AS600" s="71"/>
      <c r="AT600" s="71"/>
      <c r="AU600" s="71"/>
      <c r="AV600" s="71"/>
      <c r="AW600" s="71"/>
      <c r="AX600" s="71"/>
      <c r="AY600" s="71"/>
      <c r="AZ600" s="71"/>
      <c r="BA600" s="71"/>
      <c r="BB600" s="71"/>
      <c r="BC600" s="71"/>
      <c r="BD600" s="71"/>
      <c r="BE600" s="71"/>
      <c r="BF600" s="71"/>
      <c r="BG600" s="71"/>
      <c r="BH600" s="71"/>
      <c r="BI600" s="71"/>
      <c r="BJ600" s="71"/>
      <c r="BK600" s="71"/>
      <c r="BL600" s="71"/>
      <c r="BM600" s="71"/>
    </row>
    <row r="601">
      <c r="A601" s="72"/>
      <c r="B601" s="72"/>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c r="AA601" s="71"/>
      <c r="AB601" s="71"/>
      <c r="AC601" s="71"/>
      <c r="AD601" s="71"/>
      <c r="AE601" s="71"/>
      <c r="AF601" s="71"/>
      <c r="AG601" s="71"/>
      <c r="AH601" s="71"/>
      <c r="AI601" s="71"/>
      <c r="AJ601" s="71"/>
      <c r="AK601" s="71"/>
      <c r="AL601" s="71"/>
      <c r="AM601" s="71"/>
      <c r="AN601" s="71"/>
      <c r="AO601" s="71"/>
      <c r="AP601" s="71"/>
      <c r="AQ601" s="71"/>
      <c r="AR601" s="71"/>
      <c r="AS601" s="71"/>
      <c r="AT601" s="71"/>
      <c r="AU601" s="71"/>
      <c r="AV601" s="71"/>
      <c r="AW601" s="71"/>
      <c r="AX601" s="71"/>
      <c r="AY601" s="71"/>
      <c r="AZ601" s="71"/>
      <c r="BA601" s="71"/>
      <c r="BB601" s="71"/>
      <c r="BC601" s="71"/>
      <c r="BD601" s="71"/>
      <c r="BE601" s="71"/>
      <c r="BF601" s="71"/>
      <c r="BG601" s="71"/>
      <c r="BH601" s="71"/>
      <c r="BI601" s="71"/>
      <c r="BJ601" s="71"/>
      <c r="BK601" s="71"/>
      <c r="BL601" s="71"/>
      <c r="BM601" s="71"/>
    </row>
    <row r="602">
      <c r="A602" s="72"/>
      <c r="B602" s="72"/>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c r="AA602" s="71"/>
      <c r="AB602" s="71"/>
      <c r="AC602" s="71"/>
      <c r="AD602" s="71"/>
      <c r="AE602" s="71"/>
      <c r="AF602" s="71"/>
      <c r="AG602" s="71"/>
      <c r="AH602" s="71"/>
      <c r="AI602" s="71"/>
      <c r="AJ602" s="71"/>
      <c r="AK602" s="71"/>
      <c r="AL602" s="71"/>
      <c r="AM602" s="71"/>
      <c r="AN602" s="71"/>
      <c r="AO602" s="71"/>
      <c r="AP602" s="71"/>
      <c r="AQ602" s="71"/>
      <c r="AR602" s="71"/>
      <c r="AS602" s="71"/>
      <c r="AT602" s="71"/>
      <c r="AU602" s="71"/>
      <c r="AV602" s="71"/>
      <c r="AW602" s="71"/>
      <c r="AX602" s="71"/>
      <c r="AY602" s="71"/>
      <c r="AZ602" s="71"/>
      <c r="BA602" s="71"/>
      <c r="BB602" s="71"/>
      <c r="BC602" s="71"/>
      <c r="BD602" s="71"/>
      <c r="BE602" s="71"/>
      <c r="BF602" s="71"/>
      <c r="BG602" s="71"/>
      <c r="BH602" s="71"/>
      <c r="BI602" s="71"/>
      <c r="BJ602" s="71"/>
      <c r="BK602" s="71"/>
      <c r="BL602" s="71"/>
      <c r="BM602" s="71"/>
    </row>
    <row r="603">
      <c r="A603" s="72"/>
      <c r="B603" s="72"/>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c r="AA603" s="71"/>
      <c r="AB603" s="71"/>
      <c r="AC603" s="71"/>
      <c r="AD603" s="71"/>
      <c r="AE603" s="71"/>
      <c r="AF603" s="71"/>
      <c r="AG603" s="71"/>
      <c r="AH603" s="71"/>
      <c r="AI603" s="71"/>
      <c r="AJ603" s="71"/>
      <c r="AK603" s="71"/>
      <c r="AL603" s="71"/>
      <c r="AM603" s="71"/>
      <c r="AN603" s="71"/>
      <c r="AO603" s="71"/>
      <c r="AP603" s="71"/>
      <c r="AQ603" s="71"/>
      <c r="AR603" s="71"/>
      <c r="AS603" s="71"/>
      <c r="AT603" s="71"/>
      <c r="AU603" s="71"/>
      <c r="AV603" s="71"/>
      <c r="AW603" s="71"/>
      <c r="AX603" s="71"/>
      <c r="AY603" s="71"/>
      <c r="AZ603" s="71"/>
      <c r="BA603" s="71"/>
      <c r="BB603" s="71"/>
      <c r="BC603" s="71"/>
      <c r="BD603" s="71"/>
      <c r="BE603" s="71"/>
      <c r="BF603" s="71"/>
      <c r="BG603" s="71"/>
      <c r="BH603" s="71"/>
      <c r="BI603" s="71"/>
      <c r="BJ603" s="71"/>
      <c r="BK603" s="71"/>
      <c r="BL603" s="71"/>
      <c r="BM603" s="71"/>
    </row>
    <row r="604">
      <c r="A604" s="72"/>
      <c r="B604" s="72"/>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c r="AA604" s="71"/>
      <c r="AB604" s="71"/>
      <c r="AC604" s="71"/>
      <c r="AD604" s="71"/>
      <c r="AE604" s="71"/>
      <c r="AF604" s="71"/>
      <c r="AG604" s="71"/>
      <c r="AH604" s="71"/>
      <c r="AI604" s="71"/>
      <c r="AJ604" s="71"/>
      <c r="AK604" s="71"/>
      <c r="AL604" s="71"/>
      <c r="AM604" s="71"/>
      <c r="AN604" s="71"/>
      <c r="AO604" s="71"/>
      <c r="AP604" s="71"/>
      <c r="AQ604" s="71"/>
      <c r="AR604" s="71"/>
      <c r="AS604" s="71"/>
      <c r="AT604" s="71"/>
      <c r="AU604" s="71"/>
      <c r="AV604" s="71"/>
      <c r="AW604" s="71"/>
      <c r="AX604" s="71"/>
      <c r="AY604" s="71"/>
      <c r="AZ604" s="71"/>
      <c r="BA604" s="71"/>
      <c r="BB604" s="71"/>
      <c r="BC604" s="71"/>
      <c r="BD604" s="71"/>
      <c r="BE604" s="71"/>
      <c r="BF604" s="71"/>
      <c r="BG604" s="71"/>
      <c r="BH604" s="71"/>
      <c r="BI604" s="71"/>
      <c r="BJ604" s="71"/>
      <c r="BK604" s="71"/>
      <c r="BL604" s="71"/>
      <c r="BM604" s="71"/>
    </row>
    <row r="605">
      <c r="A605" s="72"/>
      <c r="B605" s="72"/>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c r="AA605" s="71"/>
      <c r="AB605" s="71"/>
      <c r="AC605" s="71"/>
      <c r="AD605" s="71"/>
      <c r="AE605" s="71"/>
      <c r="AF605" s="71"/>
      <c r="AG605" s="71"/>
      <c r="AH605" s="71"/>
      <c r="AI605" s="71"/>
      <c r="AJ605" s="71"/>
      <c r="AK605" s="71"/>
      <c r="AL605" s="71"/>
      <c r="AM605" s="71"/>
      <c r="AN605" s="71"/>
      <c r="AO605" s="71"/>
      <c r="AP605" s="71"/>
      <c r="AQ605" s="71"/>
      <c r="AR605" s="71"/>
      <c r="AS605" s="71"/>
      <c r="AT605" s="71"/>
      <c r="AU605" s="71"/>
      <c r="AV605" s="71"/>
      <c r="AW605" s="71"/>
      <c r="AX605" s="71"/>
      <c r="AY605" s="71"/>
      <c r="AZ605" s="71"/>
      <c r="BA605" s="71"/>
      <c r="BB605" s="71"/>
      <c r="BC605" s="71"/>
      <c r="BD605" s="71"/>
      <c r="BE605" s="71"/>
      <c r="BF605" s="71"/>
      <c r="BG605" s="71"/>
      <c r="BH605" s="71"/>
      <c r="BI605" s="71"/>
      <c r="BJ605" s="71"/>
      <c r="BK605" s="71"/>
      <c r="BL605" s="71"/>
      <c r="BM605" s="71"/>
    </row>
    <row r="606">
      <c r="A606" s="72"/>
      <c r="B606" s="72"/>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c r="AA606" s="71"/>
      <c r="AB606" s="71"/>
      <c r="AC606" s="71"/>
      <c r="AD606" s="71"/>
      <c r="AE606" s="71"/>
      <c r="AF606" s="71"/>
      <c r="AG606" s="71"/>
      <c r="AH606" s="71"/>
      <c r="AI606" s="71"/>
      <c r="AJ606" s="71"/>
      <c r="AK606" s="71"/>
      <c r="AL606" s="71"/>
      <c r="AM606" s="71"/>
      <c r="AN606" s="71"/>
      <c r="AO606" s="71"/>
      <c r="AP606" s="71"/>
      <c r="AQ606" s="71"/>
      <c r="AR606" s="71"/>
      <c r="AS606" s="71"/>
      <c r="AT606" s="71"/>
      <c r="AU606" s="71"/>
      <c r="AV606" s="71"/>
      <c r="AW606" s="71"/>
      <c r="AX606" s="71"/>
      <c r="AY606" s="71"/>
      <c r="AZ606" s="71"/>
      <c r="BA606" s="71"/>
      <c r="BB606" s="71"/>
      <c r="BC606" s="71"/>
      <c r="BD606" s="71"/>
      <c r="BE606" s="71"/>
      <c r="BF606" s="71"/>
      <c r="BG606" s="71"/>
      <c r="BH606" s="71"/>
      <c r="BI606" s="71"/>
      <c r="BJ606" s="71"/>
      <c r="BK606" s="71"/>
      <c r="BL606" s="71"/>
      <c r="BM606" s="71"/>
    </row>
    <row r="607">
      <c r="A607" s="72"/>
      <c r="B607" s="72"/>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71"/>
      <c r="AO607" s="71"/>
      <c r="AP607" s="71"/>
      <c r="AQ607" s="71"/>
      <c r="AR607" s="71"/>
      <c r="AS607" s="71"/>
      <c r="AT607" s="71"/>
      <c r="AU607" s="71"/>
      <c r="AV607" s="71"/>
      <c r="AW607" s="71"/>
      <c r="AX607" s="71"/>
      <c r="AY607" s="71"/>
      <c r="AZ607" s="71"/>
      <c r="BA607" s="71"/>
      <c r="BB607" s="71"/>
      <c r="BC607" s="71"/>
      <c r="BD607" s="71"/>
      <c r="BE607" s="71"/>
      <c r="BF607" s="71"/>
      <c r="BG607" s="71"/>
      <c r="BH607" s="71"/>
      <c r="BI607" s="71"/>
      <c r="BJ607" s="71"/>
      <c r="BK607" s="71"/>
      <c r="BL607" s="71"/>
      <c r="BM607" s="71"/>
    </row>
    <row r="608">
      <c r="A608" s="72"/>
      <c r="B608" s="72"/>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c r="AA608" s="71"/>
      <c r="AB608" s="71"/>
      <c r="AC608" s="71"/>
      <c r="AD608" s="71"/>
      <c r="AE608" s="71"/>
      <c r="AF608" s="71"/>
      <c r="AG608" s="71"/>
      <c r="AH608" s="71"/>
      <c r="AI608" s="71"/>
      <c r="AJ608" s="71"/>
      <c r="AK608" s="71"/>
      <c r="AL608" s="71"/>
      <c r="AM608" s="71"/>
      <c r="AN608" s="71"/>
      <c r="AO608" s="71"/>
      <c r="AP608" s="71"/>
      <c r="AQ608" s="71"/>
      <c r="AR608" s="71"/>
      <c r="AS608" s="71"/>
      <c r="AT608" s="71"/>
      <c r="AU608" s="71"/>
      <c r="AV608" s="71"/>
      <c r="AW608" s="71"/>
      <c r="AX608" s="71"/>
      <c r="AY608" s="71"/>
      <c r="AZ608" s="71"/>
      <c r="BA608" s="71"/>
      <c r="BB608" s="71"/>
      <c r="BC608" s="71"/>
      <c r="BD608" s="71"/>
      <c r="BE608" s="71"/>
      <c r="BF608" s="71"/>
      <c r="BG608" s="71"/>
      <c r="BH608" s="71"/>
      <c r="BI608" s="71"/>
      <c r="BJ608" s="71"/>
      <c r="BK608" s="71"/>
      <c r="BL608" s="71"/>
      <c r="BM608" s="71"/>
    </row>
    <row r="609">
      <c r="A609" s="72"/>
      <c r="B609" s="72"/>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c r="AA609" s="71"/>
      <c r="AB609" s="71"/>
      <c r="AC609" s="71"/>
      <c r="AD609" s="71"/>
      <c r="AE609" s="71"/>
      <c r="AF609" s="71"/>
      <c r="AG609" s="71"/>
      <c r="AH609" s="71"/>
      <c r="AI609" s="71"/>
      <c r="AJ609" s="71"/>
      <c r="AK609" s="71"/>
      <c r="AL609" s="71"/>
      <c r="AM609" s="71"/>
      <c r="AN609" s="71"/>
      <c r="AO609" s="71"/>
      <c r="AP609" s="71"/>
      <c r="AQ609" s="71"/>
      <c r="AR609" s="71"/>
      <c r="AS609" s="71"/>
      <c r="AT609" s="71"/>
      <c r="AU609" s="71"/>
      <c r="AV609" s="71"/>
      <c r="AW609" s="71"/>
      <c r="AX609" s="71"/>
      <c r="AY609" s="71"/>
      <c r="AZ609" s="71"/>
      <c r="BA609" s="71"/>
      <c r="BB609" s="71"/>
      <c r="BC609" s="71"/>
      <c r="BD609" s="71"/>
      <c r="BE609" s="71"/>
      <c r="BF609" s="71"/>
      <c r="BG609" s="71"/>
      <c r="BH609" s="71"/>
      <c r="BI609" s="71"/>
      <c r="BJ609" s="71"/>
      <c r="BK609" s="71"/>
      <c r="BL609" s="71"/>
      <c r="BM609" s="71"/>
    </row>
    <row r="610">
      <c r="A610" s="72"/>
      <c r="B610" s="72"/>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c r="AA610" s="71"/>
      <c r="AB610" s="71"/>
      <c r="AC610" s="71"/>
      <c r="AD610" s="71"/>
      <c r="AE610" s="71"/>
      <c r="AF610" s="71"/>
      <c r="AG610" s="71"/>
      <c r="AH610" s="71"/>
      <c r="AI610" s="71"/>
      <c r="AJ610" s="71"/>
      <c r="AK610" s="71"/>
      <c r="AL610" s="71"/>
      <c r="AM610" s="71"/>
      <c r="AN610" s="71"/>
      <c r="AO610" s="71"/>
      <c r="AP610" s="71"/>
      <c r="AQ610" s="71"/>
      <c r="AR610" s="71"/>
      <c r="AS610" s="71"/>
      <c r="AT610" s="71"/>
      <c r="AU610" s="71"/>
      <c r="AV610" s="71"/>
      <c r="AW610" s="71"/>
      <c r="AX610" s="71"/>
      <c r="AY610" s="71"/>
      <c r="AZ610" s="71"/>
      <c r="BA610" s="71"/>
      <c r="BB610" s="71"/>
      <c r="BC610" s="71"/>
      <c r="BD610" s="71"/>
      <c r="BE610" s="71"/>
      <c r="BF610" s="71"/>
      <c r="BG610" s="71"/>
      <c r="BH610" s="71"/>
      <c r="BI610" s="71"/>
      <c r="BJ610" s="71"/>
      <c r="BK610" s="71"/>
      <c r="BL610" s="71"/>
      <c r="BM610" s="71"/>
    </row>
    <row r="611">
      <c r="A611" s="72"/>
      <c r="B611" s="72"/>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c r="AA611" s="71"/>
      <c r="AB611" s="71"/>
      <c r="AC611" s="71"/>
      <c r="AD611" s="71"/>
      <c r="AE611" s="71"/>
      <c r="AF611" s="71"/>
      <c r="AG611" s="71"/>
      <c r="AH611" s="71"/>
      <c r="AI611" s="71"/>
      <c r="AJ611" s="71"/>
      <c r="AK611" s="71"/>
      <c r="AL611" s="71"/>
      <c r="AM611" s="71"/>
      <c r="AN611" s="71"/>
      <c r="AO611" s="71"/>
      <c r="AP611" s="71"/>
      <c r="AQ611" s="71"/>
      <c r="AR611" s="71"/>
      <c r="AS611" s="71"/>
      <c r="AT611" s="71"/>
      <c r="AU611" s="71"/>
      <c r="AV611" s="71"/>
      <c r="AW611" s="71"/>
      <c r="AX611" s="71"/>
      <c r="AY611" s="71"/>
      <c r="AZ611" s="71"/>
      <c r="BA611" s="71"/>
      <c r="BB611" s="71"/>
      <c r="BC611" s="71"/>
      <c r="BD611" s="71"/>
      <c r="BE611" s="71"/>
      <c r="BF611" s="71"/>
      <c r="BG611" s="71"/>
      <c r="BH611" s="71"/>
      <c r="BI611" s="71"/>
      <c r="BJ611" s="71"/>
      <c r="BK611" s="71"/>
      <c r="BL611" s="71"/>
      <c r="BM611" s="71"/>
    </row>
    <row r="612">
      <c r="A612" s="72"/>
      <c r="B612" s="72"/>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c r="AA612" s="71"/>
      <c r="AB612" s="71"/>
      <c r="AC612" s="71"/>
      <c r="AD612" s="71"/>
      <c r="AE612" s="71"/>
      <c r="AF612" s="71"/>
      <c r="AG612" s="71"/>
      <c r="AH612" s="71"/>
      <c r="AI612" s="71"/>
      <c r="AJ612" s="71"/>
      <c r="AK612" s="71"/>
      <c r="AL612" s="71"/>
      <c r="AM612" s="71"/>
      <c r="AN612" s="71"/>
      <c r="AO612" s="71"/>
      <c r="AP612" s="71"/>
      <c r="AQ612" s="71"/>
      <c r="AR612" s="71"/>
      <c r="AS612" s="71"/>
      <c r="AT612" s="71"/>
      <c r="AU612" s="71"/>
      <c r="AV612" s="71"/>
      <c r="AW612" s="71"/>
      <c r="AX612" s="71"/>
      <c r="AY612" s="71"/>
      <c r="AZ612" s="71"/>
      <c r="BA612" s="71"/>
      <c r="BB612" s="71"/>
      <c r="BC612" s="71"/>
      <c r="BD612" s="71"/>
      <c r="BE612" s="71"/>
      <c r="BF612" s="71"/>
      <c r="BG612" s="71"/>
      <c r="BH612" s="71"/>
      <c r="BI612" s="71"/>
      <c r="BJ612" s="71"/>
      <c r="BK612" s="71"/>
      <c r="BL612" s="71"/>
      <c r="BM612" s="71"/>
    </row>
    <row r="613">
      <c r="A613" s="72"/>
      <c r="B613" s="72"/>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c r="AA613" s="71"/>
      <c r="AB613" s="71"/>
      <c r="AC613" s="71"/>
      <c r="AD613" s="71"/>
      <c r="AE613" s="71"/>
      <c r="AF613" s="71"/>
      <c r="AG613" s="71"/>
      <c r="AH613" s="71"/>
      <c r="AI613" s="71"/>
      <c r="AJ613" s="71"/>
      <c r="AK613" s="71"/>
      <c r="AL613" s="71"/>
      <c r="AM613" s="71"/>
      <c r="AN613" s="71"/>
      <c r="AO613" s="71"/>
      <c r="AP613" s="71"/>
      <c r="AQ613" s="71"/>
      <c r="AR613" s="71"/>
      <c r="AS613" s="71"/>
      <c r="AT613" s="71"/>
      <c r="AU613" s="71"/>
      <c r="AV613" s="71"/>
      <c r="AW613" s="71"/>
      <c r="AX613" s="71"/>
      <c r="AY613" s="71"/>
      <c r="AZ613" s="71"/>
      <c r="BA613" s="71"/>
      <c r="BB613" s="71"/>
      <c r="BC613" s="71"/>
      <c r="BD613" s="71"/>
      <c r="BE613" s="71"/>
      <c r="BF613" s="71"/>
      <c r="BG613" s="71"/>
      <c r="BH613" s="71"/>
      <c r="BI613" s="71"/>
      <c r="BJ613" s="71"/>
      <c r="BK613" s="71"/>
      <c r="BL613" s="71"/>
      <c r="BM613" s="71"/>
    </row>
    <row r="614">
      <c r="A614" s="72"/>
      <c r="B614" s="72"/>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c r="AA614" s="71"/>
      <c r="AB614" s="71"/>
      <c r="AC614" s="71"/>
      <c r="AD614" s="71"/>
      <c r="AE614" s="71"/>
      <c r="AF614" s="71"/>
      <c r="AG614" s="71"/>
      <c r="AH614" s="71"/>
      <c r="AI614" s="71"/>
      <c r="AJ614" s="71"/>
      <c r="AK614" s="71"/>
      <c r="AL614" s="71"/>
      <c r="AM614" s="71"/>
      <c r="AN614" s="71"/>
      <c r="AO614" s="71"/>
      <c r="AP614" s="71"/>
      <c r="AQ614" s="71"/>
      <c r="AR614" s="71"/>
      <c r="AS614" s="71"/>
      <c r="AT614" s="71"/>
      <c r="AU614" s="71"/>
      <c r="AV614" s="71"/>
      <c r="AW614" s="71"/>
      <c r="AX614" s="71"/>
      <c r="AY614" s="71"/>
      <c r="AZ614" s="71"/>
      <c r="BA614" s="71"/>
      <c r="BB614" s="71"/>
      <c r="BC614" s="71"/>
      <c r="BD614" s="71"/>
      <c r="BE614" s="71"/>
      <c r="BF614" s="71"/>
      <c r="BG614" s="71"/>
      <c r="BH614" s="71"/>
      <c r="BI614" s="71"/>
      <c r="BJ614" s="71"/>
      <c r="BK614" s="71"/>
      <c r="BL614" s="71"/>
      <c r="BM614" s="71"/>
    </row>
    <row r="615">
      <c r="A615" s="72"/>
      <c r="B615" s="72"/>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c r="AA615" s="71"/>
      <c r="AB615" s="71"/>
      <c r="AC615" s="71"/>
      <c r="AD615" s="71"/>
      <c r="AE615" s="71"/>
      <c r="AF615" s="71"/>
      <c r="AG615" s="71"/>
      <c r="AH615" s="71"/>
      <c r="AI615" s="71"/>
      <c r="AJ615" s="71"/>
      <c r="AK615" s="71"/>
      <c r="AL615" s="71"/>
      <c r="AM615" s="71"/>
      <c r="AN615" s="71"/>
      <c r="AO615" s="71"/>
      <c r="AP615" s="71"/>
      <c r="AQ615" s="71"/>
      <c r="AR615" s="71"/>
      <c r="AS615" s="71"/>
      <c r="AT615" s="71"/>
      <c r="AU615" s="71"/>
      <c r="AV615" s="71"/>
      <c r="AW615" s="71"/>
      <c r="AX615" s="71"/>
      <c r="AY615" s="71"/>
      <c r="AZ615" s="71"/>
      <c r="BA615" s="71"/>
      <c r="BB615" s="71"/>
      <c r="BC615" s="71"/>
      <c r="BD615" s="71"/>
      <c r="BE615" s="71"/>
      <c r="BF615" s="71"/>
      <c r="BG615" s="71"/>
      <c r="BH615" s="71"/>
      <c r="BI615" s="71"/>
      <c r="BJ615" s="71"/>
      <c r="BK615" s="71"/>
      <c r="BL615" s="71"/>
      <c r="BM615" s="71"/>
    </row>
    <row r="616">
      <c r="A616" s="72"/>
      <c r="B616" s="72"/>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c r="AA616" s="71"/>
      <c r="AB616" s="71"/>
      <c r="AC616" s="71"/>
      <c r="AD616" s="71"/>
      <c r="AE616" s="71"/>
      <c r="AF616" s="71"/>
      <c r="AG616" s="71"/>
      <c r="AH616" s="71"/>
      <c r="AI616" s="71"/>
      <c r="AJ616" s="71"/>
      <c r="AK616" s="71"/>
      <c r="AL616" s="71"/>
      <c r="AM616" s="71"/>
      <c r="AN616" s="71"/>
      <c r="AO616" s="71"/>
      <c r="AP616" s="71"/>
      <c r="AQ616" s="71"/>
      <c r="AR616" s="71"/>
      <c r="AS616" s="71"/>
      <c r="AT616" s="71"/>
      <c r="AU616" s="71"/>
      <c r="AV616" s="71"/>
      <c r="AW616" s="71"/>
      <c r="AX616" s="71"/>
      <c r="AY616" s="71"/>
      <c r="AZ616" s="71"/>
      <c r="BA616" s="71"/>
      <c r="BB616" s="71"/>
      <c r="BC616" s="71"/>
      <c r="BD616" s="71"/>
      <c r="BE616" s="71"/>
      <c r="BF616" s="71"/>
      <c r="BG616" s="71"/>
      <c r="BH616" s="71"/>
      <c r="BI616" s="71"/>
      <c r="BJ616" s="71"/>
      <c r="BK616" s="71"/>
      <c r="BL616" s="71"/>
      <c r="BM616" s="71"/>
    </row>
    <row r="617">
      <c r="A617" s="72"/>
      <c r="B617" s="72"/>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c r="AA617" s="71"/>
      <c r="AB617" s="71"/>
      <c r="AC617" s="71"/>
      <c r="AD617" s="71"/>
      <c r="AE617" s="71"/>
      <c r="AF617" s="71"/>
      <c r="AG617" s="71"/>
      <c r="AH617" s="71"/>
      <c r="AI617" s="71"/>
      <c r="AJ617" s="71"/>
      <c r="AK617" s="71"/>
      <c r="AL617" s="71"/>
      <c r="AM617" s="71"/>
      <c r="AN617" s="71"/>
      <c r="AO617" s="71"/>
      <c r="AP617" s="71"/>
      <c r="AQ617" s="71"/>
      <c r="AR617" s="71"/>
      <c r="AS617" s="71"/>
      <c r="AT617" s="71"/>
      <c r="AU617" s="71"/>
      <c r="AV617" s="71"/>
      <c r="AW617" s="71"/>
      <c r="AX617" s="71"/>
      <c r="AY617" s="71"/>
      <c r="AZ617" s="71"/>
      <c r="BA617" s="71"/>
      <c r="BB617" s="71"/>
      <c r="BC617" s="71"/>
      <c r="BD617" s="71"/>
      <c r="BE617" s="71"/>
      <c r="BF617" s="71"/>
      <c r="BG617" s="71"/>
      <c r="BH617" s="71"/>
      <c r="BI617" s="71"/>
      <c r="BJ617" s="71"/>
      <c r="BK617" s="71"/>
      <c r="BL617" s="71"/>
      <c r="BM617" s="71"/>
    </row>
    <row r="618">
      <c r="A618" s="72"/>
      <c r="B618" s="72"/>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c r="AA618" s="71"/>
      <c r="AB618" s="71"/>
      <c r="AC618" s="71"/>
      <c r="AD618" s="71"/>
      <c r="AE618" s="71"/>
      <c r="AF618" s="71"/>
      <c r="AG618" s="71"/>
      <c r="AH618" s="71"/>
      <c r="AI618" s="71"/>
      <c r="AJ618" s="71"/>
      <c r="AK618" s="71"/>
      <c r="AL618" s="71"/>
      <c r="AM618" s="71"/>
      <c r="AN618" s="71"/>
      <c r="AO618" s="71"/>
      <c r="AP618" s="71"/>
      <c r="AQ618" s="71"/>
      <c r="AR618" s="71"/>
      <c r="AS618" s="71"/>
      <c r="AT618" s="71"/>
      <c r="AU618" s="71"/>
      <c r="AV618" s="71"/>
      <c r="AW618" s="71"/>
      <c r="AX618" s="71"/>
      <c r="AY618" s="71"/>
      <c r="AZ618" s="71"/>
      <c r="BA618" s="71"/>
      <c r="BB618" s="71"/>
      <c r="BC618" s="71"/>
      <c r="BD618" s="71"/>
      <c r="BE618" s="71"/>
      <c r="BF618" s="71"/>
      <c r="BG618" s="71"/>
      <c r="BH618" s="71"/>
      <c r="BI618" s="71"/>
      <c r="BJ618" s="71"/>
      <c r="BK618" s="71"/>
      <c r="BL618" s="71"/>
      <c r="BM618" s="71"/>
    </row>
    <row r="619">
      <c r="A619" s="72"/>
      <c r="B619" s="72"/>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c r="AA619" s="71"/>
      <c r="AB619" s="71"/>
      <c r="AC619" s="71"/>
      <c r="AD619" s="71"/>
      <c r="AE619" s="71"/>
      <c r="AF619" s="71"/>
      <c r="AG619" s="71"/>
      <c r="AH619" s="71"/>
      <c r="AI619" s="71"/>
      <c r="AJ619" s="71"/>
      <c r="AK619" s="71"/>
      <c r="AL619" s="71"/>
      <c r="AM619" s="71"/>
      <c r="AN619" s="71"/>
      <c r="AO619" s="71"/>
      <c r="AP619" s="71"/>
      <c r="AQ619" s="71"/>
      <c r="AR619" s="71"/>
      <c r="AS619" s="71"/>
      <c r="AT619" s="71"/>
      <c r="AU619" s="71"/>
      <c r="AV619" s="71"/>
      <c r="AW619" s="71"/>
      <c r="AX619" s="71"/>
      <c r="AY619" s="71"/>
      <c r="AZ619" s="71"/>
      <c r="BA619" s="71"/>
      <c r="BB619" s="71"/>
      <c r="BC619" s="71"/>
      <c r="BD619" s="71"/>
      <c r="BE619" s="71"/>
      <c r="BF619" s="71"/>
      <c r="BG619" s="71"/>
      <c r="BH619" s="71"/>
      <c r="BI619" s="71"/>
      <c r="BJ619" s="71"/>
      <c r="BK619" s="71"/>
      <c r="BL619" s="71"/>
      <c r="BM619" s="71"/>
    </row>
    <row r="620">
      <c r="A620" s="72"/>
      <c r="B620" s="72"/>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c r="AA620" s="71"/>
      <c r="AB620" s="71"/>
      <c r="AC620" s="71"/>
      <c r="AD620" s="71"/>
      <c r="AE620" s="71"/>
      <c r="AF620" s="71"/>
      <c r="AG620" s="71"/>
      <c r="AH620" s="71"/>
      <c r="AI620" s="71"/>
      <c r="AJ620" s="71"/>
      <c r="AK620" s="71"/>
      <c r="AL620" s="71"/>
      <c r="AM620" s="71"/>
      <c r="AN620" s="71"/>
      <c r="AO620" s="71"/>
      <c r="AP620" s="71"/>
      <c r="AQ620" s="71"/>
      <c r="AR620" s="71"/>
      <c r="AS620" s="71"/>
      <c r="AT620" s="71"/>
      <c r="AU620" s="71"/>
      <c r="AV620" s="71"/>
      <c r="AW620" s="71"/>
      <c r="AX620" s="71"/>
      <c r="AY620" s="71"/>
      <c r="AZ620" s="71"/>
      <c r="BA620" s="71"/>
      <c r="BB620" s="71"/>
      <c r="BC620" s="71"/>
      <c r="BD620" s="71"/>
      <c r="BE620" s="71"/>
      <c r="BF620" s="71"/>
      <c r="BG620" s="71"/>
      <c r="BH620" s="71"/>
      <c r="BI620" s="71"/>
      <c r="BJ620" s="71"/>
      <c r="BK620" s="71"/>
      <c r="BL620" s="71"/>
      <c r="BM620" s="71"/>
    </row>
    <row r="621">
      <c r="A621" s="72"/>
      <c r="B621" s="72"/>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c r="AA621" s="71"/>
      <c r="AB621" s="71"/>
      <c r="AC621" s="71"/>
      <c r="AD621" s="71"/>
      <c r="AE621" s="71"/>
      <c r="AF621" s="71"/>
      <c r="AG621" s="71"/>
      <c r="AH621" s="71"/>
      <c r="AI621" s="71"/>
      <c r="AJ621" s="71"/>
      <c r="AK621" s="71"/>
      <c r="AL621" s="71"/>
      <c r="AM621" s="71"/>
      <c r="AN621" s="71"/>
      <c r="AO621" s="71"/>
      <c r="AP621" s="71"/>
      <c r="AQ621" s="71"/>
      <c r="AR621" s="71"/>
      <c r="AS621" s="71"/>
      <c r="AT621" s="71"/>
      <c r="AU621" s="71"/>
      <c r="AV621" s="71"/>
      <c r="AW621" s="71"/>
      <c r="AX621" s="71"/>
      <c r="AY621" s="71"/>
      <c r="AZ621" s="71"/>
      <c r="BA621" s="71"/>
      <c r="BB621" s="71"/>
      <c r="BC621" s="71"/>
      <c r="BD621" s="71"/>
      <c r="BE621" s="71"/>
      <c r="BF621" s="71"/>
      <c r="BG621" s="71"/>
      <c r="BH621" s="71"/>
      <c r="BI621" s="71"/>
      <c r="BJ621" s="71"/>
      <c r="BK621" s="71"/>
      <c r="BL621" s="71"/>
      <c r="BM621" s="71"/>
    </row>
    <row r="622">
      <c r="A622" s="72"/>
      <c r="B622" s="72"/>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c r="AA622" s="71"/>
      <c r="AB622" s="71"/>
      <c r="AC622" s="71"/>
      <c r="AD622" s="71"/>
      <c r="AE622" s="71"/>
      <c r="AF622" s="71"/>
      <c r="AG622" s="71"/>
      <c r="AH622" s="71"/>
      <c r="AI622" s="71"/>
      <c r="AJ622" s="71"/>
      <c r="AK622" s="71"/>
      <c r="AL622" s="71"/>
      <c r="AM622" s="71"/>
      <c r="AN622" s="71"/>
      <c r="AO622" s="71"/>
      <c r="AP622" s="71"/>
      <c r="AQ622" s="71"/>
      <c r="AR622" s="71"/>
      <c r="AS622" s="71"/>
      <c r="AT622" s="71"/>
      <c r="AU622" s="71"/>
      <c r="AV622" s="71"/>
      <c r="AW622" s="71"/>
      <c r="AX622" s="71"/>
      <c r="AY622" s="71"/>
      <c r="AZ622" s="71"/>
      <c r="BA622" s="71"/>
      <c r="BB622" s="71"/>
      <c r="BC622" s="71"/>
      <c r="BD622" s="71"/>
      <c r="BE622" s="71"/>
      <c r="BF622" s="71"/>
      <c r="BG622" s="71"/>
      <c r="BH622" s="71"/>
      <c r="BI622" s="71"/>
      <c r="BJ622" s="71"/>
      <c r="BK622" s="71"/>
      <c r="BL622" s="71"/>
      <c r="BM622" s="71"/>
    </row>
    <row r="623">
      <c r="A623" s="72"/>
      <c r="B623" s="72"/>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c r="AA623" s="71"/>
      <c r="AB623" s="71"/>
      <c r="AC623" s="71"/>
      <c r="AD623" s="71"/>
      <c r="AE623" s="71"/>
      <c r="AF623" s="71"/>
      <c r="AG623" s="71"/>
      <c r="AH623" s="71"/>
      <c r="AI623" s="71"/>
      <c r="AJ623" s="71"/>
      <c r="AK623" s="71"/>
      <c r="AL623" s="71"/>
      <c r="AM623" s="71"/>
      <c r="AN623" s="71"/>
      <c r="AO623" s="71"/>
      <c r="AP623" s="71"/>
      <c r="AQ623" s="71"/>
      <c r="AR623" s="71"/>
      <c r="AS623" s="71"/>
      <c r="AT623" s="71"/>
      <c r="AU623" s="71"/>
      <c r="AV623" s="71"/>
      <c r="AW623" s="71"/>
      <c r="AX623" s="71"/>
      <c r="AY623" s="71"/>
      <c r="AZ623" s="71"/>
      <c r="BA623" s="71"/>
      <c r="BB623" s="71"/>
      <c r="BC623" s="71"/>
      <c r="BD623" s="71"/>
      <c r="BE623" s="71"/>
      <c r="BF623" s="71"/>
      <c r="BG623" s="71"/>
      <c r="BH623" s="71"/>
      <c r="BI623" s="71"/>
      <c r="BJ623" s="71"/>
      <c r="BK623" s="71"/>
      <c r="BL623" s="71"/>
      <c r="BM623" s="71"/>
    </row>
    <row r="624">
      <c r="A624" s="72"/>
      <c r="B624" s="72"/>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c r="AA624" s="71"/>
      <c r="AB624" s="71"/>
      <c r="AC624" s="71"/>
      <c r="AD624" s="71"/>
      <c r="AE624" s="71"/>
      <c r="AF624" s="71"/>
      <c r="AG624" s="71"/>
      <c r="AH624" s="71"/>
      <c r="AI624" s="71"/>
      <c r="AJ624" s="71"/>
      <c r="AK624" s="71"/>
      <c r="AL624" s="71"/>
      <c r="AM624" s="71"/>
      <c r="AN624" s="71"/>
      <c r="AO624" s="71"/>
      <c r="AP624" s="71"/>
      <c r="AQ624" s="71"/>
      <c r="AR624" s="71"/>
      <c r="AS624" s="71"/>
      <c r="AT624" s="71"/>
      <c r="AU624" s="71"/>
      <c r="AV624" s="71"/>
      <c r="AW624" s="71"/>
      <c r="AX624" s="71"/>
      <c r="AY624" s="71"/>
      <c r="AZ624" s="71"/>
      <c r="BA624" s="71"/>
      <c r="BB624" s="71"/>
      <c r="BC624" s="71"/>
      <c r="BD624" s="71"/>
      <c r="BE624" s="71"/>
      <c r="BF624" s="71"/>
      <c r="BG624" s="71"/>
      <c r="BH624" s="71"/>
      <c r="BI624" s="71"/>
      <c r="BJ624" s="71"/>
      <c r="BK624" s="71"/>
      <c r="BL624" s="71"/>
      <c r="BM624" s="71"/>
    </row>
    <row r="625">
      <c r="A625" s="72"/>
      <c r="B625" s="72"/>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1"/>
      <c r="AB625" s="71"/>
      <c r="AC625" s="71"/>
      <c r="AD625" s="71"/>
      <c r="AE625" s="71"/>
      <c r="AF625" s="71"/>
      <c r="AG625" s="71"/>
      <c r="AH625" s="71"/>
      <c r="AI625" s="71"/>
      <c r="AJ625" s="71"/>
      <c r="AK625" s="71"/>
      <c r="AL625" s="71"/>
      <c r="AM625" s="71"/>
      <c r="AN625" s="71"/>
      <c r="AO625" s="71"/>
      <c r="AP625" s="71"/>
      <c r="AQ625" s="71"/>
      <c r="AR625" s="71"/>
      <c r="AS625" s="71"/>
      <c r="AT625" s="71"/>
      <c r="AU625" s="71"/>
      <c r="AV625" s="71"/>
      <c r="AW625" s="71"/>
      <c r="AX625" s="71"/>
      <c r="AY625" s="71"/>
      <c r="AZ625" s="71"/>
      <c r="BA625" s="71"/>
      <c r="BB625" s="71"/>
      <c r="BC625" s="71"/>
      <c r="BD625" s="71"/>
      <c r="BE625" s="71"/>
      <c r="BF625" s="71"/>
      <c r="BG625" s="71"/>
      <c r="BH625" s="71"/>
      <c r="BI625" s="71"/>
      <c r="BJ625" s="71"/>
      <c r="BK625" s="71"/>
      <c r="BL625" s="71"/>
      <c r="BM625" s="71"/>
    </row>
    <row r="626">
      <c r="A626" s="72"/>
      <c r="B626" s="72"/>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c r="AA626" s="71"/>
      <c r="AB626" s="71"/>
      <c r="AC626" s="71"/>
      <c r="AD626" s="71"/>
      <c r="AE626" s="71"/>
      <c r="AF626" s="71"/>
      <c r="AG626" s="71"/>
      <c r="AH626" s="71"/>
      <c r="AI626" s="71"/>
      <c r="AJ626" s="71"/>
      <c r="AK626" s="71"/>
      <c r="AL626" s="71"/>
      <c r="AM626" s="71"/>
      <c r="AN626" s="71"/>
      <c r="AO626" s="71"/>
      <c r="AP626" s="71"/>
      <c r="AQ626" s="71"/>
      <c r="AR626" s="71"/>
      <c r="AS626" s="71"/>
      <c r="AT626" s="71"/>
      <c r="AU626" s="71"/>
      <c r="AV626" s="71"/>
      <c r="AW626" s="71"/>
      <c r="AX626" s="71"/>
      <c r="AY626" s="71"/>
      <c r="AZ626" s="71"/>
      <c r="BA626" s="71"/>
      <c r="BB626" s="71"/>
      <c r="BC626" s="71"/>
      <c r="BD626" s="71"/>
      <c r="BE626" s="71"/>
      <c r="BF626" s="71"/>
      <c r="BG626" s="71"/>
      <c r="BH626" s="71"/>
      <c r="BI626" s="71"/>
      <c r="BJ626" s="71"/>
      <c r="BK626" s="71"/>
      <c r="BL626" s="71"/>
      <c r="BM626" s="71"/>
    </row>
    <row r="627">
      <c r="A627" s="72"/>
      <c r="B627" s="72"/>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c r="AA627" s="71"/>
      <c r="AB627" s="71"/>
      <c r="AC627" s="71"/>
      <c r="AD627" s="71"/>
      <c r="AE627" s="71"/>
      <c r="AF627" s="71"/>
      <c r="AG627" s="71"/>
      <c r="AH627" s="71"/>
      <c r="AI627" s="71"/>
      <c r="AJ627" s="71"/>
      <c r="AK627" s="71"/>
      <c r="AL627" s="71"/>
      <c r="AM627" s="71"/>
      <c r="AN627" s="71"/>
      <c r="AO627" s="71"/>
      <c r="AP627" s="71"/>
      <c r="AQ627" s="71"/>
      <c r="AR627" s="71"/>
      <c r="AS627" s="71"/>
      <c r="AT627" s="71"/>
      <c r="AU627" s="71"/>
      <c r="AV627" s="71"/>
      <c r="AW627" s="71"/>
      <c r="AX627" s="71"/>
      <c r="AY627" s="71"/>
      <c r="AZ627" s="71"/>
      <c r="BA627" s="71"/>
      <c r="BB627" s="71"/>
      <c r="BC627" s="71"/>
      <c r="BD627" s="71"/>
      <c r="BE627" s="71"/>
      <c r="BF627" s="71"/>
      <c r="BG627" s="71"/>
      <c r="BH627" s="71"/>
      <c r="BI627" s="71"/>
      <c r="BJ627" s="71"/>
      <c r="BK627" s="71"/>
      <c r="BL627" s="71"/>
      <c r="BM627" s="71"/>
    </row>
    <row r="628">
      <c r="A628" s="72"/>
      <c r="B628" s="72"/>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c r="AA628" s="71"/>
      <c r="AB628" s="71"/>
      <c r="AC628" s="71"/>
      <c r="AD628" s="71"/>
      <c r="AE628" s="71"/>
      <c r="AF628" s="71"/>
      <c r="AG628" s="71"/>
      <c r="AH628" s="71"/>
      <c r="AI628" s="71"/>
      <c r="AJ628" s="71"/>
      <c r="AK628" s="71"/>
      <c r="AL628" s="71"/>
      <c r="AM628" s="71"/>
      <c r="AN628" s="71"/>
      <c r="AO628" s="71"/>
      <c r="AP628" s="71"/>
      <c r="AQ628" s="71"/>
      <c r="AR628" s="71"/>
      <c r="AS628" s="71"/>
      <c r="AT628" s="71"/>
      <c r="AU628" s="71"/>
      <c r="AV628" s="71"/>
      <c r="AW628" s="71"/>
      <c r="AX628" s="71"/>
      <c r="AY628" s="71"/>
      <c r="AZ628" s="71"/>
      <c r="BA628" s="71"/>
      <c r="BB628" s="71"/>
      <c r="BC628" s="71"/>
      <c r="BD628" s="71"/>
      <c r="BE628" s="71"/>
      <c r="BF628" s="71"/>
      <c r="BG628" s="71"/>
      <c r="BH628" s="71"/>
      <c r="BI628" s="71"/>
      <c r="BJ628" s="71"/>
      <c r="BK628" s="71"/>
      <c r="BL628" s="71"/>
      <c r="BM628" s="71"/>
    </row>
    <row r="629">
      <c r="A629" s="72"/>
      <c r="B629" s="72"/>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c r="AA629" s="71"/>
      <c r="AB629" s="71"/>
      <c r="AC629" s="71"/>
      <c r="AD629" s="71"/>
      <c r="AE629" s="71"/>
      <c r="AF629" s="71"/>
      <c r="AG629" s="71"/>
      <c r="AH629" s="71"/>
      <c r="AI629" s="71"/>
      <c r="AJ629" s="71"/>
      <c r="AK629" s="71"/>
      <c r="AL629" s="71"/>
      <c r="AM629" s="71"/>
      <c r="AN629" s="71"/>
      <c r="AO629" s="71"/>
      <c r="AP629" s="71"/>
      <c r="AQ629" s="71"/>
      <c r="AR629" s="71"/>
      <c r="AS629" s="71"/>
      <c r="AT629" s="71"/>
      <c r="AU629" s="71"/>
      <c r="AV629" s="71"/>
      <c r="AW629" s="71"/>
      <c r="AX629" s="71"/>
      <c r="AY629" s="71"/>
      <c r="AZ629" s="71"/>
      <c r="BA629" s="71"/>
      <c r="BB629" s="71"/>
      <c r="BC629" s="71"/>
      <c r="BD629" s="71"/>
      <c r="BE629" s="71"/>
      <c r="BF629" s="71"/>
      <c r="BG629" s="71"/>
      <c r="BH629" s="71"/>
      <c r="BI629" s="71"/>
      <c r="BJ629" s="71"/>
      <c r="BK629" s="71"/>
      <c r="BL629" s="71"/>
      <c r="BM629" s="71"/>
    </row>
    <row r="630">
      <c r="A630" s="72"/>
      <c r="B630" s="72"/>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c r="AA630" s="71"/>
      <c r="AB630" s="71"/>
      <c r="AC630" s="71"/>
      <c r="AD630" s="71"/>
      <c r="AE630" s="71"/>
      <c r="AF630" s="71"/>
      <c r="AG630" s="71"/>
      <c r="AH630" s="71"/>
      <c r="AI630" s="71"/>
      <c r="AJ630" s="71"/>
      <c r="AK630" s="71"/>
      <c r="AL630" s="71"/>
      <c r="AM630" s="71"/>
      <c r="AN630" s="71"/>
      <c r="AO630" s="71"/>
      <c r="AP630" s="71"/>
      <c r="AQ630" s="71"/>
      <c r="AR630" s="71"/>
      <c r="AS630" s="71"/>
      <c r="AT630" s="71"/>
      <c r="AU630" s="71"/>
      <c r="AV630" s="71"/>
      <c r="AW630" s="71"/>
      <c r="AX630" s="71"/>
      <c r="AY630" s="71"/>
      <c r="AZ630" s="71"/>
      <c r="BA630" s="71"/>
      <c r="BB630" s="71"/>
      <c r="BC630" s="71"/>
      <c r="BD630" s="71"/>
      <c r="BE630" s="71"/>
      <c r="BF630" s="71"/>
      <c r="BG630" s="71"/>
      <c r="BH630" s="71"/>
      <c r="BI630" s="71"/>
      <c r="BJ630" s="71"/>
      <c r="BK630" s="71"/>
      <c r="BL630" s="71"/>
      <c r="BM630" s="71"/>
    </row>
    <row r="631">
      <c r="A631" s="72"/>
      <c r="B631" s="72"/>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c r="AA631" s="71"/>
      <c r="AB631" s="71"/>
      <c r="AC631" s="71"/>
      <c r="AD631" s="71"/>
      <c r="AE631" s="71"/>
      <c r="AF631" s="71"/>
      <c r="AG631" s="71"/>
      <c r="AH631" s="71"/>
      <c r="AI631" s="71"/>
      <c r="AJ631" s="71"/>
      <c r="AK631" s="71"/>
      <c r="AL631" s="71"/>
      <c r="AM631" s="71"/>
      <c r="AN631" s="71"/>
      <c r="AO631" s="71"/>
      <c r="AP631" s="71"/>
      <c r="AQ631" s="71"/>
      <c r="AR631" s="71"/>
      <c r="AS631" s="71"/>
      <c r="AT631" s="71"/>
      <c r="AU631" s="71"/>
      <c r="AV631" s="71"/>
      <c r="AW631" s="71"/>
      <c r="AX631" s="71"/>
      <c r="AY631" s="71"/>
      <c r="AZ631" s="71"/>
      <c r="BA631" s="71"/>
      <c r="BB631" s="71"/>
      <c r="BC631" s="71"/>
      <c r="BD631" s="71"/>
      <c r="BE631" s="71"/>
      <c r="BF631" s="71"/>
      <c r="BG631" s="71"/>
      <c r="BH631" s="71"/>
      <c r="BI631" s="71"/>
      <c r="BJ631" s="71"/>
      <c r="BK631" s="71"/>
      <c r="BL631" s="71"/>
      <c r="BM631" s="71"/>
    </row>
    <row r="632">
      <c r="A632" s="72"/>
      <c r="B632" s="72"/>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c r="AA632" s="71"/>
      <c r="AB632" s="71"/>
      <c r="AC632" s="71"/>
      <c r="AD632" s="71"/>
      <c r="AE632" s="71"/>
      <c r="AF632" s="71"/>
      <c r="AG632" s="71"/>
      <c r="AH632" s="71"/>
      <c r="AI632" s="71"/>
      <c r="AJ632" s="71"/>
      <c r="AK632" s="71"/>
      <c r="AL632" s="71"/>
      <c r="AM632" s="71"/>
      <c r="AN632" s="71"/>
      <c r="AO632" s="71"/>
      <c r="AP632" s="71"/>
      <c r="AQ632" s="71"/>
      <c r="AR632" s="71"/>
      <c r="AS632" s="71"/>
      <c r="AT632" s="71"/>
      <c r="AU632" s="71"/>
      <c r="AV632" s="71"/>
      <c r="AW632" s="71"/>
      <c r="AX632" s="71"/>
      <c r="AY632" s="71"/>
      <c r="AZ632" s="71"/>
      <c r="BA632" s="71"/>
      <c r="BB632" s="71"/>
      <c r="BC632" s="71"/>
      <c r="BD632" s="71"/>
      <c r="BE632" s="71"/>
      <c r="BF632" s="71"/>
      <c r="BG632" s="71"/>
      <c r="BH632" s="71"/>
      <c r="BI632" s="71"/>
      <c r="BJ632" s="71"/>
      <c r="BK632" s="71"/>
      <c r="BL632" s="71"/>
      <c r="BM632" s="71"/>
    </row>
    <row r="633">
      <c r="A633" s="72"/>
      <c r="B633" s="72"/>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c r="AA633" s="71"/>
      <c r="AB633" s="71"/>
      <c r="AC633" s="71"/>
      <c r="AD633" s="71"/>
      <c r="AE633" s="71"/>
      <c r="AF633" s="71"/>
      <c r="AG633" s="71"/>
      <c r="AH633" s="71"/>
      <c r="AI633" s="71"/>
      <c r="AJ633" s="71"/>
      <c r="AK633" s="71"/>
      <c r="AL633" s="71"/>
      <c r="AM633" s="71"/>
      <c r="AN633" s="71"/>
      <c r="AO633" s="71"/>
      <c r="AP633" s="71"/>
      <c r="AQ633" s="71"/>
      <c r="AR633" s="71"/>
      <c r="AS633" s="71"/>
      <c r="AT633" s="71"/>
      <c r="AU633" s="71"/>
      <c r="AV633" s="71"/>
      <c r="AW633" s="71"/>
      <c r="AX633" s="71"/>
      <c r="AY633" s="71"/>
      <c r="AZ633" s="71"/>
      <c r="BA633" s="71"/>
      <c r="BB633" s="71"/>
      <c r="BC633" s="71"/>
      <c r="BD633" s="71"/>
      <c r="BE633" s="71"/>
      <c r="BF633" s="71"/>
      <c r="BG633" s="71"/>
      <c r="BH633" s="71"/>
      <c r="BI633" s="71"/>
      <c r="BJ633" s="71"/>
      <c r="BK633" s="71"/>
      <c r="BL633" s="71"/>
      <c r="BM633" s="71"/>
    </row>
    <row r="634">
      <c r="A634" s="72"/>
      <c r="B634" s="72"/>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c r="AA634" s="71"/>
      <c r="AB634" s="71"/>
      <c r="AC634" s="71"/>
      <c r="AD634" s="71"/>
      <c r="AE634" s="71"/>
      <c r="AF634" s="71"/>
      <c r="AG634" s="71"/>
      <c r="AH634" s="71"/>
      <c r="AI634" s="71"/>
      <c r="AJ634" s="71"/>
      <c r="AK634" s="71"/>
      <c r="AL634" s="71"/>
      <c r="AM634" s="71"/>
      <c r="AN634" s="71"/>
      <c r="AO634" s="71"/>
      <c r="AP634" s="71"/>
      <c r="AQ634" s="71"/>
      <c r="AR634" s="71"/>
      <c r="AS634" s="71"/>
      <c r="AT634" s="71"/>
      <c r="AU634" s="71"/>
      <c r="AV634" s="71"/>
      <c r="AW634" s="71"/>
      <c r="AX634" s="71"/>
      <c r="AY634" s="71"/>
      <c r="AZ634" s="71"/>
      <c r="BA634" s="71"/>
      <c r="BB634" s="71"/>
      <c r="BC634" s="71"/>
      <c r="BD634" s="71"/>
      <c r="BE634" s="71"/>
      <c r="BF634" s="71"/>
      <c r="BG634" s="71"/>
      <c r="BH634" s="71"/>
      <c r="BI634" s="71"/>
      <c r="BJ634" s="71"/>
      <c r="BK634" s="71"/>
      <c r="BL634" s="71"/>
      <c r="BM634" s="71"/>
    </row>
    <row r="635">
      <c r="A635" s="72"/>
      <c r="B635" s="72"/>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c r="AA635" s="71"/>
      <c r="AB635" s="71"/>
      <c r="AC635" s="71"/>
      <c r="AD635" s="71"/>
      <c r="AE635" s="71"/>
      <c r="AF635" s="71"/>
      <c r="AG635" s="71"/>
      <c r="AH635" s="71"/>
      <c r="AI635" s="71"/>
      <c r="AJ635" s="71"/>
      <c r="AK635" s="71"/>
      <c r="AL635" s="71"/>
      <c r="AM635" s="71"/>
      <c r="AN635" s="71"/>
      <c r="AO635" s="71"/>
      <c r="AP635" s="71"/>
      <c r="AQ635" s="71"/>
      <c r="AR635" s="71"/>
      <c r="AS635" s="71"/>
      <c r="AT635" s="71"/>
      <c r="AU635" s="71"/>
      <c r="AV635" s="71"/>
      <c r="AW635" s="71"/>
      <c r="AX635" s="71"/>
      <c r="AY635" s="71"/>
      <c r="AZ635" s="71"/>
      <c r="BA635" s="71"/>
      <c r="BB635" s="71"/>
      <c r="BC635" s="71"/>
      <c r="BD635" s="71"/>
      <c r="BE635" s="71"/>
      <c r="BF635" s="71"/>
      <c r="BG635" s="71"/>
      <c r="BH635" s="71"/>
      <c r="BI635" s="71"/>
      <c r="BJ635" s="71"/>
      <c r="BK635" s="71"/>
      <c r="BL635" s="71"/>
      <c r="BM635" s="71"/>
    </row>
    <row r="636">
      <c r="A636" s="72"/>
      <c r="B636" s="72"/>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c r="AA636" s="71"/>
      <c r="AB636" s="71"/>
      <c r="AC636" s="71"/>
      <c r="AD636" s="71"/>
      <c r="AE636" s="71"/>
      <c r="AF636" s="71"/>
      <c r="AG636" s="71"/>
      <c r="AH636" s="71"/>
      <c r="AI636" s="71"/>
      <c r="AJ636" s="71"/>
      <c r="AK636" s="71"/>
      <c r="AL636" s="71"/>
      <c r="AM636" s="71"/>
      <c r="AN636" s="71"/>
      <c r="AO636" s="71"/>
      <c r="AP636" s="71"/>
      <c r="AQ636" s="71"/>
      <c r="AR636" s="71"/>
      <c r="AS636" s="71"/>
      <c r="AT636" s="71"/>
      <c r="AU636" s="71"/>
      <c r="AV636" s="71"/>
      <c r="AW636" s="71"/>
      <c r="AX636" s="71"/>
      <c r="AY636" s="71"/>
      <c r="AZ636" s="71"/>
      <c r="BA636" s="71"/>
      <c r="BB636" s="71"/>
      <c r="BC636" s="71"/>
      <c r="BD636" s="71"/>
      <c r="BE636" s="71"/>
      <c r="BF636" s="71"/>
      <c r="BG636" s="71"/>
      <c r="BH636" s="71"/>
      <c r="BI636" s="71"/>
      <c r="BJ636" s="71"/>
      <c r="BK636" s="71"/>
      <c r="BL636" s="71"/>
      <c r="BM636" s="71"/>
    </row>
    <row r="637">
      <c r="A637" s="72"/>
      <c r="B637" s="72"/>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c r="AA637" s="71"/>
      <c r="AB637" s="71"/>
      <c r="AC637" s="71"/>
      <c r="AD637" s="71"/>
      <c r="AE637" s="71"/>
      <c r="AF637" s="71"/>
      <c r="AG637" s="71"/>
      <c r="AH637" s="71"/>
      <c r="AI637" s="71"/>
      <c r="AJ637" s="71"/>
      <c r="AK637" s="71"/>
      <c r="AL637" s="71"/>
      <c r="AM637" s="71"/>
      <c r="AN637" s="71"/>
      <c r="AO637" s="71"/>
      <c r="AP637" s="71"/>
      <c r="AQ637" s="71"/>
      <c r="AR637" s="71"/>
      <c r="AS637" s="71"/>
      <c r="AT637" s="71"/>
      <c r="AU637" s="71"/>
      <c r="AV637" s="71"/>
      <c r="AW637" s="71"/>
      <c r="AX637" s="71"/>
      <c r="AY637" s="71"/>
      <c r="AZ637" s="71"/>
      <c r="BA637" s="71"/>
      <c r="BB637" s="71"/>
      <c r="BC637" s="71"/>
      <c r="BD637" s="71"/>
      <c r="BE637" s="71"/>
      <c r="BF637" s="71"/>
      <c r="BG637" s="71"/>
      <c r="BH637" s="71"/>
      <c r="BI637" s="71"/>
      <c r="BJ637" s="71"/>
      <c r="BK637" s="71"/>
      <c r="BL637" s="71"/>
      <c r="BM637" s="71"/>
    </row>
    <row r="638">
      <c r="A638" s="72"/>
      <c r="B638" s="72"/>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c r="AA638" s="71"/>
      <c r="AB638" s="71"/>
      <c r="AC638" s="71"/>
      <c r="AD638" s="71"/>
      <c r="AE638" s="71"/>
      <c r="AF638" s="71"/>
      <c r="AG638" s="71"/>
      <c r="AH638" s="71"/>
      <c r="AI638" s="71"/>
      <c r="AJ638" s="71"/>
      <c r="AK638" s="71"/>
      <c r="AL638" s="71"/>
      <c r="AM638" s="71"/>
      <c r="AN638" s="71"/>
      <c r="AO638" s="71"/>
      <c r="AP638" s="71"/>
      <c r="AQ638" s="71"/>
      <c r="AR638" s="71"/>
      <c r="AS638" s="71"/>
      <c r="AT638" s="71"/>
      <c r="AU638" s="71"/>
      <c r="AV638" s="71"/>
      <c r="AW638" s="71"/>
      <c r="AX638" s="71"/>
      <c r="AY638" s="71"/>
      <c r="AZ638" s="71"/>
      <c r="BA638" s="71"/>
      <c r="BB638" s="71"/>
      <c r="BC638" s="71"/>
      <c r="BD638" s="71"/>
      <c r="BE638" s="71"/>
      <c r="BF638" s="71"/>
      <c r="BG638" s="71"/>
      <c r="BH638" s="71"/>
      <c r="BI638" s="71"/>
      <c r="BJ638" s="71"/>
      <c r="BK638" s="71"/>
      <c r="BL638" s="71"/>
      <c r="BM638" s="71"/>
    </row>
    <row r="639">
      <c r="A639" s="72"/>
      <c r="B639" s="72"/>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c r="AA639" s="71"/>
      <c r="AB639" s="71"/>
      <c r="AC639" s="71"/>
      <c r="AD639" s="71"/>
      <c r="AE639" s="71"/>
      <c r="AF639" s="71"/>
      <c r="AG639" s="71"/>
      <c r="AH639" s="71"/>
      <c r="AI639" s="71"/>
      <c r="AJ639" s="71"/>
      <c r="AK639" s="71"/>
      <c r="AL639" s="71"/>
      <c r="AM639" s="71"/>
      <c r="AN639" s="71"/>
      <c r="AO639" s="71"/>
      <c r="AP639" s="71"/>
      <c r="AQ639" s="71"/>
      <c r="AR639" s="71"/>
      <c r="AS639" s="71"/>
      <c r="AT639" s="71"/>
      <c r="AU639" s="71"/>
      <c r="AV639" s="71"/>
      <c r="AW639" s="71"/>
      <c r="AX639" s="71"/>
      <c r="AY639" s="71"/>
      <c r="AZ639" s="71"/>
      <c r="BA639" s="71"/>
      <c r="BB639" s="71"/>
      <c r="BC639" s="71"/>
      <c r="BD639" s="71"/>
      <c r="BE639" s="71"/>
      <c r="BF639" s="71"/>
      <c r="BG639" s="71"/>
      <c r="BH639" s="71"/>
      <c r="BI639" s="71"/>
      <c r="BJ639" s="71"/>
      <c r="BK639" s="71"/>
      <c r="BL639" s="71"/>
      <c r="BM639" s="71"/>
    </row>
    <row r="640">
      <c r="A640" s="72"/>
      <c r="B640" s="72"/>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c r="AA640" s="71"/>
      <c r="AB640" s="71"/>
      <c r="AC640" s="71"/>
      <c r="AD640" s="71"/>
      <c r="AE640" s="71"/>
      <c r="AF640" s="71"/>
      <c r="AG640" s="71"/>
      <c r="AH640" s="71"/>
      <c r="AI640" s="71"/>
      <c r="AJ640" s="71"/>
      <c r="AK640" s="71"/>
      <c r="AL640" s="71"/>
      <c r="AM640" s="71"/>
      <c r="AN640" s="71"/>
      <c r="AO640" s="71"/>
      <c r="AP640" s="71"/>
      <c r="AQ640" s="71"/>
      <c r="AR640" s="71"/>
      <c r="AS640" s="71"/>
      <c r="AT640" s="71"/>
      <c r="AU640" s="71"/>
      <c r="AV640" s="71"/>
      <c r="AW640" s="71"/>
      <c r="AX640" s="71"/>
      <c r="AY640" s="71"/>
      <c r="AZ640" s="71"/>
      <c r="BA640" s="71"/>
      <c r="BB640" s="71"/>
      <c r="BC640" s="71"/>
      <c r="BD640" s="71"/>
      <c r="BE640" s="71"/>
      <c r="BF640" s="71"/>
      <c r="BG640" s="71"/>
      <c r="BH640" s="71"/>
      <c r="BI640" s="71"/>
      <c r="BJ640" s="71"/>
      <c r="BK640" s="71"/>
      <c r="BL640" s="71"/>
      <c r="BM640" s="71"/>
    </row>
    <row r="641">
      <c r="A641" s="72"/>
      <c r="B641" s="72"/>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c r="AA641" s="71"/>
      <c r="AB641" s="71"/>
      <c r="AC641" s="71"/>
      <c r="AD641" s="71"/>
      <c r="AE641" s="71"/>
      <c r="AF641" s="71"/>
      <c r="AG641" s="71"/>
      <c r="AH641" s="71"/>
      <c r="AI641" s="71"/>
      <c r="AJ641" s="71"/>
      <c r="AK641" s="71"/>
      <c r="AL641" s="71"/>
      <c r="AM641" s="71"/>
      <c r="AN641" s="71"/>
      <c r="AO641" s="71"/>
      <c r="AP641" s="71"/>
      <c r="AQ641" s="71"/>
      <c r="AR641" s="71"/>
      <c r="AS641" s="71"/>
      <c r="AT641" s="71"/>
      <c r="AU641" s="71"/>
      <c r="AV641" s="71"/>
      <c r="AW641" s="71"/>
      <c r="AX641" s="71"/>
      <c r="AY641" s="71"/>
      <c r="AZ641" s="71"/>
      <c r="BA641" s="71"/>
      <c r="BB641" s="71"/>
      <c r="BC641" s="71"/>
      <c r="BD641" s="71"/>
      <c r="BE641" s="71"/>
      <c r="BF641" s="71"/>
      <c r="BG641" s="71"/>
      <c r="BH641" s="71"/>
      <c r="BI641" s="71"/>
      <c r="BJ641" s="71"/>
      <c r="BK641" s="71"/>
      <c r="BL641" s="71"/>
      <c r="BM641" s="71"/>
    </row>
    <row r="642">
      <c r="A642" s="72"/>
      <c r="B642" s="72"/>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c r="AA642" s="71"/>
      <c r="AB642" s="71"/>
      <c r="AC642" s="71"/>
      <c r="AD642" s="71"/>
      <c r="AE642" s="71"/>
      <c r="AF642" s="71"/>
      <c r="AG642" s="71"/>
      <c r="AH642" s="71"/>
      <c r="AI642" s="71"/>
      <c r="AJ642" s="71"/>
      <c r="AK642" s="71"/>
      <c r="AL642" s="71"/>
      <c r="AM642" s="71"/>
      <c r="AN642" s="71"/>
      <c r="AO642" s="71"/>
      <c r="AP642" s="71"/>
      <c r="AQ642" s="71"/>
      <c r="AR642" s="71"/>
      <c r="AS642" s="71"/>
      <c r="AT642" s="71"/>
      <c r="AU642" s="71"/>
      <c r="AV642" s="71"/>
      <c r="AW642" s="71"/>
      <c r="AX642" s="71"/>
      <c r="AY642" s="71"/>
      <c r="AZ642" s="71"/>
      <c r="BA642" s="71"/>
      <c r="BB642" s="71"/>
      <c r="BC642" s="71"/>
      <c r="BD642" s="71"/>
      <c r="BE642" s="71"/>
      <c r="BF642" s="71"/>
      <c r="BG642" s="71"/>
      <c r="BH642" s="71"/>
      <c r="BI642" s="71"/>
      <c r="BJ642" s="71"/>
      <c r="BK642" s="71"/>
      <c r="BL642" s="71"/>
      <c r="BM642" s="71"/>
    </row>
    <row r="643">
      <c r="A643" s="72"/>
      <c r="B643" s="72"/>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c r="AA643" s="71"/>
      <c r="AB643" s="71"/>
      <c r="AC643" s="71"/>
      <c r="AD643" s="71"/>
      <c r="AE643" s="71"/>
      <c r="AF643" s="71"/>
      <c r="AG643" s="71"/>
      <c r="AH643" s="71"/>
      <c r="AI643" s="71"/>
      <c r="AJ643" s="71"/>
      <c r="AK643" s="71"/>
      <c r="AL643" s="71"/>
      <c r="AM643" s="71"/>
      <c r="AN643" s="71"/>
      <c r="AO643" s="71"/>
      <c r="AP643" s="71"/>
      <c r="AQ643" s="71"/>
      <c r="AR643" s="71"/>
      <c r="AS643" s="71"/>
      <c r="AT643" s="71"/>
      <c r="AU643" s="71"/>
      <c r="AV643" s="71"/>
      <c r="AW643" s="71"/>
      <c r="AX643" s="71"/>
      <c r="AY643" s="71"/>
      <c r="AZ643" s="71"/>
      <c r="BA643" s="71"/>
      <c r="BB643" s="71"/>
      <c r="BC643" s="71"/>
      <c r="BD643" s="71"/>
      <c r="BE643" s="71"/>
      <c r="BF643" s="71"/>
      <c r="BG643" s="71"/>
      <c r="BH643" s="71"/>
      <c r="BI643" s="71"/>
      <c r="BJ643" s="71"/>
      <c r="BK643" s="71"/>
      <c r="BL643" s="71"/>
      <c r="BM643" s="71"/>
    </row>
    <row r="644">
      <c r="A644" s="72"/>
      <c r="B644" s="72"/>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c r="AA644" s="71"/>
      <c r="AB644" s="71"/>
      <c r="AC644" s="71"/>
      <c r="AD644" s="71"/>
      <c r="AE644" s="71"/>
      <c r="AF644" s="71"/>
      <c r="AG644" s="71"/>
      <c r="AH644" s="71"/>
      <c r="AI644" s="71"/>
      <c r="AJ644" s="71"/>
      <c r="AK644" s="71"/>
      <c r="AL644" s="71"/>
      <c r="AM644" s="71"/>
      <c r="AN644" s="71"/>
      <c r="AO644" s="71"/>
      <c r="AP644" s="71"/>
      <c r="AQ644" s="71"/>
      <c r="AR644" s="71"/>
      <c r="AS644" s="71"/>
      <c r="AT644" s="71"/>
      <c r="AU644" s="71"/>
      <c r="AV644" s="71"/>
      <c r="AW644" s="71"/>
      <c r="AX644" s="71"/>
      <c r="AY644" s="71"/>
      <c r="AZ644" s="71"/>
      <c r="BA644" s="71"/>
      <c r="BB644" s="71"/>
      <c r="BC644" s="71"/>
      <c r="BD644" s="71"/>
      <c r="BE644" s="71"/>
      <c r="BF644" s="71"/>
      <c r="BG644" s="71"/>
      <c r="BH644" s="71"/>
      <c r="BI644" s="71"/>
      <c r="BJ644" s="71"/>
      <c r="BK644" s="71"/>
      <c r="BL644" s="71"/>
      <c r="BM644" s="71"/>
    </row>
    <row r="645">
      <c r="A645" s="72"/>
      <c r="B645" s="72"/>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c r="AA645" s="71"/>
      <c r="AB645" s="71"/>
      <c r="AC645" s="71"/>
      <c r="AD645" s="71"/>
      <c r="AE645" s="71"/>
      <c r="AF645" s="71"/>
      <c r="AG645" s="71"/>
      <c r="AH645" s="71"/>
      <c r="AI645" s="71"/>
      <c r="AJ645" s="71"/>
      <c r="AK645" s="71"/>
      <c r="AL645" s="71"/>
      <c r="AM645" s="71"/>
      <c r="AN645" s="71"/>
      <c r="AO645" s="71"/>
      <c r="AP645" s="71"/>
      <c r="AQ645" s="71"/>
      <c r="AR645" s="71"/>
      <c r="AS645" s="71"/>
      <c r="AT645" s="71"/>
      <c r="AU645" s="71"/>
      <c r="AV645" s="71"/>
      <c r="AW645" s="71"/>
      <c r="AX645" s="71"/>
      <c r="AY645" s="71"/>
      <c r="AZ645" s="71"/>
      <c r="BA645" s="71"/>
      <c r="BB645" s="71"/>
      <c r="BC645" s="71"/>
      <c r="BD645" s="71"/>
      <c r="BE645" s="71"/>
      <c r="BF645" s="71"/>
      <c r="BG645" s="71"/>
      <c r="BH645" s="71"/>
      <c r="BI645" s="71"/>
      <c r="BJ645" s="71"/>
      <c r="BK645" s="71"/>
      <c r="BL645" s="71"/>
      <c r="BM645" s="71"/>
    </row>
    <row r="646">
      <c r="A646" s="72"/>
      <c r="B646" s="72"/>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c r="AA646" s="71"/>
      <c r="AB646" s="71"/>
      <c r="AC646" s="71"/>
      <c r="AD646" s="71"/>
      <c r="AE646" s="71"/>
      <c r="AF646" s="71"/>
      <c r="AG646" s="71"/>
      <c r="AH646" s="71"/>
      <c r="AI646" s="71"/>
      <c r="AJ646" s="71"/>
      <c r="AK646" s="71"/>
      <c r="AL646" s="71"/>
      <c r="AM646" s="71"/>
      <c r="AN646" s="71"/>
      <c r="AO646" s="71"/>
      <c r="AP646" s="71"/>
      <c r="AQ646" s="71"/>
      <c r="AR646" s="71"/>
      <c r="AS646" s="71"/>
      <c r="AT646" s="71"/>
      <c r="AU646" s="71"/>
      <c r="AV646" s="71"/>
      <c r="AW646" s="71"/>
      <c r="AX646" s="71"/>
      <c r="AY646" s="71"/>
      <c r="AZ646" s="71"/>
      <c r="BA646" s="71"/>
      <c r="BB646" s="71"/>
      <c r="BC646" s="71"/>
      <c r="BD646" s="71"/>
      <c r="BE646" s="71"/>
      <c r="BF646" s="71"/>
      <c r="BG646" s="71"/>
      <c r="BH646" s="71"/>
      <c r="BI646" s="71"/>
      <c r="BJ646" s="71"/>
      <c r="BK646" s="71"/>
      <c r="BL646" s="71"/>
      <c r="BM646" s="71"/>
    </row>
    <row r="647">
      <c r="A647" s="72"/>
      <c r="B647" s="72"/>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c r="AA647" s="71"/>
      <c r="AB647" s="71"/>
      <c r="AC647" s="71"/>
      <c r="AD647" s="71"/>
      <c r="AE647" s="71"/>
      <c r="AF647" s="71"/>
      <c r="AG647" s="71"/>
      <c r="AH647" s="71"/>
      <c r="AI647" s="71"/>
      <c r="AJ647" s="71"/>
      <c r="AK647" s="71"/>
      <c r="AL647" s="71"/>
      <c r="AM647" s="71"/>
      <c r="AN647" s="71"/>
      <c r="AO647" s="71"/>
      <c r="AP647" s="71"/>
      <c r="AQ647" s="71"/>
      <c r="AR647" s="71"/>
      <c r="AS647" s="71"/>
      <c r="AT647" s="71"/>
      <c r="AU647" s="71"/>
      <c r="AV647" s="71"/>
      <c r="AW647" s="71"/>
      <c r="AX647" s="71"/>
      <c r="AY647" s="71"/>
      <c r="AZ647" s="71"/>
      <c r="BA647" s="71"/>
      <c r="BB647" s="71"/>
      <c r="BC647" s="71"/>
      <c r="BD647" s="71"/>
      <c r="BE647" s="71"/>
      <c r="BF647" s="71"/>
      <c r="BG647" s="71"/>
      <c r="BH647" s="71"/>
      <c r="BI647" s="71"/>
      <c r="BJ647" s="71"/>
      <c r="BK647" s="71"/>
      <c r="BL647" s="71"/>
      <c r="BM647" s="71"/>
    </row>
    <row r="648">
      <c r="A648" s="72"/>
      <c r="B648" s="72"/>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c r="AA648" s="71"/>
      <c r="AB648" s="71"/>
      <c r="AC648" s="71"/>
      <c r="AD648" s="71"/>
      <c r="AE648" s="71"/>
      <c r="AF648" s="71"/>
      <c r="AG648" s="71"/>
      <c r="AH648" s="71"/>
      <c r="AI648" s="71"/>
      <c r="AJ648" s="71"/>
      <c r="AK648" s="71"/>
      <c r="AL648" s="71"/>
      <c r="AM648" s="71"/>
      <c r="AN648" s="71"/>
      <c r="AO648" s="71"/>
      <c r="AP648" s="71"/>
      <c r="AQ648" s="71"/>
      <c r="AR648" s="71"/>
      <c r="AS648" s="71"/>
      <c r="AT648" s="71"/>
      <c r="AU648" s="71"/>
      <c r="AV648" s="71"/>
      <c r="AW648" s="71"/>
      <c r="AX648" s="71"/>
      <c r="AY648" s="71"/>
      <c r="AZ648" s="71"/>
      <c r="BA648" s="71"/>
      <c r="BB648" s="71"/>
      <c r="BC648" s="71"/>
      <c r="BD648" s="71"/>
      <c r="BE648" s="71"/>
      <c r="BF648" s="71"/>
      <c r="BG648" s="71"/>
      <c r="BH648" s="71"/>
      <c r="BI648" s="71"/>
      <c r="BJ648" s="71"/>
      <c r="BK648" s="71"/>
      <c r="BL648" s="71"/>
      <c r="BM648" s="71"/>
    </row>
    <row r="649">
      <c r="A649" s="72"/>
      <c r="B649" s="72"/>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c r="AA649" s="71"/>
      <c r="AB649" s="71"/>
      <c r="AC649" s="71"/>
      <c r="AD649" s="71"/>
      <c r="AE649" s="71"/>
      <c r="AF649" s="71"/>
      <c r="AG649" s="71"/>
      <c r="AH649" s="71"/>
      <c r="AI649" s="71"/>
      <c r="AJ649" s="71"/>
      <c r="AK649" s="71"/>
      <c r="AL649" s="71"/>
      <c r="AM649" s="71"/>
      <c r="AN649" s="71"/>
      <c r="AO649" s="71"/>
      <c r="AP649" s="71"/>
      <c r="AQ649" s="71"/>
      <c r="AR649" s="71"/>
      <c r="AS649" s="71"/>
      <c r="AT649" s="71"/>
      <c r="AU649" s="71"/>
      <c r="AV649" s="71"/>
      <c r="AW649" s="71"/>
      <c r="AX649" s="71"/>
      <c r="AY649" s="71"/>
      <c r="AZ649" s="71"/>
      <c r="BA649" s="71"/>
      <c r="BB649" s="71"/>
      <c r="BC649" s="71"/>
      <c r="BD649" s="71"/>
      <c r="BE649" s="71"/>
      <c r="BF649" s="71"/>
      <c r="BG649" s="71"/>
      <c r="BH649" s="71"/>
      <c r="BI649" s="71"/>
      <c r="BJ649" s="71"/>
      <c r="BK649" s="71"/>
      <c r="BL649" s="71"/>
      <c r="BM649" s="71"/>
    </row>
    <row r="650">
      <c r="A650" s="72"/>
      <c r="B650" s="72"/>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c r="AA650" s="71"/>
      <c r="AB650" s="71"/>
      <c r="AC650" s="71"/>
      <c r="AD650" s="71"/>
      <c r="AE650" s="71"/>
      <c r="AF650" s="71"/>
      <c r="AG650" s="71"/>
      <c r="AH650" s="71"/>
      <c r="AI650" s="71"/>
      <c r="AJ650" s="71"/>
      <c r="AK650" s="71"/>
      <c r="AL650" s="71"/>
      <c r="AM650" s="71"/>
      <c r="AN650" s="71"/>
      <c r="AO650" s="71"/>
      <c r="AP650" s="71"/>
      <c r="AQ650" s="71"/>
      <c r="AR650" s="71"/>
      <c r="AS650" s="71"/>
      <c r="AT650" s="71"/>
      <c r="AU650" s="71"/>
      <c r="AV650" s="71"/>
      <c r="AW650" s="71"/>
      <c r="AX650" s="71"/>
      <c r="AY650" s="71"/>
      <c r="AZ650" s="71"/>
      <c r="BA650" s="71"/>
      <c r="BB650" s="71"/>
      <c r="BC650" s="71"/>
      <c r="BD650" s="71"/>
      <c r="BE650" s="71"/>
      <c r="BF650" s="71"/>
      <c r="BG650" s="71"/>
      <c r="BH650" s="71"/>
      <c r="BI650" s="71"/>
      <c r="BJ650" s="71"/>
      <c r="BK650" s="71"/>
      <c r="BL650" s="71"/>
      <c r="BM650" s="71"/>
    </row>
    <row r="651">
      <c r="A651" s="72"/>
      <c r="B651" s="72"/>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71"/>
      <c r="AO651" s="71"/>
      <c r="AP651" s="71"/>
      <c r="AQ651" s="71"/>
      <c r="AR651" s="71"/>
      <c r="AS651" s="71"/>
      <c r="AT651" s="71"/>
      <c r="AU651" s="71"/>
      <c r="AV651" s="71"/>
      <c r="AW651" s="71"/>
      <c r="AX651" s="71"/>
      <c r="AY651" s="71"/>
      <c r="AZ651" s="71"/>
      <c r="BA651" s="71"/>
      <c r="BB651" s="71"/>
      <c r="BC651" s="71"/>
      <c r="BD651" s="71"/>
      <c r="BE651" s="71"/>
      <c r="BF651" s="71"/>
      <c r="BG651" s="71"/>
      <c r="BH651" s="71"/>
      <c r="BI651" s="71"/>
      <c r="BJ651" s="71"/>
      <c r="BK651" s="71"/>
      <c r="BL651" s="71"/>
      <c r="BM651" s="71"/>
    </row>
    <row r="652">
      <c r="A652" s="72"/>
      <c r="B652" s="72"/>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c r="AA652" s="71"/>
      <c r="AB652" s="71"/>
      <c r="AC652" s="71"/>
      <c r="AD652" s="71"/>
      <c r="AE652" s="71"/>
      <c r="AF652" s="71"/>
      <c r="AG652" s="71"/>
      <c r="AH652" s="71"/>
      <c r="AI652" s="71"/>
      <c r="AJ652" s="71"/>
      <c r="AK652" s="71"/>
      <c r="AL652" s="71"/>
      <c r="AM652" s="71"/>
      <c r="AN652" s="71"/>
      <c r="AO652" s="71"/>
      <c r="AP652" s="71"/>
      <c r="AQ652" s="71"/>
      <c r="AR652" s="71"/>
      <c r="AS652" s="71"/>
      <c r="AT652" s="71"/>
      <c r="AU652" s="71"/>
      <c r="AV652" s="71"/>
      <c r="AW652" s="71"/>
      <c r="AX652" s="71"/>
      <c r="AY652" s="71"/>
      <c r="AZ652" s="71"/>
      <c r="BA652" s="71"/>
      <c r="BB652" s="71"/>
      <c r="BC652" s="71"/>
      <c r="BD652" s="71"/>
      <c r="BE652" s="71"/>
      <c r="BF652" s="71"/>
      <c r="BG652" s="71"/>
      <c r="BH652" s="71"/>
      <c r="BI652" s="71"/>
      <c r="BJ652" s="71"/>
      <c r="BK652" s="71"/>
      <c r="BL652" s="71"/>
      <c r="BM652" s="71"/>
    </row>
    <row r="653">
      <c r="A653" s="72"/>
      <c r="B653" s="72"/>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c r="AA653" s="71"/>
      <c r="AB653" s="71"/>
      <c r="AC653" s="71"/>
      <c r="AD653" s="71"/>
      <c r="AE653" s="71"/>
      <c r="AF653" s="71"/>
      <c r="AG653" s="71"/>
      <c r="AH653" s="71"/>
      <c r="AI653" s="71"/>
      <c r="AJ653" s="71"/>
      <c r="AK653" s="71"/>
      <c r="AL653" s="71"/>
      <c r="AM653" s="71"/>
      <c r="AN653" s="71"/>
      <c r="AO653" s="71"/>
      <c r="AP653" s="71"/>
      <c r="AQ653" s="71"/>
      <c r="AR653" s="71"/>
      <c r="AS653" s="71"/>
      <c r="AT653" s="71"/>
      <c r="AU653" s="71"/>
      <c r="AV653" s="71"/>
      <c r="AW653" s="71"/>
      <c r="AX653" s="71"/>
      <c r="AY653" s="71"/>
      <c r="AZ653" s="71"/>
      <c r="BA653" s="71"/>
      <c r="BB653" s="71"/>
      <c r="BC653" s="71"/>
      <c r="BD653" s="71"/>
      <c r="BE653" s="71"/>
      <c r="BF653" s="71"/>
      <c r="BG653" s="71"/>
      <c r="BH653" s="71"/>
      <c r="BI653" s="71"/>
      <c r="BJ653" s="71"/>
      <c r="BK653" s="71"/>
      <c r="BL653" s="71"/>
      <c r="BM653" s="71"/>
    </row>
    <row r="654">
      <c r="A654" s="72"/>
      <c r="B654" s="72"/>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c r="AA654" s="71"/>
      <c r="AB654" s="71"/>
      <c r="AC654" s="71"/>
      <c r="AD654" s="71"/>
      <c r="AE654" s="71"/>
      <c r="AF654" s="71"/>
      <c r="AG654" s="71"/>
      <c r="AH654" s="71"/>
      <c r="AI654" s="71"/>
      <c r="AJ654" s="71"/>
      <c r="AK654" s="71"/>
      <c r="AL654" s="71"/>
      <c r="AM654" s="71"/>
      <c r="AN654" s="71"/>
      <c r="AO654" s="71"/>
      <c r="AP654" s="71"/>
      <c r="AQ654" s="71"/>
      <c r="AR654" s="71"/>
      <c r="AS654" s="71"/>
      <c r="AT654" s="71"/>
      <c r="AU654" s="71"/>
      <c r="AV654" s="71"/>
      <c r="AW654" s="71"/>
      <c r="AX654" s="71"/>
      <c r="AY654" s="71"/>
      <c r="AZ654" s="71"/>
      <c r="BA654" s="71"/>
      <c r="BB654" s="71"/>
      <c r="BC654" s="71"/>
      <c r="BD654" s="71"/>
      <c r="BE654" s="71"/>
      <c r="BF654" s="71"/>
      <c r="BG654" s="71"/>
      <c r="BH654" s="71"/>
      <c r="BI654" s="71"/>
      <c r="BJ654" s="71"/>
      <c r="BK654" s="71"/>
      <c r="BL654" s="71"/>
      <c r="BM654" s="71"/>
    </row>
    <row r="655">
      <c r="A655" s="72"/>
      <c r="B655" s="72"/>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c r="AA655" s="71"/>
      <c r="AB655" s="71"/>
      <c r="AC655" s="71"/>
      <c r="AD655" s="71"/>
      <c r="AE655" s="71"/>
      <c r="AF655" s="71"/>
      <c r="AG655" s="71"/>
      <c r="AH655" s="71"/>
      <c r="AI655" s="71"/>
      <c r="AJ655" s="71"/>
      <c r="AK655" s="71"/>
      <c r="AL655" s="71"/>
      <c r="AM655" s="71"/>
      <c r="AN655" s="71"/>
      <c r="AO655" s="71"/>
      <c r="AP655" s="71"/>
      <c r="AQ655" s="71"/>
      <c r="AR655" s="71"/>
      <c r="AS655" s="71"/>
      <c r="AT655" s="71"/>
      <c r="AU655" s="71"/>
      <c r="AV655" s="71"/>
      <c r="AW655" s="71"/>
      <c r="AX655" s="71"/>
      <c r="AY655" s="71"/>
      <c r="AZ655" s="71"/>
      <c r="BA655" s="71"/>
      <c r="BB655" s="71"/>
      <c r="BC655" s="71"/>
      <c r="BD655" s="71"/>
      <c r="BE655" s="71"/>
      <c r="BF655" s="71"/>
      <c r="BG655" s="71"/>
      <c r="BH655" s="71"/>
      <c r="BI655" s="71"/>
      <c r="BJ655" s="71"/>
      <c r="BK655" s="71"/>
      <c r="BL655" s="71"/>
      <c r="BM655" s="71"/>
    </row>
    <row r="656">
      <c r="A656" s="72"/>
      <c r="B656" s="72"/>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c r="AA656" s="71"/>
      <c r="AB656" s="71"/>
      <c r="AC656" s="71"/>
      <c r="AD656" s="71"/>
      <c r="AE656" s="71"/>
      <c r="AF656" s="71"/>
      <c r="AG656" s="71"/>
      <c r="AH656" s="71"/>
      <c r="AI656" s="71"/>
      <c r="AJ656" s="71"/>
      <c r="AK656" s="71"/>
      <c r="AL656" s="71"/>
      <c r="AM656" s="71"/>
      <c r="AN656" s="71"/>
      <c r="AO656" s="71"/>
      <c r="AP656" s="71"/>
      <c r="AQ656" s="71"/>
      <c r="AR656" s="71"/>
      <c r="AS656" s="71"/>
      <c r="AT656" s="71"/>
      <c r="AU656" s="71"/>
      <c r="AV656" s="71"/>
      <c r="AW656" s="71"/>
      <c r="AX656" s="71"/>
      <c r="AY656" s="71"/>
      <c r="AZ656" s="71"/>
      <c r="BA656" s="71"/>
      <c r="BB656" s="71"/>
      <c r="BC656" s="71"/>
      <c r="BD656" s="71"/>
      <c r="BE656" s="71"/>
      <c r="BF656" s="71"/>
      <c r="BG656" s="71"/>
      <c r="BH656" s="71"/>
      <c r="BI656" s="71"/>
      <c r="BJ656" s="71"/>
      <c r="BK656" s="71"/>
      <c r="BL656" s="71"/>
      <c r="BM656" s="71"/>
    </row>
    <row r="657">
      <c r="A657" s="72"/>
      <c r="B657" s="72"/>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c r="AA657" s="71"/>
      <c r="AB657" s="71"/>
      <c r="AC657" s="71"/>
      <c r="AD657" s="71"/>
      <c r="AE657" s="71"/>
      <c r="AF657" s="71"/>
      <c r="AG657" s="71"/>
      <c r="AH657" s="71"/>
      <c r="AI657" s="71"/>
      <c r="AJ657" s="71"/>
      <c r="AK657" s="71"/>
      <c r="AL657" s="71"/>
      <c r="AM657" s="71"/>
      <c r="AN657" s="71"/>
      <c r="AO657" s="71"/>
      <c r="AP657" s="71"/>
      <c r="AQ657" s="71"/>
      <c r="AR657" s="71"/>
      <c r="AS657" s="71"/>
      <c r="AT657" s="71"/>
      <c r="AU657" s="71"/>
      <c r="AV657" s="71"/>
      <c r="AW657" s="71"/>
      <c r="AX657" s="71"/>
      <c r="AY657" s="71"/>
      <c r="AZ657" s="71"/>
      <c r="BA657" s="71"/>
      <c r="BB657" s="71"/>
      <c r="BC657" s="71"/>
      <c r="BD657" s="71"/>
      <c r="BE657" s="71"/>
      <c r="BF657" s="71"/>
      <c r="BG657" s="71"/>
      <c r="BH657" s="71"/>
      <c r="BI657" s="71"/>
      <c r="BJ657" s="71"/>
      <c r="BK657" s="71"/>
      <c r="BL657" s="71"/>
      <c r="BM657" s="71"/>
    </row>
    <row r="658">
      <c r="A658" s="72"/>
      <c r="B658" s="72"/>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c r="AA658" s="71"/>
      <c r="AB658" s="71"/>
      <c r="AC658" s="71"/>
      <c r="AD658" s="71"/>
      <c r="AE658" s="71"/>
      <c r="AF658" s="71"/>
      <c r="AG658" s="71"/>
      <c r="AH658" s="71"/>
      <c r="AI658" s="71"/>
      <c r="AJ658" s="71"/>
      <c r="AK658" s="71"/>
      <c r="AL658" s="71"/>
      <c r="AM658" s="71"/>
      <c r="AN658" s="71"/>
      <c r="AO658" s="71"/>
      <c r="AP658" s="71"/>
      <c r="AQ658" s="71"/>
      <c r="AR658" s="71"/>
      <c r="AS658" s="71"/>
      <c r="AT658" s="71"/>
      <c r="AU658" s="71"/>
      <c r="AV658" s="71"/>
      <c r="AW658" s="71"/>
      <c r="AX658" s="71"/>
      <c r="AY658" s="71"/>
      <c r="AZ658" s="71"/>
      <c r="BA658" s="71"/>
      <c r="BB658" s="71"/>
      <c r="BC658" s="71"/>
      <c r="BD658" s="71"/>
      <c r="BE658" s="71"/>
      <c r="BF658" s="71"/>
      <c r="BG658" s="71"/>
      <c r="BH658" s="71"/>
      <c r="BI658" s="71"/>
      <c r="BJ658" s="71"/>
      <c r="BK658" s="71"/>
      <c r="BL658" s="71"/>
      <c r="BM658" s="71"/>
    </row>
    <row r="659">
      <c r="A659" s="72"/>
      <c r="B659" s="72"/>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c r="AA659" s="71"/>
      <c r="AB659" s="71"/>
      <c r="AC659" s="71"/>
      <c r="AD659" s="71"/>
      <c r="AE659" s="71"/>
      <c r="AF659" s="71"/>
      <c r="AG659" s="71"/>
      <c r="AH659" s="71"/>
      <c r="AI659" s="71"/>
      <c r="AJ659" s="71"/>
      <c r="AK659" s="71"/>
      <c r="AL659" s="71"/>
      <c r="AM659" s="71"/>
      <c r="AN659" s="71"/>
      <c r="AO659" s="71"/>
      <c r="AP659" s="71"/>
      <c r="AQ659" s="71"/>
      <c r="AR659" s="71"/>
      <c r="AS659" s="71"/>
      <c r="AT659" s="71"/>
      <c r="AU659" s="71"/>
      <c r="AV659" s="71"/>
      <c r="AW659" s="71"/>
      <c r="AX659" s="71"/>
      <c r="AY659" s="71"/>
      <c r="AZ659" s="71"/>
      <c r="BA659" s="71"/>
      <c r="BB659" s="71"/>
      <c r="BC659" s="71"/>
      <c r="BD659" s="71"/>
      <c r="BE659" s="71"/>
      <c r="BF659" s="71"/>
      <c r="BG659" s="71"/>
      <c r="BH659" s="71"/>
      <c r="BI659" s="71"/>
      <c r="BJ659" s="71"/>
      <c r="BK659" s="71"/>
      <c r="BL659" s="71"/>
      <c r="BM659" s="71"/>
    </row>
    <row r="660">
      <c r="A660" s="72"/>
      <c r="B660" s="72"/>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c r="AA660" s="71"/>
      <c r="AB660" s="71"/>
      <c r="AC660" s="71"/>
      <c r="AD660" s="71"/>
      <c r="AE660" s="71"/>
      <c r="AF660" s="71"/>
      <c r="AG660" s="71"/>
      <c r="AH660" s="71"/>
      <c r="AI660" s="71"/>
      <c r="AJ660" s="71"/>
      <c r="AK660" s="71"/>
      <c r="AL660" s="71"/>
      <c r="AM660" s="71"/>
      <c r="AN660" s="71"/>
      <c r="AO660" s="71"/>
      <c r="AP660" s="71"/>
      <c r="AQ660" s="71"/>
      <c r="AR660" s="71"/>
      <c r="AS660" s="71"/>
      <c r="AT660" s="71"/>
      <c r="AU660" s="71"/>
      <c r="AV660" s="71"/>
      <c r="AW660" s="71"/>
      <c r="AX660" s="71"/>
      <c r="AY660" s="71"/>
      <c r="AZ660" s="71"/>
      <c r="BA660" s="71"/>
      <c r="BB660" s="71"/>
      <c r="BC660" s="71"/>
      <c r="BD660" s="71"/>
      <c r="BE660" s="71"/>
      <c r="BF660" s="71"/>
      <c r="BG660" s="71"/>
      <c r="BH660" s="71"/>
      <c r="BI660" s="71"/>
      <c r="BJ660" s="71"/>
      <c r="BK660" s="71"/>
      <c r="BL660" s="71"/>
      <c r="BM660" s="71"/>
    </row>
    <row r="661">
      <c r="A661" s="72"/>
      <c r="B661" s="72"/>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c r="AA661" s="71"/>
      <c r="AB661" s="71"/>
      <c r="AC661" s="71"/>
      <c r="AD661" s="71"/>
      <c r="AE661" s="71"/>
      <c r="AF661" s="71"/>
      <c r="AG661" s="71"/>
      <c r="AH661" s="71"/>
      <c r="AI661" s="71"/>
      <c r="AJ661" s="71"/>
      <c r="AK661" s="71"/>
      <c r="AL661" s="71"/>
      <c r="AM661" s="71"/>
      <c r="AN661" s="71"/>
      <c r="AO661" s="71"/>
      <c r="AP661" s="71"/>
      <c r="AQ661" s="71"/>
      <c r="AR661" s="71"/>
      <c r="AS661" s="71"/>
      <c r="AT661" s="71"/>
      <c r="AU661" s="71"/>
      <c r="AV661" s="71"/>
      <c r="AW661" s="71"/>
      <c r="AX661" s="71"/>
      <c r="AY661" s="71"/>
      <c r="AZ661" s="71"/>
      <c r="BA661" s="71"/>
      <c r="BB661" s="71"/>
      <c r="BC661" s="71"/>
      <c r="BD661" s="71"/>
      <c r="BE661" s="71"/>
      <c r="BF661" s="71"/>
      <c r="BG661" s="71"/>
      <c r="BH661" s="71"/>
      <c r="BI661" s="71"/>
      <c r="BJ661" s="71"/>
      <c r="BK661" s="71"/>
      <c r="BL661" s="71"/>
      <c r="BM661" s="71"/>
    </row>
    <row r="662">
      <c r="A662" s="72"/>
      <c r="B662" s="72"/>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c r="AA662" s="71"/>
      <c r="AB662" s="71"/>
      <c r="AC662" s="71"/>
      <c r="AD662" s="71"/>
      <c r="AE662" s="71"/>
      <c r="AF662" s="71"/>
      <c r="AG662" s="71"/>
      <c r="AH662" s="71"/>
      <c r="AI662" s="71"/>
      <c r="AJ662" s="71"/>
      <c r="AK662" s="71"/>
      <c r="AL662" s="71"/>
      <c r="AM662" s="71"/>
      <c r="AN662" s="71"/>
      <c r="AO662" s="71"/>
      <c r="AP662" s="71"/>
      <c r="AQ662" s="71"/>
      <c r="AR662" s="71"/>
      <c r="AS662" s="71"/>
      <c r="AT662" s="71"/>
      <c r="AU662" s="71"/>
      <c r="AV662" s="71"/>
      <c r="AW662" s="71"/>
      <c r="AX662" s="71"/>
      <c r="AY662" s="71"/>
      <c r="AZ662" s="71"/>
      <c r="BA662" s="71"/>
      <c r="BB662" s="71"/>
      <c r="BC662" s="71"/>
      <c r="BD662" s="71"/>
      <c r="BE662" s="71"/>
      <c r="BF662" s="71"/>
      <c r="BG662" s="71"/>
      <c r="BH662" s="71"/>
      <c r="BI662" s="71"/>
      <c r="BJ662" s="71"/>
      <c r="BK662" s="71"/>
      <c r="BL662" s="71"/>
      <c r="BM662" s="71"/>
    </row>
    <row r="663">
      <c r="A663" s="72"/>
      <c r="B663" s="72"/>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c r="AA663" s="71"/>
      <c r="AB663" s="71"/>
      <c r="AC663" s="71"/>
      <c r="AD663" s="71"/>
      <c r="AE663" s="71"/>
      <c r="AF663" s="71"/>
      <c r="AG663" s="71"/>
      <c r="AH663" s="71"/>
      <c r="AI663" s="71"/>
      <c r="AJ663" s="71"/>
      <c r="AK663" s="71"/>
      <c r="AL663" s="71"/>
      <c r="AM663" s="71"/>
      <c r="AN663" s="71"/>
      <c r="AO663" s="71"/>
      <c r="AP663" s="71"/>
      <c r="AQ663" s="71"/>
      <c r="AR663" s="71"/>
      <c r="AS663" s="71"/>
      <c r="AT663" s="71"/>
      <c r="AU663" s="71"/>
      <c r="AV663" s="71"/>
      <c r="AW663" s="71"/>
      <c r="AX663" s="71"/>
      <c r="AY663" s="71"/>
      <c r="AZ663" s="71"/>
      <c r="BA663" s="71"/>
      <c r="BB663" s="71"/>
      <c r="BC663" s="71"/>
      <c r="BD663" s="71"/>
      <c r="BE663" s="71"/>
      <c r="BF663" s="71"/>
      <c r="BG663" s="71"/>
      <c r="BH663" s="71"/>
      <c r="BI663" s="71"/>
      <c r="BJ663" s="71"/>
      <c r="BK663" s="71"/>
      <c r="BL663" s="71"/>
      <c r="BM663" s="71"/>
    </row>
    <row r="664">
      <c r="A664" s="72"/>
      <c r="B664" s="72"/>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c r="AA664" s="71"/>
      <c r="AB664" s="71"/>
      <c r="AC664" s="71"/>
      <c r="AD664" s="71"/>
      <c r="AE664" s="71"/>
      <c r="AF664" s="71"/>
      <c r="AG664" s="71"/>
      <c r="AH664" s="71"/>
      <c r="AI664" s="71"/>
      <c r="AJ664" s="71"/>
      <c r="AK664" s="71"/>
      <c r="AL664" s="71"/>
      <c r="AM664" s="71"/>
      <c r="AN664" s="71"/>
      <c r="AO664" s="71"/>
      <c r="AP664" s="71"/>
      <c r="AQ664" s="71"/>
      <c r="AR664" s="71"/>
      <c r="AS664" s="71"/>
      <c r="AT664" s="71"/>
      <c r="AU664" s="71"/>
      <c r="AV664" s="71"/>
      <c r="AW664" s="71"/>
      <c r="AX664" s="71"/>
      <c r="AY664" s="71"/>
      <c r="AZ664" s="71"/>
      <c r="BA664" s="71"/>
      <c r="BB664" s="71"/>
      <c r="BC664" s="71"/>
      <c r="BD664" s="71"/>
      <c r="BE664" s="71"/>
      <c r="BF664" s="71"/>
      <c r="BG664" s="71"/>
      <c r="BH664" s="71"/>
      <c r="BI664" s="71"/>
      <c r="BJ664" s="71"/>
      <c r="BK664" s="71"/>
      <c r="BL664" s="71"/>
      <c r="BM664" s="71"/>
    </row>
    <row r="665">
      <c r="A665" s="72"/>
      <c r="B665" s="72"/>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c r="AA665" s="71"/>
      <c r="AB665" s="71"/>
      <c r="AC665" s="71"/>
      <c r="AD665" s="71"/>
      <c r="AE665" s="71"/>
      <c r="AF665" s="71"/>
      <c r="AG665" s="71"/>
      <c r="AH665" s="71"/>
      <c r="AI665" s="71"/>
      <c r="AJ665" s="71"/>
      <c r="AK665" s="71"/>
      <c r="AL665" s="71"/>
      <c r="AM665" s="71"/>
      <c r="AN665" s="71"/>
      <c r="AO665" s="71"/>
      <c r="AP665" s="71"/>
      <c r="AQ665" s="71"/>
      <c r="AR665" s="71"/>
      <c r="AS665" s="71"/>
      <c r="AT665" s="71"/>
      <c r="AU665" s="71"/>
      <c r="AV665" s="71"/>
      <c r="AW665" s="71"/>
      <c r="AX665" s="71"/>
      <c r="AY665" s="71"/>
      <c r="AZ665" s="71"/>
      <c r="BA665" s="71"/>
      <c r="BB665" s="71"/>
      <c r="BC665" s="71"/>
      <c r="BD665" s="71"/>
      <c r="BE665" s="71"/>
      <c r="BF665" s="71"/>
      <c r="BG665" s="71"/>
      <c r="BH665" s="71"/>
      <c r="BI665" s="71"/>
      <c r="BJ665" s="71"/>
      <c r="BK665" s="71"/>
      <c r="BL665" s="71"/>
      <c r="BM665" s="71"/>
    </row>
    <row r="666">
      <c r="A666" s="72"/>
      <c r="B666" s="72"/>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c r="AA666" s="71"/>
      <c r="AB666" s="71"/>
      <c r="AC666" s="71"/>
      <c r="AD666" s="71"/>
      <c r="AE666" s="71"/>
      <c r="AF666" s="71"/>
      <c r="AG666" s="71"/>
      <c r="AH666" s="71"/>
      <c r="AI666" s="71"/>
      <c r="AJ666" s="71"/>
      <c r="AK666" s="71"/>
      <c r="AL666" s="71"/>
      <c r="AM666" s="71"/>
      <c r="AN666" s="71"/>
      <c r="AO666" s="71"/>
      <c r="AP666" s="71"/>
      <c r="AQ666" s="71"/>
      <c r="AR666" s="71"/>
      <c r="AS666" s="71"/>
      <c r="AT666" s="71"/>
      <c r="AU666" s="71"/>
      <c r="AV666" s="71"/>
      <c r="AW666" s="71"/>
      <c r="AX666" s="71"/>
      <c r="AY666" s="71"/>
      <c r="AZ666" s="71"/>
      <c r="BA666" s="71"/>
      <c r="BB666" s="71"/>
      <c r="BC666" s="71"/>
      <c r="BD666" s="71"/>
      <c r="BE666" s="71"/>
      <c r="BF666" s="71"/>
      <c r="BG666" s="71"/>
      <c r="BH666" s="71"/>
      <c r="BI666" s="71"/>
      <c r="BJ666" s="71"/>
      <c r="BK666" s="71"/>
      <c r="BL666" s="71"/>
      <c r="BM666" s="71"/>
    </row>
    <row r="667">
      <c r="A667" s="72"/>
      <c r="B667" s="72"/>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c r="AA667" s="71"/>
      <c r="AB667" s="71"/>
      <c r="AC667" s="71"/>
      <c r="AD667" s="71"/>
      <c r="AE667" s="71"/>
      <c r="AF667" s="71"/>
      <c r="AG667" s="71"/>
      <c r="AH667" s="71"/>
      <c r="AI667" s="71"/>
      <c r="AJ667" s="71"/>
      <c r="AK667" s="71"/>
      <c r="AL667" s="71"/>
      <c r="AM667" s="71"/>
      <c r="AN667" s="71"/>
      <c r="AO667" s="71"/>
      <c r="AP667" s="71"/>
      <c r="AQ667" s="71"/>
      <c r="AR667" s="71"/>
      <c r="AS667" s="71"/>
      <c r="AT667" s="71"/>
      <c r="AU667" s="71"/>
      <c r="AV667" s="71"/>
      <c r="AW667" s="71"/>
      <c r="AX667" s="71"/>
      <c r="AY667" s="71"/>
      <c r="AZ667" s="71"/>
      <c r="BA667" s="71"/>
      <c r="BB667" s="71"/>
      <c r="BC667" s="71"/>
      <c r="BD667" s="71"/>
      <c r="BE667" s="71"/>
      <c r="BF667" s="71"/>
      <c r="BG667" s="71"/>
      <c r="BH667" s="71"/>
      <c r="BI667" s="71"/>
      <c r="BJ667" s="71"/>
      <c r="BK667" s="71"/>
      <c r="BL667" s="71"/>
      <c r="BM667" s="71"/>
    </row>
    <row r="668">
      <c r="A668" s="72"/>
      <c r="B668" s="72"/>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c r="AA668" s="71"/>
      <c r="AB668" s="71"/>
      <c r="AC668" s="71"/>
      <c r="AD668" s="71"/>
      <c r="AE668" s="71"/>
      <c r="AF668" s="71"/>
      <c r="AG668" s="71"/>
      <c r="AH668" s="71"/>
      <c r="AI668" s="71"/>
      <c r="AJ668" s="71"/>
      <c r="AK668" s="71"/>
      <c r="AL668" s="71"/>
      <c r="AM668" s="71"/>
      <c r="AN668" s="71"/>
      <c r="AO668" s="71"/>
      <c r="AP668" s="71"/>
      <c r="AQ668" s="71"/>
      <c r="AR668" s="71"/>
      <c r="AS668" s="71"/>
      <c r="AT668" s="71"/>
      <c r="AU668" s="71"/>
      <c r="AV668" s="71"/>
      <c r="AW668" s="71"/>
      <c r="AX668" s="71"/>
      <c r="AY668" s="71"/>
      <c r="AZ668" s="71"/>
      <c r="BA668" s="71"/>
      <c r="BB668" s="71"/>
      <c r="BC668" s="71"/>
      <c r="BD668" s="71"/>
      <c r="BE668" s="71"/>
      <c r="BF668" s="71"/>
      <c r="BG668" s="71"/>
      <c r="BH668" s="71"/>
      <c r="BI668" s="71"/>
      <c r="BJ668" s="71"/>
      <c r="BK668" s="71"/>
      <c r="BL668" s="71"/>
      <c r="BM668" s="71"/>
    </row>
    <row r="669">
      <c r="A669" s="72"/>
      <c r="B669" s="72"/>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c r="AA669" s="71"/>
      <c r="AB669" s="71"/>
      <c r="AC669" s="71"/>
      <c r="AD669" s="71"/>
      <c r="AE669" s="71"/>
      <c r="AF669" s="71"/>
      <c r="AG669" s="71"/>
      <c r="AH669" s="71"/>
      <c r="AI669" s="71"/>
      <c r="AJ669" s="71"/>
      <c r="AK669" s="71"/>
      <c r="AL669" s="71"/>
      <c r="AM669" s="71"/>
      <c r="AN669" s="71"/>
      <c r="AO669" s="71"/>
      <c r="AP669" s="71"/>
      <c r="AQ669" s="71"/>
      <c r="AR669" s="71"/>
      <c r="AS669" s="71"/>
      <c r="AT669" s="71"/>
      <c r="AU669" s="71"/>
      <c r="AV669" s="71"/>
      <c r="AW669" s="71"/>
      <c r="AX669" s="71"/>
      <c r="AY669" s="71"/>
      <c r="AZ669" s="71"/>
      <c r="BA669" s="71"/>
      <c r="BB669" s="71"/>
      <c r="BC669" s="71"/>
      <c r="BD669" s="71"/>
      <c r="BE669" s="71"/>
      <c r="BF669" s="71"/>
      <c r="BG669" s="71"/>
      <c r="BH669" s="71"/>
      <c r="BI669" s="71"/>
      <c r="BJ669" s="71"/>
      <c r="BK669" s="71"/>
      <c r="BL669" s="71"/>
      <c r="BM669" s="71"/>
    </row>
    <row r="670">
      <c r="A670" s="72"/>
      <c r="B670" s="72"/>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c r="AA670" s="71"/>
      <c r="AB670" s="71"/>
      <c r="AC670" s="71"/>
      <c r="AD670" s="71"/>
      <c r="AE670" s="71"/>
      <c r="AF670" s="71"/>
      <c r="AG670" s="71"/>
      <c r="AH670" s="71"/>
      <c r="AI670" s="71"/>
      <c r="AJ670" s="71"/>
      <c r="AK670" s="71"/>
      <c r="AL670" s="71"/>
      <c r="AM670" s="71"/>
      <c r="AN670" s="71"/>
      <c r="AO670" s="71"/>
      <c r="AP670" s="71"/>
      <c r="AQ670" s="71"/>
      <c r="AR670" s="71"/>
      <c r="AS670" s="71"/>
      <c r="AT670" s="71"/>
      <c r="AU670" s="71"/>
      <c r="AV670" s="71"/>
      <c r="AW670" s="71"/>
      <c r="AX670" s="71"/>
      <c r="AY670" s="71"/>
      <c r="AZ670" s="71"/>
      <c r="BA670" s="71"/>
      <c r="BB670" s="71"/>
      <c r="BC670" s="71"/>
      <c r="BD670" s="71"/>
      <c r="BE670" s="71"/>
      <c r="BF670" s="71"/>
      <c r="BG670" s="71"/>
      <c r="BH670" s="71"/>
      <c r="BI670" s="71"/>
      <c r="BJ670" s="71"/>
      <c r="BK670" s="71"/>
      <c r="BL670" s="71"/>
      <c r="BM670" s="71"/>
    </row>
    <row r="671">
      <c r="A671" s="72"/>
      <c r="B671" s="72"/>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c r="AA671" s="71"/>
      <c r="AB671" s="71"/>
      <c r="AC671" s="71"/>
      <c r="AD671" s="71"/>
      <c r="AE671" s="71"/>
      <c r="AF671" s="71"/>
      <c r="AG671" s="71"/>
      <c r="AH671" s="71"/>
      <c r="AI671" s="71"/>
      <c r="AJ671" s="71"/>
      <c r="AK671" s="71"/>
      <c r="AL671" s="71"/>
      <c r="AM671" s="71"/>
      <c r="AN671" s="71"/>
      <c r="AO671" s="71"/>
      <c r="AP671" s="71"/>
      <c r="AQ671" s="71"/>
      <c r="AR671" s="71"/>
      <c r="AS671" s="71"/>
      <c r="AT671" s="71"/>
      <c r="AU671" s="71"/>
      <c r="AV671" s="71"/>
      <c r="AW671" s="71"/>
      <c r="AX671" s="71"/>
      <c r="AY671" s="71"/>
      <c r="AZ671" s="71"/>
      <c r="BA671" s="71"/>
      <c r="BB671" s="71"/>
      <c r="BC671" s="71"/>
      <c r="BD671" s="71"/>
      <c r="BE671" s="71"/>
      <c r="BF671" s="71"/>
      <c r="BG671" s="71"/>
      <c r="BH671" s="71"/>
      <c r="BI671" s="71"/>
      <c r="BJ671" s="71"/>
      <c r="BK671" s="71"/>
      <c r="BL671" s="71"/>
      <c r="BM671" s="71"/>
    </row>
    <row r="672">
      <c r="A672" s="72"/>
      <c r="B672" s="72"/>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c r="AA672" s="71"/>
      <c r="AB672" s="71"/>
      <c r="AC672" s="71"/>
      <c r="AD672" s="71"/>
      <c r="AE672" s="71"/>
      <c r="AF672" s="71"/>
      <c r="AG672" s="71"/>
      <c r="AH672" s="71"/>
      <c r="AI672" s="71"/>
      <c r="AJ672" s="71"/>
      <c r="AK672" s="71"/>
      <c r="AL672" s="71"/>
      <c r="AM672" s="71"/>
      <c r="AN672" s="71"/>
      <c r="AO672" s="71"/>
      <c r="AP672" s="71"/>
      <c r="AQ672" s="71"/>
      <c r="AR672" s="71"/>
      <c r="AS672" s="71"/>
      <c r="AT672" s="71"/>
      <c r="AU672" s="71"/>
      <c r="AV672" s="71"/>
      <c r="AW672" s="71"/>
      <c r="AX672" s="71"/>
      <c r="AY672" s="71"/>
      <c r="AZ672" s="71"/>
      <c r="BA672" s="71"/>
      <c r="BB672" s="71"/>
      <c r="BC672" s="71"/>
      <c r="BD672" s="71"/>
      <c r="BE672" s="71"/>
      <c r="BF672" s="71"/>
      <c r="BG672" s="71"/>
      <c r="BH672" s="71"/>
      <c r="BI672" s="71"/>
      <c r="BJ672" s="71"/>
      <c r="BK672" s="71"/>
      <c r="BL672" s="71"/>
      <c r="BM672" s="71"/>
    </row>
    <row r="673">
      <c r="A673" s="72"/>
      <c r="B673" s="72"/>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c r="AA673" s="71"/>
      <c r="AB673" s="71"/>
      <c r="AC673" s="71"/>
      <c r="AD673" s="71"/>
      <c r="AE673" s="71"/>
      <c r="AF673" s="71"/>
      <c r="AG673" s="71"/>
      <c r="AH673" s="71"/>
      <c r="AI673" s="71"/>
      <c r="AJ673" s="71"/>
      <c r="AK673" s="71"/>
      <c r="AL673" s="71"/>
      <c r="AM673" s="71"/>
      <c r="AN673" s="71"/>
      <c r="AO673" s="71"/>
      <c r="AP673" s="71"/>
      <c r="AQ673" s="71"/>
      <c r="AR673" s="71"/>
      <c r="AS673" s="71"/>
      <c r="AT673" s="71"/>
      <c r="AU673" s="71"/>
      <c r="AV673" s="71"/>
      <c r="AW673" s="71"/>
      <c r="AX673" s="71"/>
      <c r="AY673" s="71"/>
      <c r="AZ673" s="71"/>
      <c r="BA673" s="71"/>
      <c r="BB673" s="71"/>
      <c r="BC673" s="71"/>
      <c r="BD673" s="71"/>
      <c r="BE673" s="71"/>
      <c r="BF673" s="71"/>
      <c r="BG673" s="71"/>
      <c r="BH673" s="71"/>
      <c r="BI673" s="71"/>
      <c r="BJ673" s="71"/>
      <c r="BK673" s="71"/>
      <c r="BL673" s="71"/>
      <c r="BM673" s="71"/>
    </row>
    <row r="674">
      <c r="A674" s="72"/>
      <c r="B674" s="72"/>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c r="AA674" s="71"/>
      <c r="AB674" s="71"/>
      <c r="AC674" s="71"/>
      <c r="AD674" s="71"/>
      <c r="AE674" s="71"/>
      <c r="AF674" s="71"/>
      <c r="AG674" s="71"/>
      <c r="AH674" s="71"/>
      <c r="AI674" s="71"/>
      <c r="AJ674" s="71"/>
      <c r="AK674" s="71"/>
      <c r="AL674" s="71"/>
      <c r="AM674" s="71"/>
      <c r="AN674" s="71"/>
      <c r="AO674" s="71"/>
      <c r="AP674" s="71"/>
      <c r="AQ674" s="71"/>
      <c r="AR674" s="71"/>
      <c r="AS674" s="71"/>
      <c r="AT674" s="71"/>
      <c r="AU674" s="71"/>
      <c r="AV674" s="71"/>
      <c r="AW674" s="71"/>
      <c r="AX674" s="71"/>
      <c r="AY674" s="71"/>
      <c r="AZ674" s="71"/>
      <c r="BA674" s="71"/>
      <c r="BB674" s="71"/>
      <c r="BC674" s="71"/>
      <c r="BD674" s="71"/>
      <c r="BE674" s="71"/>
      <c r="BF674" s="71"/>
      <c r="BG674" s="71"/>
      <c r="BH674" s="71"/>
      <c r="BI674" s="71"/>
      <c r="BJ674" s="71"/>
      <c r="BK674" s="71"/>
      <c r="BL674" s="71"/>
      <c r="BM674" s="71"/>
    </row>
    <row r="675">
      <c r="A675" s="72"/>
      <c r="B675" s="72"/>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c r="AA675" s="71"/>
      <c r="AB675" s="71"/>
      <c r="AC675" s="71"/>
      <c r="AD675" s="71"/>
      <c r="AE675" s="71"/>
      <c r="AF675" s="71"/>
      <c r="AG675" s="71"/>
      <c r="AH675" s="71"/>
      <c r="AI675" s="71"/>
      <c r="AJ675" s="71"/>
      <c r="AK675" s="71"/>
      <c r="AL675" s="71"/>
      <c r="AM675" s="71"/>
      <c r="AN675" s="71"/>
      <c r="AO675" s="71"/>
      <c r="AP675" s="71"/>
      <c r="AQ675" s="71"/>
      <c r="AR675" s="71"/>
      <c r="AS675" s="71"/>
      <c r="AT675" s="71"/>
      <c r="AU675" s="71"/>
      <c r="AV675" s="71"/>
      <c r="AW675" s="71"/>
      <c r="AX675" s="71"/>
      <c r="AY675" s="71"/>
      <c r="AZ675" s="71"/>
      <c r="BA675" s="71"/>
      <c r="BB675" s="71"/>
      <c r="BC675" s="71"/>
      <c r="BD675" s="71"/>
      <c r="BE675" s="71"/>
      <c r="BF675" s="71"/>
      <c r="BG675" s="71"/>
      <c r="BH675" s="71"/>
      <c r="BI675" s="71"/>
      <c r="BJ675" s="71"/>
      <c r="BK675" s="71"/>
      <c r="BL675" s="71"/>
      <c r="BM675" s="71"/>
    </row>
    <row r="676">
      <c r="A676" s="72"/>
      <c r="B676" s="72"/>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c r="AA676" s="71"/>
      <c r="AB676" s="71"/>
      <c r="AC676" s="71"/>
      <c r="AD676" s="71"/>
      <c r="AE676" s="71"/>
      <c r="AF676" s="71"/>
      <c r="AG676" s="71"/>
      <c r="AH676" s="71"/>
      <c r="AI676" s="71"/>
      <c r="AJ676" s="71"/>
      <c r="AK676" s="71"/>
      <c r="AL676" s="71"/>
      <c r="AM676" s="71"/>
      <c r="AN676" s="71"/>
      <c r="AO676" s="71"/>
      <c r="AP676" s="71"/>
      <c r="AQ676" s="71"/>
      <c r="AR676" s="71"/>
      <c r="AS676" s="71"/>
      <c r="AT676" s="71"/>
      <c r="AU676" s="71"/>
      <c r="AV676" s="71"/>
      <c r="AW676" s="71"/>
      <c r="AX676" s="71"/>
      <c r="AY676" s="71"/>
      <c r="AZ676" s="71"/>
      <c r="BA676" s="71"/>
      <c r="BB676" s="71"/>
      <c r="BC676" s="71"/>
      <c r="BD676" s="71"/>
      <c r="BE676" s="71"/>
      <c r="BF676" s="71"/>
      <c r="BG676" s="71"/>
      <c r="BH676" s="71"/>
      <c r="BI676" s="71"/>
      <c r="BJ676" s="71"/>
      <c r="BK676" s="71"/>
      <c r="BL676" s="71"/>
      <c r="BM676" s="71"/>
    </row>
    <row r="677">
      <c r="A677" s="72"/>
      <c r="B677" s="72"/>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c r="AA677" s="71"/>
      <c r="AB677" s="71"/>
      <c r="AC677" s="71"/>
      <c r="AD677" s="71"/>
      <c r="AE677" s="71"/>
      <c r="AF677" s="71"/>
      <c r="AG677" s="71"/>
      <c r="AH677" s="71"/>
      <c r="AI677" s="71"/>
      <c r="AJ677" s="71"/>
      <c r="AK677" s="71"/>
      <c r="AL677" s="71"/>
      <c r="AM677" s="71"/>
      <c r="AN677" s="71"/>
      <c r="AO677" s="71"/>
      <c r="AP677" s="71"/>
      <c r="AQ677" s="71"/>
      <c r="AR677" s="71"/>
      <c r="AS677" s="71"/>
      <c r="AT677" s="71"/>
      <c r="AU677" s="71"/>
      <c r="AV677" s="71"/>
      <c r="AW677" s="71"/>
      <c r="AX677" s="71"/>
      <c r="AY677" s="71"/>
      <c r="AZ677" s="71"/>
      <c r="BA677" s="71"/>
      <c r="BB677" s="71"/>
      <c r="BC677" s="71"/>
      <c r="BD677" s="71"/>
      <c r="BE677" s="71"/>
      <c r="BF677" s="71"/>
      <c r="BG677" s="71"/>
      <c r="BH677" s="71"/>
      <c r="BI677" s="71"/>
      <c r="BJ677" s="71"/>
      <c r="BK677" s="71"/>
      <c r="BL677" s="71"/>
      <c r="BM677" s="71"/>
    </row>
    <row r="678">
      <c r="A678" s="72"/>
      <c r="B678" s="72"/>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c r="AA678" s="71"/>
      <c r="AB678" s="71"/>
      <c r="AC678" s="71"/>
      <c r="AD678" s="71"/>
      <c r="AE678" s="71"/>
      <c r="AF678" s="71"/>
      <c r="AG678" s="71"/>
      <c r="AH678" s="71"/>
      <c r="AI678" s="71"/>
      <c r="AJ678" s="71"/>
      <c r="AK678" s="71"/>
      <c r="AL678" s="71"/>
      <c r="AM678" s="71"/>
      <c r="AN678" s="71"/>
      <c r="AO678" s="71"/>
      <c r="AP678" s="71"/>
      <c r="AQ678" s="71"/>
      <c r="AR678" s="71"/>
      <c r="AS678" s="71"/>
      <c r="AT678" s="71"/>
      <c r="AU678" s="71"/>
      <c r="AV678" s="71"/>
      <c r="AW678" s="71"/>
      <c r="AX678" s="71"/>
      <c r="AY678" s="71"/>
      <c r="AZ678" s="71"/>
      <c r="BA678" s="71"/>
      <c r="BB678" s="71"/>
      <c r="BC678" s="71"/>
      <c r="BD678" s="71"/>
      <c r="BE678" s="71"/>
      <c r="BF678" s="71"/>
      <c r="BG678" s="71"/>
      <c r="BH678" s="71"/>
      <c r="BI678" s="71"/>
      <c r="BJ678" s="71"/>
      <c r="BK678" s="71"/>
      <c r="BL678" s="71"/>
      <c r="BM678" s="71"/>
    </row>
    <row r="679">
      <c r="A679" s="72"/>
      <c r="B679" s="72"/>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c r="AA679" s="71"/>
      <c r="AB679" s="71"/>
      <c r="AC679" s="71"/>
      <c r="AD679" s="71"/>
      <c r="AE679" s="71"/>
      <c r="AF679" s="71"/>
      <c r="AG679" s="71"/>
      <c r="AH679" s="71"/>
      <c r="AI679" s="71"/>
      <c r="AJ679" s="71"/>
      <c r="AK679" s="71"/>
      <c r="AL679" s="71"/>
      <c r="AM679" s="71"/>
      <c r="AN679" s="71"/>
      <c r="AO679" s="71"/>
      <c r="AP679" s="71"/>
      <c r="AQ679" s="71"/>
      <c r="AR679" s="71"/>
      <c r="AS679" s="71"/>
      <c r="AT679" s="71"/>
      <c r="AU679" s="71"/>
      <c r="AV679" s="71"/>
      <c r="AW679" s="71"/>
      <c r="AX679" s="71"/>
      <c r="AY679" s="71"/>
      <c r="AZ679" s="71"/>
      <c r="BA679" s="71"/>
      <c r="BB679" s="71"/>
      <c r="BC679" s="71"/>
      <c r="BD679" s="71"/>
      <c r="BE679" s="71"/>
      <c r="BF679" s="71"/>
      <c r="BG679" s="71"/>
      <c r="BH679" s="71"/>
      <c r="BI679" s="71"/>
      <c r="BJ679" s="71"/>
      <c r="BK679" s="71"/>
      <c r="BL679" s="71"/>
      <c r="BM679" s="71"/>
    </row>
    <row r="680">
      <c r="A680" s="72"/>
      <c r="B680" s="72"/>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c r="AA680" s="71"/>
      <c r="AB680" s="71"/>
      <c r="AC680" s="71"/>
      <c r="AD680" s="71"/>
      <c r="AE680" s="71"/>
      <c r="AF680" s="71"/>
      <c r="AG680" s="71"/>
      <c r="AH680" s="71"/>
      <c r="AI680" s="71"/>
      <c r="AJ680" s="71"/>
      <c r="AK680" s="71"/>
      <c r="AL680" s="71"/>
      <c r="AM680" s="71"/>
      <c r="AN680" s="71"/>
      <c r="AO680" s="71"/>
      <c r="AP680" s="71"/>
      <c r="AQ680" s="71"/>
      <c r="AR680" s="71"/>
      <c r="AS680" s="71"/>
      <c r="AT680" s="71"/>
      <c r="AU680" s="71"/>
      <c r="AV680" s="71"/>
      <c r="AW680" s="71"/>
      <c r="AX680" s="71"/>
      <c r="AY680" s="71"/>
      <c r="AZ680" s="71"/>
      <c r="BA680" s="71"/>
      <c r="BB680" s="71"/>
      <c r="BC680" s="71"/>
      <c r="BD680" s="71"/>
      <c r="BE680" s="71"/>
      <c r="BF680" s="71"/>
      <c r="BG680" s="71"/>
      <c r="BH680" s="71"/>
      <c r="BI680" s="71"/>
      <c r="BJ680" s="71"/>
      <c r="BK680" s="71"/>
      <c r="BL680" s="71"/>
      <c r="BM680" s="71"/>
    </row>
    <row r="681">
      <c r="A681" s="72"/>
      <c r="B681" s="72"/>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c r="AA681" s="71"/>
      <c r="AB681" s="71"/>
      <c r="AC681" s="71"/>
      <c r="AD681" s="71"/>
      <c r="AE681" s="71"/>
      <c r="AF681" s="71"/>
      <c r="AG681" s="71"/>
      <c r="AH681" s="71"/>
      <c r="AI681" s="71"/>
      <c r="AJ681" s="71"/>
      <c r="AK681" s="71"/>
      <c r="AL681" s="71"/>
      <c r="AM681" s="71"/>
      <c r="AN681" s="71"/>
      <c r="AO681" s="71"/>
      <c r="AP681" s="71"/>
      <c r="AQ681" s="71"/>
      <c r="AR681" s="71"/>
      <c r="AS681" s="71"/>
      <c r="AT681" s="71"/>
      <c r="AU681" s="71"/>
      <c r="AV681" s="71"/>
      <c r="AW681" s="71"/>
      <c r="AX681" s="71"/>
      <c r="AY681" s="71"/>
      <c r="AZ681" s="71"/>
      <c r="BA681" s="71"/>
      <c r="BB681" s="71"/>
      <c r="BC681" s="71"/>
      <c r="BD681" s="71"/>
      <c r="BE681" s="71"/>
      <c r="BF681" s="71"/>
      <c r="BG681" s="71"/>
      <c r="BH681" s="71"/>
      <c r="BI681" s="71"/>
      <c r="BJ681" s="71"/>
      <c r="BK681" s="71"/>
      <c r="BL681" s="71"/>
      <c r="BM681" s="71"/>
    </row>
    <row r="682">
      <c r="A682" s="72"/>
      <c r="B682" s="72"/>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c r="AA682" s="71"/>
      <c r="AB682" s="71"/>
      <c r="AC682" s="71"/>
      <c r="AD682" s="71"/>
      <c r="AE682" s="71"/>
      <c r="AF682" s="71"/>
      <c r="AG682" s="71"/>
      <c r="AH682" s="71"/>
      <c r="AI682" s="71"/>
      <c r="AJ682" s="71"/>
      <c r="AK682" s="71"/>
      <c r="AL682" s="71"/>
      <c r="AM682" s="71"/>
      <c r="AN682" s="71"/>
      <c r="AO682" s="71"/>
      <c r="AP682" s="71"/>
      <c r="AQ682" s="71"/>
      <c r="AR682" s="71"/>
      <c r="AS682" s="71"/>
      <c r="AT682" s="71"/>
      <c r="AU682" s="71"/>
      <c r="AV682" s="71"/>
      <c r="AW682" s="71"/>
      <c r="AX682" s="71"/>
      <c r="AY682" s="71"/>
      <c r="AZ682" s="71"/>
      <c r="BA682" s="71"/>
      <c r="BB682" s="71"/>
      <c r="BC682" s="71"/>
      <c r="BD682" s="71"/>
      <c r="BE682" s="71"/>
      <c r="BF682" s="71"/>
      <c r="BG682" s="71"/>
      <c r="BH682" s="71"/>
      <c r="BI682" s="71"/>
      <c r="BJ682" s="71"/>
      <c r="BK682" s="71"/>
      <c r="BL682" s="71"/>
      <c r="BM682" s="71"/>
    </row>
    <row r="683">
      <c r="A683" s="72"/>
      <c r="B683" s="72"/>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c r="AA683" s="71"/>
      <c r="AB683" s="71"/>
      <c r="AC683" s="71"/>
      <c r="AD683" s="71"/>
      <c r="AE683" s="71"/>
      <c r="AF683" s="71"/>
      <c r="AG683" s="71"/>
      <c r="AH683" s="71"/>
      <c r="AI683" s="71"/>
      <c r="AJ683" s="71"/>
      <c r="AK683" s="71"/>
      <c r="AL683" s="71"/>
      <c r="AM683" s="71"/>
      <c r="AN683" s="71"/>
      <c r="AO683" s="71"/>
      <c r="AP683" s="71"/>
      <c r="AQ683" s="71"/>
      <c r="AR683" s="71"/>
      <c r="AS683" s="71"/>
      <c r="AT683" s="71"/>
      <c r="AU683" s="71"/>
      <c r="AV683" s="71"/>
      <c r="AW683" s="71"/>
      <c r="AX683" s="71"/>
      <c r="AY683" s="71"/>
      <c r="AZ683" s="71"/>
      <c r="BA683" s="71"/>
      <c r="BB683" s="71"/>
      <c r="BC683" s="71"/>
      <c r="BD683" s="71"/>
      <c r="BE683" s="71"/>
      <c r="BF683" s="71"/>
      <c r="BG683" s="71"/>
      <c r="BH683" s="71"/>
      <c r="BI683" s="71"/>
      <c r="BJ683" s="71"/>
      <c r="BK683" s="71"/>
      <c r="BL683" s="71"/>
      <c r="BM683" s="71"/>
    </row>
    <row r="684">
      <c r="A684" s="72"/>
      <c r="B684" s="72"/>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c r="AA684" s="71"/>
      <c r="AB684" s="71"/>
      <c r="AC684" s="71"/>
      <c r="AD684" s="71"/>
      <c r="AE684" s="71"/>
      <c r="AF684" s="71"/>
      <c r="AG684" s="71"/>
      <c r="AH684" s="71"/>
      <c r="AI684" s="71"/>
      <c r="AJ684" s="71"/>
      <c r="AK684" s="71"/>
      <c r="AL684" s="71"/>
      <c r="AM684" s="71"/>
      <c r="AN684" s="71"/>
      <c r="AO684" s="71"/>
      <c r="AP684" s="71"/>
      <c r="AQ684" s="71"/>
      <c r="AR684" s="71"/>
      <c r="AS684" s="71"/>
      <c r="AT684" s="71"/>
      <c r="AU684" s="71"/>
      <c r="AV684" s="71"/>
      <c r="AW684" s="71"/>
      <c r="AX684" s="71"/>
      <c r="AY684" s="71"/>
      <c r="AZ684" s="71"/>
      <c r="BA684" s="71"/>
      <c r="BB684" s="71"/>
      <c r="BC684" s="71"/>
      <c r="BD684" s="71"/>
      <c r="BE684" s="71"/>
      <c r="BF684" s="71"/>
      <c r="BG684" s="71"/>
      <c r="BH684" s="71"/>
      <c r="BI684" s="71"/>
      <c r="BJ684" s="71"/>
      <c r="BK684" s="71"/>
      <c r="BL684" s="71"/>
      <c r="BM684" s="71"/>
    </row>
    <row r="685">
      <c r="A685" s="72"/>
      <c r="B685" s="72"/>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c r="AA685" s="71"/>
      <c r="AB685" s="71"/>
      <c r="AC685" s="71"/>
      <c r="AD685" s="71"/>
      <c r="AE685" s="71"/>
      <c r="AF685" s="71"/>
      <c r="AG685" s="71"/>
      <c r="AH685" s="71"/>
      <c r="AI685" s="71"/>
      <c r="AJ685" s="71"/>
      <c r="AK685" s="71"/>
      <c r="AL685" s="71"/>
      <c r="AM685" s="71"/>
      <c r="AN685" s="71"/>
      <c r="AO685" s="71"/>
      <c r="AP685" s="71"/>
      <c r="AQ685" s="71"/>
      <c r="AR685" s="71"/>
      <c r="AS685" s="71"/>
      <c r="AT685" s="71"/>
      <c r="AU685" s="71"/>
      <c r="AV685" s="71"/>
      <c r="AW685" s="71"/>
      <c r="AX685" s="71"/>
      <c r="AY685" s="71"/>
      <c r="AZ685" s="71"/>
      <c r="BA685" s="71"/>
      <c r="BB685" s="71"/>
      <c r="BC685" s="71"/>
      <c r="BD685" s="71"/>
      <c r="BE685" s="71"/>
      <c r="BF685" s="71"/>
      <c r="BG685" s="71"/>
      <c r="BH685" s="71"/>
      <c r="BI685" s="71"/>
      <c r="BJ685" s="71"/>
      <c r="BK685" s="71"/>
      <c r="BL685" s="71"/>
      <c r="BM685" s="71"/>
    </row>
    <row r="686">
      <c r="A686" s="72"/>
      <c r="B686" s="72"/>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c r="AA686" s="71"/>
      <c r="AB686" s="71"/>
      <c r="AC686" s="71"/>
      <c r="AD686" s="71"/>
      <c r="AE686" s="71"/>
      <c r="AF686" s="71"/>
      <c r="AG686" s="71"/>
      <c r="AH686" s="71"/>
      <c r="AI686" s="71"/>
      <c r="AJ686" s="71"/>
      <c r="AK686" s="71"/>
      <c r="AL686" s="71"/>
      <c r="AM686" s="71"/>
      <c r="AN686" s="71"/>
      <c r="AO686" s="71"/>
      <c r="AP686" s="71"/>
      <c r="AQ686" s="71"/>
      <c r="AR686" s="71"/>
      <c r="AS686" s="71"/>
      <c r="AT686" s="71"/>
      <c r="AU686" s="71"/>
      <c r="AV686" s="71"/>
      <c r="AW686" s="71"/>
      <c r="AX686" s="71"/>
      <c r="AY686" s="71"/>
      <c r="AZ686" s="71"/>
      <c r="BA686" s="71"/>
      <c r="BB686" s="71"/>
      <c r="BC686" s="71"/>
      <c r="BD686" s="71"/>
      <c r="BE686" s="71"/>
      <c r="BF686" s="71"/>
      <c r="BG686" s="71"/>
      <c r="BH686" s="71"/>
      <c r="BI686" s="71"/>
      <c r="BJ686" s="71"/>
      <c r="BK686" s="71"/>
      <c r="BL686" s="71"/>
      <c r="BM686" s="71"/>
    </row>
    <row r="687">
      <c r="A687" s="72"/>
      <c r="B687" s="72"/>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c r="AA687" s="71"/>
      <c r="AB687" s="71"/>
      <c r="AC687" s="71"/>
      <c r="AD687" s="71"/>
      <c r="AE687" s="71"/>
      <c r="AF687" s="71"/>
      <c r="AG687" s="71"/>
      <c r="AH687" s="71"/>
      <c r="AI687" s="71"/>
      <c r="AJ687" s="71"/>
      <c r="AK687" s="71"/>
      <c r="AL687" s="71"/>
      <c r="AM687" s="71"/>
      <c r="AN687" s="71"/>
      <c r="AO687" s="71"/>
      <c r="AP687" s="71"/>
      <c r="AQ687" s="71"/>
      <c r="AR687" s="71"/>
      <c r="AS687" s="71"/>
      <c r="AT687" s="71"/>
      <c r="AU687" s="71"/>
      <c r="AV687" s="71"/>
      <c r="AW687" s="71"/>
      <c r="AX687" s="71"/>
      <c r="AY687" s="71"/>
      <c r="AZ687" s="71"/>
      <c r="BA687" s="71"/>
      <c r="BB687" s="71"/>
      <c r="BC687" s="71"/>
      <c r="BD687" s="71"/>
      <c r="BE687" s="71"/>
      <c r="BF687" s="71"/>
      <c r="BG687" s="71"/>
      <c r="BH687" s="71"/>
      <c r="BI687" s="71"/>
      <c r="BJ687" s="71"/>
      <c r="BK687" s="71"/>
      <c r="BL687" s="71"/>
      <c r="BM687" s="71"/>
    </row>
    <row r="688">
      <c r="A688" s="72"/>
      <c r="B688" s="72"/>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c r="AA688" s="71"/>
      <c r="AB688" s="71"/>
      <c r="AC688" s="71"/>
      <c r="AD688" s="71"/>
      <c r="AE688" s="71"/>
      <c r="AF688" s="71"/>
      <c r="AG688" s="71"/>
      <c r="AH688" s="71"/>
      <c r="AI688" s="71"/>
      <c r="AJ688" s="71"/>
      <c r="AK688" s="71"/>
      <c r="AL688" s="71"/>
      <c r="AM688" s="71"/>
      <c r="AN688" s="71"/>
      <c r="AO688" s="71"/>
      <c r="AP688" s="71"/>
      <c r="AQ688" s="71"/>
      <c r="AR688" s="71"/>
      <c r="AS688" s="71"/>
      <c r="AT688" s="71"/>
      <c r="AU688" s="71"/>
      <c r="AV688" s="71"/>
      <c r="AW688" s="71"/>
      <c r="AX688" s="71"/>
      <c r="AY688" s="71"/>
      <c r="AZ688" s="71"/>
      <c r="BA688" s="71"/>
      <c r="BB688" s="71"/>
      <c r="BC688" s="71"/>
      <c r="BD688" s="71"/>
      <c r="BE688" s="71"/>
      <c r="BF688" s="71"/>
      <c r="BG688" s="71"/>
      <c r="BH688" s="71"/>
      <c r="BI688" s="71"/>
      <c r="BJ688" s="71"/>
      <c r="BK688" s="71"/>
      <c r="BL688" s="71"/>
      <c r="BM688" s="71"/>
    </row>
    <row r="689">
      <c r="A689" s="72"/>
      <c r="B689" s="72"/>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c r="AA689" s="71"/>
      <c r="AB689" s="71"/>
      <c r="AC689" s="71"/>
      <c r="AD689" s="71"/>
      <c r="AE689" s="71"/>
      <c r="AF689" s="71"/>
      <c r="AG689" s="71"/>
      <c r="AH689" s="71"/>
      <c r="AI689" s="71"/>
      <c r="AJ689" s="71"/>
      <c r="AK689" s="71"/>
      <c r="AL689" s="71"/>
      <c r="AM689" s="71"/>
      <c r="AN689" s="71"/>
      <c r="AO689" s="71"/>
      <c r="AP689" s="71"/>
      <c r="AQ689" s="71"/>
      <c r="AR689" s="71"/>
      <c r="AS689" s="71"/>
      <c r="AT689" s="71"/>
      <c r="AU689" s="71"/>
      <c r="AV689" s="71"/>
      <c r="AW689" s="71"/>
      <c r="AX689" s="71"/>
      <c r="AY689" s="71"/>
      <c r="AZ689" s="71"/>
      <c r="BA689" s="71"/>
      <c r="BB689" s="71"/>
      <c r="BC689" s="71"/>
      <c r="BD689" s="71"/>
      <c r="BE689" s="71"/>
      <c r="BF689" s="71"/>
      <c r="BG689" s="71"/>
      <c r="BH689" s="71"/>
      <c r="BI689" s="71"/>
      <c r="BJ689" s="71"/>
      <c r="BK689" s="71"/>
      <c r="BL689" s="71"/>
      <c r="BM689" s="71"/>
    </row>
    <row r="690">
      <c r="A690" s="72"/>
      <c r="B690" s="72"/>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c r="AA690" s="71"/>
      <c r="AB690" s="71"/>
      <c r="AC690" s="71"/>
      <c r="AD690" s="71"/>
      <c r="AE690" s="71"/>
      <c r="AF690" s="71"/>
      <c r="AG690" s="71"/>
      <c r="AH690" s="71"/>
      <c r="AI690" s="71"/>
      <c r="AJ690" s="71"/>
      <c r="AK690" s="71"/>
      <c r="AL690" s="71"/>
      <c r="AM690" s="71"/>
      <c r="AN690" s="71"/>
      <c r="AO690" s="71"/>
      <c r="AP690" s="71"/>
      <c r="AQ690" s="71"/>
      <c r="AR690" s="71"/>
      <c r="AS690" s="71"/>
      <c r="AT690" s="71"/>
      <c r="AU690" s="71"/>
      <c r="AV690" s="71"/>
      <c r="AW690" s="71"/>
      <c r="AX690" s="71"/>
      <c r="AY690" s="71"/>
      <c r="AZ690" s="71"/>
      <c r="BA690" s="71"/>
      <c r="BB690" s="71"/>
      <c r="BC690" s="71"/>
      <c r="BD690" s="71"/>
      <c r="BE690" s="71"/>
      <c r="BF690" s="71"/>
      <c r="BG690" s="71"/>
      <c r="BH690" s="71"/>
      <c r="BI690" s="71"/>
      <c r="BJ690" s="71"/>
      <c r="BK690" s="71"/>
      <c r="BL690" s="71"/>
      <c r="BM690" s="71"/>
    </row>
    <row r="691">
      <c r="A691" s="72"/>
      <c r="B691" s="72"/>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c r="AA691" s="71"/>
      <c r="AB691" s="71"/>
      <c r="AC691" s="71"/>
      <c r="AD691" s="71"/>
      <c r="AE691" s="71"/>
      <c r="AF691" s="71"/>
      <c r="AG691" s="71"/>
      <c r="AH691" s="71"/>
      <c r="AI691" s="71"/>
      <c r="AJ691" s="71"/>
      <c r="AK691" s="71"/>
      <c r="AL691" s="71"/>
      <c r="AM691" s="71"/>
      <c r="AN691" s="71"/>
      <c r="AO691" s="71"/>
      <c r="AP691" s="71"/>
      <c r="AQ691" s="71"/>
      <c r="AR691" s="71"/>
      <c r="AS691" s="71"/>
      <c r="AT691" s="71"/>
      <c r="AU691" s="71"/>
      <c r="AV691" s="71"/>
      <c r="AW691" s="71"/>
      <c r="AX691" s="71"/>
      <c r="AY691" s="71"/>
      <c r="AZ691" s="71"/>
      <c r="BA691" s="71"/>
      <c r="BB691" s="71"/>
      <c r="BC691" s="71"/>
      <c r="BD691" s="71"/>
      <c r="BE691" s="71"/>
      <c r="BF691" s="71"/>
      <c r="BG691" s="71"/>
      <c r="BH691" s="71"/>
      <c r="BI691" s="71"/>
      <c r="BJ691" s="71"/>
      <c r="BK691" s="71"/>
      <c r="BL691" s="71"/>
      <c r="BM691" s="71"/>
    </row>
    <row r="692">
      <c r="A692" s="72"/>
      <c r="B692" s="72"/>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c r="AA692" s="71"/>
      <c r="AB692" s="71"/>
      <c r="AC692" s="71"/>
      <c r="AD692" s="71"/>
      <c r="AE692" s="71"/>
      <c r="AF692" s="71"/>
      <c r="AG692" s="71"/>
      <c r="AH692" s="71"/>
      <c r="AI692" s="71"/>
      <c r="AJ692" s="71"/>
      <c r="AK692" s="71"/>
      <c r="AL692" s="71"/>
      <c r="AM692" s="71"/>
      <c r="AN692" s="71"/>
      <c r="AO692" s="71"/>
      <c r="AP692" s="71"/>
      <c r="AQ692" s="71"/>
      <c r="AR692" s="71"/>
      <c r="AS692" s="71"/>
      <c r="AT692" s="71"/>
      <c r="AU692" s="71"/>
      <c r="AV692" s="71"/>
      <c r="AW692" s="71"/>
      <c r="AX692" s="71"/>
      <c r="AY692" s="71"/>
      <c r="AZ692" s="71"/>
      <c r="BA692" s="71"/>
      <c r="BB692" s="71"/>
      <c r="BC692" s="71"/>
      <c r="BD692" s="71"/>
      <c r="BE692" s="71"/>
      <c r="BF692" s="71"/>
      <c r="BG692" s="71"/>
      <c r="BH692" s="71"/>
      <c r="BI692" s="71"/>
      <c r="BJ692" s="71"/>
      <c r="BK692" s="71"/>
      <c r="BL692" s="71"/>
      <c r="BM692" s="71"/>
    </row>
    <row r="693">
      <c r="A693" s="72"/>
      <c r="B693" s="72"/>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c r="AA693" s="71"/>
      <c r="AB693" s="71"/>
      <c r="AC693" s="71"/>
      <c r="AD693" s="71"/>
      <c r="AE693" s="71"/>
      <c r="AF693" s="71"/>
      <c r="AG693" s="71"/>
      <c r="AH693" s="71"/>
      <c r="AI693" s="71"/>
      <c r="AJ693" s="71"/>
      <c r="AK693" s="71"/>
      <c r="AL693" s="71"/>
      <c r="AM693" s="71"/>
      <c r="AN693" s="71"/>
      <c r="AO693" s="71"/>
      <c r="AP693" s="71"/>
      <c r="AQ693" s="71"/>
      <c r="AR693" s="71"/>
      <c r="AS693" s="71"/>
      <c r="AT693" s="71"/>
      <c r="AU693" s="71"/>
      <c r="AV693" s="71"/>
      <c r="AW693" s="71"/>
      <c r="AX693" s="71"/>
      <c r="AY693" s="71"/>
      <c r="AZ693" s="71"/>
      <c r="BA693" s="71"/>
      <c r="BB693" s="71"/>
      <c r="BC693" s="71"/>
      <c r="BD693" s="71"/>
      <c r="BE693" s="71"/>
      <c r="BF693" s="71"/>
      <c r="BG693" s="71"/>
      <c r="BH693" s="71"/>
      <c r="BI693" s="71"/>
      <c r="BJ693" s="71"/>
      <c r="BK693" s="71"/>
      <c r="BL693" s="71"/>
      <c r="BM693" s="71"/>
    </row>
    <row r="694">
      <c r="A694" s="72"/>
      <c r="B694" s="72"/>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c r="AA694" s="71"/>
      <c r="AB694" s="71"/>
      <c r="AC694" s="71"/>
      <c r="AD694" s="71"/>
      <c r="AE694" s="71"/>
      <c r="AF694" s="71"/>
      <c r="AG694" s="71"/>
      <c r="AH694" s="71"/>
      <c r="AI694" s="71"/>
      <c r="AJ694" s="71"/>
      <c r="AK694" s="71"/>
      <c r="AL694" s="71"/>
      <c r="AM694" s="71"/>
      <c r="AN694" s="71"/>
      <c r="AO694" s="71"/>
      <c r="AP694" s="71"/>
      <c r="AQ694" s="71"/>
      <c r="AR694" s="71"/>
      <c r="AS694" s="71"/>
      <c r="AT694" s="71"/>
      <c r="AU694" s="71"/>
      <c r="AV694" s="71"/>
      <c r="AW694" s="71"/>
      <c r="AX694" s="71"/>
      <c r="AY694" s="71"/>
      <c r="AZ694" s="71"/>
      <c r="BA694" s="71"/>
      <c r="BB694" s="71"/>
      <c r="BC694" s="71"/>
      <c r="BD694" s="71"/>
      <c r="BE694" s="71"/>
      <c r="BF694" s="71"/>
      <c r="BG694" s="71"/>
      <c r="BH694" s="71"/>
      <c r="BI694" s="71"/>
      <c r="BJ694" s="71"/>
      <c r="BK694" s="71"/>
      <c r="BL694" s="71"/>
      <c r="BM694" s="71"/>
    </row>
    <row r="695">
      <c r="A695" s="72"/>
      <c r="B695" s="72"/>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c r="AA695" s="71"/>
      <c r="AB695" s="71"/>
      <c r="AC695" s="71"/>
      <c r="AD695" s="71"/>
      <c r="AE695" s="71"/>
      <c r="AF695" s="71"/>
      <c r="AG695" s="71"/>
      <c r="AH695" s="71"/>
      <c r="AI695" s="71"/>
      <c r="AJ695" s="71"/>
      <c r="AK695" s="71"/>
      <c r="AL695" s="71"/>
      <c r="AM695" s="71"/>
      <c r="AN695" s="71"/>
      <c r="AO695" s="71"/>
      <c r="AP695" s="71"/>
      <c r="AQ695" s="71"/>
      <c r="AR695" s="71"/>
      <c r="AS695" s="71"/>
      <c r="AT695" s="71"/>
      <c r="AU695" s="71"/>
      <c r="AV695" s="71"/>
      <c r="AW695" s="71"/>
      <c r="AX695" s="71"/>
      <c r="AY695" s="71"/>
      <c r="AZ695" s="71"/>
      <c r="BA695" s="71"/>
      <c r="BB695" s="71"/>
      <c r="BC695" s="71"/>
      <c r="BD695" s="71"/>
      <c r="BE695" s="71"/>
      <c r="BF695" s="71"/>
      <c r="BG695" s="71"/>
      <c r="BH695" s="71"/>
      <c r="BI695" s="71"/>
      <c r="BJ695" s="71"/>
      <c r="BK695" s="71"/>
      <c r="BL695" s="71"/>
      <c r="BM695" s="71"/>
    </row>
    <row r="696">
      <c r="A696" s="72"/>
      <c r="B696" s="72"/>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c r="AA696" s="71"/>
      <c r="AB696" s="71"/>
      <c r="AC696" s="71"/>
      <c r="AD696" s="71"/>
      <c r="AE696" s="71"/>
      <c r="AF696" s="71"/>
      <c r="AG696" s="71"/>
      <c r="AH696" s="71"/>
      <c r="AI696" s="71"/>
      <c r="AJ696" s="71"/>
      <c r="AK696" s="71"/>
      <c r="AL696" s="71"/>
      <c r="AM696" s="71"/>
      <c r="AN696" s="71"/>
      <c r="AO696" s="71"/>
      <c r="AP696" s="71"/>
      <c r="AQ696" s="71"/>
      <c r="AR696" s="71"/>
      <c r="AS696" s="71"/>
      <c r="AT696" s="71"/>
      <c r="AU696" s="71"/>
      <c r="AV696" s="71"/>
      <c r="AW696" s="71"/>
      <c r="AX696" s="71"/>
      <c r="AY696" s="71"/>
      <c r="AZ696" s="71"/>
      <c r="BA696" s="71"/>
      <c r="BB696" s="71"/>
      <c r="BC696" s="71"/>
      <c r="BD696" s="71"/>
      <c r="BE696" s="71"/>
      <c r="BF696" s="71"/>
      <c r="BG696" s="71"/>
      <c r="BH696" s="71"/>
      <c r="BI696" s="71"/>
      <c r="BJ696" s="71"/>
      <c r="BK696" s="71"/>
      <c r="BL696" s="71"/>
      <c r="BM696" s="71"/>
    </row>
    <row r="697">
      <c r="A697" s="72"/>
      <c r="B697" s="72"/>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c r="AA697" s="71"/>
      <c r="AB697" s="71"/>
      <c r="AC697" s="71"/>
      <c r="AD697" s="71"/>
      <c r="AE697" s="71"/>
      <c r="AF697" s="71"/>
      <c r="AG697" s="71"/>
      <c r="AH697" s="71"/>
      <c r="AI697" s="71"/>
      <c r="AJ697" s="71"/>
      <c r="AK697" s="71"/>
      <c r="AL697" s="71"/>
      <c r="AM697" s="71"/>
      <c r="AN697" s="71"/>
      <c r="AO697" s="71"/>
      <c r="AP697" s="71"/>
      <c r="AQ697" s="71"/>
      <c r="AR697" s="71"/>
      <c r="AS697" s="71"/>
      <c r="AT697" s="71"/>
      <c r="AU697" s="71"/>
      <c r="AV697" s="71"/>
      <c r="AW697" s="71"/>
      <c r="AX697" s="71"/>
      <c r="AY697" s="71"/>
      <c r="AZ697" s="71"/>
      <c r="BA697" s="71"/>
      <c r="BB697" s="71"/>
      <c r="BC697" s="71"/>
      <c r="BD697" s="71"/>
      <c r="BE697" s="71"/>
      <c r="BF697" s="71"/>
      <c r="BG697" s="71"/>
      <c r="BH697" s="71"/>
      <c r="BI697" s="71"/>
      <c r="BJ697" s="71"/>
      <c r="BK697" s="71"/>
      <c r="BL697" s="71"/>
      <c r="BM697" s="71"/>
    </row>
    <row r="698">
      <c r="A698" s="72"/>
      <c r="B698" s="72"/>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c r="AA698" s="71"/>
      <c r="AB698" s="71"/>
      <c r="AC698" s="71"/>
      <c r="AD698" s="71"/>
      <c r="AE698" s="71"/>
      <c r="AF698" s="71"/>
      <c r="AG698" s="71"/>
      <c r="AH698" s="71"/>
      <c r="AI698" s="71"/>
      <c r="AJ698" s="71"/>
      <c r="AK698" s="71"/>
      <c r="AL698" s="71"/>
      <c r="AM698" s="71"/>
      <c r="AN698" s="71"/>
      <c r="AO698" s="71"/>
      <c r="AP698" s="71"/>
      <c r="AQ698" s="71"/>
      <c r="AR698" s="71"/>
      <c r="AS698" s="71"/>
      <c r="AT698" s="71"/>
      <c r="AU698" s="71"/>
      <c r="AV698" s="71"/>
      <c r="AW698" s="71"/>
      <c r="AX698" s="71"/>
      <c r="AY698" s="71"/>
      <c r="AZ698" s="71"/>
      <c r="BA698" s="71"/>
      <c r="BB698" s="71"/>
      <c r="BC698" s="71"/>
      <c r="BD698" s="71"/>
      <c r="BE698" s="71"/>
      <c r="BF698" s="71"/>
      <c r="BG698" s="71"/>
      <c r="BH698" s="71"/>
      <c r="BI698" s="71"/>
      <c r="BJ698" s="71"/>
      <c r="BK698" s="71"/>
      <c r="BL698" s="71"/>
      <c r="BM698" s="71"/>
    </row>
    <row r="699">
      <c r="A699" s="72"/>
      <c r="B699" s="72"/>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c r="AA699" s="71"/>
      <c r="AB699" s="71"/>
      <c r="AC699" s="71"/>
      <c r="AD699" s="71"/>
      <c r="AE699" s="71"/>
      <c r="AF699" s="71"/>
      <c r="AG699" s="71"/>
      <c r="AH699" s="71"/>
      <c r="AI699" s="71"/>
      <c r="AJ699" s="71"/>
      <c r="AK699" s="71"/>
      <c r="AL699" s="71"/>
      <c r="AM699" s="71"/>
      <c r="AN699" s="71"/>
      <c r="AO699" s="71"/>
      <c r="AP699" s="71"/>
      <c r="AQ699" s="71"/>
      <c r="AR699" s="71"/>
      <c r="AS699" s="71"/>
      <c r="AT699" s="71"/>
      <c r="AU699" s="71"/>
      <c r="AV699" s="71"/>
      <c r="AW699" s="71"/>
      <c r="AX699" s="71"/>
      <c r="AY699" s="71"/>
      <c r="AZ699" s="71"/>
      <c r="BA699" s="71"/>
      <c r="BB699" s="71"/>
      <c r="BC699" s="71"/>
      <c r="BD699" s="71"/>
      <c r="BE699" s="71"/>
      <c r="BF699" s="71"/>
      <c r="BG699" s="71"/>
      <c r="BH699" s="71"/>
      <c r="BI699" s="71"/>
      <c r="BJ699" s="71"/>
      <c r="BK699" s="71"/>
      <c r="BL699" s="71"/>
      <c r="BM699" s="71"/>
    </row>
    <row r="700">
      <c r="A700" s="72"/>
      <c r="B700" s="72"/>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c r="AA700" s="71"/>
      <c r="AB700" s="71"/>
      <c r="AC700" s="71"/>
      <c r="AD700" s="71"/>
      <c r="AE700" s="71"/>
      <c r="AF700" s="71"/>
      <c r="AG700" s="71"/>
      <c r="AH700" s="71"/>
      <c r="AI700" s="71"/>
      <c r="AJ700" s="71"/>
      <c r="AK700" s="71"/>
      <c r="AL700" s="71"/>
      <c r="AM700" s="71"/>
      <c r="AN700" s="71"/>
      <c r="AO700" s="71"/>
      <c r="AP700" s="71"/>
      <c r="AQ700" s="71"/>
      <c r="AR700" s="71"/>
      <c r="AS700" s="71"/>
      <c r="AT700" s="71"/>
      <c r="AU700" s="71"/>
      <c r="AV700" s="71"/>
      <c r="AW700" s="71"/>
      <c r="AX700" s="71"/>
      <c r="AY700" s="71"/>
      <c r="AZ700" s="71"/>
      <c r="BA700" s="71"/>
      <c r="BB700" s="71"/>
      <c r="BC700" s="71"/>
      <c r="BD700" s="71"/>
      <c r="BE700" s="71"/>
      <c r="BF700" s="71"/>
      <c r="BG700" s="71"/>
      <c r="BH700" s="71"/>
      <c r="BI700" s="71"/>
      <c r="BJ700" s="71"/>
      <c r="BK700" s="71"/>
      <c r="BL700" s="71"/>
      <c r="BM700" s="71"/>
    </row>
    <row r="701">
      <c r="A701" s="72"/>
      <c r="B701" s="72"/>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c r="AA701" s="71"/>
      <c r="AB701" s="71"/>
      <c r="AC701" s="71"/>
      <c r="AD701" s="71"/>
      <c r="AE701" s="71"/>
      <c r="AF701" s="71"/>
      <c r="AG701" s="71"/>
      <c r="AH701" s="71"/>
      <c r="AI701" s="71"/>
      <c r="AJ701" s="71"/>
      <c r="AK701" s="71"/>
      <c r="AL701" s="71"/>
      <c r="AM701" s="71"/>
      <c r="AN701" s="71"/>
      <c r="AO701" s="71"/>
      <c r="AP701" s="71"/>
      <c r="AQ701" s="71"/>
      <c r="AR701" s="71"/>
      <c r="AS701" s="71"/>
      <c r="AT701" s="71"/>
      <c r="AU701" s="71"/>
      <c r="AV701" s="71"/>
      <c r="AW701" s="71"/>
      <c r="AX701" s="71"/>
      <c r="AY701" s="71"/>
      <c r="AZ701" s="71"/>
      <c r="BA701" s="71"/>
      <c r="BB701" s="71"/>
      <c r="BC701" s="71"/>
      <c r="BD701" s="71"/>
      <c r="BE701" s="71"/>
      <c r="BF701" s="71"/>
      <c r="BG701" s="71"/>
      <c r="BH701" s="71"/>
      <c r="BI701" s="71"/>
      <c r="BJ701" s="71"/>
      <c r="BK701" s="71"/>
      <c r="BL701" s="71"/>
      <c r="BM701" s="71"/>
    </row>
    <row r="702">
      <c r="A702" s="72"/>
      <c r="B702" s="72"/>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c r="AA702" s="71"/>
      <c r="AB702" s="71"/>
      <c r="AC702" s="71"/>
      <c r="AD702" s="71"/>
      <c r="AE702" s="71"/>
      <c r="AF702" s="71"/>
      <c r="AG702" s="71"/>
      <c r="AH702" s="71"/>
      <c r="AI702" s="71"/>
      <c r="AJ702" s="71"/>
      <c r="AK702" s="71"/>
      <c r="AL702" s="71"/>
      <c r="AM702" s="71"/>
      <c r="AN702" s="71"/>
      <c r="AO702" s="71"/>
      <c r="AP702" s="71"/>
      <c r="AQ702" s="71"/>
      <c r="AR702" s="71"/>
      <c r="AS702" s="71"/>
      <c r="AT702" s="71"/>
      <c r="AU702" s="71"/>
      <c r="AV702" s="71"/>
      <c r="AW702" s="71"/>
      <c r="AX702" s="71"/>
      <c r="AY702" s="71"/>
      <c r="AZ702" s="71"/>
      <c r="BA702" s="71"/>
      <c r="BB702" s="71"/>
      <c r="BC702" s="71"/>
      <c r="BD702" s="71"/>
      <c r="BE702" s="71"/>
      <c r="BF702" s="71"/>
      <c r="BG702" s="71"/>
      <c r="BH702" s="71"/>
      <c r="BI702" s="71"/>
      <c r="BJ702" s="71"/>
      <c r="BK702" s="71"/>
      <c r="BL702" s="71"/>
      <c r="BM702" s="71"/>
    </row>
    <row r="703">
      <c r="A703" s="72"/>
      <c r="B703" s="72"/>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c r="AA703" s="71"/>
      <c r="AB703" s="71"/>
      <c r="AC703" s="71"/>
      <c r="AD703" s="71"/>
      <c r="AE703" s="71"/>
      <c r="AF703" s="71"/>
      <c r="AG703" s="71"/>
      <c r="AH703" s="71"/>
      <c r="AI703" s="71"/>
      <c r="AJ703" s="71"/>
      <c r="AK703" s="71"/>
      <c r="AL703" s="71"/>
      <c r="AM703" s="71"/>
      <c r="AN703" s="71"/>
      <c r="AO703" s="71"/>
      <c r="AP703" s="71"/>
      <c r="AQ703" s="71"/>
      <c r="AR703" s="71"/>
      <c r="AS703" s="71"/>
      <c r="AT703" s="71"/>
      <c r="AU703" s="71"/>
      <c r="AV703" s="71"/>
      <c r="AW703" s="71"/>
      <c r="AX703" s="71"/>
      <c r="AY703" s="71"/>
      <c r="AZ703" s="71"/>
      <c r="BA703" s="71"/>
      <c r="BB703" s="71"/>
      <c r="BC703" s="71"/>
      <c r="BD703" s="71"/>
      <c r="BE703" s="71"/>
      <c r="BF703" s="71"/>
      <c r="BG703" s="71"/>
      <c r="BH703" s="71"/>
      <c r="BI703" s="71"/>
      <c r="BJ703" s="71"/>
      <c r="BK703" s="71"/>
      <c r="BL703" s="71"/>
      <c r="BM703" s="71"/>
    </row>
    <row r="704">
      <c r="A704" s="72"/>
      <c r="B704" s="72"/>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c r="AA704" s="71"/>
      <c r="AB704" s="71"/>
      <c r="AC704" s="71"/>
      <c r="AD704" s="71"/>
      <c r="AE704" s="71"/>
      <c r="AF704" s="71"/>
      <c r="AG704" s="71"/>
      <c r="AH704" s="71"/>
      <c r="AI704" s="71"/>
      <c r="AJ704" s="71"/>
      <c r="AK704" s="71"/>
      <c r="AL704" s="71"/>
      <c r="AM704" s="71"/>
      <c r="AN704" s="71"/>
      <c r="AO704" s="71"/>
      <c r="AP704" s="71"/>
      <c r="AQ704" s="71"/>
      <c r="AR704" s="71"/>
      <c r="AS704" s="71"/>
      <c r="AT704" s="71"/>
      <c r="AU704" s="71"/>
      <c r="AV704" s="71"/>
      <c r="AW704" s="71"/>
      <c r="AX704" s="71"/>
      <c r="AY704" s="71"/>
      <c r="AZ704" s="71"/>
      <c r="BA704" s="71"/>
      <c r="BB704" s="71"/>
      <c r="BC704" s="71"/>
      <c r="BD704" s="71"/>
      <c r="BE704" s="71"/>
      <c r="BF704" s="71"/>
      <c r="BG704" s="71"/>
      <c r="BH704" s="71"/>
      <c r="BI704" s="71"/>
      <c r="BJ704" s="71"/>
      <c r="BK704" s="71"/>
      <c r="BL704" s="71"/>
      <c r="BM704" s="71"/>
    </row>
    <row r="705">
      <c r="A705" s="72"/>
      <c r="B705" s="72"/>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c r="AA705" s="71"/>
      <c r="AB705" s="71"/>
      <c r="AC705" s="71"/>
      <c r="AD705" s="71"/>
      <c r="AE705" s="71"/>
      <c r="AF705" s="71"/>
      <c r="AG705" s="71"/>
      <c r="AH705" s="71"/>
      <c r="AI705" s="71"/>
      <c r="AJ705" s="71"/>
      <c r="AK705" s="71"/>
      <c r="AL705" s="71"/>
      <c r="AM705" s="71"/>
      <c r="AN705" s="71"/>
      <c r="AO705" s="71"/>
      <c r="AP705" s="71"/>
      <c r="AQ705" s="71"/>
      <c r="AR705" s="71"/>
      <c r="AS705" s="71"/>
      <c r="AT705" s="71"/>
      <c r="AU705" s="71"/>
      <c r="AV705" s="71"/>
      <c r="AW705" s="71"/>
      <c r="AX705" s="71"/>
      <c r="AY705" s="71"/>
      <c r="AZ705" s="71"/>
      <c r="BA705" s="71"/>
      <c r="BB705" s="71"/>
      <c r="BC705" s="71"/>
      <c r="BD705" s="71"/>
      <c r="BE705" s="71"/>
      <c r="BF705" s="71"/>
      <c r="BG705" s="71"/>
      <c r="BH705" s="71"/>
      <c r="BI705" s="71"/>
      <c r="BJ705" s="71"/>
      <c r="BK705" s="71"/>
      <c r="BL705" s="71"/>
      <c r="BM705" s="71"/>
    </row>
    <row r="706">
      <c r="A706" s="72"/>
      <c r="B706" s="72"/>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c r="AA706" s="71"/>
      <c r="AB706" s="71"/>
      <c r="AC706" s="71"/>
      <c r="AD706" s="71"/>
      <c r="AE706" s="71"/>
      <c r="AF706" s="71"/>
      <c r="AG706" s="71"/>
      <c r="AH706" s="71"/>
      <c r="AI706" s="71"/>
      <c r="AJ706" s="71"/>
      <c r="AK706" s="71"/>
      <c r="AL706" s="71"/>
      <c r="AM706" s="71"/>
      <c r="AN706" s="71"/>
      <c r="AO706" s="71"/>
      <c r="AP706" s="71"/>
      <c r="AQ706" s="71"/>
      <c r="AR706" s="71"/>
      <c r="AS706" s="71"/>
      <c r="AT706" s="71"/>
      <c r="AU706" s="71"/>
      <c r="AV706" s="71"/>
      <c r="AW706" s="71"/>
      <c r="AX706" s="71"/>
      <c r="AY706" s="71"/>
      <c r="AZ706" s="71"/>
      <c r="BA706" s="71"/>
      <c r="BB706" s="71"/>
      <c r="BC706" s="71"/>
      <c r="BD706" s="71"/>
      <c r="BE706" s="71"/>
      <c r="BF706" s="71"/>
      <c r="BG706" s="71"/>
      <c r="BH706" s="71"/>
      <c r="BI706" s="71"/>
      <c r="BJ706" s="71"/>
      <c r="BK706" s="71"/>
      <c r="BL706" s="71"/>
      <c r="BM706" s="71"/>
    </row>
    <row r="707">
      <c r="A707" s="72"/>
      <c r="B707" s="72"/>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c r="AA707" s="71"/>
      <c r="AB707" s="71"/>
      <c r="AC707" s="71"/>
      <c r="AD707" s="71"/>
      <c r="AE707" s="71"/>
      <c r="AF707" s="71"/>
      <c r="AG707" s="71"/>
      <c r="AH707" s="71"/>
      <c r="AI707" s="71"/>
      <c r="AJ707" s="71"/>
      <c r="AK707" s="71"/>
      <c r="AL707" s="71"/>
      <c r="AM707" s="71"/>
      <c r="AN707" s="71"/>
      <c r="AO707" s="71"/>
      <c r="AP707" s="71"/>
      <c r="AQ707" s="71"/>
      <c r="AR707" s="71"/>
      <c r="AS707" s="71"/>
      <c r="AT707" s="71"/>
      <c r="AU707" s="71"/>
      <c r="AV707" s="71"/>
      <c r="AW707" s="71"/>
      <c r="AX707" s="71"/>
      <c r="AY707" s="71"/>
      <c r="AZ707" s="71"/>
      <c r="BA707" s="71"/>
      <c r="BB707" s="71"/>
      <c r="BC707" s="71"/>
      <c r="BD707" s="71"/>
      <c r="BE707" s="71"/>
      <c r="BF707" s="71"/>
      <c r="BG707" s="71"/>
      <c r="BH707" s="71"/>
      <c r="BI707" s="71"/>
      <c r="BJ707" s="71"/>
      <c r="BK707" s="71"/>
      <c r="BL707" s="71"/>
      <c r="BM707" s="71"/>
    </row>
    <row r="708">
      <c r="A708" s="72"/>
      <c r="B708" s="72"/>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c r="AA708" s="71"/>
      <c r="AB708" s="71"/>
      <c r="AC708" s="71"/>
      <c r="AD708" s="71"/>
      <c r="AE708" s="71"/>
      <c r="AF708" s="71"/>
      <c r="AG708" s="71"/>
      <c r="AH708" s="71"/>
      <c r="AI708" s="71"/>
      <c r="AJ708" s="71"/>
      <c r="AK708" s="71"/>
      <c r="AL708" s="71"/>
      <c r="AM708" s="71"/>
      <c r="AN708" s="71"/>
      <c r="AO708" s="71"/>
      <c r="AP708" s="71"/>
      <c r="AQ708" s="71"/>
      <c r="AR708" s="71"/>
      <c r="AS708" s="71"/>
      <c r="AT708" s="71"/>
      <c r="AU708" s="71"/>
      <c r="AV708" s="71"/>
      <c r="AW708" s="71"/>
      <c r="AX708" s="71"/>
      <c r="AY708" s="71"/>
      <c r="AZ708" s="71"/>
      <c r="BA708" s="71"/>
      <c r="BB708" s="71"/>
      <c r="BC708" s="71"/>
      <c r="BD708" s="71"/>
      <c r="BE708" s="71"/>
      <c r="BF708" s="71"/>
      <c r="BG708" s="71"/>
      <c r="BH708" s="71"/>
      <c r="BI708" s="71"/>
      <c r="BJ708" s="71"/>
      <c r="BK708" s="71"/>
      <c r="BL708" s="71"/>
      <c r="BM708" s="71"/>
    </row>
    <row r="709">
      <c r="A709" s="72"/>
      <c r="B709" s="72"/>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c r="AA709" s="71"/>
      <c r="AB709" s="71"/>
      <c r="AC709" s="71"/>
      <c r="AD709" s="71"/>
      <c r="AE709" s="71"/>
      <c r="AF709" s="71"/>
      <c r="AG709" s="71"/>
      <c r="AH709" s="71"/>
      <c r="AI709" s="71"/>
      <c r="AJ709" s="71"/>
      <c r="AK709" s="71"/>
      <c r="AL709" s="71"/>
      <c r="AM709" s="71"/>
      <c r="AN709" s="71"/>
      <c r="AO709" s="71"/>
      <c r="AP709" s="71"/>
      <c r="AQ709" s="71"/>
      <c r="AR709" s="71"/>
      <c r="AS709" s="71"/>
      <c r="AT709" s="71"/>
      <c r="AU709" s="71"/>
      <c r="AV709" s="71"/>
      <c r="AW709" s="71"/>
      <c r="AX709" s="71"/>
      <c r="AY709" s="71"/>
      <c r="AZ709" s="71"/>
      <c r="BA709" s="71"/>
      <c r="BB709" s="71"/>
      <c r="BC709" s="71"/>
      <c r="BD709" s="71"/>
      <c r="BE709" s="71"/>
      <c r="BF709" s="71"/>
      <c r="BG709" s="71"/>
      <c r="BH709" s="71"/>
      <c r="BI709" s="71"/>
      <c r="BJ709" s="71"/>
      <c r="BK709" s="71"/>
      <c r="BL709" s="71"/>
      <c r="BM709" s="71"/>
    </row>
    <row r="710">
      <c r="A710" s="72"/>
      <c r="B710" s="72"/>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c r="AA710" s="71"/>
      <c r="AB710" s="71"/>
      <c r="AC710" s="71"/>
      <c r="AD710" s="71"/>
      <c r="AE710" s="71"/>
      <c r="AF710" s="71"/>
      <c r="AG710" s="71"/>
      <c r="AH710" s="71"/>
      <c r="AI710" s="71"/>
      <c r="AJ710" s="71"/>
      <c r="AK710" s="71"/>
      <c r="AL710" s="71"/>
      <c r="AM710" s="71"/>
      <c r="AN710" s="71"/>
      <c r="AO710" s="71"/>
      <c r="AP710" s="71"/>
      <c r="AQ710" s="71"/>
      <c r="AR710" s="71"/>
      <c r="AS710" s="71"/>
      <c r="AT710" s="71"/>
      <c r="AU710" s="71"/>
      <c r="AV710" s="71"/>
      <c r="AW710" s="71"/>
      <c r="AX710" s="71"/>
      <c r="AY710" s="71"/>
      <c r="AZ710" s="71"/>
      <c r="BA710" s="71"/>
      <c r="BB710" s="71"/>
      <c r="BC710" s="71"/>
      <c r="BD710" s="71"/>
      <c r="BE710" s="71"/>
      <c r="BF710" s="71"/>
      <c r="BG710" s="71"/>
      <c r="BH710" s="71"/>
      <c r="BI710" s="71"/>
      <c r="BJ710" s="71"/>
      <c r="BK710" s="71"/>
      <c r="BL710" s="71"/>
      <c r="BM710" s="71"/>
    </row>
    <row r="711">
      <c r="A711" s="72"/>
      <c r="B711" s="72"/>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c r="AA711" s="71"/>
      <c r="AB711" s="71"/>
      <c r="AC711" s="71"/>
      <c r="AD711" s="71"/>
      <c r="AE711" s="71"/>
      <c r="AF711" s="71"/>
      <c r="AG711" s="71"/>
      <c r="AH711" s="71"/>
      <c r="AI711" s="71"/>
      <c r="AJ711" s="71"/>
      <c r="AK711" s="71"/>
      <c r="AL711" s="71"/>
      <c r="AM711" s="71"/>
      <c r="AN711" s="71"/>
      <c r="AO711" s="71"/>
      <c r="AP711" s="71"/>
      <c r="AQ711" s="71"/>
      <c r="AR711" s="71"/>
      <c r="AS711" s="71"/>
      <c r="AT711" s="71"/>
      <c r="AU711" s="71"/>
      <c r="AV711" s="71"/>
      <c r="AW711" s="71"/>
      <c r="AX711" s="71"/>
      <c r="AY711" s="71"/>
      <c r="AZ711" s="71"/>
      <c r="BA711" s="71"/>
      <c r="BB711" s="71"/>
      <c r="BC711" s="71"/>
      <c r="BD711" s="71"/>
      <c r="BE711" s="71"/>
      <c r="BF711" s="71"/>
      <c r="BG711" s="71"/>
      <c r="BH711" s="71"/>
      <c r="BI711" s="71"/>
      <c r="BJ711" s="71"/>
      <c r="BK711" s="71"/>
      <c r="BL711" s="71"/>
      <c r="BM711" s="71"/>
    </row>
    <row r="712">
      <c r="A712" s="72"/>
      <c r="B712" s="72"/>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c r="AA712" s="71"/>
      <c r="AB712" s="71"/>
      <c r="AC712" s="71"/>
      <c r="AD712" s="71"/>
      <c r="AE712" s="71"/>
      <c r="AF712" s="71"/>
      <c r="AG712" s="71"/>
      <c r="AH712" s="71"/>
      <c r="AI712" s="71"/>
      <c r="AJ712" s="71"/>
      <c r="AK712" s="71"/>
      <c r="AL712" s="71"/>
      <c r="AM712" s="71"/>
      <c r="AN712" s="71"/>
      <c r="AO712" s="71"/>
      <c r="AP712" s="71"/>
      <c r="AQ712" s="71"/>
      <c r="AR712" s="71"/>
      <c r="AS712" s="71"/>
      <c r="AT712" s="71"/>
      <c r="AU712" s="71"/>
      <c r="AV712" s="71"/>
      <c r="AW712" s="71"/>
      <c r="AX712" s="71"/>
      <c r="AY712" s="71"/>
      <c r="AZ712" s="71"/>
      <c r="BA712" s="71"/>
      <c r="BB712" s="71"/>
      <c r="BC712" s="71"/>
      <c r="BD712" s="71"/>
      <c r="BE712" s="71"/>
      <c r="BF712" s="71"/>
      <c r="BG712" s="71"/>
      <c r="BH712" s="71"/>
      <c r="BI712" s="71"/>
      <c r="BJ712" s="71"/>
      <c r="BK712" s="71"/>
      <c r="BL712" s="71"/>
      <c r="BM712" s="71"/>
    </row>
    <row r="713">
      <c r="A713" s="72"/>
      <c r="B713" s="72"/>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c r="AA713" s="71"/>
      <c r="AB713" s="71"/>
      <c r="AC713" s="71"/>
      <c r="AD713" s="71"/>
      <c r="AE713" s="71"/>
      <c r="AF713" s="71"/>
      <c r="AG713" s="71"/>
      <c r="AH713" s="71"/>
      <c r="AI713" s="71"/>
      <c r="AJ713" s="71"/>
      <c r="AK713" s="71"/>
      <c r="AL713" s="71"/>
      <c r="AM713" s="71"/>
      <c r="AN713" s="71"/>
      <c r="AO713" s="71"/>
      <c r="AP713" s="71"/>
      <c r="AQ713" s="71"/>
      <c r="AR713" s="71"/>
      <c r="AS713" s="71"/>
      <c r="AT713" s="71"/>
      <c r="AU713" s="71"/>
      <c r="AV713" s="71"/>
      <c r="AW713" s="71"/>
      <c r="AX713" s="71"/>
      <c r="AY713" s="71"/>
      <c r="AZ713" s="71"/>
      <c r="BA713" s="71"/>
      <c r="BB713" s="71"/>
      <c r="BC713" s="71"/>
      <c r="BD713" s="71"/>
      <c r="BE713" s="71"/>
      <c r="BF713" s="71"/>
      <c r="BG713" s="71"/>
      <c r="BH713" s="71"/>
      <c r="BI713" s="71"/>
      <c r="BJ713" s="71"/>
      <c r="BK713" s="71"/>
      <c r="BL713" s="71"/>
      <c r="BM713" s="71"/>
    </row>
    <row r="714">
      <c r="A714" s="72"/>
      <c r="B714" s="72"/>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c r="AA714" s="71"/>
      <c r="AB714" s="71"/>
      <c r="AC714" s="71"/>
      <c r="AD714" s="71"/>
      <c r="AE714" s="71"/>
      <c r="AF714" s="71"/>
      <c r="AG714" s="71"/>
      <c r="AH714" s="71"/>
      <c r="AI714" s="71"/>
      <c r="AJ714" s="71"/>
      <c r="AK714" s="71"/>
      <c r="AL714" s="71"/>
      <c r="AM714" s="71"/>
      <c r="AN714" s="71"/>
      <c r="AO714" s="71"/>
      <c r="AP714" s="71"/>
      <c r="AQ714" s="71"/>
      <c r="AR714" s="71"/>
      <c r="AS714" s="71"/>
      <c r="AT714" s="71"/>
      <c r="AU714" s="71"/>
      <c r="AV714" s="71"/>
      <c r="AW714" s="71"/>
      <c r="AX714" s="71"/>
      <c r="AY714" s="71"/>
      <c r="AZ714" s="71"/>
      <c r="BA714" s="71"/>
      <c r="BB714" s="71"/>
      <c r="BC714" s="71"/>
      <c r="BD714" s="71"/>
      <c r="BE714" s="71"/>
      <c r="BF714" s="71"/>
      <c r="BG714" s="71"/>
      <c r="BH714" s="71"/>
      <c r="BI714" s="71"/>
      <c r="BJ714" s="71"/>
      <c r="BK714" s="71"/>
      <c r="BL714" s="71"/>
      <c r="BM714" s="71"/>
    </row>
    <row r="715">
      <c r="A715" s="72"/>
      <c r="B715" s="72"/>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c r="AA715" s="71"/>
      <c r="AB715" s="71"/>
      <c r="AC715" s="71"/>
      <c r="AD715" s="71"/>
      <c r="AE715" s="71"/>
      <c r="AF715" s="71"/>
      <c r="AG715" s="71"/>
      <c r="AH715" s="71"/>
      <c r="AI715" s="71"/>
      <c r="AJ715" s="71"/>
      <c r="AK715" s="71"/>
      <c r="AL715" s="71"/>
      <c r="AM715" s="71"/>
      <c r="AN715" s="71"/>
      <c r="AO715" s="71"/>
      <c r="AP715" s="71"/>
      <c r="AQ715" s="71"/>
      <c r="AR715" s="71"/>
      <c r="AS715" s="71"/>
      <c r="AT715" s="71"/>
      <c r="AU715" s="71"/>
      <c r="AV715" s="71"/>
      <c r="AW715" s="71"/>
      <c r="AX715" s="71"/>
      <c r="AY715" s="71"/>
      <c r="AZ715" s="71"/>
      <c r="BA715" s="71"/>
      <c r="BB715" s="71"/>
      <c r="BC715" s="71"/>
      <c r="BD715" s="71"/>
      <c r="BE715" s="71"/>
      <c r="BF715" s="71"/>
      <c r="BG715" s="71"/>
      <c r="BH715" s="71"/>
      <c r="BI715" s="71"/>
      <c r="BJ715" s="71"/>
      <c r="BK715" s="71"/>
      <c r="BL715" s="71"/>
      <c r="BM715" s="71"/>
    </row>
    <row r="716">
      <c r="A716" s="72"/>
      <c r="B716" s="72"/>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c r="AA716" s="71"/>
      <c r="AB716" s="71"/>
      <c r="AC716" s="71"/>
      <c r="AD716" s="71"/>
      <c r="AE716" s="71"/>
      <c r="AF716" s="71"/>
      <c r="AG716" s="71"/>
      <c r="AH716" s="71"/>
      <c r="AI716" s="71"/>
      <c r="AJ716" s="71"/>
      <c r="AK716" s="71"/>
      <c r="AL716" s="71"/>
      <c r="AM716" s="71"/>
      <c r="AN716" s="71"/>
      <c r="AO716" s="71"/>
      <c r="AP716" s="71"/>
      <c r="AQ716" s="71"/>
      <c r="AR716" s="71"/>
      <c r="AS716" s="71"/>
      <c r="AT716" s="71"/>
      <c r="AU716" s="71"/>
      <c r="AV716" s="71"/>
      <c r="AW716" s="71"/>
      <c r="AX716" s="71"/>
      <c r="AY716" s="71"/>
      <c r="AZ716" s="71"/>
      <c r="BA716" s="71"/>
      <c r="BB716" s="71"/>
      <c r="BC716" s="71"/>
      <c r="BD716" s="71"/>
      <c r="BE716" s="71"/>
      <c r="BF716" s="71"/>
      <c r="BG716" s="71"/>
      <c r="BH716" s="71"/>
      <c r="BI716" s="71"/>
      <c r="BJ716" s="71"/>
      <c r="BK716" s="71"/>
      <c r="BL716" s="71"/>
      <c r="BM716" s="71"/>
    </row>
    <row r="717">
      <c r="A717" s="72"/>
      <c r="B717" s="72"/>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c r="AA717" s="71"/>
      <c r="AB717" s="71"/>
      <c r="AC717" s="71"/>
      <c r="AD717" s="71"/>
      <c r="AE717" s="71"/>
      <c r="AF717" s="71"/>
      <c r="AG717" s="71"/>
      <c r="AH717" s="71"/>
      <c r="AI717" s="71"/>
      <c r="AJ717" s="71"/>
      <c r="AK717" s="71"/>
      <c r="AL717" s="71"/>
      <c r="AM717" s="71"/>
      <c r="AN717" s="71"/>
      <c r="AO717" s="71"/>
      <c r="AP717" s="71"/>
      <c r="AQ717" s="71"/>
      <c r="AR717" s="71"/>
      <c r="AS717" s="71"/>
      <c r="AT717" s="71"/>
      <c r="AU717" s="71"/>
      <c r="AV717" s="71"/>
      <c r="AW717" s="71"/>
      <c r="AX717" s="71"/>
      <c r="AY717" s="71"/>
      <c r="AZ717" s="71"/>
      <c r="BA717" s="71"/>
      <c r="BB717" s="71"/>
      <c r="BC717" s="71"/>
      <c r="BD717" s="71"/>
      <c r="BE717" s="71"/>
      <c r="BF717" s="71"/>
      <c r="BG717" s="71"/>
      <c r="BH717" s="71"/>
      <c r="BI717" s="71"/>
      <c r="BJ717" s="71"/>
      <c r="BK717" s="71"/>
      <c r="BL717" s="71"/>
      <c r="BM717" s="71"/>
    </row>
    <row r="718">
      <c r="A718" s="72"/>
      <c r="B718" s="72"/>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c r="AA718" s="71"/>
      <c r="AB718" s="71"/>
      <c r="AC718" s="71"/>
      <c r="AD718" s="71"/>
      <c r="AE718" s="71"/>
      <c r="AF718" s="71"/>
      <c r="AG718" s="71"/>
      <c r="AH718" s="71"/>
      <c r="AI718" s="71"/>
      <c r="AJ718" s="71"/>
      <c r="AK718" s="71"/>
      <c r="AL718" s="71"/>
      <c r="AM718" s="71"/>
      <c r="AN718" s="71"/>
      <c r="AO718" s="71"/>
      <c r="AP718" s="71"/>
      <c r="AQ718" s="71"/>
      <c r="AR718" s="71"/>
      <c r="AS718" s="71"/>
      <c r="AT718" s="71"/>
      <c r="AU718" s="71"/>
      <c r="AV718" s="71"/>
      <c r="AW718" s="71"/>
      <c r="AX718" s="71"/>
      <c r="AY718" s="71"/>
      <c r="AZ718" s="71"/>
      <c r="BA718" s="71"/>
      <c r="BB718" s="71"/>
      <c r="BC718" s="71"/>
      <c r="BD718" s="71"/>
      <c r="BE718" s="71"/>
      <c r="BF718" s="71"/>
      <c r="BG718" s="71"/>
      <c r="BH718" s="71"/>
      <c r="BI718" s="71"/>
      <c r="BJ718" s="71"/>
      <c r="BK718" s="71"/>
      <c r="BL718" s="71"/>
      <c r="BM718" s="71"/>
    </row>
    <row r="719">
      <c r="A719" s="72"/>
      <c r="B719" s="72"/>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c r="AA719" s="71"/>
      <c r="AB719" s="71"/>
      <c r="AC719" s="71"/>
      <c r="AD719" s="71"/>
      <c r="AE719" s="71"/>
      <c r="AF719" s="71"/>
      <c r="AG719" s="71"/>
      <c r="AH719" s="71"/>
      <c r="AI719" s="71"/>
      <c r="AJ719" s="71"/>
      <c r="AK719" s="71"/>
      <c r="AL719" s="71"/>
      <c r="AM719" s="71"/>
      <c r="AN719" s="71"/>
      <c r="AO719" s="71"/>
      <c r="AP719" s="71"/>
      <c r="AQ719" s="71"/>
      <c r="AR719" s="71"/>
      <c r="AS719" s="71"/>
      <c r="AT719" s="71"/>
      <c r="AU719" s="71"/>
      <c r="AV719" s="71"/>
      <c r="AW719" s="71"/>
      <c r="AX719" s="71"/>
      <c r="AY719" s="71"/>
      <c r="AZ719" s="71"/>
      <c r="BA719" s="71"/>
      <c r="BB719" s="71"/>
      <c r="BC719" s="71"/>
      <c r="BD719" s="71"/>
      <c r="BE719" s="71"/>
      <c r="BF719" s="71"/>
      <c r="BG719" s="71"/>
      <c r="BH719" s="71"/>
      <c r="BI719" s="71"/>
      <c r="BJ719" s="71"/>
      <c r="BK719" s="71"/>
      <c r="BL719" s="71"/>
      <c r="BM719" s="71"/>
    </row>
    <row r="720">
      <c r="A720" s="72"/>
      <c r="B720" s="72"/>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c r="AA720" s="71"/>
      <c r="AB720" s="71"/>
      <c r="AC720" s="71"/>
      <c r="AD720" s="71"/>
      <c r="AE720" s="71"/>
      <c r="AF720" s="71"/>
      <c r="AG720" s="71"/>
      <c r="AH720" s="71"/>
      <c r="AI720" s="71"/>
      <c r="AJ720" s="71"/>
      <c r="AK720" s="71"/>
      <c r="AL720" s="71"/>
      <c r="AM720" s="71"/>
      <c r="AN720" s="71"/>
      <c r="AO720" s="71"/>
      <c r="AP720" s="71"/>
      <c r="AQ720" s="71"/>
      <c r="AR720" s="71"/>
      <c r="AS720" s="71"/>
      <c r="AT720" s="71"/>
      <c r="AU720" s="71"/>
      <c r="AV720" s="71"/>
      <c r="AW720" s="71"/>
      <c r="AX720" s="71"/>
      <c r="AY720" s="71"/>
      <c r="AZ720" s="71"/>
      <c r="BA720" s="71"/>
      <c r="BB720" s="71"/>
      <c r="BC720" s="71"/>
      <c r="BD720" s="71"/>
      <c r="BE720" s="71"/>
      <c r="BF720" s="71"/>
      <c r="BG720" s="71"/>
      <c r="BH720" s="71"/>
      <c r="BI720" s="71"/>
      <c r="BJ720" s="71"/>
      <c r="BK720" s="71"/>
      <c r="BL720" s="71"/>
      <c r="BM720" s="71"/>
    </row>
    <row r="721">
      <c r="A721" s="72"/>
      <c r="B721" s="72"/>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c r="AA721" s="71"/>
      <c r="AB721" s="71"/>
      <c r="AC721" s="71"/>
      <c r="AD721" s="71"/>
      <c r="AE721" s="71"/>
      <c r="AF721" s="71"/>
      <c r="AG721" s="71"/>
      <c r="AH721" s="71"/>
      <c r="AI721" s="71"/>
      <c r="AJ721" s="71"/>
      <c r="AK721" s="71"/>
      <c r="AL721" s="71"/>
      <c r="AM721" s="71"/>
      <c r="AN721" s="71"/>
      <c r="AO721" s="71"/>
      <c r="AP721" s="71"/>
      <c r="AQ721" s="71"/>
      <c r="AR721" s="71"/>
      <c r="AS721" s="71"/>
      <c r="AT721" s="71"/>
      <c r="AU721" s="71"/>
      <c r="AV721" s="71"/>
      <c r="AW721" s="71"/>
      <c r="AX721" s="71"/>
      <c r="AY721" s="71"/>
      <c r="AZ721" s="71"/>
      <c r="BA721" s="71"/>
      <c r="BB721" s="71"/>
      <c r="BC721" s="71"/>
      <c r="BD721" s="71"/>
      <c r="BE721" s="71"/>
      <c r="BF721" s="71"/>
      <c r="BG721" s="71"/>
      <c r="BH721" s="71"/>
      <c r="BI721" s="71"/>
      <c r="BJ721" s="71"/>
      <c r="BK721" s="71"/>
      <c r="BL721" s="71"/>
      <c r="BM721" s="71"/>
    </row>
    <row r="722">
      <c r="A722" s="72"/>
      <c r="B722" s="72"/>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c r="AA722" s="71"/>
      <c r="AB722" s="71"/>
      <c r="AC722" s="71"/>
      <c r="AD722" s="71"/>
      <c r="AE722" s="71"/>
      <c r="AF722" s="71"/>
      <c r="AG722" s="71"/>
      <c r="AH722" s="71"/>
      <c r="AI722" s="71"/>
      <c r="AJ722" s="71"/>
      <c r="AK722" s="71"/>
      <c r="AL722" s="71"/>
      <c r="AM722" s="71"/>
      <c r="AN722" s="71"/>
      <c r="AO722" s="71"/>
      <c r="AP722" s="71"/>
      <c r="AQ722" s="71"/>
      <c r="AR722" s="71"/>
      <c r="AS722" s="71"/>
      <c r="AT722" s="71"/>
      <c r="AU722" s="71"/>
      <c r="AV722" s="71"/>
      <c r="AW722" s="71"/>
      <c r="AX722" s="71"/>
      <c r="AY722" s="71"/>
      <c r="AZ722" s="71"/>
      <c r="BA722" s="71"/>
      <c r="BB722" s="71"/>
      <c r="BC722" s="71"/>
      <c r="BD722" s="71"/>
      <c r="BE722" s="71"/>
      <c r="BF722" s="71"/>
      <c r="BG722" s="71"/>
      <c r="BH722" s="71"/>
      <c r="BI722" s="71"/>
      <c r="BJ722" s="71"/>
      <c r="BK722" s="71"/>
      <c r="BL722" s="71"/>
      <c r="BM722" s="71"/>
    </row>
    <row r="723">
      <c r="A723" s="72"/>
      <c r="B723" s="72"/>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c r="AA723" s="71"/>
      <c r="AB723" s="71"/>
      <c r="AC723" s="71"/>
      <c r="AD723" s="71"/>
      <c r="AE723" s="71"/>
      <c r="AF723" s="71"/>
      <c r="AG723" s="71"/>
      <c r="AH723" s="71"/>
      <c r="AI723" s="71"/>
      <c r="AJ723" s="71"/>
      <c r="AK723" s="71"/>
      <c r="AL723" s="71"/>
      <c r="AM723" s="71"/>
      <c r="AN723" s="71"/>
      <c r="AO723" s="71"/>
      <c r="AP723" s="71"/>
      <c r="AQ723" s="71"/>
      <c r="AR723" s="71"/>
      <c r="AS723" s="71"/>
      <c r="AT723" s="71"/>
      <c r="AU723" s="71"/>
      <c r="AV723" s="71"/>
      <c r="AW723" s="71"/>
      <c r="AX723" s="71"/>
      <c r="AY723" s="71"/>
      <c r="AZ723" s="71"/>
      <c r="BA723" s="71"/>
      <c r="BB723" s="71"/>
      <c r="BC723" s="71"/>
      <c r="BD723" s="71"/>
      <c r="BE723" s="71"/>
      <c r="BF723" s="71"/>
      <c r="BG723" s="71"/>
      <c r="BH723" s="71"/>
      <c r="BI723" s="71"/>
      <c r="BJ723" s="71"/>
      <c r="BK723" s="71"/>
      <c r="BL723" s="71"/>
      <c r="BM723" s="71"/>
    </row>
    <row r="724">
      <c r="A724" s="72"/>
      <c r="B724" s="72"/>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c r="AA724" s="71"/>
      <c r="AB724" s="71"/>
      <c r="AC724" s="71"/>
      <c r="AD724" s="71"/>
      <c r="AE724" s="71"/>
      <c r="AF724" s="71"/>
      <c r="AG724" s="71"/>
      <c r="AH724" s="71"/>
      <c r="AI724" s="71"/>
      <c r="AJ724" s="71"/>
      <c r="AK724" s="71"/>
      <c r="AL724" s="71"/>
      <c r="AM724" s="71"/>
      <c r="AN724" s="71"/>
      <c r="AO724" s="71"/>
      <c r="AP724" s="71"/>
      <c r="AQ724" s="71"/>
      <c r="AR724" s="71"/>
      <c r="AS724" s="71"/>
      <c r="AT724" s="71"/>
      <c r="AU724" s="71"/>
      <c r="AV724" s="71"/>
      <c r="AW724" s="71"/>
      <c r="AX724" s="71"/>
      <c r="AY724" s="71"/>
      <c r="AZ724" s="71"/>
      <c r="BA724" s="71"/>
      <c r="BB724" s="71"/>
      <c r="BC724" s="71"/>
      <c r="BD724" s="71"/>
      <c r="BE724" s="71"/>
      <c r="BF724" s="71"/>
      <c r="BG724" s="71"/>
      <c r="BH724" s="71"/>
      <c r="BI724" s="71"/>
      <c r="BJ724" s="71"/>
      <c r="BK724" s="71"/>
      <c r="BL724" s="71"/>
      <c r="BM724" s="71"/>
    </row>
    <row r="725">
      <c r="A725" s="72"/>
      <c r="B725" s="72"/>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c r="AA725" s="71"/>
      <c r="AB725" s="71"/>
      <c r="AC725" s="71"/>
      <c r="AD725" s="71"/>
      <c r="AE725" s="71"/>
      <c r="AF725" s="71"/>
      <c r="AG725" s="71"/>
      <c r="AH725" s="71"/>
      <c r="AI725" s="71"/>
      <c r="AJ725" s="71"/>
      <c r="AK725" s="71"/>
      <c r="AL725" s="71"/>
      <c r="AM725" s="71"/>
      <c r="AN725" s="71"/>
      <c r="AO725" s="71"/>
      <c r="AP725" s="71"/>
      <c r="AQ725" s="71"/>
      <c r="AR725" s="71"/>
      <c r="AS725" s="71"/>
      <c r="AT725" s="71"/>
      <c r="AU725" s="71"/>
      <c r="AV725" s="71"/>
      <c r="AW725" s="71"/>
      <c r="AX725" s="71"/>
      <c r="AY725" s="71"/>
      <c r="AZ725" s="71"/>
      <c r="BA725" s="71"/>
      <c r="BB725" s="71"/>
      <c r="BC725" s="71"/>
      <c r="BD725" s="71"/>
      <c r="BE725" s="71"/>
      <c r="BF725" s="71"/>
      <c r="BG725" s="71"/>
      <c r="BH725" s="71"/>
      <c r="BI725" s="71"/>
      <c r="BJ725" s="71"/>
      <c r="BK725" s="71"/>
      <c r="BL725" s="71"/>
      <c r="BM725" s="71"/>
    </row>
    <row r="726">
      <c r="A726" s="72"/>
      <c r="B726" s="72"/>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c r="AA726" s="71"/>
      <c r="AB726" s="71"/>
      <c r="AC726" s="71"/>
      <c r="AD726" s="71"/>
      <c r="AE726" s="71"/>
      <c r="AF726" s="71"/>
      <c r="AG726" s="71"/>
      <c r="AH726" s="71"/>
      <c r="AI726" s="71"/>
      <c r="AJ726" s="71"/>
      <c r="AK726" s="71"/>
      <c r="AL726" s="71"/>
      <c r="AM726" s="71"/>
      <c r="AN726" s="71"/>
      <c r="AO726" s="71"/>
      <c r="AP726" s="71"/>
      <c r="AQ726" s="71"/>
      <c r="AR726" s="71"/>
      <c r="AS726" s="71"/>
      <c r="AT726" s="71"/>
      <c r="AU726" s="71"/>
      <c r="AV726" s="71"/>
      <c r="AW726" s="71"/>
      <c r="AX726" s="71"/>
      <c r="AY726" s="71"/>
      <c r="AZ726" s="71"/>
      <c r="BA726" s="71"/>
      <c r="BB726" s="71"/>
      <c r="BC726" s="71"/>
      <c r="BD726" s="71"/>
      <c r="BE726" s="71"/>
      <c r="BF726" s="71"/>
      <c r="BG726" s="71"/>
      <c r="BH726" s="71"/>
      <c r="BI726" s="71"/>
      <c r="BJ726" s="71"/>
      <c r="BK726" s="71"/>
      <c r="BL726" s="71"/>
      <c r="BM726" s="71"/>
    </row>
    <row r="727">
      <c r="A727" s="72"/>
      <c r="B727" s="72"/>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c r="AA727" s="71"/>
      <c r="AB727" s="71"/>
      <c r="AC727" s="71"/>
      <c r="AD727" s="71"/>
      <c r="AE727" s="71"/>
      <c r="AF727" s="71"/>
      <c r="AG727" s="71"/>
      <c r="AH727" s="71"/>
      <c r="AI727" s="71"/>
      <c r="AJ727" s="71"/>
      <c r="AK727" s="71"/>
      <c r="AL727" s="71"/>
      <c r="AM727" s="71"/>
      <c r="AN727" s="71"/>
      <c r="AO727" s="71"/>
      <c r="AP727" s="71"/>
      <c r="AQ727" s="71"/>
      <c r="AR727" s="71"/>
      <c r="AS727" s="71"/>
      <c r="AT727" s="71"/>
      <c r="AU727" s="71"/>
      <c r="AV727" s="71"/>
      <c r="AW727" s="71"/>
      <c r="AX727" s="71"/>
      <c r="AY727" s="71"/>
      <c r="AZ727" s="71"/>
      <c r="BA727" s="71"/>
      <c r="BB727" s="71"/>
      <c r="BC727" s="71"/>
      <c r="BD727" s="71"/>
      <c r="BE727" s="71"/>
      <c r="BF727" s="71"/>
      <c r="BG727" s="71"/>
      <c r="BH727" s="71"/>
      <c r="BI727" s="71"/>
      <c r="BJ727" s="71"/>
      <c r="BK727" s="71"/>
      <c r="BL727" s="71"/>
      <c r="BM727" s="71"/>
    </row>
    <row r="728">
      <c r="A728" s="72"/>
      <c r="B728" s="72"/>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c r="AA728" s="71"/>
      <c r="AB728" s="71"/>
      <c r="AC728" s="71"/>
      <c r="AD728" s="71"/>
      <c r="AE728" s="71"/>
      <c r="AF728" s="71"/>
      <c r="AG728" s="71"/>
      <c r="AH728" s="71"/>
      <c r="AI728" s="71"/>
      <c r="AJ728" s="71"/>
      <c r="AK728" s="71"/>
      <c r="AL728" s="71"/>
      <c r="AM728" s="71"/>
      <c r="AN728" s="71"/>
      <c r="AO728" s="71"/>
      <c r="AP728" s="71"/>
      <c r="AQ728" s="71"/>
      <c r="AR728" s="71"/>
      <c r="AS728" s="71"/>
      <c r="AT728" s="71"/>
      <c r="AU728" s="71"/>
      <c r="AV728" s="71"/>
      <c r="AW728" s="71"/>
      <c r="AX728" s="71"/>
      <c r="AY728" s="71"/>
      <c r="AZ728" s="71"/>
      <c r="BA728" s="71"/>
      <c r="BB728" s="71"/>
      <c r="BC728" s="71"/>
      <c r="BD728" s="71"/>
      <c r="BE728" s="71"/>
      <c r="BF728" s="71"/>
      <c r="BG728" s="71"/>
      <c r="BH728" s="71"/>
      <c r="BI728" s="71"/>
      <c r="BJ728" s="71"/>
      <c r="BK728" s="71"/>
      <c r="BL728" s="71"/>
      <c r="BM728" s="71"/>
    </row>
    <row r="729">
      <c r="A729" s="72"/>
      <c r="B729" s="72"/>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c r="AA729" s="71"/>
      <c r="AB729" s="71"/>
      <c r="AC729" s="71"/>
      <c r="AD729" s="71"/>
      <c r="AE729" s="71"/>
      <c r="AF729" s="71"/>
      <c r="AG729" s="71"/>
      <c r="AH729" s="71"/>
      <c r="AI729" s="71"/>
      <c r="AJ729" s="71"/>
      <c r="AK729" s="71"/>
      <c r="AL729" s="71"/>
      <c r="AM729" s="71"/>
      <c r="AN729" s="71"/>
      <c r="AO729" s="71"/>
      <c r="AP729" s="71"/>
      <c r="AQ729" s="71"/>
      <c r="AR729" s="71"/>
      <c r="AS729" s="71"/>
      <c r="AT729" s="71"/>
      <c r="AU729" s="71"/>
      <c r="AV729" s="71"/>
      <c r="AW729" s="71"/>
      <c r="AX729" s="71"/>
      <c r="AY729" s="71"/>
      <c r="AZ729" s="71"/>
      <c r="BA729" s="71"/>
      <c r="BB729" s="71"/>
      <c r="BC729" s="71"/>
      <c r="BD729" s="71"/>
      <c r="BE729" s="71"/>
      <c r="BF729" s="71"/>
      <c r="BG729" s="71"/>
      <c r="BH729" s="71"/>
      <c r="BI729" s="71"/>
      <c r="BJ729" s="71"/>
      <c r="BK729" s="71"/>
      <c r="BL729" s="71"/>
      <c r="BM729" s="71"/>
    </row>
    <row r="730">
      <c r="A730" s="72"/>
      <c r="B730" s="72"/>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c r="AA730" s="71"/>
      <c r="AB730" s="71"/>
      <c r="AC730" s="71"/>
      <c r="AD730" s="71"/>
      <c r="AE730" s="71"/>
      <c r="AF730" s="71"/>
      <c r="AG730" s="71"/>
      <c r="AH730" s="71"/>
      <c r="AI730" s="71"/>
      <c r="AJ730" s="71"/>
      <c r="AK730" s="71"/>
      <c r="AL730" s="71"/>
      <c r="AM730" s="71"/>
      <c r="AN730" s="71"/>
      <c r="AO730" s="71"/>
      <c r="AP730" s="71"/>
      <c r="AQ730" s="71"/>
      <c r="AR730" s="71"/>
      <c r="AS730" s="71"/>
      <c r="AT730" s="71"/>
      <c r="AU730" s="71"/>
      <c r="AV730" s="71"/>
      <c r="AW730" s="71"/>
      <c r="AX730" s="71"/>
      <c r="AY730" s="71"/>
      <c r="AZ730" s="71"/>
      <c r="BA730" s="71"/>
      <c r="BB730" s="71"/>
      <c r="BC730" s="71"/>
      <c r="BD730" s="71"/>
      <c r="BE730" s="71"/>
      <c r="BF730" s="71"/>
      <c r="BG730" s="71"/>
      <c r="BH730" s="71"/>
      <c r="BI730" s="71"/>
      <c r="BJ730" s="71"/>
      <c r="BK730" s="71"/>
      <c r="BL730" s="71"/>
      <c r="BM730" s="71"/>
    </row>
    <row r="731">
      <c r="A731" s="72"/>
      <c r="B731" s="72"/>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c r="AA731" s="71"/>
      <c r="AB731" s="71"/>
      <c r="AC731" s="71"/>
      <c r="AD731" s="71"/>
      <c r="AE731" s="71"/>
      <c r="AF731" s="71"/>
      <c r="AG731" s="71"/>
      <c r="AH731" s="71"/>
      <c r="AI731" s="71"/>
      <c r="AJ731" s="71"/>
      <c r="AK731" s="71"/>
      <c r="AL731" s="71"/>
      <c r="AM731" s="71"/>
      <c r="AN731" s="71"/>
      <c r="AO731" s="71"/>
      <c r="AP731" s="71"/>
      <c r="AQ731" s="71"/>
      <c r="AR731" s="71"/>
      <c r="AS731" s="71"/>
      <c r="AT731" s="71"/>
      <c r="AU731" s="71"/>
      <c r="AV731" s="71"/>
      <c r="AW731" s="71"/>
      <c r="AX731" s="71"/>
      <c r="AY731" s="71"/>
      <c r="AZ731" s="71"/>
      <c r="BA731" s="71"/>
      <c r="BB731" s="71"/>
      <c r="BC731" s="71"/>
      <c r="BD731" s="71"/>
      <c r="BE731" s="71"/>
      <c r="BF731" s="71"/>
      <c r="BG731" s="71"/>
      <c r="BH731" s="71"/>
      <c r="BI731" s="71"/>
      <c r="BJ731" s="71"/>
      <c r="BK731" s="71"/>
      <c r="BL731" s="71"/>
      <c r="BM731" s="71"/>
    </row>
    <row r="732">
      <c r="A732" s="72"/>
      <c r="B732" s="72"/>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c r="AA732" s="71"/>
      <c r="AB732" s="71"/>
      <c r="AC732" s="71"/>
      <c r="AD732" s="71"/>
      <c r="AE732" s="71"/>
      <c r="AF732" s="71"/>
      <c r="AG732" s="71"/>
      <c r="AH732" s="71"/>
      <c r="AI732" s="71"/>
      <c r="AJ732" s="71"/>
      <c r="AK732" s="71"/>
      <c r="AL732" s="71"/>
      <c r="AM732" s="71"/>
      <c r="AN732" s="71"/>
      <c r="AO732" s="71"/>
      <c r="AP732" s="71"/>
      <c r="AQ732" s="71"/>
      <c r="AR732" s="71"/>
      <c r="AS732" s="71"/>
      <c r="AT732" s="71"/>
      <c r="AU732" s="71"/>
      <c r="AV732" s="71"/>
      <c r="AW732" s="71"/>
      <c r="AX732" s="71"/>
      <c r="AY732" s="71"/>
      <c r="AZ732" s="71"/>
      <c r="BA732" s="71"/>
      <c r="BB732" s="71"/>
      <c r="BC732" s="71"/>
      <c r="BD732" s="71"/>
      <c r="BE732" s="71"/>
      <c r="BF732" s="71"/>
      <c r="BG732" s="71"/>
      <c r="BH732" s="71"/>
      <c r="BI732" s="71"/>
      <c r="BJ732" s="71"/>
      <c r="BK732" s="71"/>
      <c r="BL732" s="71"/>
      <c r="BM732" s="71"/>
    </row>
    <row r="733">
      <c r="A733" s="72"/>
      <c r="B733" s="72"/>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c r="AA733" s="71"/>
      <c r="AB733" s="71"/>
      <c r="AC733" s="71"/>
      <c r="AD733" s="71"/>
      <c r="AE733" s="71"/>
      <c r="AF733" s="71"/>
      <c r="AG733" s="71"/>
      <c r="AH733" s="71"/>
      <c r="AI733" s="71"/>
      <c r="AJ733" s="71"/>
      <c r="AK733" s="71"/>
      <c r="AL733" s="71"/>
      <c r="AM733" s="71"/>
      <c r="AN733" s="71"/>
      <c r="AO733" s="71"/>
      <c r="AP733" s="71"/>
      <c r="AQ733" s="71"/>
      <c r="AR733" s="71"/>
      <c r="AS733" s="71"/>
      <c r="AT733" s="71"/>
      <c r="AU733" s="71"/>
      <c r="AV733" s="71"/>
      <c r="AW733" s="71"/>
      <c r="AX733" s="71"/>
      <c r="AY733" s="71"/>
      <c r="AZ733" s="71"/>
      <c r="BA733" s="71"/>
      <c r="BB733" s="71"/>
      <c r="BC733" s="71"/>
      <c r="BD733" s="71"/>
      <c r="BE733" s="71"/>
      <c r="BF733" s="71"/>
      <c r="BG733" s="71"/>
      <c r="BH733" s="71"/>
      <c r="BI733" s="71"/>
      <c r="BJ733" s="71"/>
      <c r="BK733" s="71"/>
      <c r="BL733" s="71"/>
      <c r="BM733" s="71"/>
    </row>
    <row r="734">
      <c r="A734" s="72"/>
      <c r="B734" s="72"/>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c r="AA734" s="71"/>
      <c r="AB734" s="71"/>
      <c r="AC734" s="71"/>
      <c r="AD734" s="71"/>
      <c r="AE734" s="71"/>
      <c r="AF734" s="71"/>
      <c r="AG734" s="71"/>
      <c r="AH734" s="71"/>
      <c r="AI734" s="71"/>
      <c r="AJ734" s="71"/>
      <c r="AK734" s="71"/>
      <c r="AL734" s="71"/>
      <c r="AM734" s="71"/>
      <c r="AN734" s="71"/>
      <c r="AO734" s="71"/>
      <c r="AP734" s="71"/>
      <c r="AQ734" s="71"/>
      <c r="AR734" s="71"/>
      <c r="AS734" s="71"/>
      <c r="AT734" s="71"/>
      <c r="AU734" s="71"/>
      <c r="AV734" s="71"/>
      <c r="AW734" s="71"/>
      <c r="AX734" s="71"/>
      <c r="AY734" s="71"/>
      <c r="AZ734" s="71"/>
      <c r="BA734" s="71"/>
      <c r="BB734" s="71"/>
      <c r="BC734" s="71"/>
      <c r="BD734" s="71"/>
      <c r="BE734" s="71"/>
      <c r="BF734" s="71"/>
      <c r="BG734" s="71"/>
      <c r="BH734" s="71"/>
      <c r="BI734" s="71"/>
      <c r="BJ734" s="71"/>
      <c r="BK734" s="71"/>
      <c r="BL734" s="71"/>
      <c r="BM734" s="71"/>
    </row>
    <row r="735">
      <c r="A735" s="72"/>
      <c r="B735" s="72"/>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c r="AA735" s="71"/>
      <c r="AB735" s="71"/>
      <c r="AC735" s="71"/>
      <c r="AD735" s="71"/>
      <c r="AE735" s="71"/>
      <c r="AF735" s="71"/>
      <c r="AG735" s="71"/>
      <c r="AH735" s="71"/>
      <c r="AI735" s="71"/>
      <c r="AJ735" s="71"/>
      <c r="AK735" s="71"/>
      <c r="AL735" s="71"/>
      <c r="AM735" s="71"/>
      <c r="AN735" s="71"/>
      <c r="AO735" s="71"/>
      <c r="AP735" s="71"/>
      <c r="AQ735" s="71"/>
      <c r="AR735" s="71"/>
      <c r="AS735" s="71"/>
      <c r="AT735" s="71"/>
      <c r="AU735" s="71"/>
      <c r="AV735" s="71"/>
      <c r="AW735" s="71"/>
      <c r="AX735" s="71"/>
      <c r="AY735" s="71"/>
      <c r="AZ735" s="71"/>
      <c r="BA735" s="71"/>
      <c r="BB735" s="71"/>
      <c r="BC735" s="71"/>
      <c r="BD735" s="71"/>
      <c r="BE735" s="71"/>
      <c r="BF735" s="71"/>
      <c r="BG735" s="71"/>
      <c r="BH735" s="71"/>
      <c r="BI735" s="71"/>
      <c r="BJ735" s="71"/>
      <c r="BK735" s="71"/>
      <c r="BL735" s="71"/>
      <c r="BM735" s="71"/>
    </row>
    <row r="736">
      <c r="A736" s="72"/>
      <c r="B736" s="72"/>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c r="AA736" s="71"/>
      <c r="AB736" s="71"/>
      <c r="AC736" s="71"/>
      <c r="AD736" s="71"/>
      <c r="AE736" s="71"/>
      <c r="AF736" s="71"/>
      <c r="AG736" s="71"/>
      <c r="AH736" s="71"/>
      <c r="AI736" s="71"/>
      <c r="AJ736" s="71"/>
      <c r="AK736" s="71"/>
      <c r="AL736" s="71"/>
      <c r="AM736" s="71"/>
      <c r="AN736" s="71"/>
      <c r="AO736" s="71"/>
      <c r="AP736" s="71"/>
      <c r="AQ736" s="71"/>
      <c r="AR736" s="71"/>
      <c r="AS736" s="71"/>
      <c r="AT736" s="71"/>
      <c r="AU736" s="71"/>
      <c r="AV736" s="71"/>
      <c r="AW736" s="71"/>
      <c r="AX736" s="71"/>
      <c r="AY736" s="71"/>
      <c r="AZ736" s="71"/>
      <c r="BA736" s="71"/>
      <c r="BB736" s="71"/>
      <c r="BC736" s="71"/>
      <c r="BD736" s="71"/>
      <c r="BE736" s="71"/>
      <c r="BF736" s="71"/>
      <c r="BG736" s="71"/>
      <c r="BH736" s="71"/>
      <c r="BI736" s="71"/>
      <c r="BJ736" s="71"/>
      <c r="BK736" s="71"/>
      <c r="BL736" s="71"/>
      <c r="BM736" s="71"/>
    </row>
    <row r="737">
      <c r="A737" s="72"/>
      <c r="B737" s="72"/>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c r="AA737" s="71"/>
      <c r="AB737" s="71"/>
      <c r="AC737" s="71"/>
      <c r="AD737" s="71"/>
      <c r="AE737" s="71"/>
      <c r="AF737" s="71"/>
      <c r="AG737" s="71"/>
      <c r="AH737" s="71"/>
      <c r="AI737" s="71"/>
      <c r="AJ737" s="71"/>
      <c r="AK737" s="71"/>
      <c r="AL737" s="71"/>
      <c r="AM737" s="71"/>
      <c r="AN737" s="71"/>
      <c r="AO737" s="71"/>
      <c r="AP737" s="71"/>
      <c r="AQ737" s="71"/>
      <c r="AR737" s="71"/>
      <c r="AS737" s="71"/>
      <c r="AT737" s="71"/>
      <c r="AU737" s="71"/>
      <c r="AV737" s="71"/>
      <c r="AW737" s="71"/>
      <c r="AX737" s="71"/>
      <c r="AY737" s="71"/>
      <c r="AZ737" s="71"/>
      <c r="BA737" s="71"/>
      <c r="BB737" s="71"/>
      <c r="BC737" s="71"/>
      <c r="BD737" s="71"/>
      <c r="BE737" s="71"/>
      <c r="BF737" s="71"/>
      <c r="BG737" s="71"/>
      <c r="BH737" s="71"/>
      <c r="BI737" s="71"/>
      <c r="BJ737" s="71"/>
      <c r="BK737" s="71"/>
      <c r="BL737" s="71"/>
      <c r="BM737" s="71"/>
    </row>
    <row r="738">
      <c r="A738" s="72"/>
      <c r="B738" s="72"/>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c r="AA738" s="71"/>
      <c r="AB738" s="71"/>
      <c r="AC738" s="71"/>
      <c r="AD738" s="71"/>
      <c r="AE738" s="71"/>
      <c r="AF738" s="71"/>
      <c r="AG738" s="71"/>
      <c r="AH738" s="71"/>
      <c r="AI738" s="71"/>
      <c r="AJ738" s="71"/>
      <c r="AK738" s="71"/>
      <c r="AL738" s="71"/>
      <c r="AM738" s="71"/>
      <c r="AN738" s="71"/>
      <c r="AO738" s="71"/>
      <c r="AP738" s="71"/>
      <c r="AQ738" s="71"/>
      <c r="AR738" s="71"/>
      <c r="AS738" s="71"/>
      <c r="AT738" s="71"/>
      <c r="AU738" s="71"/>
      <c r="AV738" s="71"/>
      <c r="AW738" s="71"/>
      <c r="AX738" s="71"/>
      <c r="AY738" s="71"/>
      <c r="AZ738" s="71"/>
      <c r="BA738" s="71"/>
      <c r="BB738" s="71"/>
      <c r="BC738" s="71"/>
      <c r="BD738" s="71"/>
      <c r="BE738" s="71"/>
      <c r="BF738" s="71"/>
      <c r="BG738" s="71"/>
      <c r="BH738" s="71"/>
      <c r="BI738" s="71"/>
      <c r="BJ738" s="71"/>
      <c r="BK738" s="71"/>
      <c r="BL738" s="71"/>
      <c r="BM738" s="71"/>
    </row>
    <row r="739">
      <c r="A739" s="72"/>
      <c r="B739" s="72"/>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c r="AA739" s="71"/>
      <c r="AB739" s="71"/>
      <c r="AC739" s="71"/>
      <c r="AD739" s="71"/>
      <c r="AE739" s="71"/>
      <c r="AF739" s="71"/>
      <c r="AG739" s="71"/>
      <c r="AH739" s="71"/>
      <c r="AI739" s="71"/>
      <c r="AJ739" s="71"/>
      <c r="AK739" s="71"/>
      <c r="AL739" s="71"/>
      <c r="AM739" s="71"/>
      <c r="AN739" s="71"/>
      <c r="AO739" s="71"/>
      <c r="AP739" s="71"/>
      <c r="AQ739" s="71"/>
      <c r="AR739" s="71"/>
      <c r="AS739" s="71"/>
      <c r="AT739" s="71"/>
      <c r="AU739" s="71"/>
      <c r="AV739" s="71"/>
      <c r="AW739" s="71"/>
      <c r="AX739" s="71"/>
      <c r="AY739" s="71"/>
      <c r="AZ739" s="71"/>
      <c r="BA739" s="71"/>
      <c r="BB739" s="71"/>
      <c r="BC739" s="71"/>
      <c r="BD739" s="71"/>
      <c r="BE739" s="71"/>
      <c r="BF739" s="71"/>
      <c r="BG739" s="71"/>
      <c r="BH739" s="71"/>
      <c r="BI739" s="71"/>
      <c r="BJ739" s="71"/>
      <c r="BK739" s="71"/>
      <c r="BL739" s="71"/>
      <c r="BM739" s="71"/>
    </row>
    <row r="740">
      <c r="A740" s="72"/>
      <c r="B740" s="72"/>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c r="AA740" s="71"/>
      <c r="AB740" s="71"/>
      <c r="AC740" s="71"/>
      <c r="AD740" s="71"/>
      <c r="AE740" s="71"/>
      <c r="AF740" s="71"/>
      <c r="AG740" s="71"/>
      <c r="AH740" s="71"/>
      <c r="AI740" s="71"/>
      <c r="AJ740" s="71"/>
      <c r="AK740" s="71"/>
      <c r="AL740" s="71"/>
      <c r="AM740" s="71"/>
      <c r="AN740" s="71"/>
      <c r="AO740" s="71"/>
      <c r="AP740" s="71"/>
      <c r="AQ740" s="71"/>
      <c r="AR740" s="71"/>
      <c r="AS740" s="71"/>
      <c r="AT740" s="71"/>
      <c r="AU740" s="71"/>
      <c r="AV740" s="71"/>
      <c r="AW740" s="71"/>
      <c r="AX740" s="71"/>
      <c r="AY740" s="71"/>
      <c r="AZ740" s="71"/>
      <c r="BA740" s="71"/>
      <c r="BB740" s="71"/>
      <c r="BC740" s="71"/>
      <c r="BD740" s="71"/>
      <c r="BE740" s="71"/>
      <c r="BF740" s="71"/>
      <c r="BG740" s="71"/>
      <c r="BH740" s="71"/>
      <c r="BI740" s="71"/>
      <c r="BJ740" s="71"/>
      <c r="BK740" s="71"/>
      <c r="BL740" s="71"/>
      <c r="BM740" s="71"/>
    </row>
    <row r="741">
      <c r="A741" s="72"/>
      <c r="B741" s="72"/>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c r="AA741" s="71"/>
      <c r="AB741" s="71"/>
      <c r="AC741" s="71"/>
      <c r="AD741" s="71"/>
      <c r="AE741" s="71"/>
      <c r="AF741" s="71"/>
      <c r="AG741" s="71"/>
      <c r="AH741" s="71"/>
      <c r="AI741" s="71"/>
      <c r="AJ741" s="71"/>
      <c r="AK741" s="71"/>
      <c r="AL741" s="71"/>
      <c r="AM741" s="71"/>
      <c r="AN741" s="71"/>
      <c r="AO741" s="71"/>
      <c r="AP741" s="71"/>
      <c r="AQ741" s="71"/>
      <c r="AR741" s="71"/>
      <c r="AS741" s="71"/>
      <c r="AT741" s="71"/>
      <c r="AU741" s="71"/>
      <c r="AV741" s="71"/>
      <c r="AW741" s="71"/>
      <c r="AX741" s="71"/>
      <c r="AY741" s="71"/>
      <c r="AZ741" s="71"/>
      <c r="BA741" s="71"/>
      <c r="BB741" s="71"/>
      <c r="BC741" s="71"/>
      <c r="BD741" s="71"/>
      <c r="BE741" s="71"/>
      <c r="BF741" s="71"/>
      <c r="BG741" s="71"/>
      <c r="BH741" s="71"/>
      <c r="BI741" s="71"/>
      <c r="BJ741" s="71"/>
      <c r="BK741" s="71"/>
      <c r="BL741" s="71"/>
      <c r="BM741" s="71"/>
    </row>
    <row r="742">
      <c r="A742" s="72"/>
      <c r="B742" s="72"/>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c r="AA742" s="71"/>
      <c r="AB742" s="71"/>
      <c r="AC742" s="71"/>
      <c r="AD742" s="71"/>
      <c r="AE742" s="71"/>
      <c r="AF742" s="71"/>
      <c r="AG742" s="71"/>
      <c r="AH742" s="71"/>
      <c r="AI742" s="71"/>
      <c r="AJ742" s="71"/>
      <c r="AK742" s="71"/>
      <c r="AL742" s="71"/>
      <c r="AM742" s="71"/>
      <c r="AN742" s="71"/>
      <c r="AO742" s="71"/>
      <c r="AP742" s="71"/>
      <c r="AQ742" s="71"/>
      <c r="AR742" s="71"/>
      <c r="AS742" s="71"/>
      <c r="AT742" s="71"/>
      <c r="AU742" s="71"/>
      <c r="AV742" s="71"/>
      <c r="AW742" s="71"/>
      <c r="AX742" s="71"/>
      <c r="AY742" s="71"/>
      <c r="AZ742" s="71"/>
      <c r="BA742" s="71"/>
      <c r="BB742" s="71"/>
      <c r="BC742" s="71"/>
      <c r="BD742" s="71"/>
      <c r="BE742" s="71"/>
      <c r="BF742" s="71"/>
      <c r="BG742" s="71"/>
      <c r="BH742" s="71"/>
      <c r="BI742" s="71"/>
      <c r="BJ742" s="71"/>
      <c r="BK742" s="71"/>
      <c r="BL742" s="71"/>
      <c r="BM742" s="71"/>
    </row>
    <row r="743">
      <c r="A743" s="72"/>
      <c r="B743" s="72"/>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c r="AA743" s="71"/>
      <c r="AB743" s="71"/>
      <c r="AC743" s="71"/>
      <c r="AD743" s="71"/>
      <c r="AE743" s="71"/>
      <c r="AF743" s="71"/>
      <c r="AG743" s="71"/>
      <c r="AH743" s="71"/>
      <c r="AI743" s="71"/>
      <c r="AJ743" s="71"/>
      <c r="AK743" s="71"/>
      <c r="AL743" s="71"/>
      <c r="AM743" s="71"/>
      <c r="AN743" s="71"/>
      <c r="AO743" s="71"/>
      <c r="AP743" s="71"/>
      <c r="AQ743" s="71"/>
      <c r="AR743" s="71"/>
      <c r="AS743" s="71"/>
      <c r="AT743" s="71"/>
      <c r="AU743" s="71"/>
      <c r="AV743" s="71"/>
      <c r="AW743" s="71"/>
      <c r="AX743" s="71"/>
      <c r="AY743" s="71"/>
      <c r="AZ743" s="71"/>
      <c r="BA743" s="71"/>
      <c r="BB743" s="71"/>
      <c r="BC743" s="71"/>
      <c r="BD743" s="71"/>
      <c r="BE743" s="71"/>
      <c r="BF743" s="71"/>
      <c r="BG743" s="71"/>
      <c r="BH743" s="71"/>
      <c r="BI743" s="71"/>
      <c r="BJ743" s="71"/>
      <c r="BK743" s="71"/>
      <c r="BL743" s="71"/>
      <c r="BM743" s="71"/>
    </row>
    <row r="744">
      <c r="A744" s="72"/>
      <c r="B744" s="72"/>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c r="AA744" s="71"/>
      <c r="AB744" s="71"/>
      <c r="AC744" s="71"/>
      <c r="AD744" s="71"/>
      <c r="AE744" s="71"/>
      <c r="AF744" s="71"/>
      <c r="AG744" s="71"/>
      <c r="AH744" s="71"/>
      <c r="AI744" s="71"/>
      <c r="AJ744" s="71"/>
      <c r="AK744" s="71"/>
      <c r="AL744" s="71"/>
      <c r="AM744" s="71"/>
      <c r="AN744" s="71"/>
      <c r="AO744" s="71"/>
      <c r="AP744" s="71"/>
      <c r="AQ744" s="71"/>
      <c r="AR744" s="71"/>
      <c r="AS744" s="71"/>
      <c r="AT744" s="71"/>
      <c r="AU744" s="71"/>
      <c r="AV744" s="71"/>
      <c r="AW744" s="71"/>
      <c r="AX744" s="71"/>
      <c r="AY744" s="71"/>
      <c r="AZ744" s="71"/>
      <c r="BA744" s="71"/>
      <c r="BB744" s="71"/>
      <c r="BC744" s="71"/>
      <c r="BD744" s="71"/>
      <c r="BE744" s="71"/>
      <c r="BF744" s="71"/>
      <c r="BG744" s="71"/>
      <c r="BH744" s="71"/>
      <c r="BI744" s="71"/>
      <c r="BJ744" s="71"/>
      <c r="BK744" s="71"/>
      <c r="BL744" s="71"/>
      <c r="BM744" s="71"/>
    </row>
    <row r="745">
      <c r="A745" s="72"/>
      <c r="B745" s="72"/>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c r="AA745" s="71"/>
      <c r="AB745" s="71"/>
      <c r="AC745" s="71"/>
      <c r="AD745" s="71"/>
      <c r="AE745" s="71"/>
      <c r="AF745" s="71"/>
      <c r="AG745" s="71"/>
      <c r="AH745" s="71"/>
      <c r="AI745" s="71"/>
      <c r="AJ745" s="71"/>
      <c r="AK745" s="71"/>
      <c r="AL745" s="71"/>
      <c r="AM745" s="71"/>
      <c r="AN745" s="71"/>
      <c r="AO745" s="71"/>
      <c r="AP745" s="71"/>
      <c r="AQ745" s="71"/>
      <c r="AR745" s="71"/>
      <c r="AS745" s="71"/>
      <c r="AT745" s="71"/>
      <c r="AU745" s="71"/>
      <c r="AV745" s="71"/>
      <c r="AW745" s="71"/>
      <c r="AX745" s="71"/>
      <c r="AY745" s="71"/>
      <c r="AZ745" s="71"/>
      <c r="BA745" s="71"/>
      <c r="BB745" s="71"/>
      <c r="BC745" s="71"/>
      <c r="BD745" s="71"/>
      <c r="BE745" s="71"/>
      <c r="BF745" s="71"/>
      <c r="BG745" s="71"/>
      <c r="BH745" s="71"/>
      <c r="BI745" s="71"/>
      <c r="BJ745" s="71"/>
      <c r="BK745" s="71"/>
      <c r="BL745" s="71"/>
      <c r="BM745" s="71"/>
    </row>
    <row r="746">
      <c r="A746" s="72"/>
      <c r="B746" s="72"/>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c r="AA746" s="71"/>
      <c r="AB746" s="71"/>
      <c r="AC746" s="71"/>
      <c r="AD746" s="71"/>
      <c r="AE746" s="71"/>
      <c r="AF746" s="71"/>
      <c r="AG746" s="71"/>
      <c r="AH746" s="71"/>
      <c r="AI746" s="71"/>
      <c r="AJ746" s="71"/>
      <c r="AK746" s="71"/>
      <c r="AL746" s="71"/>
      <c r="AM746" s="71"/>
      <c r="AN746" s="71"/>
      <c r="AO746" s="71"/>
      <c r="AP746" s="71"/>
      <c r="AQ746" s="71"/>
      <c r="AR746" s="71"/>
      <c r="AS746" s="71"/>
      <c r="AT746" s="71"/>
      <c r="AU746" s="71"/>
      <c r="AV746" s="71"/>
      <c r="AW746" s="71"/>
      <c r="AX746" s="71"/>
      <c r="AY746" s="71"/>
      <c r="AZ746" s="71"/>
      <c r="BA746" s="71"/>
      <c r="BB746" s="71"/>
      <c r="BC746" s="71"/>
      <c r="BD746" s="71"/>
      <c r="BE746" s="71"/>
      <c r="BF746" s="71"/>
      <c r="BG746" s="71"/>
      <c r="BH746" s="71"/>
      <c r="BI746" s="71"/>
      <c r="BJ746" s="71"/>
      <c r="BK746" s="71"/>
      <c r="BL746" s="71"/>
      <c r="BM746" s="71"/>
    </row>
    <row r="747">
      <c r="A747" s="72"/>
      <c r="B747" s="72"/>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c r="AA747" s="71"/>
      <c r="AB747" s="71"/>
      <c r="AC747" s="71"/>
      <c r="AD747" s="71"/>
      <c r="AE747" s="71"/>
      <c r="AF747" s="71"/>
      <c r="AG747" s="71"/>
      <c r="AH747" s="71"/>
      <c r="AI747" s="71"/>
      <c r="AJ747" s="71"/>
      <c r="AK747" s="71"/>
      <c r="AL747" s="71"/>
      <c r="AM747" s="71"/>
      <c r="AN747" s="71"/>
      <c r="AO747" s="71"/>
      <c r="AP747" s="71"/>
      <c r="AQ747" s="71"/>
      <c r="AR747" s="71"/>
      <c r="AS747" s="71"/>
      <c r="AT747" s="71"/>
      <c r="AU747" s="71"/>
      <c r="AV747" s="71"/>
      <c r="AW747" s="71"/>
      <c r="AX747" s="71"/>
      <c r="AY747" s="71"/>
      <c r="AZ747" s="71"/>
      <c r="BA747" s="71"/>
      <c r="BB747" s="71"/>
      <c r="BC747" s="71"/>
      <c r="BD747" s="71"/>
      <c r="BE747" s="71"/>
      <c r="BF747" s="71"/>
      <c r="BG747" s="71"/>
      <c r="BH747" s="71"/>
      <c r="BI747" s="71"/>
      <c r="BJ747" s="71"/>
      <c r="BK747" s="71"/>
      <c r="BL747" s="71"/>
      <c r="BM747" s="71"/>
    </row>
    <row r="748">
      <c r="A748" s="72"/>
      <c r="B748" s="72"/>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c r="AA748" s="71"/>
      <c r="AB748" s="71"/>
      <c r="AC748" s="71"/>
      <c r="AD748" s="71"/>
      <c r="AE748" s="71"/>
      <c r="AF748" s="71"/>
      <c r="AG748" s="71"/>
      <c r="AH748" s="71"/>
      <c r="AI748" s="71"/>
      <c r="AJ748" s="71"/>
      <c r="AK748" s="71"/>
      <c r="AL748" s="71"/>
      <c r="AM748" s="71"/>
      <c r="AN748" s="71"/>
      <c r="AO748" s="71"/>
      <c r="AP748" s="71"/>
      <c r="AQ748" s="71"/>
      <c r="AR748" s="71"/>
      <c r="AS748" s="71"/>
      <c r="AT748" s="71"/>
      <c r="AU748" s="71"/>
      <c r="AV748" s="71"/>
      <c r="AW748" s="71"/>
      <c r="AX748" s="71"/>
      <c r="AY748" s="71"/>
      <c r="AZ748" s="71"/>
      <c r="BA748" s="71"/>
      <c r="BB748" s="71"/>
      <c r="BC748" s="71"/>
      <c r="BD748" s="71"/>
      <c r="BE748" s="71"/>
      <c r="BF748" s="71"/>
      <c r="BG748" s="71"/>
      <c r="BH748" s="71"/>
      <c r="BI748" s="71"/>
      <c r="BJ748" s="71"/>
      <c r="BK748" s="71"/>
      <c r="BL748" s="71"/>
      <c r="BM748" s="71"/>
    </row>
    <row r="749">
      <c r="A749" s="72"/>
      <c r="B749" s="72"/>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c r="AA749" s="71"/>
      <c r="AB749" s="71"/>
      <c r="AC749" s="71"/>
      <c r="AD749" s="71"/>
      <c r="AE749" s="71"/>
      <c r="AF749" s="71"/>
      <c r="AG749" s="71"/>
      <c r="AH749" s="71"/>
      <c r="AI749" s="71"/>
      <c r="AJ749" s="71"/>
      <c r="AK749" s="71"/>
      <c r="AL749" s="71"/>
      <c r="AM749" s="71"/>
      <c r="AN749" s="71"/>
      <c r="AO749" s="71"/>
      <c r="AP749" s="71"/>
      <c r="AQ749" s="71"/>
      <c r="AR749" s="71"/>
      <c r="AS749" s="71"/>
      <c r="AT749" s="71"/>
      <c r="AU749" s="71"/>
      <c r="AV749" s="71"/>
      <c r="AW749" s="71"/>
      <c r="AX749" s="71"/>
      <c r="AY749" s="71"/>
      <c r="AZ749" s="71"/>
      <c r="BA749" s="71"/>
      <c r="BB749" s="71"/>
      <c r="BC749" s="71"/>
      <c r="BD749" s="71"/>
      <c r="BE749" s="71"/>
      <c r="BF749" s="71"/>
      <c r="BG749" s="71"/>
      <c r="BH749" s="71"/>
      <c r="BI749" s="71"/>
      <c r="BJ749" s="71"/>
      <c r="BK749" s="71"/>
      <c r="BL749" s="71"/>
      <c r="BM749" s="71"/>
    </row>
    <row r="750">
      <c r="A750" s="72"/>
      <c r="B750" s="72"/>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c r="AA750" s="71"/>
      <c r="AB750" s="71"/>
      <c r="AC750" s="71"/>
      <c r="AD750" s="71"/>
      <c r="AE750" s="71"/>
      <c r="AF750" s="71"/>
      <c r="AG750" s="71"/>
      <c r="AH750" s="71"/>
      <c r="AI750" s="71"/>
      <c r="AJ750" s="71"/>
      <c r="AK750" s="71"/>
      <c r="AL750" s="71"/>
      <c r="AM750" s="71"/>
      <c r="AN750" s="71"/>
      <c r="AO750" s="71"/>
      <c r="AP750" s="71"/>
      <c r="AQ750" s="71"/>
      <c r="AR750" s="71"/>
      <c r="AS750" s="71"/>
      <c r="AT750" s="71"/>
      <c r="AU750" s="71"/>
      <c r="AV750" s="71"/>
      <c r="AW750" s="71"/>
      <c r="AX750" s="71"/>
      <c r="AY750" s="71"/>
      <c r="AZ750" s="71"/>
      <c r="BA750" s="71"/>
      <c r="BB750" s="71"/>
      <c r="BC750" s="71"/>
      <c r="BD750" s="71"/>
      <c r="BE750" s="71"/>
      <c r="BF750" s="71"/>
      <c r="BG750" s="71"/>
      <c r="BH750" s="71"/>
      <c r="BI750" s="71"/>
      <c r="BJ750" s="71"/>
      <c r="BK750" s="71"/>
      <c r="BL750" s="71"/>
      <c r="BM750" s="71"/>
    </row>
    <row r="751">
      <c r="A751" s="72"/>
      <c r="B751" s="72"/>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c r="AA751" s="71"/>
      <c r="AB751" s="71"/>
      <c r="AC751" s="71"/>
      <c r="AD751" s="71"/>
      <c r="AE751" s="71"/>
      <c r="AF751" s="71"/>
      <c r="AG751" s="71"/>
      <c r="AH751" s="71"/>
      <c r="AI751" s="71"/>
      <c r="AJ751" s="71"/>
      <c r="AK751" s="71"/>
      <c r="AL751" s="71"/>
      <c r="AM751" s="71"/>
      <c r="AN751" s="71"/>
      <c r="AO751" s="71"/>
      <c r="AP751" s="71"/>
      <c r="AQ751" s="71"/>
      <c r="AR751" s="71"/>
      <c r="AS751" s="71"/>
      <c r="AT751" s="71"/>
      <c r="AU751" s="71"/>
      <c r="AV751" s="71"/>
      <c r="AW751" s="71"/>
      <c r="AX751" s="71"/>
      <c r="AY751" s="71"/>
      <c r="AZ751" s="71"/>
      <c r="BA751" s="71"/>
      <c r="BB751" s="71"/>
      <c r="BC751" s="71"/>
      <c r="BD751" s="71"/>
      <c r="BE751" s="71"/>
      <c r="BF751" s="71"/>
      <c r="BG751" s="71"/>
      <c r="BH751" s="71"/>
      <c r="BI751" s="71"/>
      <c r="BJ751" s="71"/>
      <c r="BK751" s="71"/>
      <c r="BL751" s="71"/>
      <c r="BM751" s="71"/>
    </row>
    <row r="752">
      <c r="A752" s="72"/>
      <c r="B752" s="72"/>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c r="AA752" s="71"/>
      <c r="AB752" s="71"/>
      <c r="AC752" s="71"/>
      <c r="AD752" s="71"/>
      <c r="AE752" s="71"/>
      <c r="AF752" s="71"/>
      <c r="AG752" s="71"/>
      <c r="AH752" s="71"/>
      <c r="AI752" s="71"/>
      <c r="AJ752" s="71"/>
      <c r="AK752" s="71"/>
      <c r="AL752" s="71"/>
      <c r="AM752" s="71"/>
      <c r="AN752" s="71"/>
      <c r="AO752" s="71"/>
      <c r="AP752" s="71"/>
      <c r="AQ752" s="71"/>
      <c r="AR752" s="71"/>
      <c r="AS752" s="71"/>
      <c r="AT752" s="71"/>
      <c r="AU752" s="71"/>
      <c r="AV752" s="71"/>
      <c r="AW752" s="71"/>
      <c r="AX752" s="71"/>
      <c r="AY752" s="71"/>
      <c r="AZ752" s="71"/>
      <c r="BA752" s="71"/>
      <c r="BB752" s="71"/>
      <c r="BC752" s="71"/>
      <c r="BD752" s="71"/>
      <c r="BE752" s="71"/>
      <c r="BF752" s="71"/>
      <c r="BG752" s="71"/>
      <c r="BH752" s="71"/>
      <c r="BI752" s="71"/>
      <c r="BJ752" s="71"/>
      <c r="BK752" s="71"/>
      <c r="BL752" s="71"/>
      <c r="BM752" s="71"/>
    </row>
    <row r="753">
      <c r="A753" s="72"/>
      <c r="B753" s="72"/>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c r="AA753" s="71"/>
      <c r="AB753" s="71"/>
      <c r="AC753" s="71"/>
      <c r="AD753" s="71"/>
      <c r="AE753" s="71"/>
      <c r="AF753" s="71"/>
      <c r="AG753" s="71"/>
      <c r="AH753" s="71"/>
      <c r="AI753" s="71"/>
      <c r="AJ753" s="71"/>
      <c r="AK753" s="71"/>
      <c r="AL753" s="71"/>
      <c r="AM753" s="71"/>
      <c r="AN753" s="71"/>
      <c r="AO753" s="71"/>
      <c r="AP753" s="71"/>
      <c r="AQ753" s="71"/>
      <c r="AR753" s="71"/>
      <c r="AS753" s="71"/>
      <c r="AT753" s="71"/>
      <c r="AU753" s="71"/>
      <c r="AV753" s="71"/>
      <c r="AW753" s="71"/>
      <c r="AX753" s="71"/>
      <c r="AY753" s="71"/>
      <c r="AZ753" s="71"/>
      <c r="BA753" s="71"/>
      <c r="BB753" s="71"/>
      <c r="BC753" s="71"/>
      <c r="BD753" s="71"/>
      <c r="BE753" s="71"/>
      <c r="BF753" s="71"/>
      <c r="BG753" s="71"/>
      <c r="BH753" s="71"/>
      <c r="BI753" s="71"/>
      <c r="BJ753" s="71"/>
      <c r="BK753" s="71"/>
      <c r="BL753" s="71"/>
      <c r="BM753" s="71"/>
    </row>
    <row r="754">
      <c r="A754" s="72"/>
      <c r="B754" s="72"/>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c r="AA754" s="71"/>
      <c r="AB754" s="71"/>
      <c r="AC754" s="71"/>
      <c r="AD754" s="71"/>
      <c r="AE754" s="71"/>
      <c r="AF754" s="71"/>
      <c r="AG754" s="71"/>
      <c r="AH754" s="71"/>
      <c r="AI754" s="71"/>
      <c r="AJ754" s="71"/>
      <c r="AK754" s="71"/>
      <c r="AL754" s="71"/>
      <c r="AM754" s="71"/>
      <c r="AN754" s="71"/>
      <c r="AO754" s="71"/>
      <c r="AP754" s="71"/>
      <c r="AQ754" s="71"/>
      <c r="AR754" s="71"/>
      <c r="AS754" s="71"/>
      <c r="AT754" s="71"/>
      <c r="AU754" s="71"/>
      <c r="AV754" s="71"/>
      <c r="AW754" s="71"/>
      <c r="AX754" s="71"/>
      <c r="AY754" s="71"/>
      <c r="AZ754" s="71"/>
      <c r="BA754" s="71"/>
      <c r="BB754" s="71"/>
      <c r="BC754" s="71"/>
      <c r="BD754" s="71"/>
      <c r="BE754" s="71"/>
      <c r="BF754" s="71"/>
      <c r="BG754" s="71"/>
      <c r="BH754" s="71"/>
      <c r="BI754" s="71"/>
      <c r="BJ754" s="71"/>
      <c r="BK754" s="71"/>
      <c r="BL754" s="71"/>
      <c r="BM754" s="71"/>
    </row>
    <row r="755">
      <c r="A755" s="72"/>
      <c r="B755" s="72"/>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c r="AA755" s="71"/>
      <c r="AB755" s="71"/>
      <c r="AC755" s="71"/>
      <c r="AD755" s="71"/>
      <c r="AE755" s="71"/>
      <c r="AF755" s="71"/>
      <c r="AG755" s="71"/>
      <c r="AH755" s="71"/>
      <c r="AI755" s="71"/>
      <c r="AJ755" s="71"/>
      <c r="AK755" s="71"/>
      <c r="AL755" s="71"/>
      <c r="AM755" s="71"/>
      <c r="AN755" s="71"/>
      <c r="AO755" s="71"/>
      <c r="AP755" s="71"/>
      <c r="AQ755" s="71"/>
      <c r="AR755" s="71"/>
      <c r="AS755" s="71"/>
      <c r="AT755" s="71"/>
      <c r="AU755" s="71"/>
      <c r="AV755" s="71"/>
      <c r="AW755" s="71"/>
      <c r="AX755" s="71"/>
      <c r="AY755" s="71"/>
      <c r="AZ755" s="71"/>
      <c r="BA755" s="71"/>
      <c r="BB755" s="71"/>
      <c r="BC755" s="71"/>
      <c r="BD755" s="71"/>
      <c r="BE755" s="71"/>
      <c r="BF755" s="71"/>
      <c r="BG755" s="71"/>
      <c r="BH755" s="71"/>
      <c r="BI755" s="71"/>
      <c r="BJ755" s="71"/>
      <c r="BK755" s="71"/>
      <c r="BL755" s="71"/>
      <c r="BM755" s="71"/>
    </row>
    <row r="756">
      <c r="A756" s="72"/>
      <c r="B756" s="72"/>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c r="AA756" s="71"/>
      <c r="AB756" s="71"/>
      <c r="AC756" s="71"/>
      <c r="AD756" s="71"/>
      <c r="AE756" s="71"/>
      <c r="AF756" s="71"/>
      <c r="AG756" s="71"/>
      <c r="AH756" s="71"/>
      <c r="AI756" s="71"/>
      <c r="AJ756" s="71"/>
      <c r="AK756" s="71"/>
      <c r="AL756" s="71"/>
      <c r="AM756" s="71"/>
      <c r="AN756" s="71"/>
      <c r="AO756" s="71"/>
      <c r="AP756" s="71"/>
      <c r="AQ756" s="71"/>
      <c r="AR756" s="71"/>
      <c r="AS756" s="71"/>
      <c r="AT756" s="71"/>
      <c r="AU756" s="71"/>
      <c r="AV756" s="71"/>
      <c r="AW756" s="71"/>
      <c r="AX756" s="71"/>
      <c r="AY756" s="71"/>
      <c r="AZ756" s="71"/>
      <c r="BA756" s="71"/>
      <c r="BB756" s="71"/>
      <c r="BC756" s="71"/>
      <c r="BD756" s="71"/>
      <c r="BE756" s="71"/>
      <c r="BF756" s="71"/>
      <c r="BG756" s="71"/>
      <c r="BH756" s="71"/>
      <c r="BI756" s="71"/>
      <c r="BJ756" s="71"/>
      <c r="BK756" s="71"/>
      <c r="BL756" s="71"/>
      <c r="BM756" s="71"/>
    </row>
    <row r="757">
      <c r="A757" s="72"/>
      <c r="B757" s="72"/>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c r="AA757" s="71"/>
      <c r="AB757" s="71"/>
      <c r="AC757" s="71"/>
      <c r="AD757" s="71"/>
      <c r="AE757" s="71"/>
      <c r="AF757" s="71"/>
      <c r="AG757" s="71"/>
      <c r="AH757" s="71"/>
      <c r="AI757" s="71"/>
      <c r="AJ757" s="71"/>
      <c r="AK757" s="71"/>
      <c r="AL757" s="71"/>
      <c r="AM757" s="71"/>
      <c r="AN757" s="71"/>
      <c r="AO757" s="71"/>
      <c r="AP757" s="71"/>
      <c r="AQ757" s="71"/>
      <c r="AR757" s="71"/>
      <c r="AS757" s="71"/>
      <c r="AT757" s="71"/>
      <c r="AU757" s="71"/>
      <c r="AV757" s="71"/>
      <c r="AW757" s="71"/>
      <c r="AX757" s="71"/>
      <c r="AY757" s="71"/>
      <c r="AZ757" s="71"/>
      <c r="BA757" s="71"/>
      <c r="BB757" s="71"/>
      <c r="BC757" s="71"/>
      <c r="BD757" s="71"/>
      <c r="BE757" s="71"/>
      <c r="BF757" s="71"/>
      <c r="BG757" s="71"/>
      <c r="BH757" s="71"/>
      <c r="BI757" s="71"/>
      <c r="BJ757" s="71"/>
      <c r="BK757" s="71"/>
      <c r="BL757" s="71"/>
      <c r="BM757" s="71"/>
    </row>
    <row r="758">
      <c r="A758" s="72"/>
      <c r="B758" s="72"/>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c r="AA758" s="71"/>
      <c r="AB758" s="71"/>
      <c r="AC758" s="71"/>
      <c r="AD758" s="71"/>
      <c r="AE758" s="71"/>
      <c r="AF758" s="71"/>
      <c r="AG758" s="71"/>
      <c r="AH758" s="71"/>
      <c r="AI758" s="71"/>
      <c r="AJ758" s="71"/>
      <c r="AK758" s="71"/>
      <c r="AL758" s="71"/>
      <c r="AM758" s="71"/>
      <c r="AN758" s="71"/>
      <c r="AO758" s="71"/>
      <c r="AP758" s="71"/>
      <c r="AQ758" s="71"/>
      <c r="AR758" s="71"/>
      <c r="AS758" s="71"/>
      <c r="AT758" s="71"/>
      <c r="AU758" s="71"/>
      <c r="AV758" s="71"/>
      <c r="AW758" s="71"/>
      <c r="AX758" s="71"/>
      <c r="AY758" s="71"/>
      <c r="AZ758" s="71"/>
      <c r="BA758" s="71"/>
      <c r="BB758" s="71"/>
      <c r="BC758" s="71"/>
      <c r="BD758" s="71"/>
      <c r="BE758" s="71"/>
      <c r="BF758" s="71"/>
      <c r="BG758" s="71"/>
      <c r="BH758" s="71"/>
      <c r="BI758" s="71"/>
      <c r="BJ758" s="71"/>
      <c r="BK758" s="71"/>
      <c r="BL758" s="71"/>
      <c r="BM758" s="71"/>
    </row>
    <row r="759">
      <c r="A759" s="72"/>
      <c r="B759" s="72"/>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c r="AA759" s="71"/>
      <c r="AB759" s="71"/>
      <c r="AC759" s="71"/>
      <c r="AD759" s="71"/>
      <c r="AE759" s="71"/>
      <c r="AF759" s="71"/>
      <c r="AG759" s="71"/>
      <c r="AH759" s="71"/>
      <c r="AI759" s="71"/>
      <c r="AJ759" s="71"/>
      <c r="AK759" s="71"/>
      <c r="AL759" s="71"/>
      <c r="AM759" s="71"/>
      <c r="AN759" s="71"/>
      <c r="AO759" s="71"/>
      <c r="AP759" s="71"/>
      <c r="AQ759" s="71"/>
      <c r="AR759" s="71"/>
      <c r="AS759" s="71"/>
      <c r="AT759" s="71"/>
      <c r="AU759" s="71"/>
      <c r="AV759" s="71"/>
      <c r="AW759" s="71"/>
      <c r="AX759" s="71"/>
      <c r="AY759" s="71"/>
      <c r="AZ759" s="71"/>
      <c r="BA759" s="71"/>
      <c r="BB759" s="71"/>
      <c r="BC759" s="71"/>
      <c r="BD759" s="71"/>
      <c r="BE759" s="71"/>
      <c r="BF759" s="71"/>
      <c r="BG759" s="71"/>
      <c r="BH759" s="71"/>
      <c r="BI759" s="71"/>
      <c r="BJ759" s="71"/>
      <c r="BK759" s="71"/>
      <c r="BL759" s="71"/>
      <c r="BM759" s="71"/>
    </row>
    <row r="760">
      <c r="A760" s="72"/>
      <c r="B760" s="72"/>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c r="AA760" s="71"/>
      <c r="AB760" s="71"/>
      <c r="AC760" s="71"/>
      <c r="AD760" s="71"/>
      <c r="AE760" s="71"/>
      <c r="AF760" s="71"/>
      <c r="AG760" s="71"/>
      <c r="AH760" s="71"/>
      <c r="AI760" s="71"/>
      <c r="AJ760" s="71"/>
      <c r="AK760" s="71"/>
      <c r="AL760" s="71"/>
      <c r="AM760" s="71"/>
      <c r="AN760" s="71"/>
      <c r="AO760" s="71"/>
      <c r="AP760" s="71"/>
      <c r="AQ760" s="71"/>
      <c r="AR760" s="71"/>
      <c r="AS760" s="71"/>
      <c r="AT760" s="71"/>
      <c r="AU760" s="71"/>
      <c r="AV760" s="71"/>
      <c r="AW760" s="71"/>
      <c r="AX760" s="71"/>
      <c r="AY760" s="71"/>
      <c r="AZ760" s="71"/>
      <c r="BA760" s="71"/>
      <c r="BB760" s="71"/>
      <c r="BC760" s="71"/>
      <c r="BD760" s="71"/>
      <c r="BE760" s="71"/>
      <c r="BF760" s="71"/>
      <c r="BG760" s="71"/>
      <c r="BH760" s="71"/>
      <c r="BI760" s="71"/>
      <c r="BJ760" s="71"/>
      <c r="BK760" s="71"/>
      <c r="BL760" s="71"/>
      <c r="BM760" s="71"/>
    </row>
    <row r="761">
      <c r="A761" s="72"/>
      <c r="B761" s="72"/>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c r="AA761" s="71"/>
      <c r="AB761" s="71"/>
      <c r="AC761" s="71"/>
      <c r="AD761" s="71"/>
      <c r="AE761" s="71"/>
      <c r="AF761" s="71"/>
      <c r="AG761" s="71"/>
      <c r="AH761" s="71"/>
      <c r="AI761" s="71"/>
      <c r="AJ761" s="71"/>
      <c r="AK761" s="71"/>
      <c r="AL761" s="71"/>
      <c r="AM761" s="71"/>
      <c r="AN761" s="71"/>
      <c r="AO761" s="71"/>
      <c r="AP761" s="71"/>
      <c r="AQ761" s="71"/>
      <c r="AR761" s="71"/>
      <c r="AS761" s="71"/>
      <c r="AT761" s="71"/>
      <c r="AU761" s="71"/>
      <c r="AV761" s="71"/>
      <c r="AW761" s="71"/>
      <c r="AX761" s="71"/>
      <c r="AY761" s="71"/>
      <c r="AZ761" s="71"/>
      <c r="BA761" s="71"/>
      <c r="BB761" s="71"/>
      <c r="BC761" s="71"/>
      <c r="BD761" s="71"/>
      <c r="BE761" s="71"/>
      <c r="BF761" s="71"/>
      <c r="BG761" s="71"/>
      <c r="BH761" s="71"/>
      <c r="BI761" s="71"/>
      <c r="BJ761" s="71"/>
      <c r="BK761" s="71"/>
      <c r="BL761" s="71"/>
      <c r="BM761" s="71"/>
    </row>
    <row r="762">
      <c r="A762" s="72"/>
      <c r="B762" s="72"/>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c r="AA762" s="71"/>
      <c r="AB762" s="71"/>
      <c r="AC762" s="71"/>
      <c r="AD762" s="71"/>
      <c r="AE762" s="71"/>
      <c r="AF762" s="71"/>
      <c r="AG762" s="71"/>
      <c r="AH762" s="71"/>
      <c r="AI762" s="71"/>
      <c r="AJ762" s="71"/>
      <c r="AK762" s="71"/>
      <c r="AL762" s="71"/>
      <c r="AM762" s="71"/>
      <c r="AN762" s="71"/>
      <c r="AO762" s="71"/>
      <c r="AP762" s="71"/>
      <c r="AQ762" s="71"/>
      <c r="AR762" s="71"/>
      <c r="AS762" s="71"/>
      <c r="AT762" s="71"/>
      <c r="AU762" s="71"/>
      <c r="AV762" s="71"/>
      <c r="AW762" s="71"/>
      <c r="AX762" s="71"/>
      <c r="AY762" s="71"/>
      <c r="AZ762" s="71"/>
      <c r="BA762" s="71"/>
      <c r="BB762" s="71"/>
      <c r="BC762" s="71"/>
      <c r="BD762" s="71"/>
      <c r="BE762" s="71"/>
      <c r="BF762" s="71"/>
      <c r="BG762" s="71"/>
      <c r="BH762" s="71"/>
      <c r="BI762" s="71"/>
      <c r="BJ762" s="71"/>
      <c r="BK762" s="71"/>
      <c r="BL762" s="71"/>
      <c r="BM762" s="71"/>
    </row>
    <row r="763">
      <c r="A763" s="72"/>
      <c r="B763" s="72"/>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c r="AA763" s="71"/>
      <c r="AB763" s="71"/>
      <c r="AC763" s="71"/>
      <c r="AD763" s="71"/>
      <c r="AE763" s="71"/>
      <c r="AF763" s="71"/>
      <c r="AG763" s="71"/>
      <c r="AH763" s="71"/>
      <c r="AI763" s="71"/>
      <c r="AJ763" s="71"/>
      <c r="AK763" s="71"/>
      <c r="AL763" s="71"/>
      <c r="AM763" s="71"/>
      <c r="AN763" s="71"/>
      <c r="AO763" s="71"/>
      <c r="AP763" s="71"/>
      <c r="AQ763" s="71"/>
      <c r="AR763" s="71"/>
      <c r="AS763" s="71"/>
      <c r="AT763" s="71"/>
      <c r="AU763" s="71"/>
      <c r="AV763" s="71"/>
      <c r="AW763" s="71"/>
      <c r="AX763" s="71"/>
      <c r="AY763" s="71"/>
      <c r="AZ763" s="71"/>
      <c r="BA763" s="71"/>
      <c r="BB763" s="71"/>
      <c r="BC763" s="71"/>
      <c r="BD763" s="71"/>
      <c r="BE763" s="71"/>
      <c r="BF763" s="71"/>
      <c r="BG763" s="71"/>
      <c r="BH763" s="71"/>
      <c r="BI763" s="71"/>
      <c r="BJ763" s="71"/>
      <c r="BK763" s="71"/>
      <c r="BL763" s="71"/>
      <c r="BM763" s="71"/>
    </row>
    <row r="764">
      <c r="A764" s="72"/>
      <c r="B764" s="72"/>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c r="AA764" s="71"/>
      <c r="AB764" s="71"/>
      <c r="AC764" s="71"/>
      <c r="AD764" s="71"/>
      <c r="AE764" s="71"/>
      <c r="AF764" s="71"/>
      <c r="AG764" s="71"/>
      <c r="AH764" s="71"/>
      <c r="AI764" s="71"/>
      <c r="AJ764" s="71"/>
      <c r="AK764" s="71"/>
      <c r="AL764" s="71"/>
      <c r="AM764" s="71"/>
      <c r="AN764" s="71"/>
      <c r="AO764" s="71"/>
      <c r="AP764" s="71"/>
      <c r="AQ764" s="71"/>
      <c r="AR764" s="71"/>
      <c r="AS764" s="71"/>
      <c r="AT764" s="71"/>
      <c r="AU764" s="71"/>
      <c r="AV764" s="71"/>
      <c r="AW764" s="71"/>
      <c r="AX764" s="71"/>
      <c r="AY764" s="71"/>
      <c r="AZ764" s="71"/>
      <c r="BA764" s="71"/>
      <c r="BB764" s="71"/>
      <c r="BC764" s="71"/>
      <c r="BD764" s="71"/>
      <c r="BE764" s="71"/>
      <c r="BF764" s="71"/>
      <c r="BG764" s="71"/>
      <c r="BH764" s="71"/>
      <c r="BI764" s="71"/>
      <c r="BJ764" s="71"/>
      <c r="BK764" s="71"/>
      <c r="BL764" s="71"/>
      <c r="BM764" s="71"/>
    </row>
    <row r="765">
      <c r="A765" s="72"/>
      <c r="B765" s="72"/>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c r="AA765" s="71"/>
      <c r="AB765" s="71"/>
      <c r="AC765" s="71"/>
      <c r="AD765" s="71"/>
      <c r="AE765" s="71"/>
      <c r="AF765" s="71"/>
      <c r="AG765" s="71"/>
      <c r="AH765" s="71"/>
      <c r="AI765" s="71"/>
      <c r="AJ765" s="71"/>
      <c r="AK765" s="71"/>
      <c r="AL765" s="71"/>
      <c r="AM765" s="71"/>
      <c r="AN765" s="71"/>
      <c r="AO765" s="71"/>
      <c r="AP765" s="71"/>
      <c r="AQ765" s="71"/>
      <c r="AR765" s="71"/>
      <c r="AS765" s="71"/>
      <c r="AT765" s="71"/>
      <c r="AU765" s="71"/>
      <c r="AV765" s="71"/>
      <c r="AW765" s="71"/>
      <c r="AX765" s="71"/>
      <c r="AY765" s="71"/>
      <c r="AZ765" s="71"/>
      <c r="BA765" s="71"/>
      <c r="BB765" s="71"/>
      <c r="BC765" s="71"/>
      <c r="BD765" s="71"/>
      <c r="BE765" s="71"/>
      <c r="BF765" s="71"/>
      <c r="BG765" s="71"/>
      <c r="BH765" s="71"/>
      <c r="BI765" s="71"/>
      <c r="BJ765" s="71"/>
      <c r="BK765" s="71"/>
      <c r="BL765" s="71"/>
      <c r="BM765" s="71"/>
    </row>
    <row r="766">
      <c r="A766" s="72"/>
      <c r="B766" s="72"/>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c r="AA766" s="71"/>
      <c r="AB766" s="71"/>
      <c r="AC766" s="71"/>
      <c r="AD766" s="71"/>
      <c r="AE766" s="71"/>
      <c r="AF766" s="71"/>
      <c r="AG766" s="71"/>
      <c r="AH766" s="71"/>
      <c r="AI766" s="71"/>
      <c r="AJ766" s="71"/>
      <c r="AK766" s="71"/>
      <c r="AL766" s="71"/>
      <c r="AM766" s="71"/>
      <c r="AN766" s="71"/>
      <c r="AO766" s="71"/>
      <c r="AP766" s="71"/>
      <c r="AQ766" s="71"/>
      <c r="AR766" s="71"/>
      <c r="AS766" s="71"/>
      <c r="AT766" s="71"/>
      <c r="AU766" s="71"/>
      <c r="AV766" s="71"/>
      <c r="AW766" s="71"/>
      <c r="AX766" s="71"/>
      <c r="AY766" s="71"/>
      <c r="AZ766" s="71"/>
      <c r="BA766" s="71"/>
      <c r="BB766" s="71"/>
      <c r="BC766" s="71"/>
      <c r="BD766" s="71"/>
      <c r="BE766" s="71"/>
      <c r="BF766" s="71"/>
      <c r="BG766" s="71"/>
      <c r="BH766" s="71"/>
      <c r="BI766" s="71"/>
      <c r="BJ766" s="71"/>
      <c r="BK766" s="71"/>
      <c r="BL766" s="71"/>
      <c r="BM766" s="71"/>
    </row>
    <row r="767">
      <c r="A767" s="72"/>
      <c r="B767" s="72"/>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c r="AA767" s="71"/>
      <c r="AB767" s="71"/>
      <c r="AC767" s="71"/>
      <c r="AD767" s="71"/>
      <c r="AE767" s="71"/>
      <c r="AF767" s="71"/>
      <c r="AG767" s="71"/>
      <c r="AH767" s="71"/>
      <c r="AI767" s="71"/>
      <c r="AJ767" s="71"/>
      <c r="AK767" s="71"/>
      <c r="AL767" s="71"/>
      <c r="AM767" s="71"/>
      <c r="AN767" s="71"/>
      <c r="AO767" s="71"/>
      <c r="AP767" s="71"/>
      <c r="AQ767" s="71"/>
      <c r="AR767" s="71"/>
      <c r="AS767" s="71"/>
      <c r="AT767" s="71"/>
      <c r="AU767" s="71"/>
      <c r="AV767" s="71"/>
      <c r="AW767" s="71"/>
      <c r="AX767" s="71"/>
      <c r="AY767" s="71"/>
      <c r="AZ767" s="71"/>
      <c r="BA767" s="71"/>
      <c r="BB767" s="71"/>
      <c r="BC767" s="71"/>
      <c r="BD767" s="71"/>
      <c r="BE767" s="71"/>
      <c r="BF767" s="71"/>
      <c r="BG767" s="71"/>
      <c r="BH767" s="71"/>
      <c r="BI767" s="71"/>
      <c r="BJ767" s="71"/>
      <c r="BK767" s="71"/>
      <c r="BL767" s="71"/>
      <c r="BM767" s="71"/>
    </row>
    <row r="768">
      <c r="A768" s="72"/>
      <c r="B768" s="72"/>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c r="AA768" s="71"/>
      <c r="AB768" s="71"/>
      <c r="AC768" s="71"/>
      <c r="AD768" s="71"/>
      <c r="AE768" s="71"/>
      <c r="AF768" s="71"/>
      <c r="AG768" s="71"/>
      <c r="AH768" s="71"/>
      <c r="AI768" s="71"/>
      <c r="AJ768" s="71"/>
      <c r="AK768" s="71"/>
      <c r="AL768" s="71"/>
      <c r="AM768" s="71"/>
      <c r="AN768" s="71"/>
      <c r="AO768" s="71"/>
      <c r="AP768" s="71"/>
      <c r="AQ768" s="71"/>
      <c r="AR768" s="71"/>
      <c r="AS768" s="71"/>
      <c r="AT768" s="71"/>
      <c r="AU768" s="71"/>
      <c r="AV768" s="71"/>
      <c r="AW768" s="71"/>
      <c r="AX768" s="71"/>
      <c r="AY768" s="71"/>
      <c r="AZ768" s="71"/>
      <c r="BA768" s="71"/>
      <c r="BB768" s="71"/>
      <c r="BC768" s="71"/>
      <c r="BD768" s="71"/>
      <c r="BE768" s="71"/>
      <c r="BF768" s="71"/>
      <c r="BG768" s="71"/>
      <c r="BH768" s="71"/>
      <c r="BI768" s="71"/>
      <c r="BJ768" s="71"/>
      <c r="BK768" s="71"/>
      <c r="BL768" s="71"/>
      <c r="BM768" s="71"/>
    </row>
    <row r="769">
      <c r="A769" s="72"/>
      <c r="B769" s="72"/>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c r="AA769" s="71"/>
      <c r="AB769" s="71"/>
      <c r="AC769" s="71"/>
      <c r="AD769" s="71"/>
      <c r="AE769" s="71"/>
      <c r="AF769" s="71"/>
      <c r="AG769" s="71"/>
      <c r="AH769" s="71"/>
      <c r="AI769" s="71"/>
      <c r="AJ769" s="71"/>
      <c r="AK769" s="71"/>
      <c r="AL769" s="71"/>
      <c r="AM769" s="71"/>
      <c r="AN769" s="71"/>
      <c r="AO769" s="71"/>
      <c r="AP769" s="71"/>
      <c r="AQ769" s="71"/>
      <c r="AR769" s="71"/>
      <c r="AS769" s="71"/>
      <c r="AT769" s="71"/>
      <c r="AU769" s="71"/>
      <c r="AV769" s="71"/>
      <c r="AW769" s="71"/>
      <c r="AX769" s="71"/>
      <c r="AY769" s="71"/>
      <c r="AZ769" s="71"/>
      <c r="BA769" s="71"/>
      <c r="BB769" s="71"/>
      <c r="BC769" s="71"/>
      <c r="BD769" s="71"/>
      <c r="BE769" s="71"/>
      <c r="BF769" s="71"/>
      <c r="BG769" s="71"/>
      <c r="BH769" s="71"/>
      <c r="BI769" s="71"/>
      <c r="BJ769" s="71"/>
      <c r="BK769" s="71"/>
      <c r="BL769" s="71"/>
      <c r="BM769" s="71"/>
    </row>
    <row r="770">
      <c r="A770" s="72"/>
      <c r="B770" s="72"/>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c r="AS770" s="71"/>
      <c r="AT770" s="71"/>
      <c r="AU770" s="71"/>
      <c r="AV770" s="71"/>
      <c r="AW770" s="71"/>
      <c r="AX770" s="71"/>
      <c r="AY770" s="71"/>
      <c r="AZ770" s="71"/>
      <c r="BA770" s="71"/>
      <c r="BB770" s="71"/>
      <c r="BC770" s="71"/>
      <c r="BD770" s="71"/>
      <c r="BE770" s="71"/>
      <c r="BF770" s="71"/>
      <c r="BG770" s="71"/>
      <c r="BH770" s="71"/>
      <c r="BI770" s="71"/>
      <c r="BJ770" s="71"/>
      <c r="BK770" s="71"/>
      <c r="BL770" s="71"/>
      <c r="BM770" s="71"/>
    </row>
    <row r="771">
      <c r="A771" s="72"/>
      <c r="B771" s="72"/>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c r="AS771" s="71"/>
      <c r="AT771" s="71"/>
      <c r="AU771" s="71"/>
      <c r="AV771" s="71"/>
      <c r="AW771" s="71"/>
      <c r="AX771" s="71"/>
      <c r="AY771" s="71"/>
      <c r="AZ771" s="71"/>
      <c r="BA771" s="71"/>
      <c r="BB771" s="71"/>
      <c r="BC771" s="71"/>
      <c r="BD771" s="71"/>
      <c r="BE771" s="71"/>
      <c r="BF771" s="71"/>
      <c r="BG771" s="71"/>
      <c r="BH771" s="71"/>
      <c r="BI771" s="71"/>
      <c r="BJ771" s="71"/>
      <c r="BK771" s="71"/>
      <c r="BL771" s="71"/>
      <c r="BM771" s="71"/>
    </row>
    <row r="772">
      <c r="A772" s="72"/>
      <c r="B772" s="72"/>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c r="AS772" s="71"/>
      <c r="AT772" s="71"/>
      <c r="AU772" s="71"/>
      <c r="AV772" s="71"/>
      <c r="AW772" s="71"/>
      <c r="AX772" s="71"/>
      <c r="AY772" s="71"/>
      <c r="AZ772" s="71"/>
      <c r="BA772" s="71"/>
      <c r="BB772" s="71"/>
      <c r="BC772" s="71"/>
      <c r="BD772" s="71"/>
      <c r="BE772" s="71"/>
      <c r="BF772" s="71"/>
      <c r="BG772" s="71"/>
      <c r="BH772" s="71"/>
      <c r="BI772" s="71"/>
      <c r="BJ772" s="71"/>
      <c r="BK772" s="71"/>
      <c r="BL772" s="71"/>
      <c r="BM772" s="71"/>
    </row>
    <row r="773">
      <c r="A773" s="72"/>
      <c r="B773" s="72"/>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c r="AS773" s="71"/>
      <c r="AT773" s="71"/>
      <c r="AU773" s="71"/>
      <c r="AV773" s="71"/>
      <c r="AW773" s="71"/>
      <c r="AX773" s="71"/>
      <c r="AY773" s="71"/>
      <c r="AZ773" s="71"/>
      <c r="BA773" s="71"/>
      <c r="BB773" s="71"/>
      <c r="BC773" s="71"/>
      <c r="BD773" s="71"/>
      <c r="BE773" s="71"/>
      <c r="BF773" s="71"/>
      <c r="BG773" s="71"/>
      <c r="BH773" s="71"/>
      <c r="BI773" s="71"/>
      <c r="BJ773" s="71"/>
      <c r="BK773" s="71"/>
      <c r="BL773" s="71"/>
      <c r="BM773" s="71"/>
    </row>
    <row r="774">
      <c r="A774" s="72"/>
      <c r="B774" s="72"/>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c r="AS774" s="71"/>
      <c r="AT774" s="71"/>
      <c r="AU774" s="71"/>
      <c r="AV774" s="71"/>
      <c r="AW774" s="71"/>
      <c r="AX774" s="71"/>
      <c r="AY774" s="71"/>
      <c r="AZ774" s="71"/>
      <c r="BA774" s="71"/>
      <c r="BB774" s="71"/>
      <c r="BC774" s="71"/>
      <c r="BD774" s="71"/>
      <c r="BE774" s="71"/>
      <c r="BF774" s="71"/>
      <c r="BG774" s="71"/>
      <c r="BH774" s="71"/>
      <c r="BI774" s="71"/>
      <c r="BJ774" s="71"/>
      <c r="BK774" s="71"/>
      <c r="BL774" s="71"/>
      <c r="BM774" s="71"/>
    </row>
    <row r="775">
      <c r="A775" s="72"/>
      <c r="B775" s="72"/>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c r="AS775" s="71"/>
      <c r="AT775" s="71"/>
      <c r="AU775" s="71"/>
      <c r="AV775" s="71"/>
      <c r="AW775" s="71"/>
      <c r="AX775" s="71"/>
      <c r="AY775" s="71"/>
      <c r="AZ775" s="71"/>
      <c r="BA775" s="71"/>
      <c r="BB775" s="71"/>
      <c r="BC775" s="71"/>
      <c r="BD775" s="71"/>
      <c r="BE775" s="71"/>
      <c r="BF775" s="71"/>
      <c r="BG775" s="71"/>
      <c r="BH775" s="71"/>
      <c r="BI775" s="71"/>
      <c r="BJ775" s="71"/>
      <c r="BK775" s="71"/>
      <c r="BL775" s="71"/>
      <c r="BM775" s="71"/>
    </row>
    <row r="776">
      <c r="A776" s="72"/>
      <c r="B776" s="72"/>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c r="AS776" s="71"/>
      <c r="AT776" s="71"/>
      <c r="AU776" s="71"/>
      <c r="AV776" s="71"/>
      <c r="AW776" s="71"/>
      <c r="AX776" s="71"/>
      <c r="AY776" s="71"/>
      <c r="AZ776" s="71"/>
      <c r="BA776" s="71"/>
      <c r="BB776" s="71"/>
      <c r="BC776" s="71"/>
      <c r="BD776" s="71"/>
      <c r="BE776" s="71"/>
      <c r="BF776" s="71"/>
      <c r="BG776" s="71"/>
      <c r="BH776" s="71"/>
      <c r="BI776" s="71"/>
      <c r="BJ776" s="71"/>
      <c r="BK776" s="71"/>
      <c r="BL776" s="71"/>
      <c r="BM776" s="71"/>
    </row>
    <row r="777">
      <c r="A777" s="72"/>
      <c r="B777" s="72"/>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c r="AS777" s="71"/>
      <c r="AT777" s="71"/>
      <c r="AU777" s="71"/>
      <c r="AV777" s="71"/>
      <c r="AW777" s="71"/>
      <c r="AX777" s="71"/>
      <c r="AY777" s="71"/>
      <c r="AZ777" s="71"/>
      <c r="BA777" s="71"/>
      <c r="BB777" s="71"/>
      <c r="BC777" s="71"/>
      <c r="BD777" s="71"/>
      <c r="BE777" s="71"/>
      <c r="BF777" s="71"/>
      <c r="BG777" s="71"/>
      <c r="BH777" s="71"/>
      <c r="BI777" s="71"/>
      <c r="BJ777" s="71"/>
      <c r="BK777" s="71"/>
      <c r="BL777" s="71"/>
      <c r="BM777" s="71"/>
    </row>
    <row r="778">
      <c r="A778" s="72"/>
      <c r="B778" s="72"/>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c r="AS778" s="71"/>
      <c r="AT778" s="71"/>
      <c r="AU778" s="71"/>
      <c r="AV778" s="71"/>
      <c r="AW778" s="71"/>
      <c r="AX778" s="71"/>
      <c r="AY778" s="71"/>
      <c r="AZ778" s="71"/>
      <c r="BA778" s="71"/>
      <c r="BB778" s="71"/>
      <c r="BC778" s="71"/>
      <c r="BD778" s="71"/>
      <c r="BE778" s="71"/>
      <c r="BF778" s="71"/>
      <c r="BG778" s="71"/>
      <c r="BH778" s="71"/>
      <c r="BI778" s="71"/>
      <c r="BJ778" s="71"/>
      <c r="BK778" s="71"/>
      <c r="BL778" s="71"/>
      <c r="BM778" s="71"/>
    </row>
    <row r="779">
      <c r="A779" s="72"/>
      <c r="B779" s="72"/>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c r="AS779" s="71"/>
      <c r="AT779" s="71"/>
      <c r="AU779" s="71"/>
      <c r="AV779" s="71"/>
      <c r="AW779" s="71"/>
      <c r="AX779" s="71"/>
      <c r="AY779" s="71"/>
      <c r="AZ779" s="71"/>
      <c r="BA779" s="71"/>
      <c r="BB779" s="71"/>
      <c r="BC779" s="71"/>
      <c r="BD779" s="71"/>
      <c r="BE779" s="71"/>
      <c r="BF779" s="71"/>
      <c r="BG779" s="71"/>
      <c r="BH779" s="71"/>
      <c r="BI779" s="71"/>
      <c r="BJ779" s="71"/>
      <c r="BK779" s="71"/>
      <c r="BL779" s="71"/>
      <c r="BM779" s="71"/>
    </row>
    <row r="780">
      <c r="A780" s="72"/>
      <c r="B780" s="72"/>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c r="AS780" s="71"/>
      <c r="AT780" s="71"/>
      <c r="AU780" s="71"/>
      <c r="AV780" s="71"/>
      <c r="AW780" s="71"/>
      <c r="AX780" s="71"/>
      <c r="AY780" s="71"/>
      <c r="AZ780" s="71"/>
      <c r="BA780" s="71"/>
      <c r="BB780" s="71"/>
      <c r="BC780" s="71"/>
      <c r="BD780" s="71"/>
      <c r="BE780" s="71"/>
      <c r="BF780" s="71"/>
      <c r="BG780" s="71"/>
      <c r="BH780" s="71"/>
      <c r="BI780" s="71"/>
      <c r="BJ780" s="71"/>
      <c r="BK780" s="71"/>
      <c r="BL780" s="71"/>
      <c r="BM780" s="71"/>
    </row>
    <row r="781">
      <c r="A781" s="72"/>
      <c r="B781" s="72"/>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c r="AS781" s="71"/>
      <c r="AT781" s="71"/>
      <c r="AU781" s="71"/>
      <c r="AV781" s="71"/>
      <c r="AW781" s="71"/>
      <c r="AX781" s="71"/>
      <c r="AY781" s="71"/>
      <c r="AZ781" s="71"/>
      <c r="BA781" s="71"/>
      <c r="BB781" s="71"/>
      <c r="BC781" s="71"/>
      <c r="BD781" s="71"/>
      <c r="BE781" s="71"/>
      <c r="BF781" s="71"/>
      <c r="BG781" s="71"/>
      <c r="BH781" s="71"/>
      <c r="BI781" s="71"/>
      <c r="BJ781" s="71"/>
      <c r="BK781" s="71"/>
      <c r="BL781" s="71"/>
      <c r="BM781" s="71"/>
    </row>
    <row r="782">
      <c r="A782" s="72"/>
      <c r="B782" s="72"/>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c r="AS782" s="71"/>
      <c r="AT782" s="71"/>
      <c r="AU782" s="71"/>
      <c r="AV782" s="71"/>
      <c r="AW782" s="71"/>
      <c r="AX782" s="71"/>
      <c r="AY782" s="71"/>
      <c r="AZ782" s="71"/>
      <c r="BA782" s="71"/>
      <c r="BB782" s="71"/>
      <c r="BC782" s="71"/>
      <c r="BD782" s="71"/>
      <c r="BE782" s="71"/>
      <c r="BF782" s="71"/>
      <c r="BG782" s="71"/>
      <c r="BH782" s="71"/>
      <c r="BI782" s="71"/>
      <c r="BJ782" s="71"/>
      <c r="BK782" s="71"/>
      <c r="BL782" s="71"/>
      <c r="BM782" s="71"/>
    </row>
    <row r="783">
      <c r="A783" s="72"/>
      <c r="B783" s="72"/>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c r="AS783" s="71"/>
      <c r="AT783" s="71"/>
      <c r="AU783" s="71"/>
      <c r="AV783" s="71"/>
      <c r="AW783" s="71"/>
      <c r="AX783" s="71"/>
      <c r="AY783" s="71"/>
      <c r="AZ783" s="71"/>
      <c r="BA783" s="71"/>
      <c r="BB783" s="71"/>
      <c r="BC783" s="71"/>
      <c r="BD783" s="71"/>
      <c r="BE783" s="71"/>
      <c r="BF783" s="71"/>
      <c r="BG783" s="71"/>
      <c r="BH783" s="71"/>
      <c r="BI783" s="71"/>
      <c r="BJ783" s="71"/>
      <c r="BK783" s="71"/>
      <c r="BL783" s="71"/>
      <c r="BM783" s="71"/>
    </row>
    <row r="784">
      <c r="A784" s="72"/>
      <c r="B784" s="72"/>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c r="AS784" s="71"/>
      <c r="AT784" s="71"/>
      <c r="AU784" s="71"/>
      <c r="AV784" s="71"/>
      <c r="AW784" s="71"/>
      <c r="AX784" s="71"/>
      <c r="AY784" s="71"/>
      <c r="AZ784" s="71"/>
      <c r="BA784" s="71"/>
      <c r="BB784" s="71"/>
      <c r="BC784" s="71"/>
      <c r="BD784" s="71"/>
      <c r="BE784" s="71"/>
      <c r="BF784" s="71"/>
      <c r="BG784" s="71"/>
      <c r="BH784" s="71"/>
      <c r="BI784" s="71"/>
      <c r="BJ784" s="71"/>
      <c r="BK784" s="71"/>
      <c r="BL784" s="71"/>
      <c r="BM784" s="71"/>
    </row>
    <row r="785">
      <c r="A785" s="72"/>
      <c r="B785" s="72"/>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c r="AS785" s="71"/>
      <c r="AT785" s="71"/>
      <c r="AU785" s="71"/>
      <c r="AV785" s="71"/>
      <c r="AW785" s="71"/>
      <c r="AX785" s="71"/>
      <c r="AY785" s="71"/>
      <c r="AZ785" s="71"/>
      <c r="BA785" s="71"/>
      <c r="BB785" s="71"/>
      <c r="BC785" s="71"/>
      <c r="BD785" s="71"/>
      <c r="BE785" s="71"/>
      <c r="BF785" s="71"/>
      <c r="BG785" s="71"/>
      <c r="BH785" s="71"/>
      <c r="BI785" s="71"/>
      <c r="BJ785" s="71"/>
      <c r="BK785" s="71"/>
      <c r="BL785" s="71"/>
      <c r="BM785" s="71"/>
    </row>
    <row r="786">
      <c r="A786" s="72"/>
      <c r="B786" s="72"/>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c r="AS786" s="71"/>
      <c r="AT786" s="71"/>
      <c r="AU786" s="71"/>
      <c r="AV786" s="71"/>
      <c r="AW786" s="71"/>
      <c r="AX786" s="71"/>
      <c r="AY786" s="71"/>
      <c r="AZ786" s="71"/>
      <c r="BA786" s="71"/>
      <c r="BB786" s="71"/>
      <c r="BC786" s="71"/>
      <c r="BD786" s="71"/>
      <c r="BE786" s="71"/>
      <c r="BF786" s="71"/>
      <c r="BG786" s="71"/>
      <c r="BH786" s="71"/>
      <c r="BI786" s="71"/>
      <c r="BJ786" s="71"/>
      <c r="BK786" s="71"/>
      <c r="BL786" s="71"/>
      <c r="BM786" s="71"/>
    </row>
    <row r="787">
      <c r="A787" s="72"/>
      <c r="B787" s="72"/>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c r="AS787" s="71"/>
      <c r="AT787" s="71"/>
      <c r="AU787" s="71"/>
      <c r="AV787" s="71"/>
      <c r="AW787" s="71"/>
      <c r="AX787" s="71"/>
      <c r="AY787" s="71"/>
      <c r="AZ787" s="71"/>
      <c r="BA787" s="71"/>
      <c r="BB787" s="71"/>
      <c r="BC787" s="71"/>
      <c r="BD787" s="71"/>
      <c r="BE787" s="71"/>
      <c r="BF787" s="71"/>
      <c r="BG787" s="71"/>
      <c r="BH787" s="71"/>
      <c r="BI787" s="71"/>
      <c r="BJ787" s="71"/>
      <c r="BK787" s="71"/>
      <c r="BL787" s="71"/>
      <c r="BM787" s="71"/>
    </row>
    <row r="788">
      <c r="A788" s="72"/>
      <c r="B788" s="72"/>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c r="AS788" s="71"/>
      <c r="AT788" s="71"/>
      <c r="AU788" s="71"/>
      <c r="AV788" s="71"/>
      <c r="AW788" s="71"/>
      <c r="AX788" s="71"/>
      <c r="AY788" s="71"/>
      <c r="AZ788" s="71"/>
      <c r="BA788" s="71"/>
      <c r="BB788" s="71"/>
      <c r="BC788" s="71"/>
      <c r="BD788" s="71"/>
      <c r="BE788" s="71"/>
      <c r="BF788" s="71"/>
      <c r="BG788" s="71"/>
      <c r="BH788" s="71"/>
      <c r="BI788" s="71"/>
      <c r="BJ788" s="71"/>
      <c r="BK788" s="71"/>
      <c r="BL788" s="71"/>
      <c r="BM788" s="71"/>
    </row>
    <row r="789">
      <c r="A789" s="72"/>
      <c r="B789" s="72"/>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c r="AS789" s="71"/>
      <c r="AT789" s="71"/>
      <c r="AU789" s="71"/>
      <c r="AV789" s="71"/>
      <c r="AW789" s="71"/>
      <c r="AX789" s="71"/>
      <c r="AY789" s="71"/>
      <c r="AZ789" s="71"/>
      <c r="BA789" s="71"/>
      <c r="BB789" s="71"/>
      <c r="BC789" s="71"/>
      <c r="BD789" s="71"/>
      <c r="BE789" s="71"/>
      <c r="BF789" s="71"/>
      <c r="BG789" s="71"/>
      <c r="BH789" s="71"/>
      <c r="BI789" s="71"/>
      <c r="BJ789" s="71"/>
      <c r="BK789" s="71"/>
      <c r="BL789" s="71"/>
      <c r="BM789" s="71"/>
    </row>
    <row r="790">
      <c r="A790" s="72"/>
      <c r="B790" s="72"/>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c r="AS790" s="71"/>
      <c r="AT790" s="71"/>
      <c r="AU790" s="71"/>
      <c r="AV790" s="71"/>
      <c r="AW790" s="71"/>
      <c r="AX790" s="71"/>
      <c r="AY790" s="71"/>
      <c r="AZ790" s="71"/>
      <c r="BA790" s="71"/>
      <c r="BB790" s="71"/>
      <c r="BC790" s="71"/>
      <c r="BD790" s="71"/>
      <c r="BE790" s="71"/>
      <c r="BF790" s="71"/>
      <c r="BG790" s="71"/>
      <c r="BH790" s="71"/>
      <c r="BI790" s="71"/>
      <c r="BJ790" s="71"/>
      <c r="BK790" s="71"/>
      <c r="BL790" s="71"/>
      <c r="BM790" s="71"/>
    </row>
    <row r="791">
      <c r="A791" s="72"/>
      <c r="B791" s="72"/>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c r="AS791" s="71"/>
      <c r="AT791" s="71"/>
      <c r="AU791" s="71"/>
      <c r="AV791" s="71"/>
      <c r="AW791" s="71"/>
      <c r="AX791" s="71"/>
      <c r="AY791" s="71"/>
      <c r="AZ791" s="71"/>
      <c r="BA791" s="71"/>
      <c r="BB791" s="71"/>
      <c r="BC791" s="71"/>
      <c r="BD791" s="71"/>
      <c r="BE791" s="71"/>
      <c r="BF791" s="71"/>
      <c r="BG791" s="71"/>
      <c r="BH791" s="71"/>
      <c r="BI791" s="71"/>
      <c r="BJ791" s="71"/>
      <c r="BK791" s="71"/>
      <c r="BL791" s="71"/>
      <c r="BM791" s="71"/>
    </row>
    <row r="792">
      <c r="A792" s="72"/>
      <c r="B792" s="72"/>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c r="BA792" s="71"/>
      <c r="BB792" s="71"/>
      <c r="BC792" s="71"/>
      <c r="BD792" s="71"/>
      <c r="BE792" s="71"/>
      <c r="BF792" s="71"/>
      <c r="BG792" s="71"/>
      <c r="BH792" s="71"/>
      <c r="BI792" s="71"/>
      <c r="BJ792" s="71"/>
      <c r="BK792" s="71"/>
      <c r="BL792" s="71"/>
      <c r="BM792" s="71"/>
    </row>
    <row r="793">
      <c r="A793" s="72"/>
      <c r="B793" s="72"/>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c r="BA793" s="71"/>
      <c r="BB793" s="71"/>
      <c r="BC793" s="71"/>
      <c r="BD793" s="71"/>
      <c r="BE793" s="71"/>
      <c r="BF793" s="71"/>
      <c r="BG793" s="71"/>
      <c r="BH793" s="71"/>
      <c r="BI793" s="71"/>
      <c r="BJ793" s="71"/>
      <c r="BK793" s="71"/>
      <c r="BL793" s="71"/>
      <c r="BM793" s="71"/>
    </row>
    <row r="794">
      <c r="A794" s="72"/>
      <c r="B794" s="72"/>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c r="BA794" s="71"/>
      <c r="BB794" s="71"/>
      <c r="BC794" s="71"/>
      <c r="BD794" s="71"/>
      <c r="BE794" s="71"/>
      <c r="BF794" s="71"/>
      <c r="BG794" s="71"/>
      <c r="BH794" s="71"/>
      <c r="BI794" s="71"/>
      <c r="BJ794" s="71"/>
      <c r="BK794" s="71"/>
      <c r="BL794" s="71"/>
      <c r="BM794" s="71"/>
    </row>
    <row r="795">
      <c r="A795" s="72"/>
      <c r="B795" s="72"/>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c r="BA795" s="71"/>
      <c r="BB795" s="71"/>
      <c r="BC795" s="71"/>
      <c r="BD795" s="71"/>
      <c r="BE795" s="71"/>
      <c r="BF795" s="71"/>
      <c r="BG795" s="71"/>
      <c r="BH795" s="71"/>
      <c r="BI795" s="71"/>
      <c r="BJ795" s="71"/>
      <c r="BK795" s="71"/>
      <c r="BL795" s="71"/>
      <c r="BM795" s="71"/>
    </row>
    <row r="796">
      <c r="A796" s="72"/>
      <c r="B796" s="72"/>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c r="BA796" s="71"/>
      <c r="BB796" s="71"/>
      <c r="BC796" s="71"/>
      <c r="BD796" s="71"/>
      <c r="BE796" s="71"/>
      <c r="BF796" s="71"/>
      <c r="BG796" s="71"/>
      <c r="BH796" s="71"/>
      <c r="BI796" s="71"/>
      <c r="BJ796" s="71"/>
      <c r="BK796" s="71"/>
      <c r="BL796" s="71"/>
      <c r="BM796" s="71"/>
    </row>
    <row r="797">
      <c r="A797" s="72"/>
      <c r="B797" s="72"/>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c r="BA797" s="71"/>
      <c r="BB797" s="71"/>
      <c r="BC797" s="71"/>
      <c r="BD797" s="71"/>
      <c r="BE797" s="71"/>
      <c r="BF797" s="71"/>
      <c r="BG797" s="71"/>
      <c r="BH797" s="71"/>
      <c r="BI797" s="71"/>
      <c r="BJ797" s="71"/>
      <c r="BK797" s="71"/>
      <c r="BL797" s="71"/>
      <c r="BM797" s="71"/>
    </row>
    <row r="798">
      <c r="A798" s="72"/>
      <c r="B798" s="72"/>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c r="BA798" s="71"/>
      <c r="BB798" s="71"/>
      <c r="BC798" s="71"/>
      <c r="BD798" s="71"/>
      <c r="BE798" s="71"/>
      <c r="BF798" s="71"/>
      <c r="BG798" s="71"/>
      <c r="BH798" s="71"/>
      <c r="BI798" s="71"/>
      <c r="BJ798" s="71"/>
      <c r="BK798" s="71"/>
      <c r="BL798" s="71"/>
      <c r="BM798" s="71"/>
    </row>
    <row r="799">
      <c r="A799" s="72"/>
      <c r="B799" s="72"/>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c r="BA799" s="71"/>
      <c r="BB799" s="71"/>
      <c r="BC799" s="71"/>
      <c r="BD799" s="71"/>
      <c r="BE799" s="71"/>
      <c r="BF799" s="71"/>
      <c r="BG799" s="71"/>
      <c r="BH799" s="71"/>
      <c r="BI799" s="71"/>
      <c r="BJ799" s="71"/>
      <c r="BK799" s="71"/>
      <c r="BL799" s="71"/>
      <c r="BM799" s="71"/>
    </row>
    <row r="800">
      <c r="A800" s="72"/>
      <c r="B800" s="72"/>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c r="BA800" s="71"/>
      <c r="BB800" s="71"/>
      <c r="BC800" s="71"/>
      <c r="BD800" s="71"/>
      <c r="BE800" s="71"/>
      <c r="BF800" s="71"/>
      <c r="BG800" s="71"/>
      <c r="BH800" s="71"/>
      <c r="BI800" s="71"/>
      <c r="BJ800" s="71"/>
      <c r="BK800" s="71"/>
      <c r="BL800" s="71"/>
      <c r="BM800" s="71"/>
    </row>
    <row r="801">
      <c r="A801" s="72"/>
      <c r="B801" s="72"/>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c r="BA801" s="71"/>
      <c r="BB801" s="71"/>
      <c r="BC801" s="71"/>
      <c r="BD801" s="71"/>
      <c r="BE801" s="71"/>
      <c r="BF801" s="71"/>
      <c r="BG801" s="71"/>
      <c r="BH801" s="71"/>
      <c r="BI801" s="71"/>
      <c r="BJ801" s="71"/>
      <c r="BK801" s="71"/>
      <c r="BL801" s="71"/>
      <c r="BM801" s="71"/>
    </row>
    <row r="802">
      <c r="A802" s="72"/>
      <c r="B802" s="72"/>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c r="BA802" s="71"/>
      <c r="BB802" s="71"/>
      <c r="BC802" s="71"/>
      <c r="BD802" s="71"/>
      <c r="BE802" s="71"/>
      <c r="BF802" s="71"/>
      <c r="BG802" s="71"/>
      <c r="BH802" s="71"/>
      <c r="BI802" s="71"/>
      <c r="BJ802" s="71"/>
      <c r="BK802" s="71"/>
      <c r="BL802" s="71"/>
      <c r="BM802" s="71"/>
    </row>
    <row r="803">
      <c r="A803" s="72"/>
      <c r="B803" s="72"/>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c r="BA803" s="71"/>
      <c r="BB803" s="71"/>
      <c r="BC803" s="71"/>
      <c r="BD803" s="71"/>
      <c r="BE803" s="71"/>
      <c r="BF803" s="71"/>
      <c r="BG803" s="71"/>
      <c r="BH803" s="71"/>
      <c r="BI803" s="71"/>
      <c r="BJ803" s="71"/>
      <c r="BK803" s="71"/>
      <c r="BL803" s="71"/>
      <c r="BM803" s="71"/>
    </row>
    <row r="804">
      <c r="A804" s="72"/>
      <c r="B804" s="72"/>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c r="BA804" s="71"/>
      <c r="BB804" s="71"/>
      <c r="BC804" s="71"/>
      <c r="BD804" s="71"/>
      <c r="BE804" s="71"/>
      <c r="BF804" s="71"/>
      <c r="BG804" s="71"/>
      <c r="BH804" s="71"/>
      <c r="BI804" s="71"/>
      <c r="BJ804" s="71"/>
      <c r="BK804" s="71"/>
      <c r="BL804" s="71"/>
      <c r="BM804" s="71"/>
    </row>
    <row r="805">
      <c r="A805" s="72"/>
      <c r="B805" s="72"/>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c r="BA805" s="71"/>
      <c r="BB805" s="71"/>
      <c r="BC805" s="71"/>
      <c r="BD805" s="71"/>
      <c r="BE805" s="71"/>
      <c r="BF805" s="71"/>
      <c r="BG805" s="71"/>
      <c r="BH805" s="71"/>
      <c r="BI805" s="71"/>
      <c r="BJ805" s="71"/>
      <c r="BK805" s="71"/>
      <c r="BL805" s="71"/>
      <c r="BM805" s="71"/>
    </row>
    <row r="806">
      <c r="A806" s="72"/>
      <c r="B806" s="72"/>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c r="BA806" s="71"/>
      <c r="BB806" s="71"/>
      <c r="BC806" s="71"/>
      <c r="BD806" s="71"/>
      <c r="BE806" s="71"/>
      <c r="BF806" s="71"/>
      <c r="BG806" s="71"/>
      <c r="BH806" s="71"/>
      <c r="BI806" s="71"/>
      <c r="BJ806" s="71"/>
      <c r="BK806" s="71"/>
      <c r="BL806" s="71"/>
      <c r="BM806" s="71"/>
    </row>
    <row r="807">
      <c r="A807" s="72"/>
      <c r="B807" s="72"/>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c r="BA807" s="71"/>
      <c r="BB807" s="71"/>
      <c r="BC807" s="71"/>
      <c r="BD807" s="71"/>
      <c r="BE807" s="71"/>
      <c r="BF807" s="71"/>
      <c r="BG807" s="71"/>
      <c r="BH807" s="71"/>
      <c r="BI807" s="71"/>
      <c r="BJ807" s="71"/>
      <c r="BK807" s="71"/>
      <c r="BL807" s="71"/>
      <c r="BM807" s="71"/>
    </row>
    <row r="808">
      <c r="A808" s="72"/>
      <c r="B808" s="72"/>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c r="BA808" s="71"/>
      <c r="BB808" s="71"/>
      <c r="BC808" s="71"/>
      <c r="BD808" s="71"/>
      <c r="BE808" s="71"/>
      <c r="BF808" s="71"/>
      <c r="BG808" s="71"/>
      <c r="BH808" s="71"/>
      <c r="BI808" s="71"/>
      <c r="BJ808" s="71"/>
      <c r="BK808" s="71"/>
      <c r="BL808" s="71"/>
      <c r="BM808" s="71"/>
    </row>
    <row r="809">
      <c r="A809" s="72"/>
      <c r="B809" s="72"/>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c r="BA809" s="71"/>
      <c r="BB809" s="71"/>
      <c r="BC809" s="71"/>
      <c r="BD809" s="71"/>
      <c r="BE809" s="71"/>
      <c r="BF809" s="71"/>
      <c r="BG809" s="71"/>
      <c r="BH809" s="71"/>
      <c r="BI809" s="71"/>
      <c r="BJ809" s="71"/>
      <c r="BK809" s="71"/>
      <c r="BL809" s="71"/>
      <c r="BM809" s="71"/>
    </row>
    <row r="810">
      <c r="A810" s="72"/>
      <c r="B810" s="72"/>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c r="BA810" s="71"/>
      <c r="BB810" s="71"/>
      <c r="BC810" s="71"/>
      <c r="BD810" s="71"/>
      <c r="BE810" s="71"/>
      <c r="BF810" s="71"/>
      <c r="BG810" s="71"/>
      <c r="BH810" s="71"/>
      <c r="BI810" s="71"/>
      <c r="BJ810" s="71"/>
      <c r="BK810" s="71"/>
      <c r="BL810" s="71"/>
      <c r="BM810" s="71"/>
    </row>
    <row r="811">
      <c r="A811" s="72"/>
      <c r="B811" s="72"/>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c r="BA811" s="71"/>
      <c r="BB811" s="71"/>
      <c r="BC811" s="71"/>
      <c r="BD811" s="71"/>
      <c r="BE811" s="71"/>
      <c r="BF811" s="71"/>
      <c r="BG811" s="71"/>
      <c r="BH811" s="71"/>
      <c r="BI811" s="71"/>
      <c r="BJ811" s="71"/>
      <c r="BK811" s="71"/>
      <c r="BL811" s="71"/>
      <c r="BM811" s="71"/>
    </row>
    <row r="812">
      <c r="A812" s="72"/>
      <c r="B812" s="72"/>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c r="BA812" s="71"/>
      <c r="BB812" s="71"/>
      <c r="BC812" s="71"/>
      <c r="BD812" s="71"/>
      <c r="BE812" s="71"/>
      <c r="BF812" s="71"/>
      <c r="BG812" s="71"/>
      <c r="BH812" s="71"/>
      <c r="BI812" s="71"/>
      <c r="BJ812" s="71"/>
      <c r="BK812" s="71"/>
      <c r="BL812" s="71"/>
      <c r="BM812" s="71"/>
    </row>
    <row r="813">
      <c r="A813" s="72"/>
      <c r="B813" s="72"/>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c r="BA813" s="71"/>
      <c r="BB813" s="71"/>
      <c r="BC813" s="71"/>
      <c r="BD813" s="71"/>
      <c r="BE813" s="71"/>
      <c r="BF813" s="71"/>
      <c r="BG813" s="71"/>
      <c r="BH813" s="71"/>
      <c r="BI813" s="71"/>
      <c r="BJ813" s="71"/>
      <c r="BK813" s="71"/>
      <c r="BL813" s="71"/>
      <c r="BM813" s="71"/>
    </row>
    <row r="814">
      <c r="A814" s="72"/>
      <c r="B814" s="72"/>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c r="BA814" s="71"/>
      <c r="BB814" s="71"/>
      <c r="BC814" s="71"/>
      <c r="BD814" s="71"/>
      <c r="BE814" s="71"/>
      <c r="BF814" s="71"/>
      <c r="BG814" s="71"/>
      <c r="BH814" s="71"/>
      <c r="BI814" s="71"/>
      <c r="BJ814" s="71"/>
      <c r="BK814" s="71"/>
      <c r="BL814" s="71"/>
      <c r="BM814" s="71"/>
    </row>
    <row r="815">
      <c r="A815" s="72"/>
      <c r="B815" s="72"/>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c r="BA815" s="71"/>
      <c r="BB815" s="71"/>
      <c r="BC815" s="71"/>
      <c r="BD815" s="71"/>
      <c r="BE815" s="71"/>
      <c r="BF815" s="71"/>
      <c r="BG815" s="71"/>
      <c r="BH815" s="71"/>
      <c r="BI815" s="71"/>
      <c r="BJ815" s="71"/>
      <c r="BK815" s="71"/>
      <c r="BL815" s="71"/>
      <c r="BM815" s="71"/>
    </row>
    <row r="816">
      <c r="A816" s="72"/>
      <c r="B816" s="72"/>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c r="BA816" s="71"/>
      <c r="BB816" s="71"/>
      <c r="BC816" s="71"/>
      <c r="BD816" s="71"/>
      <c r="BE816" s="71"/>
      <c r="BF816" s="71"/>
      <c r="BG816" s="71"/>
      <c r="BH816" s="71"/>
      <c r="BI816" s="71"/>
      <c r="BJ816" s="71"/>
      <c r="BK816" s="71"/>
      <c r="BL816" s="71"/>
      <c r="BM816" s="71"/>
    </row>
    <row r="817">
      <c r="A817" s="72"/>
      <c r="B817" s="72"/>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c r="BA817" s="71"/>
      <c r="BB817" s="71"/>
      <c r="BC817" s="71"/>
      <c r="BD817" s="71"/>
      <c r="BE817" s="71"/>
      <c r="BF817" s="71"/>
      <c r="BG817" s="71"/>
      <c r="BH817" s="71"/>
      <c r="BI817" s="71"/>
      <c r="BJ817" s="71"/>
      <c r="BK817" s="71"/>
      <c r="BL817" s="71"/>
      <c r="BM817" s="71"/>
    </row>
    <row r="818">
      <c r="A818" s="72"/>
      <c r="B818" s="72"/>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c r="BA818" s="71"/>
      <c r="BB818" s="71"/>
      <c r="BC818" s="71"/>
      <c r="BD818" s="71"/>
      <c r="BE818" s="71"/>
      <c r="BF818" s="71"/>
      <c r="BG818" s="71"/>
      <c r="BH818" s="71"/>
      <c r="BI818" s="71"/>
      <c r="BJ818" s="71"/>
      <c r="BK818" s="71"/>
      <c r="BL818" s="71"/>
      <c r="BM818" s="71"/>
    </row>
    <row r="819">
      <c r="A819" s="72"/>
      <c r="B819" s="72"/>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c r="BA819" s="71"/>
      <c r="BB819" s="71"/>
      <c r="BC819" s="71"/>
      <c r="BD819" s="71"/>
      <c r="BE819" s="71"/>
      <c r="BF819" s="71"/>
      <c r="BG819" s="71"/>
      <c r="BH819" s="71"/>
      <c r="BI819" s="71"/>
      <c r="BJ819" s="71"/>
      <c r="BK819" s="71"/>
      <c r="BL819" s="71"/>
      <c r="BM819" s="71"/>
    </row>
    <row r="820">
      <c r="A820" s="72"/>
      <c r="B820" s="72"/>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c r="BA820" s="71"/>
      <c r="BB820" s="71"/>
      <c r="BC820" s="71"/>
      <c r="BD820" s="71"/>
      <c r="BE820" s="71"/>
      <c r="BF820" s="71"/>
      <c r="BG820" s="71"/>
      <c r="BH820" s="71"/>
      <c r="BI820" s="71"/>
      <c r="BJ820" s="71"/>
      <c r="BK820" s="71"/>
      <c r="BL820" s="71"/>
      <c r="BM820" s="71"/>
    </row>
    <row r="821">
      <c r="A821" s="72"/>
      <c r="B821" s="72"/>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c r="BA821" s="71"/>
      <c r="BB821" s="71"/>
      <c r="BC821" s="71"/>
      <c r="BD821" s="71"/>
      <c r="BE821" s="71"/>
      <c r="BF821" s="71"/>
      <c r="BG821" s="71"/>
      <c r="BH821" s="71"/>
      <c r="BI821" s="71"/>
      <c r="BJ821" s="71"/>
      <c r="BK821" s="71"/>
      <c r="BL821" s="71"/>
      <c r="BM821" s="71"/>
    </row>
    <row r="822">
      <c r="A822" s="72"/>
      <c r="B822" s="72"/>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c r="BA822" s="71"/>
      <c r="BB822" s="71"/>
      <c r="BC822" s="71"/>
      <c r="BD822" s="71"/>
      <c r="BE822" s="71"/>
      <c r="BF822" s="71"/>
      <c r="BG822" s="71"/>
      <c r="BH822" s="71"/>
      <c r="BI822" s="71"/>
      <c r="BJ822" s="71"/>
      <c r="BK822" s="71"/>
      <c r="BL822" s="71"/>
      <c r="BM822" s="71"/>
    </row>
    <row r="823">
      <c r="A823" s="72"/>
      <c r="B823" s="72"/>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c r="BA823" s="71"/>
      <c r="BB823" s="71"/>
      <c r="BC823" s="71"/>
      <c r="BD823" s="71"/>
      <c r="BE823" s="71"/>
      <c r="BF823" s="71"/>
      <c r="BG823" s="71"/>
      <c r="BH823" s="71"/>
      <c r="BI823" s="71"/>
      <c r="BJ823" s="71"/>
      <c r="BK823" s="71"/>
      <c r="BL823" s="71"/>
      <c r="BM823" s="71"/>
    </row>
    <row r="824">
      <c r="A824" s="72"/>
      <c r="B824" s="72"/>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c r="BA824" s="71"/>
      <c r="BB824" s="71"/>
      <c r="BC824" s="71"/>
      <c r="BD824" s="71"/>
      <c r="BE824" s="71"/>
      <c r="BF824" s="71"/>
      <c r="BG824" s="71"/>
      <c r="BH824" s="71"/>
      <c r="BI824" s="71"/>
      <c r="BJ824" s="71"/>
      <c r="BK824" s="71"/>
      <c r="BL824" s="71"/>
      <c r="BM824" s="71"/>
    </row>
    <row r="825">
      <c r="A825" s="72"/>
      <c r="B825" s="72"/>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c r="BA825" s="71"/>
      <c r="BB825" s="71"/>
      <c r="BC825" s="71"/>
      <c r="BD825" s="71"/>
      <c r="BE825" s="71"/>
      <c r="BF825" s="71"/>
      <c r="BG825" s="71"/>
      <c r="BH825" s="71"/>
      <c r="BI825" s="71"/>
      <c r="BJ825" s="71"/>
      <c r="BK825" s="71"/>
      <c r="BL825" s="71"/>
      <c r="BM825" s="71"/>
    </row>
    <row r="826">
      <c r="A826" s="72"/>
      <c r="B826" s="72"/>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c r="BA826" s="71"/>
      <c r="BB826" s="71"/>
      <c r="BC826" s="71"/>
      <c r="BD826" s="71"/>
      <c r="BE826" s="71"/>
      <c r="BF826" s="71"/>
      <c r="BG826" s="71"/>
      <c r="BH826" s="71"/>
      <c r="BI826" s="71"/>
      <c r="BJ826" s="71"/>
      <c r="BK826" s="71"/>
      <c r="BL826" s="71"/>
      <c r="BM826" s="71"/>
    </row>
    <row r="827">
      <c r="A827" s="72"/>
      <c r="B827" s="72"/>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c r="BA827" s="71"/>
      <c r="BB827" s="71"/>
      <c r="BC827" s="71"/>
      <c r="BD827" s="71"/>
      <c r="BE827" s="71"/>
      <c r="BF827" s="71"/>
      <c r="BG827" s="71"/>
      <c r="BH827" s="71"/>
      <c r="BI827" s="71"/>
      <c r="BJ827" s="71"/>
      <c r="BK827" s="71"/>
      <c r="BL827" s="71"/>
      <c r="BM827" s="71"/>
    </row>
    <row r="828">
      <c r="A828" s="72"/>
      <c r="B828" s="72"/>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c r="BA828" s="71"/>
      <c r="BB828" s="71"/>
      <c r="BC828" s="71"/>
      <c r="BD828" s="71"/>
      <c r="BE828" s="71"/>
      <c r="BF828" s="71"/>
      <c r="BG828" s="71"/>
      <c r="BH828" s="71"/>
      <c r="BI828" s="71"/>
      <c r="BJ828" s="71"/>
      <c r="BK828" s="71"/>
      <c r="BL828" s="71"/>
      <c r="BM828" s="71"/>
    </row>
    <row r="829">
      <c r="A829" s="72"/>
      <c r="B829" s="72"/>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c r="BA829" s="71"/>
      <c r="BB829" s="71"/>
      <c r="BC829" s="71"/>
      <c r="BD829" s="71"/>
      <c r="BE829" s="71"/>
      <c r="BF829" s="71"/>
      <c r="BG829" s="71"/>
      <c r="BH829" s="71"/>
      <c r="BI829" s="71"/>
      <c r="BJ829" s="71"/>
      <c r="BK829" s="71"/>
      <c r="BL829" s="71"/>
      <c r="BM829" s="71"/>
    </row>
    <row r="830">
      <c r="A830" s="72"/>
      <c r="B830" s="72"/>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c r="BA830" s="71"/>
      <c r="BB830" s="71"/>
      <c r="BC830" s="71"/>
      <c r="BD830" s="71"/>
      <c r="BE830" s="71"/>
      <c r="BF830" s="71"/>
      <c r="BG830" s="71"/>
      <c r="BH830" s="71"/>
      <c r="BI830" s="71"/>
      <c r="BJ830" s="71"/>
      <c r="BK830" s="71"/>
      <c r="BL830" s="71"/>
      <c r="BM830" s="71"/>
    </row>
    <row r="831">
      <c r="A831" s="72"/>
      <c r="B831" s="72"/>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c r="BA831" s="71"/>
      <c r="BB831" s="71"/>
      <c r="BC831" s="71"/>
      <c r="BD831" s="71"/>
      <c r="BE831" s="71"/>
      <c r="BF831" s="71"/>
      <c r="BG831" s="71"/>
      <c r="BH831" s="71"/>
      <c r="BI831" s="71"/>
      <c r="BJ831" s="71"/>
      <c r="BK831" s="71"/>
      <c r="BL831" s="71"/>
      <c r="BM831" s="71"/>
    </row>
    <row r="832">
      <c r="A832" s="72"/>
      <c r="B832" s="72"/>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c r="BA832" s="71"/>
      <c r="BB832" s="71"/>
      <c r="BC832" s="71"/>
      <c r="BD832" s="71"/>
      <c r="BE832" s="71"/>
      <c r="BF832" s="71"/>
      <c r="BG832" s="71"/>
      <c r="BH832" s="71"/>
      <c r="BI832" s="71"/>
      <c r="BJ832" s="71"/>
      <c r="BK832" s="71"/>
      <c r="BL832" s="71"/>
      <c r="BM832" s="71"/>
    </row>
    <row r="833">
      <c r="A833" s="72"/>
      <c r="B833" s="72"/>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c r="BA833" s="71"/>
      <c r="BB833" s="71"/>
      <c r="BC833" s="71"/>
      <c r="BD833" s="71"/>
      <c r="BE833" s="71"/>
      <c r="BF833" s="71"/>
      <c r="BG833" s="71"/>
      <c r="BH833" s="71"/>
      <c r="BI833" s="71"/>
      <c r="BJ833" s="71"/>
      <c r="BK833" s="71"/>
      <c r="BL833" s="71"/>
      <c r="BM833" s="71"/>
    </row>
    <row r="834">
      <c r="A834" s="72"/>
      <c r="B834" s="72"/>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c r="BA834" s="71"/>
      <c r="BB834" s="71"/>
      <c r="BC834" s="71"/>
      <c r="BD834" s="71"/>
      <c r="BE834" s="71"/>
      <c r="BF834" s="71"/>
      <c r="BG834" s="71"/>
      <c r="BH834" s="71"/>
      <c r="BI834" s="71"/>
      <c r="BJ834" s="71"/>
      <c r="BK834" s="71"/>
      <c r="BL834" s="71"/>
      <c r="BM834" s="71"/>
    </row>
    <row r="835">
      <c r="A835" s="72"/>
      <c r="B835" s="72"/>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c r="BA835" s="71"/>
      <c r="BB835" s="71"/>
      <c r="BC835" s="71"/>
      <c r="BD835" s="71"/>
      <c r="BE835" s="71"/>
      <c r="BF835" s="71"/>
      <c r="BG835" s="71"/>
      <c r="BH835" s="71"/>
      <c r="BI835" s="71"/>
      <c r="BJ835" s="71"/>
      <c r="BK835" s="71"/>
      <c r="BL835" s="71"/>
      <c r="BM835" s="71"/>
    </row>
    <row r="836">
      <c r="A836" s="72"/>
      <c r="B836" s="72"/>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c r="BA836" s="71"/>
      <c r="BB836" s="71"/>
      <c r="BC836" s="71"/>
      <c r="BD836" s="71"/>
      <c r="BE836" s="71"/>
      <c r="BF836" s="71"/>
      <c r="BG836" s="71"/>
      <c r="BH836" s="71"/>
      <c r="BI836" s="71"/>
      <c r="BJ836" s="71"/>
      <c r="BK836" s="71"/>
      <c r="BL836" s="71"/>
      <c r="BM836" s="71"/>
    </row>
    <row r="837">
      <c r="A837" s="72"/>
      <c r="B837" s="72"/>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c r="BA837" s="71"/>
      <c r="BB837" s="71"/>
      <c r="BC837" s="71"/>
      <c r="BD837" s="71"/>
      <c r="BE837" s="71"/>
      <c r="BF837" s="71"/>
      <c r="BG837" s="71"/>
      <c r="BH837" s="71"/>
      <c r="BI837" s="71"/>
      <c r="BJ837" s="71"/>
      <c r="BK837" s="71"/>
      <c r="BL837" s="71"/>
      <c r="BM837" s="71"/>
    </row>
    <row r="838">
      <c r="A838" s="72"/>
      <c r="B838" s="72"/>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c r="BA838" s="71"/>
      <c r="BB838" s="71"/>
      <c r="BC838" s="71"/>
      <c r="BD838" s="71"/>
      <c r="BE838" s="71"/>
      <c r="BF838" s="71"/>
      <c r="BG838" s="71"/>
      <c r="BH838" s="71"/>
      <c r="BI838" s="71"/>
      <c r="BJ838" s="71"/>
      <c r="BK838" s="71"/>
      <c r="BL838" s="71"/>
      <c r="BM838" s="71"/>
    </row>
    <row r="839">
      <c r="A839" s="72"/>
      <c r="B839" s="72"/>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c r="BA839" s="71"/>
      <c r="BB839" s="71"/>
      <c r="BC839" s="71"/>
      <c r="BD839" s="71"/>
      <c r="BE839" s="71"/>
      <c r="BF839" s="71"/>
      <c r="BG839" s="71"/>
      <c r="BH839" s="71"/>
      <c r="BI839" s="71"/>
      <c r="BJ839" s="71"/>
      <c r="BK839" s="71"/>
      <c r="BL839" s="71"/>
      <c r="BM839" s="71"/>
    </row>
    <row r="840">
      <c r="A840" s="72"/>
      <c r="B840" s="72"/>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c r="BA840" s="71"/>
      <c r="BB840" s="71"/>
      <c r="BC840" s="71"/>
      <c r="BD840" s="71"/>
      <c r="BE840" s="71"/>
      <c r="BF840" s="71"/>
      <c r="BG840" s="71"/>
      <c r="BH840" s="71"/>
      <c r="BI840" s="71"/>
      <c r="BJ840" s="71"/>
      <c r="BK840" s="71"/>
      <c r="BL840" s="71"/>
      <c r="BM840" s="71"/>
    </row>
    <row r="841">
      <c r="A841" s="72"/>
      <c r="B841" s="72"/>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c r="BA841" s="71"/>
      <c r="BB841" s="71"/>
      <c r="BC841" s="71"/>
      <c r="BD841" s="71"/>
      <c r="BE841" s="71"/>
      <c r="BF841" s="71"/>
      <c r="BG841" s="71"/>
      <c r="BH841" s="71"/>
      <c r="BI841" s="71"/>
      <c r="BJ841" s="71"/>
      <c r="BK841" s="71"/>
      <c r="BL841" s="71"/>
      <c r="BM841" s="71"/>
    </row>
    <row r="842">
      <c r="A842" s="72"/>
      <c r="B842" s="72"/>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c r="BA842" s="71"/>
      <c r="BB842" s="71"/>
      <c r="BC842" s="71"/>
      <c r="BD842" s="71"/>
      <c r="BE842" s="71"/>
      <c r="BF842" s="71"/>
      <c r="BG842" s="71"/>
      <c r="BH842" s="71"/>
      <c r="BI842" s="71"/>
      <c r="BJ842" s="71"/>
      <c r="BK842" s="71"/>
      <c r="BL842" s="71"/>
      <c r="BM842" s="71"/>
    </row>
    <row r="843">
      <c r="A843" s="72"/>
      <c r="B843" s="72"/>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c r="BA843" s="71"/>
      <c r="BB843" s="71"/>
      <c r="BC843" s="71"/>
      <c r="BD843" s="71"/>
      <c r="BE843" s="71"/>
      <c r="BF843" s="71"/>
      <c r="BG843" s="71"/>
      <c r="BH843" s="71"/>
      <c r="BI843" s="71"/>
      <c r="BJ843" s="71"/>
      <c r="BK843" s="71"/>
      <c r="BL843" s="71"/>
      <c r="BM843" s="71"/>
    </row>
    <row r="844">
      <c r="A844" s="72"/>
      <c r="B844" s="72"/>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c r="BA844" s="71"/>
      <c r="BB844" s="71"/>
      <c r="BC844" s="71"/>
      <c r="BD844" s="71"/>
      <c r="BE844" s="71"/>
      <c r="BF844" s="71"/>
      <c r="BG844" s="71"/>
      <c r="BH844" s="71"/>
      <c r="BI844" s="71"/>
      <c r="BJ844" s="71"/>
      <c r="BK844" s="71"/>
      <c r="BL844" s="71"/>
      <c r="BM844" s="71"/>
    </row>
    <row r="845">
      <c r="A845" s="72"/>
      <c r="B845" s="72"/>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c r="BA845" s="71"/>
      <c r="BB845" s="71"/>
      <c r="BC845" s="71"/>
      <c r="BD845" s="71"/>
      <c r="BE845" s="71"/>
      <c r="BF845" s="71"/>
      <c r="BG845" s="71"/>
      <c r="BH845" s="71"/>
      <c r="BI845" s="71"/>
      <c r="BJ845" s="71"/>
      <c r="BK845" s="71"/>
      <c r="BL845" s="71"/>
      <c r="BM845" s="71"/>
    </row>
    <row r="846">
      <c r="A846" s="72"/>
      <c r="B846" s="72"/>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c r="BA846" s="71"/>
      <c r="BB846" s="71"/>
      <c r="BC846" s="71"/>
      <c r="BD846" s="71"/>
      <c r="BE846" s="71"/>
      <c r="BF846" s="71"/>
      <c r="BG846" s="71"/>
      <c r="BH846" s="71"/>
      <c r="BI846" s="71"/>
      <c r="BJ846" s="71"/>
      <c r="BK846" s="71"/>
      <c r="BL846" s="71"/>
      <c r="BM846" s="71"/>
    </row>
    <row r="847">
      <c r="A847" s="72"/>
      <c r="B847" s="72"/>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c r="BA847" s="71"/>
      <c r="BB847" s="71"/>
      <c r="BC847" s="71"/>
      <c r="BD847" s="71"/>
      <c r="BE847" s="71"/>
      <c r="BF847" s="71"/>
      <c r="BG847" s="71"/>
      <c r="BH847" s="71"/>
      <c r="BI847" s="71"/>
      <c r="BJ847" s="71"/>
      <c r="BK847" s="71"/>
      <c r="BL847" s="71"/>
      <c r="BM847" s="71"/>
    </row>
    <row r="848">
      <c r="A848" s="72"/>
      <c r="B848" s="72"/>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c r="BA848" s="71"/>
      <c r="BB848" s="71"/>
      <c r="BC848" s="71"/>
      <c r="BD848" s="71"/>
      <c r="BE848" s="71"/>
      <c r="BF848" s="71"/>
      <c r="BG848" s="71"/>
      <c r="BH848" s="71"/>
      <c r="BI848" s="71"/>
      <c r="BJ848" s="71"/>
      <c r="BK848" s="71"/>
      <c r="BL848" s="71"/>
      <c r="BM848" s="71"/>
    </row>
    <row r="849">
      <c r="A849" s="72"/>
      <c r="B849" s="72"/>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c r="BA849" s="71"/>
      <c r="BB849" s="71"/>
      <c r="BC849" s="71"/>
      <c r="BD849" s="71"/>
      <c r="BE849" s="71"/>
      <c r="BF849" s="71"/>
      <c r="BG849" s="71"/>
      <c r="BH849" s="71"/>
      <c r="BI849" s="71"/>
      <c r="BJ849" s="71"/>
      <c r="BK849" s="71"/>
      <c r="BL849" s="71"/>
      <c r="BM849" s="71"/>
    </row>
    <row r="850">
      <c r="A850" s="72"/>
      <c r="B850" s="72"/>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c r="BA850" s="71"/>
      <c r="BB850" s="71"/>
      <c r="BC850" s="71"/>
      <c r="BD850" s="71"/>
      <c r="BE850" s="71"/>
      <c r="BF850" s="71"/>
      <c r="BG850" s="71"/>
      <c r="BH850" s="71"/>
      <c r="BI850" s="71"/>
      <c r="BJ850" s="71"/>
      <c r="BK850" s="71"/>
      <c r="BL850" s="71"/>
      <c r="BM850" s="71"/>
    </row>
    <row r="851">
      <c r="A851" s="72"/>
      <c r="B851" s="72"/>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c r="BA851" s="71"/>
      <c r="BB851" s="71"/>
      <c r="BC851" s="71"/>
      <c r="BD851" s="71"/>
      <c r="BE851" s="71"/>
      <c r="BF851" s="71"/>
      <c r="BG851" s="71"/>
      <c r="BH851" s="71"/>
      <c r="BI851" s="71"/>
      <c r="BJ851" s="71"/>
      <c r="BK851" s="71"/>
      <c r="BL851" s="71"/>
      <c r="BM851" s="71"/>
    </row>
    <row r="852">
      <c r="A852" s="72"/>
      <c r="B852" s="72"/>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c r="BA852" s="71"/>
      <c r="BB852" s="71"/>
      <c r="BC852" s="71"/>
      <c r="BD852" s="71"/>
      <c r="BE852" s="71"/>
      <c r="BF852" s="71"/>
      <c r="BG852" s="71"/>
      <c r="BH852" s="71"/>
      <c r="BI852" s="71"/>
      <c r="BJ852" s="71"/>
      <c r="BK852" s="71"/>
      <c r="BL852" s="71"/>
      <c r="BM852" s="71"/>
    </row>
    <row r="853">
      <c r="A853" s="72"/>
      <c r="B853" s="72"/>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c r="BA853" s="71"/>
      <c r="BB853" s="71"/>
      <c r="BC853" s="71"/>
      <c r="BD853" s="71"/>
      <c r="BE853" s="71"/>
      <c r="BF853" s="71"/>
      <c r="BG853" s="71"/>
      <c r="BH853" s="71"/>
      <c r="BI853" s="71"/>
      <c r="BJ853" s="71"/>
      <c r="BK853" s="71"/>
      <c r="BL853" s="71"/>
      <c r="BM853" s="71"/>
    </row>
    <row r="854">
      <c r="A854" s="72"/>
      <c r="B854" s="72"/>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c r="BA854" s="71"/>
      <c r="BB854" s="71"/>
      <c r="BC854" s="71"/>
      <c r="BD854" s="71"/>
      <c r="BE854" s="71"/>
      <c r="BF854" s="71"/>
      <c r="BG854" s="71"/>
      <c r="BH854" s="71"/>
      <c r="BI854" s="71"/>
      <c r="BJ854" s="71"/>
      <c r="BK854" s="71"/>
      <c r="BL854" s="71"/>
      <c r="BM854" s="71"/>
    </row>
    <row r="855">
      <c r="A855" s="72"/>
      <c r="B855" s="72"/>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c r="BA855" s="71"/>
      <c r="BB855" s="71"/>
      <c r="BC855" s="71"/>
      <c r="BD855" s="71"/>
      <c r="BE855" s="71"/>
      <c r="BF855" s="71"/>
      <c r="BG855" s="71"/>
      <c r="BH855" s="71"/>
      <c r="BI855" s="71"/>
      <c r="BJ855" s="71"/>
      <c r="BK855" s="71"/>
      <c r="BL855" s="71"/>
      <c r="BM855" s="71"/>
    </row>
    <row r="856">
      <c r="A856" s="72"/>
      <c r="B856" s="72"/>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c r="BA856" s="71"/>
      <c r="BB856" s="71"/>
      <c r="BC856" s="71"/>
      <c r="BD856" s="71"/>
      <c r="BE856" s="71"/>
      <c r="BF856" s="71"/>
      <c r="BG856" s="71"/>
      <c r="BH856" s="71"/>
      <c r="BI856" s="71"/>
      <c r="BJ856" s="71"/>
      <c r="BK856" s="71"/>
      <c r="BL856" s="71"/>
      <c r="BM856" s="71"/>
    </row>
    <row r="857">
      <c r="A857" s="72"/>
      <c r="B857" s="72"/>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c r="BA857" s="71"/>
      <c r="BB857" s="71"/>
      <c r="BC857" s="71"/>
      <c r="BD857" s="71"/>
      <c r="BE857" s="71"/>
      <c r="BF857" s="71"/>
      <c r="BG857" s="71"/>
      <c r="BH857" s="71"/>
      <c r="BI857" s="71"/>
      <c r="BJ857" s="71"/>
      <c r="BK857" s="71"/>
      <c r="BL857" s="71"/>
      <c r="BM857" s="71"/>
    </row>
    <row r="858">
      <c r="A858" s="72"/>
      <c r="B858" s="72"/>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c r="BA858" s="71"/>
      <c r="BB858" s="71"/>
      <c r="BC858" s="71"/>
      <c r="BD858" s="71"/>
      <c r="BE858" s="71"/>
      <c r="BF858" s="71"/>
      <c r="BG858" s="71"/>
      <c r="BH858" s="71"/>
      <c r="BI858" s="71"/>
      <c r="BJ858" s="71"/>
      <c r="BK858" s="71"/>
      <c r="BL858" s="71"/>
      <c r="BM858" s="71"/>
    </row>
    <row r="859">
      <c r="A859" s="72"/>
      <c r="B859" s="72"/>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c r="BA859" s="71"/>
      <c r="BB859" s="71"/>
      <c r="BC859" s="71"/>
      <c r="BD859" s="71"/>
      <c r="BE859" s="71"/>
      <c r="BF859" s="71"/>
      <c r="BG859" s="71"/>
      <c r="BH859" s="71"/>
      <c r="BI859" s="71"/>
      <c r="BJ859" s="71"/>
      <c r="BK859" s="71"/>
      <c r="BL859" s="71"/>
      <c r="BM859" s="71"/>
    </row>
    <row r="860">
      <c r="A860" s="72"/>
      <c r="B860" s="72"/>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c r="BA860" s="71"/>
      <c r="BB860" s="71"/>
      <c r="BC860" s="71"/>
      <c r="BD860" s="71"/>
      <c r="BE860" s="71"/>
      <c r="BF860" s="71"/>
      <c r="BG860" s="71"/>
      <c r="BH860" s="71"/>
      <c r="BI860" s="71"/>
      <c r="BJ860" s="71"/>
      <c r="BK860" s="71"/>
      <c r="BL860" s="71"/>
      <c r="BM860" s="71"/>
    </row>
    <row r="861">
      <c r="A861" s="72"/>
      <c r="B861" s="72"/>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c r="BA861" s="71"/>
      <c r="BB861" s="71"/>
      <c r="BC861" s="71"/>
      <c r="BD861" s="71"/>
      <c r="BE861" s="71"/>
      <c r="BF861" s="71"/>
      <c r="BG861" s="71"/>
      <c r="BH861" s="71"/>
      <c r="BI861" s="71"/>
      <c r="BJ861" s="71"/>
      <c r="BK861" s="71"/>
      <c r="BL861" s="71"/>
      <c r="BM861" s="71"/>
    </row>
    <row r="862">
      <c r="A862" s="72"/>
      <c r="B862" s="72"/>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c r="BA862" s="71"/>
      <c r="BB862" s="71"/>
      <c r="BC862" s="71"/>
      <c r="BD862" s="71"/>
      <c r="BE862" s="71"/>
      <c r="BF862" s="71"/>
      <c r="BG862" s="71"/>
      <c r="BH862" s="71"/>
      <c r="BI862" s="71"/>
      <c r="BJ862" s="71"/>
      <c r="BK862" s="71"/>
      <c r="BL862" s="71"/>
      <c r="BM862" s="71"/>
    </row>
    <row r="863">
      <c r="A863" s="72"/>
      <c r="B863" s="72"/>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c r="BA863" s="71"/>
      <c r="BB863" s="71"/>
      <c r="BC863" s="71"/>
      <c r="BD863" s="71"/>
      <c r="BE863" s="71"/>
      <c r="BF863" s="71"/>
      <c r="BG863" s="71"/>
      <c r="BH863" s="71"/>
      <c r="BI863" s="71"/>
      <c r="BJ863" s="71"/>
      <c r="BK863" s="71"/>
      <c r="BL863" s="71"/>
      <c r="BM863" s="71"/>
    </row>
    <row r="864">
      <c r="A864" s="72"/>
      <c r="B864" s="72"/>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c r="BA864" s="71"/>
      <c r="BB864" s="71"/>
      <c r="BC864" s="71"/>
      <c r="BD864" s="71"/>
      <c r="BE864" s="71"/>
      <c r="BF864" s="71"/>
      <c r="BG864" s="71"/>
      <c r="BH864" s="71"/>
      <c r="BI864" s="71"/>
      <c r="BJ864" s="71"/>
      <c r="BK864" s="71"/>
      <c r="BL864" s="71"/>
      <c r="BM864" s="71"/>
    </row>
    <row r="865">
      <c r="A865" s="72"/>
      <c r="B865" s="72"/>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c r="BA865" s="71"/>
      <c r="BB865" s="71"/>
      <c r="BC865" s="71"/>
      <c r="BD865" s="71"/>
      <c r="BE865" s="71"/>
      <c r="BF865" s="71"/>
      <c r="BG865" s="71"/>
      <c r="BH865" s="71"/>
      <c r="BI865" s="71"/>
      <c r="BJ865" s="71"/>
      <c r="BK865" s="71"/>
      <c r="BL865" s="71"/>
      <c r="BM865" s="71"/>
    </row>
    <row r="866">
      <c r="A866" s="72"/>
      <c r="B866" s="72"/>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c r="BA866" s="71"/>
      <c r="BB866" s="71"/>
      <c r="BC866" s="71"/>
      <c r="BD866" s="71"/>
      <c r="BE866" s="71"/>
      <c r="BF866" s="71"/>
      <c r="BG866" s="71"/>
      <c r="BH866" s="71"/>
      <c r="BI866" s="71"/>
      <c r="BJ866" s="71"/>
      <c r="BK866" s="71"/>
      <c r="BL866" s="71"/>
      <c r="BM866" s="71"/>
    </row>
    <row r="867">
      <c r="A867" s="72"/>
      <c r="B867" s="72"/>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c r="BA867" s="71"/>
      <c r="BB867" s="71"/>
      <c r="BC867" s="71"/>
      <c r="BD867" s="71"/>
      <c r="BE867" s="71"/>
      <c r="BF867" s="71"/>
      <c r="BG867" s="71"/>
      <c r="BH867" s="71"/>
      <c r="BI867" s="71"/>
      <c r="BJ867" s="71"/>
      <c r="BK867" s="71"/>
      <c r="BL867" s="71"/>
      <c r="BM867" s="71"/>
    </row>
    <row r="868">
      <c r="A868" s="72"/>
      <c r="B868" s="72"/>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c r="BA868" s="71"/>
      <c r="BB868" s="71"/>
      <c r="BC868" s="71"/>
      <c r="BD868" s="71"/>
      <c r="BE868" s="71"/>
      <c r="BF868" s="71"/>
      <c r="BG868" s="71"/>
      <c r="BH868" s="71"/>
      <c r="BI868" s="71"/>
      <c r="BJ868" s="71"/>
      <c r="BK868" s="71"/>
      <c r="BL868" s="71"/>
      <c r="BM868" s="71"/>
    </row>
    <row r="869">
      <c r="A869" s="72"/>
      <c r="B869" s="72"/>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c r="BA869" s="71"/>
      <c r="BB869" s="71"/>
      <c r="BC869" s="71"/>
      <c r="BD869" s="71"/>
      <c r="BE869" s="71"/>
      <c r="BF869" s="71"/>
      <c r="BG869" s="71"/>
      <c r="BH869" s="71"/>
      <c r="BI869" s="71"/>
      <c r="BJ869" s="71"/>
      <c r="BK869" s="71"/>
      <c r="BL869" s="71"/>
      <c r="BM869" s="71"/>
    </row>
    <row r="870">
      <c r="A870" s="72"/>
      <c r="B870" s="72"/>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c r="BA870" s="71"/>
      <c r="BB870" s="71"/>
      <c r="BC870" s="71"/>
      <c r="BD870" s="71"/>
      <c r="BE870" s="71"/>
      <c r="BF870" s="71"/>
      <c r="BG870" s="71"/>
      <c r="BH870" s="71"/>
      <c r="BI870" s="71"/>
      <c r="BJ870" s="71"/>
      <c r="BK870" s="71"/>
      <c r="BL870" s="71"/>
      <c r="BM870" s="71"/>
    </row>
    <row r="871">
      <c r="A871" s="72"/>
      <c r="B871" s="72"/>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c r="BA871" s="71"/>
      <c r="BB871" s="71"/>
      <c r="BC871" s="71"/>
      <c r="BD871" s="71"/>
      <c r="BE871" s="71"/>
      <c r="BF871" s="71"/>
      <c r="BG871" s="71"/>
      <c r="BH871" s="71"/>
      <c r="BI871" s="71"/>
      <c r="BJ871" s="71"/>
      <c r="BK871" s="71"/>
      <c r="BL871" s="71"/>
      <c r="BM871" s="71"/>
    </row>
    <row r="872">
      <c r="A872" s="72"/>
      <c r="B872" s="72"/>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c r="BA872" s="71"/>
      <c r="BB872" s="71"/>
      <c r="BC872" s="71"/>
      <c r="BD872" s="71"/>
      <c r="BE872" s="71"/>
      <c r="BF872" s="71"/>
      <c r="BG872" s="71"/>
      <c r="BH872" s="71"/>
      <c r="BI872" s="71"/>
      <c r="BJ872" s="71"/>
      <c r="BK872" s="71"/>
      <c r="BL872" s="71"/>
      <c r="BM872" s="71"/>
    </row>
    <row r="873">
      <c r="A873" s="72"/>
      <c r="B873" s="72"/>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c r="BA873" s="71"/>
      <c r="BB873" s="71"/>
      <c r="BC873" s="71"/>
      <c r="BD873" s="71"/>
      <c r="BE873" s="71"/>
      <c r="BF873" s="71"/>
      <c r="BG873" s="71"/>
      <c r="BH873" s="71"/>
      <c r="BI873" s="71"/>
      <c r="BJ873" s="71"/>
      <c r="BK873" s="71"/>
      <c r="BL873" s="71"/>
      <c r="BM873" s="71"/>
    </row>
    <row r="874">
      <c r="A874" s="72"/>
      <c r="B874" s="72"/>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c r="BA874" s="71"/>
      <c r="BB874" s="71"/>
      <c r="BC874" s="71"/>
      <c r="BD874" s="71"/>
      <c r="BE874" s="71"/>
      <c r="BF874" s="71"/>
      <c r="BG874" s="71"/>
      <c r="BH874" s="71"/>
      <c r="BI874" s="71"/>
      <c r="BJ874" s="71"/>
      <c r="BK874" s="71"/>
      <c r="BL874" s="71"/>
      <c r="BM874" s="71"/>
    </row>
    <row r="875">
      <c r="A875" s="72"/>
      <c r="B875" s="72"/>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c r="BA875" s="71"/>
      <c r="BB875" s="71"/>
      <c r="BC875" s="71"/>
      <c r="BD875" s="71"/>
      <c r="BE875" s="71"/>
      <c r="BF875" s="71"/>
      <c r="BG875" s="71"/>
      <c r="BH875" s="71"/>
      <c r="BI875" s="71"/>
      <c r="BJ875" s="71"/>
      <c r="BK875" s="71"/>
      <c r="BL875" s="71"/>
      <c r="BM875" s="71"/>
    </row>
    <row r="876">
      <c r="A876" s="72"/>
      <c r="B876" s="72"/>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c r="BA876" s="71"/>
      <c r="BB876" s="71"/>
      <c r="BC876" s="71"/>
      <c r="BD876" s="71"/>
      <c r="BE876" s="71"/>
      <c r="BF876" s="71"/>
      <c r="BG876" s="71"/>
      <c r="BH876" s="71"/>
      <c r="BI876" s="71"/>
      <c r="BJ876" s="71"/>
      <c r="BK876" s="71"/>
      <c r="BL876" s="71"/>
      <c r="BM876" s="71"/>
    </row>
    <row r="877">
      <c r="A877" s="72"/>
      <c r="B877" s="72"/>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c r="BA877" s="71"/>
      <c r="BB877" s="71"/>
      <c r="BC877" s="71"/>
      <c r="BD877" s="71"/>
      <c r="BE877" s="71"/>
      <c r="BF877" s="71"/>
      <c r="BG877" s="71"/>
      <c r="BH877" s="71"/>
      <c r="BI877" s="71"/>
      <c r="BJ877" s="71"/>
      <c r="BK877" s="71"/>
      <c r="BL877" s="71"/>
      <c r="BM877" s="71"/>
    </row>
    <row r="878">
      <c r="A878" s="72"/>
      <c r="B878" s="72"/>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c r="BA878" s="71"/>
      <c r="BB878" s="71"/>
      <c r="BC878" s="71"/>
      <c r="BD878" s="71"/>
      <c r="BE878" s="71"/>
      <c r="BF878" s="71"/>
      <c r="BG878" s="71"/>
      <c r="BH878" s="71"/>
      <c r="BI878" s="71"/>
      <c r="BJ878" s="71"/>
      <c r="BK878" s="71"/>
      <c r="BL878" s="71"/>
      <c r="BM878" s="71"/>
    </row>
    <row r="879">
      <c r="A879" s="72"/>
      <c r="B879" s="72"/>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c r="BA879" s="71"/>
      <c r="BB879" s="71"/>
      <c r="BC879" s="71"/>
      <c r="BD879" s="71"/>
      <c r="BE879" s="71"/>
      <c r="BF879" s="71"/>
      <c r="BG879" s="71"/>
      <c r="BH879" s="71"/>
      <c r="BI879" s="71"/>
      <c r="BJ879" s="71"/>
      <c r="BK879" s="71"/>
      <c r="BL879" s="71"/>
      <c r="BM879" s="71"/>
    </row>
    <row r="880">
      <c r="A880" s="72"/>
      <c r="B880" s="72"/>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c r="BA880" s="71"/>
      <c r="BB880" s="71"/>
      <c r="BC880" s="71"/>
      <c r="BD880" s="71"/>
      <c r="BE880" s="71"/>
      <c r="BF880" s="71"/>
      <c r="BG880" s="71"/>
      <c r="BH880" s="71"/>
      <c r="BI880" s="71"/>
      <c r="BJ880" s="71"/>
      <c r="BK880" s="71"/>
      <c r="BL880" s="71"/>
      <c r="BM880" s="71"/>
    </row>
    <row r="881">
      <c r="A881" s="72"/>
      <c r="B881" s="72"/>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c r="BA881" s="71"/>
      <c r="BB881" s="71"/>
      <c r="BC881" s="71"/>
      <c r="BD881" s="71"/>
      <c r="BE881" s="71"/>
      <c r="BF881" s="71"/>
      <c r="BG881" s="71"/>
      <c r="BH881" s="71"/>
      <c r="BI881" s="71"/>
      <c r="BJ881" s="71"/>
      <c r="BK881" s="71"/>
      <c r="BL881" s="71"/>
      <c r="BM881" s="71"/>
    </row>
    <row r="882">
      <c r="A882" s="72"/>
      <c r="B882" s="72"/>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c r="BA882" s="71"/>
      <c r="BB882" s="71"/>
      <c r="BC882" s="71"/>
      <c r="BD882" s="71"/>
      <c r="BE882" s="71"/>
      <c r="BF882" s="71"/>
      <c r="BG882" s="71"/>
      <c r="BH882" s="71"/>
      <c r="BI882" s="71"/>
      <c r="BJ882" s="71"/>
      <c r="BK882" s="71"/>
      <c r="BL882" s="71"/>
      <c r="BM882" s="71"/>
    </row>
    <row r="883">
      <c r="A883" s="72"/>
      <c r="B883" s="72"/>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c r="BA883" s="71"/>
      <c r="BB883" s="71"/>
      <c r="BC883" s="71"/>
      <c r="BD883" s="71"/>
      <c r="BE883" s="71"/>
      <c r="BF883" s="71"/>
      <c r="BG883" s="71"/>
      <c r="BH883" s="71"/>
      <c r="BI883" s="71"/>
      <c r="BJ883" s="71"/>
      <c r="BK883" s="71"/>
      <c r="BL883" s="71"/>
      <c r="BM883" s="71"/>
    </row>
    <row r="884">
      <c r="A884" s="72"/>
      <c r="B884" s="72"/>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c r="BA884" s="71"/>
      <c r="BB884" s="71"/>
      <c r="BC884" s="71"/>
      <c r="BD884" s="71"/>
      <c r="BE884" s="71"/>
      <c r="BF884" s="71"/>
      <c r="BG884" s="71"/>
      <c r="BH884" s="71"/>
      <c r="BI884" s="71"/>
      <c r="BJ884" s="71"/>
      <c r="BK884" s="71"/>
      <c r="BL884" s="71"/>
      <c r="BM884" s="71"/>
    </row>
    <row r="885">
      <c r="A885" s="72"/>
      <c r="B885" s="72"/>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c r="BA885" s="71"/>
      <c r="BB885" s="71"/>
      <c r="BC885" s="71"/>
      <c r="BD885" s="71"/>
      <c r="BE885" s="71"/>
      <c r="BF885" s="71"/>
      <c r="BG885" s="71"/>
      <c r="BH885" s="71"/>
      <c r="BI885" s="71"/>
      <c r="BJ885" s="71"/>
      <c r="BK885" s="71"/>
      <c r="BL885" s="71"/>
      <c r="BM885" s="71"/>
    </row>
    <row r="886">
      <c r="A886" s="72"/>
      <c r="B886" s="72"/>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c r="BA886" s="71"/>
      <c r="BB886" s="71"/>
      <c r="BC886" s="71"/>
      <c r="BD886" s="71"/>
      <c r="BE886" s="71"/>
      <c r="BF886" s="71"/>
      <c r="BG886" s="71"/>
      <c r="BH886" s="71"/>
      <c r="BI886" s="71"/>
      <c r="BJ886" s="71"/>
      <c r="BK886" s="71"/>
      <c r="BL886" s="71"/>
      <c r="BM886" s="71"/>
    </row>
    <row r="887">
      <c r="A887" s="72"/>
      <c r="B887" s="72"/>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c r="BA887" s="71"/>
      <c r="BB887" s="71"/>
      <c r="BC887" s="71"/>
      <c r="BD887" s="71"/>
      <c r="BE887" s="71"/>
      <c r="BF887" s="71"/>
      <c r="BG887" s="71"/>
      <c r="BH887" s="71"/>
      <c r="BI887" s="71"/>
      <c r="BJ887" s="71"/>
      <c r="BK887" s="71"/>
      <c r="BL887" s="71"/>
      <c r="BM887" s="71"/>
    </row>
    <row r="888">
      <c r="A888" s="72"/>
      <c r="B888" s="72"/>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c r="BA888" s="71"/>
      <c r="BB888" s="71"/>
      <c r="BC888" s="71"/>
      <c r="BD888" s="71"/>
      <c r="BE888" s="71"/>
      <c r="BF888" s="71"/>
      <c r="BG888" s="71"/>
      <c r="BH888" s="71"/>
      <c r="BI888" s="71"/>
      <c r="BJ888" s="71"/>
      <c r="BK888" s="71"/>
      <c r="BL888" s="71"/>
      <c r="BM888" s="71"/>
    </row>
    <row r="889">
      <c r="A889" s="72"/>
      <c r="B889" s="72"/>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c r="BA889" s="71"/>
      <c r="BB889" s="71"/>
      <c r="BC889" s="71"/>
      <c r="BD889" s="71"/>
      <c r="BE889" s="71"/>
      <c r="BF889" s="71"/>
      <c r="BG889" s="71"/>
      <c r="BH889" s="71"/>
      <c r="BI889" s="71"/>
      <c r="BJ889" s="71"/>
      <c r="BK889" s="71"/>
      <c r="BL889" s="71"/>
      <c r="BM889" s="71"/>
    </row>
    <row r="890">
      <c r="A890" s="72"/>
      <c r="B890" s="72"/>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c r="BA890" s="71"/>
      <c r="BB890" s="71"/>
      <c r="BC890" s="71"/>
      <c r="BD890" s="71"/>
      <c r="BE890" s="71"/>
      <c r="BF890" s="71"/>
      <c r="BG890" s="71"/>
      <c r="BH890" s="71"/>
      <c r="BI890" s="71"/>
      <c r="BJ890" s="71"/>
      <c r="BK890" s="71"/>
      <c r="BL890" s="71"/>
      <c r="BM890" s="71"/>
    </row>
    <row r="891">
      <c r="A891" s="72"/>
      <c r="B891" s="72"/>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c r="BA891" s="71"/>
      <c r="BB891" s="71"/>
      <c r="BC891" s="71"/>
      <c r="BD891" s="71"/>
      <c r="BE891" s="71"/>
      <c r="BF891" s="71"/>
      <c r="BG891" s="71"/>
      <c r="BH891" s="71"/>
      <c r="BI891" s="71"/>
      <c r="BJ891" s="71"/>
      <c r="BK891" s="71"/>
      <c r="BL891" s="71"/>
      <c r="BM891" s="71"/>
    </row>
    <row r="892">
      <c r="A892" s="72"/>
      <c r="B892" s="72"/>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c r="BA892" s="71"/>
      <c r="BB892" s="71"/>
      <c r="BC892" s="71"/>
      <c r="BD892" s="71"/>
      <c r="BE892" s="71"/>
      <c r="BF892" s="71"/>
      <c r="BG892" s="71"/>
      <c r="BH892" s="71"/>
      <c r="BI892" s="71"/>
      <c r="BJ892" s="71"/>
      <c r="BK892" s="71"/>
      <c r="BL892" s="71"/>
      <c r="BM892" s="71"/>
    </row>
    <row r="893">
      <c r="A893" s="72"/>
      <c r="B893" s="72"/>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c r="BA893" s="71"/>
      <c r="BB893" s="71"/>
      <c r="BC893" s="71"/>
      <c r="BD893" s="71"/>
      <c r="BE893" s="71"/>
      <c r="BF893" s="71"/>
      <c r="BG893" s="71"/>
      <c r="BH893" s="71"/>
      <c r="BI893" s="71"/>
      <c r="BJ893" s="71"/>
      <c r="BK893" s="71"/>
      <c r="BL893" s="71"/>
      <c r="BM893" s="71"/>
    </row>
    <row r="894">
      <c r="A894" s="72"/>
      <c r="B894" s="72"/>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c r="BA894" s="71"/>
      <c r="BB894" s="71"/>
      <c r="BC894" s="71"/>
      <c r="BD894" s="71"/>
      <c r="BE894" s="71"/>
      <c r="BF894" s="71"/>
      <c r="BG894" s="71"/>
      <c r="BH894" s="71"/>
      <c r="BI894" s="71"/>
      <c r="BJ894" s="71"/>
      <c r="BK894" s="71"/>
      <c r="BL894" s="71"/>
      <c r="BM894" s="71"/>
    </row>
    <row r="895">
      <c r="A895" s="72"/>
      <c r="B895" s="72"/>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c r="BA895" s="71"/>
      <c r="BB895" s="71"/>
      <c r="BC895" s="71"/>
      <c r="BD895" s="71"/>
      <c r="BE895" s="71"/>
      <c r="BF895" s="71"/>
      <c r="BG895" s="71"/>
      <c r="BH895" s="71"/>
      <c r="BI895" s="71"/>
      <c r="BJ895" s="71"/>
      <c r="BK895" s="71"/>
      <c r="BL895" s="71"/>
      <c r="BM895" s="71"/>
    </row>
    <row r="896">
      <c r="A896" s="72"/>
      <c r="B896" s="72"/>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c r="BA896" s="71"/>
      <c r="BB896" s="71"/>
      <c r="BC896" s="71"/>
      <c r="BD896" s="71"/>
      <c r="BE896" s="71"/>
      <c r="BF896" s="71"/>
      <c r="BG896" s="71"/>
      <c r="BH896" s="71"/>
      <c r="BI896" s="71"/>
      <c r="BJ896" s="71"/>
      <c r="BK896" s="71"/>
      <c r="BL896" s="71"/>
      <c r="BM896" s="71"/>
    </row>
    <row r="897">
      <c r="A897" s="72"/>
      <c r="B897" s="72"/>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c r="BA897" s="71"/>
      <c r="BB897" s="71"/>
      <c r="BC897" s="71"/>
      <c r="BD897" s="71"/>
      <c r="BE897" s="71"/>
      <c r="BF897" s="71"/>
      <c r="BG897" s="71"/>
      <c r="BH897" s="71"/>
      <c r="BI897" s="71"/>
      <c r="BJ897" s="71"/>
      <c r="BK897" s="71"/>
      <c r="BL897" s="71"/>
      <c r="BM897" s="71"/>
    </row>
    <row r="898">
      <c r="A898" s="72"/>
      <c r="B898" s="72"/>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c r="BA898" s="71"/>
      <c r="BB898" s="71"/>
      <c r="BC898" s="71"/>
      <c r="BD898" s="71"/>
      <c r="BE898" s="71"/>
      <c r="BF898" s="71"/>
      <c r="BG898" s="71"/>
      <c r="BH898" s="71"/>
      <c r="BI898" s="71"/>
      <c r="BJ898" s="71"/>
      <c r="BK898" s="71"/>
      <c r="BL898" s="71"/>
      <c r="BM898" s="71"/>
    </row>
    <row r="899">
      <c r="A899" s="72"/>
      <c r="B899" s="72"/>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c r="BA899" s="71"/>
      <c r="BB899" s="71"/>
      <c r="BC899" s="71"/>
      <c r="BD899" s="71"/>
      <c r="BE899" s="71"/>
      <c r="BF899" s="71"/>
      <c r="BG899" s="71"/>
      <c r="BH899" s="71"/>
      <c r="BI899" s="71"/>
      <c r="BJ899" s="71"/>
      <c r="BK899" s="71"/>
      <c r="BL899" s="71"/>
      <c r="BM899" s="71"/>
    </row>
    <row r="900">
      <c r="A900" s="72"/>
      <c r="B900" s="72"/>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c r="BA900" s="71"/>
      <c r="BB900" s="71"/>
      <c r="BC900" s="71"/>
      <c r="BD900" s="71"/>
      <c r="BE900" s="71"/>
      <c r="BF900" s="71"/>
      <c r="BG900" s="71"/>
      <c r="BH900" s="71"/>
      <c r="BI900" s="71"/>
      <c r="BJ900" s="71"/>
      <c r="BK900" s="71"/>
      <c r="BL900" s="71"/>
      <c r="BM900" s="71"/>
    </row>
    <row r="901">
      <c r="A901" s="72"/>
      <c r="B901" s="72"/>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c r="BA901" s="71"/>
      <c r="BB901" s="71"/>
      <c r="BC901" s="71"/>
      <c r="BD901" s="71"/>
      <c r="BE901" s="71"/>
      <c r="BF901" s="71"/>
      <c r="BG901" s="71"/>
      <c r="BH901" s="71"/>
      <c r="BI901" s="71"/>
      <c r="BJ901" s="71"/>
      <c r="BK901" s="71"/>
      <c r="BL901" s="71"/>
      <c r="BM901" s="71"/>
    </row>
    <row r="902">
      <c r="A902" s="72"/>
      <c r="B902" s="72"/>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c r="BA902" s="71"/>
      <c r="BB902" s="71"/>
      <c r="BC902" s="71"/>
      <c r="BD902" s="71"/>
      <c r="BE902" s="71"/>
      <c r="BF902" s="71"/>
      <c r="BG902" s="71"/>
      <c r="BH902" s="71"/>
      <c r="BI902" s="71"/>
      <c r="BJ902" s="71"/>
      <c r="BK902" s="71"/>
      <c r="BL902" s="71"/>
      <c r="BM902" s="71"/>
    </row>
    <row r="903">
      <c r="A903" s="72"/>
      <c r="B903" s="72"/>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c r="BA903" s="71"/>
      <c r="BB903" s="71"/>
      <c r="BC903" s="71"/>
      <c r="BD903" s="71"/>
      <c r="BE903" s="71"/>
      <c r="BF903" s="71"/>
      <c r="BG903" s="71"/>
      <c r="BH903" s="71"/>
      <c r="BI903" s="71"/>
      <c r="BJ903" s="71"/>
      <c r="BK903" s="71"/>
      <c r="BL903" s="71"/>
      <c r="BM903" s="71"/>
    </row>
    <row r="904">
      <c r="A904" s="72"/>
      <c r="B904" s="72"/>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c r="BA904" s="71"/>
      <c r="BB904" s="71"/>
      <c r="BC904" s="71"/>
      <c r="BD904" s="71"/>
      <c r="BE904" s="71"/>
      <c r="BF904" s="71"/>
      <c r="BG904" s="71"/>
      <c r="BH904" s="71"/>
      <c r="BI904" s="71"/>
      <c r="BJ904" s="71"/>
      <c r="BK904" s="71"/>
      <c r="BL904" s="71"/>
      <c r="BM904" s="71"/>
    </row>
    <row r="905">
      <c r="A905" s="72"/>
      <c r="B905" s="72"/>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c r="BA905" s="71"/>
      <c r="BB905" s="71"/>
      <c r="BC905" s="71"/>
      <c r="BD905" s="71"/>
      <c r="BE905" s="71"/>
      <c r="BF905" s="71"/>
      <c r="BG905" s="71"/>
      <c r="BH905" s="71"/>
      <c r="BI905" s="71"/>
      <c r="BJ905" s="71"/>
      <c r="BK905" s="71"/>
      <c r="BL905" s="71"/>
      <c r="BM905" s="71"/>
    </row>
    <row r="906">
      <c r="A906" s="72"/>
      <c r="B906" s="72"/>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c r="BA906" s="71"/>
      <c r="BB906" s="71"/>
      <c r="BC906" s="71"/>
      <c r="BD906" s="71"/>
      <c r="BE906" s="71"/>
      <c r="BF906" s="71"/>
      <c r="BG906" s="71"/>
      <c r="BH906" s="71"/>
      <c r="BI906" s="71"/>
      <c r="BJ906" s="71"/>
      <c r="BK906" s="71"/>
      <c r="BL906" s="71"/>
      <c r="BM906" s="71"/>
    </row>
    <row r="907">
      <c r="A907" s="72"/>
      <c r="B907" s="72"/>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c r="BA907" s="71"/>
      <c r="BB907" s="71"/>
      <c r="BC907" s="71"/>
      <c r="BD907" s="71"/>
      <c r="BE907" s="71"/>
      <c r="BF907" s="71"/>
      <c r="BG907" s="71"/>
      <c r="BH907" s="71"/>
      <c r="BI907" s="71"/>
      <c r="BJ907" s="71"/>
      <c r="BK907" s="71"/>
      <c r="BL907" s="71"/>
      <c r="BM907" s="71"/>
    </row>
    <row r="908">
      <c r="A908" s="72"/>
      <c r="B908" s="72"/>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c r="BA908" s="71"/>
      <c r="BB908" s="71"/>
      <c r="BC908" s="71"/>
      <c r="BD908" s="71"/>
      <c r="BE908" s="71"/>
      <c r="BF908" s="71"/>
      <c r="BG908" s="71"/>
      <c r="BH908" s="71"/>
      <c r="BI908" s="71"/>
      <c r="BJ908" s="71"/>
      <c r="BK908" s="71"/>
      <c r="BL908" s="71"/>
      <c r="BM908" s="71"/>
    </row>
    <row r="909">
      <c r="A909" s="72"/>
      <c r="B909" s="72"/>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c r="BA909" s="71"/>
      <c r="BB909" s="71"/>
      <c r="BC909" s="71"/>
      <c r="BD909" s="71"/>
      <c r="BE909" s="71"/>
      <c r="BF909" s="71"/>
      <c r="BG909" s="71"/>
      <c r="BH909" s="71"/>
      <c r="BI909" s="71"/>
      <c r="BJ909" s="71"/>
      <c r="BK909" s="71"/>
      <c r="BL909" s="71"/>
      <c r="BM909" s="71"/>
    </row>
    <row r="910">
      <c r="A910" s="72"/>
      <c r="B910" s="72"/>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c r="BA910" s="71"/>
      <c r="BB910" s="71"/>
      <c r="BC910" s="71"/>
      <c r="BD910" s="71"/>
      <c r="BE910" s="71"/>
      <c r="BF910" s="71"/>
      <c r="BG910" s="71"/>
      <c r="BH910" s="71"/>
      <c r="BI910" s="71"/>
      <c r="BJ910" s="71"/>
      <c r="BK910" s="71"/>
      <c r="BL910" s="71"/>
      <c r="BM910" s="71"/>
    </row>
    <row r="911">
      <c r="A911" s="72"/>
      <c r="B911" s="72"/>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c r="BA911" s="71"/>
      <c r="BB911" s="71"/>
      <c r="BC911" s="71"/>
      <c r="BD911" s="71"/>
      <c r="BE911" s="71"/>
      <c r="BF911" s="71"/>
      <c r="BG911" s="71"/>
      <c r="BH911" s="71"/>
      <c r="BI911" s="71"/>
      <c r="BJ911" s="71"/>
      <c r="BK911" s="71"/>
      <c r="BL911" s="71"/>
      <c r="BM911" s="71"/>
    </row>
    <row r="912">
      <c r="A912" s="72"/>
      <c r="B912" s="72"/>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c r="BA912" s="71"/>
      <c r="BB912" s="71"/>
      <c r="BC912" s="71"/>
      <c r="BD912" s="71"/>
      <c r="BE912" s="71"/>
      <c r="BF912" s="71"/>
      <c r="BG912" s="71"/>
      <c r="BH912" s="71"/>
      <c r="BI912" s="71"/>
      <c r="BJ912" s="71"/>
      <c r="BK912" s="71"/>
      <c r="BL912" s="71"/>
      <c r="BM912" s="71"/>
    </row>
    <row r="913">
      <c r="A913" s="72"/>
      <c r="B913" s="72"/>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c r="BA913" s="71"/>
      <c r="BB913" s="71"/>
      <c r="BC913" s="71"/>
      <c r="BD913" s="71"/>
      <c r="BE913" s="71"/>
      <c r="BF913" s="71"/>
      <c r="BG913" s="71"/>
      <c r="BH913" s="71"/>
      <c r="BI913" s="71"/>
      <c r="BJ913" s="71"/>
      <c r="BK913" s="71"/>
      <c r="BL913" s="71"/>
      <c r="BM913" s="71"/>
    </row>
    <row r="914">
      <c r="A914" s="72"/>
      <c r="B914" s="72"/>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c r="BA914" s="71"/>
      <c r="BB914" s="71"/>
      <c r="BC914" s="71"/>
      <c r="BD914" s="71"/>
      <c r="BE914" s="71"/>
      <c r="BF914" s="71"/>
      <c r="BG914" s="71"/>
      <c r="BH914" s="71"/>
      <c r="BI914" s="71"/>
      <c r="BJ914" s="71"/>
      <c r="BK914" s="71"/>
      <c r="BL914" s="71"/>
      <c r="BM914" s="71"/>
    </row>
    <row r="915">
      <c r="A915" s="72"/>
      <c r="B915" s="72"/>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c r="BA915" s="71"/>
      <c r="BB915" s="71"/>
      <c r="BC915" s="71"/>
      <c r="BD915" s="71"/>
      <c r="BE915" s="71"/>
      <c r="BF915" s="71"/>
      <c r="BG915" s="71"/>
      <c r="BH915" s="71"/>
      <c r="BI915" s="71"/>
      <c r="BJ915" s="71"/>
      <c r="BK915" s="71"/>
      <c r="BL915" s="71"/>
      <c r="BM915" s="71"/>
    </row>
    <row r="916">
      <c r="A916" s="72"/>
      <c r="B916" s="72"/>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c r="BA916" s="71"/>
      <c r="BB916" s="71"/>
      <c r="BC916" s="71"/>
      <c r="BD916" s="71"/>
      <c r="BE916" s="71"/>
      <c r="BF916" s="71"/>
      <c r="BG916" s="71"/>
      <c r="BH916" s="71"/>
      <c r="BI916" s="71"/>
      <c r="BJ916" s="71"/>
      <c r="BK916" s="71"/>
      <c r="BL916" s="71"/>
      <c r="BM916" s="71"/>
    </row>
    <row r="917">
      <c r="A917" s="72"/>
      <c r="B917" s="72"/>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c r="BA917" s="71"/>
      <c r="BB917" s="71"/>
      <c r="BC917" s="71"/>
      <c r="BD917" s="71"/>
      <c r="BE917" s="71"/>
      <c r="BF917" s="71"/>
      <c r="BG917" s="71"/>
      <c r="BH917" s="71"/>
      <c r="BI917" s="71"/>
      <c r="BJ917" s="71"/>
      <c r="BK917" s="71"/>
      <c r="BL917" s="71"/>
      <c r="BM917" s="71"/>
    </row>
    <row r="918">
      <c r="A918" s="72"/>
      <c r="B918" s="72"/>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c r="BA918" s="71"/>
      <c r="BB918" s="71"/>
      <c r="BC918" s="71"/>
      <c r="BD918" s="71"/>
      <c r="BE918" s="71"/>
      <c r="BF918" s="71"/>
      <c r="BG918" s="71"/>
      <c r="BH918" s="71"/>
      <c r="BI918" s="71"/>
      <c r="BJ918" s="71"/>
      <c r="BK918" s="71"/>
      <c r="BL918" s="71"/>
      <c r="BM918" s="71"/>
    </row>
    <row r="919">
      <c r="A919" s="72"/>
      <c r="B919" s="72"/>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c r="BA919" s="71"/>
      <c r="BB919" s="71"/>
      <c r="BC919" s="71"/>
      <c r="BD919" s="71"/>
      <c r="BE919" s="71"/>
      <c r="BF919" s="71"/>
      <c r="BG919" s="71"/>
      <c r="BH919" s="71"/>
      <c r="BI919" s="71"/>
      <c r="BJ919" s="71"/>
      <c r="BK919" s="71"/>
      <c r="BL919" s="71"/>
      <c r="BM919" s="71"/>
    </row>
    <row r="920">
      <c r="A920" s="72"/>
      <c r="B920" s="72"/>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c r="BA920" s="71"/>
      <c r="BB920" s="71"/>
      <c r="BC920" s="71"/>
      <c r="BD920" s="71"/>
      <c r="BE920" s="71"/>
      <c r="BF920" s="71"/>
      <c r="BG920" s="71"/>
      <c r="BH920" s="71"/>
      <c r="BI920" s="71"/>
      <c r="BJ920" s="71"/>
      <c r="BK920" s="71"/>
      <c r="BL920" s="71"/>
      <c r="BM920" s="71"/>
    </row>
    <row r="921">
      <c r="A921" s="72"/>
      <c r="B921" s="72"/>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c r="BA921" s="71"/>
      <c r="BB921" s="71"/>
      <c r="BC921" s="71"/>
      <c r="BD921" s="71"/>
      <c r="BE921" s="71"/>
      <c r="BF921" s="71"/>
      <c r="BG921" s="71"/>
      <c r="BH921" s="71"/>
      <c r="BI921" s="71"/>
      <c r="BJ921" s="71"/>
      <c r="BK921" s="71"/>
      <c r="BL921" s="71"/>
      <c r="BM921" s="71"/>
    </row>
    <row r="922">
      <c r="A922" s="72"/>
      <c r="B922" s="72"/>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c r="BA922" s="71"/>
      <c r="BB922" s="71"/>
      <c r="BC922" s="71"/>
      <c r="BD922" s="71"/>
      <c r="BE922" s="71"/>
      <c r="BF922" s="71"/>
      <c r="BG922" s="71"/>
      <c r="BH922" s="71"/>
      <c r="BI922" s="71"/>
      <c r="BJ922" s="71"/>
      <c r="BK922" s="71"/>
      <c r="BL922" s="71"/>
      <c r="BM922" s="71"/>
    </row>
    <row r="923">
      <c r="A923" s="72"/>
      <c r="B923" s="72"/>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c r="BA923" s="71"/>
      <c r="BB923" s="71"/>
      <c r="BC923" s="71"/>
      <c r="BD923" s="71"/>
      <c r="BE923" s="71"/>
      <c r="BF923" s="71"/>
      <c r="BG923" s="71"/>
      <c r="BH923" s="71"/>
      <c r="BI923" s="71"/>
      <c r="BJ923" s="71"/>
      <c r="BK923" s="71"/>
      <c r="BL923" s="71"/>
      <c r="BM923" s="71"/>
    </row>
    <row r="924">
      <c r="A924" s="72"/>
      <c r="B924" s="72"/>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c r="BA924" s="71"/>
      <c r="BB924" s="71"/>
      <c r="BC924" s="71"/>
      <c r="BD924" s="71"/>
      <c r="BE924" s="71"/>
      <c r="BF924" s="71"/>
      <c r="BG924" s="71"/>
      <c r="BH924" s="71"/>
      <c r="BI924" s="71"/>
      <c r="BJ924" s="71"/>
      <c r="BK924" s="71"/>
      <c r="BL924" s="71"/>
      <c r="BM924" s="71"/>
    </row>
    <row r="925">
      <c r="A925" s="72"/>
      <c r="B925" s="72"/>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c r="BA925" s="71"/>
      <c r="BB925" s="71"/>
      <c r="BC925" s="71"/>
      <c r="BD925" s="71"/>
      <c r="BE925" s="71"/>
      <c r="BF925" s="71"/>
      <c r="BG925" s="71"/>
      <c r="BH925" s="71"/>
      <c r="BI925" s="71"/>
      <c r="BJ925" s="71"/>
      <c r="BK925" s="71"/>
      <c r="BL925" s="71"/>
      <c r="BM925" s="71"/>
    </row>
    <row r="926">
      <c r="A926" s="72"/>
      <c r="B926" s="72"/>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c r="BA926" s="71"/>
      <c r="BB926" s="71"/>
      <c r="BC926" s="71"/>
      <c r="BD926" s="71"/>
      <c r="BE926" s="71"/>
      <c r="BF926" s="71"/>
      <c r="BG926" s="71"/>
      <c r="BH926" s="71"/>
      <c r="BI926" s="71"/>
      <c r="BJ926" s="71"/>
      <c r="BK926" s="71"/>
      <c r="BL926" s="71"/>
      <c r="BM926" s="71"/>
    </row>
    <row r="927">
      <c r="A927" s="72"/>
      <c r="B927" s="72"/>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c r="BA927" s="71"/>
      <c r="BB927" s="71"/>
      <c r="BC927" s="71"/>
      <c r="BD927" s="71"/>
      <c r="BE927" s="71"/>
      <c r="BF927" s="71"/>
      <c r="BG927" s="71"/>
      <c r="BH927" s="71"/>
      <c r="BI927" s="71"/>
      <c r="BJ927" s="71"/>
      <c r="BK927" s="71"/>
      <c r="BL927" s="71"/>
      <c r="BM927" s="71"/>
    </row>
    <row r="928">
      <c r="A928" s="72"/>
      <c r="B928" s="72"/>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c r="BA928" s="71"/>
      <c r="BB928" s="71"/>
      <c r="BC928" s="71"/>
      <c r="BD928" s="71"/>
      <c r="BE928" s="71"/>
      <c r="BF928" s="71"/>
      <c r="BG928" s="71"/>
      <c r="BH928" s="71"/>
      <c r="BI928" s="71"/>
      <c r="BJ928" s="71"/>
      <c r="BK928" s="71"/>
      <c r="BL928" s="71"/>
      <c r="BM928" s="71"/>
    </row>
    <row r="929">
      <c r="A929" s="72"/>
      <c r="B929" s="72"/>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c r="BA929" s="71"/>
      <c r="BB929" s="71"/>
      <c r="BC929" s="71"/>
      <c r="BD929" s="71"/>
      <c r="BE929" s="71"/>
      <c r="BF929" s="71"/>
      <c r="BG929" s="71"/>
      <c r="BH929" s="71"/>
      <c r="BI929" s="71"/>
      <c r="BJ929" s="71"/>
      <c r="BK929" s="71"/>
      <c r="BL929" s="71"/>
      <c r="BM929" s="71"/>
    </row>
    <row r="930">
      <c r="A930" s="72"/>
      <c r="B930" s="72"/>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c r="BA930" s="71"/>
      <c r="BB930" s="71"/>
      <c r="BC930" s="71"/>
      <c r="BD930" s="71"/>
      <c r="BE930" s="71"/>
      <c r="BF930" s="71"/>
      <c r="BG930" s="71"/>
      <c r="BH930" s="71"/>
      <c r="BI930" s="71"/>
      <c r="BJ930" s="71"/>
      <c r="BK930" s="71"/>
      <c r="BL930" s="71"/>
      <c r="BM930" s="71"/>
    </row>
    <row r="931">
      <c r="A931" s="72"/>
      <c r="B931" s="72"/>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c r="BA931" s="71"/>
      <c r="BB931" s="71"/>
      <c r="BC931" s="71"/>
      <c r="BD931" s="71"/>
      <c r="BE931" s="71"/>
      <c r="BF931" s="71"/>
      <c r="BG931" s="71"/>
      <c r="BH931" s="71"/>
      <c r="BI931" s="71"/>
      <c r="BJ931" s="71"/>
      <c r="BK931" s="71"/>
      <c r="BL931" s="71"/>
      <c r="BM931" s="71"/>
    </row>
    <row r="932">
      <c r="A932" s="72"/>
      <c r="B932" s="72"/>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c r="BA932" s="71"/>
      <c r="BB932" s="71"/>
      <c r="BC932" s="71"/>
      <c r="BD932" s="71"/>
      <c r="BE932" s="71"/>
      <c r="BF932" s="71"/>
      <c r="BG932" s="71"/>
      <c r="BH932" s="71"/>
      <c r="BI932" s="71"/>
      <c r="BJ932" s="71"/>
      <c r="BK932" s="71"/>
      <c r="BL932" s="71"/>
      <c r="BM932" s="71"/>
    </row>
    <row r="933">
      <c r="A933" s="72"/>
      <c r="B933" s="72"/>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c r="BA933" s="71"/>
      <c r="BB933" s="71"/>
      <c r="BC933" s="71"/>
      <c r="BD933" s="71"/>
      <c r="BE933" s="71"/>
      <c r="BF933" s="71"/>
      <c r="BG933" s="71"/>
      <c r="BH933" s="71"/>
      <c r="BI933" s="71"/>
      <c r="BJ933" s="71"/>
      <c r="BK933" s="71"/>
      <c r="BL933" s="71"/>
      <c r="BM933" s="71"/>
    </row>
    <row r="934">
      <c r="A934" s="72"/>
      <c r="B934" s="72"/>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c r="BA934" s="71"/>
      <c r="BB934" s="71"/>
      <c r="BC934" s="71"/>
      <c r="BD934" s="71"/>
      <c r="BE934" s="71"/>
      <c r="BF934" s="71"/>
      <c r="BG934" s="71"/>
      <c r="BH934" s="71"/>
      <c r="BI934" s="71"/>
      <c r="BJ934" s="71"/>
      <c r="BK934" s="71"/>
      <c r="BL934" s="71"/>
      <c r="BM934" s="71"/>
    </row>
    <row r="935">
      <c r="A935" s="72"/>
      <c r="B935" s="72"/>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c r="BA935" s="71"/>
      <c r="BB935" s="71"/>
      <c r="BC935" s="71"/>
      <c r="BD935" s="71"/>
      <c r="BE935" s="71"/>
      <c r="BF935" s="71"/>
      <c r="BG935" s="71"/>
      <c r="BH935" s="71"/>
      <c r="BI935" s="71"/>
      <c r="BJ935" s="71"/>
      <c r="BK935" s="71"/>
      <c r="BL935" s="71"/>
      <c r="BM935" s="71"/>
    </row>
    <row r="936">
      <c r="A936" s="72"/>
      <c r="B936" s="72"/>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c r="BA936" s="71"/>
      <c r="BB936" s="71"/>
      <c r="BC936" s="71"/>
      <c r="BD936" s="71"/>
      <c r="BE936" s="71"/>
      <c r="BF936" s="71"/>
      <c r="BG936" s="71"/>
      <c r="BH936" s="71"/>
      <c r="BI936" s="71"/>
      <c r="BJ936" s="71"/>
      <c r="BK936" s="71"/>
      <c r="BL936" s="71"/>
      <c r="BM936" s="71"/>
    </row>
    <row r="937">
      <c r="A937" s="72"/>
      <c r="B937" s="72"/>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c r="BA937" s="71"/>
      <c r="BB937" s="71"/>
      <c r="BC937" s="71"/>
      <c r="BD937" s="71"/>
      <c r="BE937" s="71"/>
      <c r="BF937" s="71"/>
      <c r="BG937" s="71"/>
      <c r="BH937" s="71"/>
      <c r="BI937" s="71"/>
      <c r="BJ937" s="71"/>
      <c r="BK937" s="71"/>
      <c r="BL937" s="71"/>
      <c r="BM937" s="71"/>
    </row>
    <row r="938">
      <c r="A938" s="72"/>
      <c r="B938" s="72"/>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c r="BA938" s="71"/>
      <c r="BB938" s="71"/>
      <c r="BC938" s="71"/>
      <c r="BD938" s="71"/>
      <c r="BE938" s="71"/>
      <c r="BF938" s="71"/>
      <c r="BG938" s="71"/>
      <c r="BH938" s="71"/>
      <c r="BI938" s="71"/>
      <c r="BJ938" s="71"/>
      <c r="BK938" s="71"/>
      <c r="BL938" s="71"/>
      <c r="BM938" s="71"/>
    </row>
    <row r="939">
      <c r="A939" s="72"/>
      <c r="B939" s="72"/>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c r="BA939" s="71"/>
      <c r="BB939" s="71"/>
      <c r="BC939" s="71"/>
      <c r="BD939" s="71"/>
      <c r="BE939" s="71"/>
      <c r="BF939" s="71"/>
      <c r="BG939" s="71"/>
      <c r="BH939" s="71"/>
      <c r="BI939" s="71"/>
      <c r="BJ939" s="71"/>
      <c r="BK939" s="71"/>
      <c r="BL939" s="71"/>
      <c r="BM939" s="71"/>
    </row>
    <row r="940">
      <c r="A940" s="72"/>
      <c r="B940" s="72"/>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c r="BA940" s="71"/>
      <c r="BB940" s="71"/>
      <c r="BC940" s="71"/>
      <c r="BD940" s="71"/>
      <c r="BE940" s="71"/>
      <c r="BF940" s="71"/>
      <c r="BG940" s="71"/>
      <c r="BH940" s="71"/>
      <c r="BI940" s="71"/>
      <c r="BJ940" s="71"/>
      <c r="BK940" s="71"/>
      <c r="BL940" s="71"/>
      <c r="BM940" s="71"/>
    </row>
    <row r="941">
      <c r="A941" s="72"/>
      <c r="B941" s="72"/>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c r="BA941" s="71"/>
      <c r="BB941" s="71"/>
      <c r="BC941" s="71"/>
      <c r="BD941" s="71"/>
      <c r="BE941" s="71"/>
      <c r="BF941" s="71"/>
      <c r="BG941" s="71"/>
      <c r="BH941" s="71"/>
      <c r="BI941" s="71"/>
      <c r="BJ941" s="71"/>
      <c r="BK941" s="71"/>
      <c r="BL941" s="71"/>
      <c r="BM941" s="71"/>
    </row>
    <row r="942">
      <c r="A942" s="72"/>
      <c r="B942" s="72"/>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c r="BA942" s="71"/>
      <c r="BB942" s="71"/>
      <c r="BC942" s="71"/>
      <c r="BD942" s="71"/>
      <c r="BE942" s="71"/>
      <c r="BF942" s="71"/>
      <c r="BG942" s="71"/>
      <c r="BH942" s="71"/>
      <c r="BI942" s="71"/>
      <c r="BJ942" s="71"/>
      <c r="BK942" s="71"/>
      <c r="BL942" s="71"/>
      <c r="BM942" s="71"/>
    </row>
    <row r="943">
      <c r="A943" s="72"/>
      <c r="B943" s="72"/>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c r="BA943" s="71"/>
      <c r="BB943" s="71"/>
      <c r="BC943" s="71"/>
      <c r="BD943" s="71"/>
      <c r="BE943" s="71"/>
      <c r="BF943" s="71"/>
      <c r="BG943" s="71"/>
      <c r="BH943" s="71"/>
      <c r="BI943" s="71"/>
      <c r="BJ943" s="71"/>
      <c r="BK943" s="71"/>
      <c r="BL943" s="71"/>
      <c r="BM943" s="71"/>
    </row>
    <row r="944">
      <c r="A944" s="72"/>
      <c r="B944" s="72"/>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c r="BA944" s="71"/>
      <c r="BB944" s="71"/>
      <c r="BC944" s="71"/>
      <c r="BD944" s="71"/>
      <c r="BE944" s="71"/>
      <c r="BF944" s="71"/>
      <c r="BG944" s="71"/>
      <c r="BH944" s="71"/>
      <c r="BI944" s="71"/>
      <c r="BJ944" s="71"/>
      <c r="BK944" s="71"/>
      <c r="BL944" s="71"/>
      <c r="BM944" s="71"/>
    </row>
    <row r="945">
      <c r="A945" s="72"/>
      <c r="B945" s="72"/>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c r="BA945" s="71"/>
      <c r="BB945" s="71"/>
      <c r="BC945" s="71"/>
      <c r="BD945" s="71"/>
      <c r="BE945" s="71"/>
      <c r="BF945" s="71"/>
      <c r="BG945" s="71"/>
      <c r="BH945" s="71"/>
      <c r="BI945" s="71"/>
      <c r="BJ945" s="71"/>
      <c r="BK945" s="71"/>
      <c r="BL945" s="71"/>
      <c r="BM945" s="71"/>
    </row>
    <row r="946">
      <c r="A946" s="72"/>
      <c r="B946" s="72"/>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c r="BA946" s="71"/>
      <c r="BB946" s="71"/>
      <c r="BC946" s="71"/>
      <c r="BD946" s="71"/>
      <c r="BE946" s="71"/>
      <c r="BF946" s="71"/>
      <c r="BG946" s="71"/>
      <c r="BH946" s="71"/>
      <c r="BI946" s="71"/>
      <c r="BJ946" s="71"/>
      <c r="BK946" s="71"/>
      <c r="BL946" s="71"/>
      <c r="BM946" s="71"/>
    </row>
    <row r="947">
      <c r="A947" s="72"/>
      <c r="B947" s="72"/>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c r="BA947" s="71"/>
      <c r="BB947" s="71"/>
      <c r="BC947" s="71"/>
      <c r="BD947" s="71"/>
      <c r="BE947" s="71"/>
      <c r="BF947" s="71"/>
      <c r="BG947" s="71"/>
      <c r="BH947" s="71"/>
      <c r="BI947" s="71"/>
      <c r="BJ947" s="71"/>
      <c r="BK947" s="71"/>
      <c r="BL947" s="71"/>
      <c r="BM947" s="71"/>
    </row>
    <row r="948">
      <c r="A948" s="72"/>
      <c r="B948" s="72"/>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c r="BA948" s="71"/>
      <c r="BB948" s="71"/>
      <c r="BC948" s="71"/>
      <c r="BD948" s="71"/>
      <c r="BE948" s="71"/>
      <c r="BF948" s="71"/>
      <c r="BG948" s="71"/>
      <c r="BH948" s="71"/>
      <c r="BI948" s="71"/>
      <c r="BJ948" s="71"/>
      <c r="BK948" s="71"/>
      <c r="BL948" s="71"/>
      <c r="BM948" s="71"/>
    </row>
    <row r="949">
      <c r="A949" s="72"/>
      <c r="B949" s="72"/>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c r="BA949" s="71"/>
      <c r="BB949" s="71"/>
      <c r="BC949" s="71"/>
      <c r="BD949" s="71"/>
      <c r="BE949" s="71"/>
      <c r="BF949" s="71"/>
      <c r="BG949" s="71"/>
      <c r="BH949" s="71"/>
      <c r="BI949" s="71"/>
      <c r="BJ949" s="71"/>
      <c r="BK949" s="71"/>
      <c r="BL949" s="71"/>
      <c r="BM949" s="71"/>
    </row>
    <row r="950">
      <c r="A950" s="72"/>
      <c r="B950" s="72"/>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c r="BA950" s="71"/>
      <c r="BB950" s="71"/>
      <c r="BC950" s="71"/>
      <c r="BD950" s="71"/>
      <c r="BE950" s="71"/>
      <c r="BF950" s="71"/>
      <c r="BG950" s="71"/>
      <c r="BH950" s="71"/>
      <c r="BI950" s="71"/>
      <c r="BJ950" s="71"/>
      <c r="BK950" s="71"/>
      <c r="BL950" s="71"/>
      <c r="BM950" s="71"/>
    </row>
    <row r="951">
      <c r="A951" s="72"/>
      <c r="B951" s="72"/>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c r="BA951" s="71"/>
      <c r="BB951" s="71"/>
      <c r="BC951" s="71"/>
      <c r="BD951" s="71"/>
      <c r="BE951" s="71"/>
      <c r="BF951" s="71"/>
      <c r="BG951" s="71"/>
      <c r="BH951" s="71"/>
      <c r="BI951" s="71"/>
      <c r="BJ951" s="71"/>
      <c r="BK951" s="71"/>
      <c r="BL951" s="71"/>
      <c r="BM951" s="71"/>
    </row>
    <row r="952">
      <c r="A952" s="72"/>
      <c r="B952" s="72"/>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c r="BA952" s="71"/>
      <c r="BB952" s="71"/>
      <c r="BC952" s="71"/>
      <c r="BD952" s="71"/>
      <c r="BE952" s="71"/>
      <c r="BF952" s="71"/>
      <c r="BG952" s="71"/>
      <c r="BH952" s="71"/>
      <c r="BI952" s="71"/>
      <c r="BJ952" s="71"/>
      <c r="BK952" s="71"/>
      <c r="BL952" s="71"/>
      <c r="BM952" s="71"/>
    </row>
    <row r="953">
      <c r="A953" s="72"/>
      <c r="B953" s="72"/>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c r="BA953" s="71"/>
      <c r="BB953" s="71"/>
      <c r="BC953" s="71"/>
      <c r="BD953" s="71"/>
      <c r="BE953" s="71"/>
      <c r="BF953" s="71"/>
      <c r="BG953" s="71"/>
      <c r="BH953" s="71"/>
      <c r="BI953" s="71"/>
      <c r="BJ953" s="71"/>
      <c r="BK953" s="71"/>
      <c r="BL953" s="71"/>
      <c r="BM953" s="71"/>
    </row>
    <row r="954">
      <c r="A954" s="72"/>
      <c r="B954" s="72"/>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c r="BA954" s="71"/>
      <c r="BB954" s="71"/>
      <c r="BC954" s="71"/>
      <c r="BD954" s="71"/>
      <c r="BE954" s="71"/>
      <c r="BF954" s="71"/>
      <c r="BG954" s="71"/>
      <c r="BH954" s="71"/>
      <c r="BI954" s="71"/>
      <c r="BJ954" s="71"/>
      <c r="BK954" s="71"/>
      <c r="BL954" s="71"/>
      <c r="BM954" s="71"/>
    </row>
    <row r="955">
      <c r="A955" s="72"/>
      <c r="B955" s="72"/>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c r="BA955" s="71"/>
      <c r="BB955" s="71"/>
      <c r="BC955" s="71"/>
      <c r="BD955" s="71"/>
      <c r="BE955" s="71"/>
      <c r="BF955" s="71"/>
      <c r="BG955" s="71"/>
      <c r="BH955" s="71"/>
      <c r="BI955" s="71"/>
      <c r="BJ955" s="71"/>
      <c r="BK955" s="71"/>
      <c r="BL955" s="71"/>
      <c r="BM955" s="71"/>
    </row>
    <row r="956">
      <c r="A956" s="72"/>
      <c r="B956" s="72"/>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c r="BA956" s="71"/>
      <c r="BB956" s="71"/>
      <c r="BC956" s="71"/>
      <c r="BD956" s="71"/>
      <c r="BE956" s="71"/>
      <c r="BF956" s="71"/>
      <c r="BG956" s="71"/>
      <c r="BH956" s="71"/>
      <c r="BI956" s="71"/>
      <c r="BJ956" s="71"/>
      <c r="BK956" s="71"/>
      <c r="BL956" s="71"/>
      <c r="BM956" s="71"/>
    </row>
    <row r="957">
      <c r="A957" s="72"/>
      <c r="B957" s="72"/>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c r="BA957" s="71"/>
      <c r="BB957" s="71"/>
      <c r="BC957" s="71"/>
      <c r="BD957" s="71"/>
      <c r="BE957" s="71"/>
      <c r="BF957" s="71"/>
      <c r="BG957" s="71"/>
      <c r="BH957" s="71"/>
      <c r="BI957" s="71"/>
      <c r="BJ957" s="71"/>
      <c r="BK957" s="71"/>
      <c r="BL957" s="71"/>
      <c r="BM957" s="71"/>
    </row>
    <row r="958">
      <c r="A958" s="72"/>
      <c r="B958" s="72"/>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c r="BA958" s="71"/>
      <c r="BB958" s="71"/>
      <c r="BC958" s="71"/>
      <c r="BD958" s="71"/>
      <c r="BE958" s="71"/>
      <c r="BF958" s="71"/>
      <c r="BG958" s="71"/>
      <c r="BH958" s="71"/>
      <c r="BI958" s="71"/>
      <c r="BJ958" s="71"/>
      <c r="BK958" s="71"/>
      <c r="BL958" s="71"/>
      <c r="BM958" s="71"/>
    </row>
    <row r="959">
      <c r="A959" s="72"/>
      <c r="B959" s="72"/>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c r="BA959" s="71"/>
      <c r="BB959" s="71"/>
      <c r="BC959" s="71"/>
      <c r="BD959" s="71"/>
      <c r="BE959" s="71"/>
      <c r="BF959" s="71"/>
      <c r="BG959" s="71"/>
      <c r="BH959" s="71"/>
      <c r="BI959" s="71"/>
      <c r="BJ959" s="71"/>
      <c r="BK959" s="71"/>
      <c r="BL959" s="71"/>
      <c r="BM959" s="71"/>
    </row>
    <row r="960">
      <c r="A960" s="72"/>
      <c r="B960" s="72"/>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c r="BA960" s="71"/>
      <c r="BB960" s="71"/>
      <c r="BC960" s="71"/>
      <c r="BD960" s="71"/>
      <c r="BE960" s="71"/>
      <c r="BF960" s="71"/>
      <c r="BG960" s="71"/>
      <c r="BH960" s="71"/>
      <c r="BI960" s="71"/>
      <c r="BJ960" s="71"/>
      <c r="BK960" s="71"/>
      <c r="BL960" s="71"/>
      <c r="BM960" s="71"/>
    </row>
    <row r="961">
      <c r="A961" s="72"/>
      <c r="B961" s="72"/>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c r="BA961" s="71"/>
      <c r="BB961" s="71"/>
      <c r="BC961" s="71"/>
      <c r="BD961" s="71"/>
      <c r="BE961" s="71"/>
      <c r="BF961" s="71"/>
      <c r="BG961" s="71"/>
      <c r="BH961" s="71"/>
      <c r="BI961" s="71"/>
      <c r="BJ961" s="71"/>
      <c r="BK961" s="71"/>
      <c r="BL961" s="71"/>
      <c r="BM961" s="71"/>
    </row>
    <row r="962">
      <c r="A962" s="72"/>
      <c r="B962" s="72"/>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c r="BA962" s="71"/>
      <c r="BB962" s="71"/>
      <c r="BC962" s="71"/>
      <c r="BD962" s="71"/>
      <c r="BE962" s="71"/>
      <c r="BF962" s="71"/>
      <c r="BG962" s="71"/>
      <c r="BH962" s="71"/>
      <c r="BI962" s="71"/>
      <c r="BJ962" s="71"/>
      <c r="BK962" s="71"/>
      <c r="BL962" s="71"/>
      <c r="BM962" s="71"/>
    </row>
    <row r="963">
      <c r="A963" s="72"/>
      <c r="B963" s="72"/>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c r="BA963" s="71"/>
      <c r="BB963" s="71"/>
      <c r="BC963" s="71"/>
      <c r="BD963" s="71"/>
      <c r="BE963" s="71"/>
      <c r="BF963" s="71"/>
      <c r="BG963" s="71"/>
      <c r="BH963" s="71"/>
      <c r="BI963" s="71"/>
      <c r="BJ963" s="71"/>
      <c r="BK963" s="71"/>
      <c r="BL963" s="71"/>
      <c r="BM963" s="71"/>
    </row>
    <row r="964">
      <c r="A964" s="72"/>
      <c r="B964" s="72"/>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c r="BA964" s="71"/>
      <c r="BB964" s="71"/>
      <c r="BC964" s="71"/>
      <c r="BD964" s="71"/>
      <c r="BE964" s="71"/>
      <c r="BF964" s="71"/>
      <c r="BG964" s="71"/>
      <c r="BH964" s="71"/>
      <c r="BI964" s="71"/>
      <c r="BJ964" s="71"/>
      <c r="BK964" s="71"/>
      <c r="BL964" s="71"/>
      <c r="BM964" s="71"/>
    </row>
    <row r="965">
      <c r="A965" s="72"/>
      <c r="B965" s="72"/>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c r="BA965" s="71"/>
      <c r="BB965" s="71"/>
      <c r="BC965" s="71"/>
      <c r="BD965" s="71"/>
      <c r="BE965" s="71"/>
      <c r="BF965" s="71"/>
      <c r="BG965" s="71"/>
      <c r="BH965" s="71"/>
      <c r="BI965" s="71"/>
      <c r="BJ965" s="71"/>
      <c r="BK965" s="71"/>
      <c r="BL965" s="71"/>
      <c r="BM965" s="71"/>
    </row>
    <row r="966">
      <c r="A966" s="72"/>
      <c r="B966" s="72"/>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c r="BA966" s="71"/>
      <c r="BB966" s="71"/>
      <c r="BC966" s="71"/>
      <c r="BD966" s="71"/>
      <c r="BE966" s="71"/>
      <c r="BF966" s="71"/>
      <c r="BG966" s="71"/>
      <c r="BH966" s="71"/>
      <c r="BI966" s="71"/>
      <c r="BJ966" s="71"/>
      <c r="BK966" s="71"/>
      <c r="BL966" s="71"/>
      <c r="BM966" s="71"/>
    </row>
    <row r="967">
      <c r="A967" s="72"/>
      <c r="B967" s="72"/>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c r="BA967" s="71"/>
      <c r="BB967" s="71"/>
      <c r="BC967" s="71"/>
      <c r="BD967" s="71"/>
      <c r="BE967" s="71"/>
      <c r="BF967" s="71"/>
      <c r="BG967" s="71"/>
      <c r="BH967" s="71"/>
      <c r="BI967" s="71"/>
      <c r="BJ967" s="71"/>
      <c r="BK967" s="71"/>
      <c r="BL967" s="71"/>
      <c r="BM967" s="71"/>
    </row>
    <row r="968">
      <c r="A968" s="72"/>
      <c r="B968" s="72"/>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c r="BA968" s="71"/>
      <c r="BB968" s="71"/>
      <c r="BC968" s="71"/>
      <c r="BD968" s="71"/>
      <c r="BE968" s="71"/>
      <c r="BF968" s="71"/>
      <c r="BG968" s="71"/>
      <c r="BH968" s="71"/>
      <c r="BI968" s="71"/>
      <c r="BJ968" s="71"/>
      <c r="BK968" s="71"/>
      <c r="BL968" s="71"/>
      <c r="BM968" s="71"/>
    </row>
    <row r="969">
      <c r="A969" s="72"/>
      <c r="B969" s="72"/>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c r="BA969" s="71"/>
      <c r="BB969" s="71"/>
      <c r="BC969" s="71"/>
      <c r="BD969" s="71"/>
      <c r="BE969" s="71"/>
      <c r="BF969" s="71"/>
      <c r="BG969" s="71"/>
      <c r="BH969" s="71"/>
      <c r="BI969" s="71"/>
      <c r="BJ969" s="71"/>
      <c r="BK969" s="71"/>
      <c r="BL969" s="71"/>
      <c r="BM969" s="71"/>
    </row>
    <row r="970">
      <c r="A970" s="72"/>
      <c r="B970" s="72"/>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c r="BA970" s="71"/>
      <c r="BB970" s="71"/>
      <c r="BC970" s="71"/>
      <c r="BD970" s="71"/>
      <c r="BE970" s="71"/>
      <c r="BF970" s="71"/>
      <c r="BG970" s="71"/>
      <c r="BH970" s="71"/>
      <c r="BI970" s="71"/>
      <c r="BJ970" s="71"/>
      <c r="BK970" s="71"/>
      <c r="BL970" s="71"/>
      <c r="BM970" s="71"/>
    </row>
    <row r="971">
      <c r="A971" s="72"/>
      <c r="B971" s="72"/>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c r="BA971" s="71"/>
      <c r="BB971" s="71"/>
      <c r="BC971" s="71"/>
      <c r="BD971" s="71"/>
      <c r="BE971" s="71"/>
      <c r="BF971" s="71"/>
      <c r="BG971" s="71"/>
      <c r="BH971" s="71"/>
      <c r="BI971" s="71"/>
      <c r="BJ971" s="71"/>
      <c r="BK971" s="71"/>
      <c r="BL971" s="71"/>
      <c r="BM971" s="71"/>
    </row>
    <row r="972">
      <c r="A972" s="72"/>
      <c r="B972" s="72"/>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c r="BA972" s="71"/>
      <c r="BB972" s="71"/>
      <c r="BC972" s="71"/>
      <c r="BD972" s="71"/>
      <c r="BE972" s="71"/>
      <c r="BF972" s="71"/>
      <c r="BG972" s="71"/>
      <c r="BH972" s="71"/>
      <c r="BI972" s="71"/>
      <c r="BJ972" s="71"/>
      <c r="BK972" s="71"/>
      <c r="BL972" s="71"/>
      <c r="BM972" s="71"/>
    </row>
    <row r="973">
      <c r="A973" s="72"/>
      <c r="B973" s="72"/>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c r="BA973" s="71"/>
      <c r="BB973" s="71"/>
      <c r="BC973" s="71"/>
      <c r="BD973" s="71"/>
      <c r="BE973" s="71"/>
      <c r="BF973" s="71"/>
      <c r="BG973" s="71"/>
      <c r="BH973" s="71"/>
      <c r="BI973" s="71"/>
      <c r="BJ973" s="71"/>
      <c r="BK973" s="71"/>
      <c r="BL973" s="71"/>
      <c r="BM973" s="71"/>
    </row>
    <row r="974">
      <c r="A974" s="72"/>
      <c r="B974" s="72"/>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c r="BA974" s="71"/>
      <c r="BB974" s="71"/>
      <c r="BC974" s="71"/>
      <c r="BD974" s="71"/>
      <c r="BE974" s="71"/>
      <c r="BF974" s="71"/>
      <c r="BG974" s="71"/>
      <c r="BH974" s="71"/>
      <c r="BI974" s="71"/>
      <c r="BJ974" s="71"/>
      <c r="BK974" s="71"/>
      <c r="BL974" s="71"/>
      <c r="BM974" s="71"/>
    </row>
    <row r="975">
      <c r="A975" s="72"/>
      <c r="B975" s="72"/>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c r="BA975" s="71"/>
      <c r="BB975" s="71"/>
      <c r="BC975" s="71"/>
      <c r="BD975" s="71"/>
      <c r="BE975" s="71"/>
      <c r="BF975" s="71"/>
      <c r="BG975" s="71"/>
      <c r="BH975" s="71"/>
      <c r="BI975" s="71"/>
      <c r="BJ975" s="71"/>
      <c r="BK975" s="71"/>
      <c r="BL975" s="71"/>
      <c r="BM975" s="71"/>
    </row>
    <row r="976">
      <c r="A976" s="72"/>
      <c r="B976" s="72"/>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c r="BA976" s="71"/>
      <c r="BB976" s="71"/>
      <c r="BC976" s="71"/>
      <c r="BD976" s="71"/>
      <c r="BE976" s="71"/>
      <c r="BF976" s="71"/>
      <c r="BG976" s="71"/>
      <c r="BH976" s="71"/>
      <c r="BI976" s="71"/>
      <c r="BJ976" s="71"/>
      <c r="BK976" s="71"/>
      <c r="BL976" s="71"/>
      <c r="BM976" s="71"/>
    </row>
    <row r="977">
      <c r="A977" s="72"/>
      <c r="B977" s="72"/>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c r="BA977" s="71"/>
      <c r="BB977" s="71"/>
      <c r="BC977" s="71"/>
      <c r="BD977" s="71"/>
      <c r="BE977" s="71"/>
      <c r="BF977" s="71"/>
      <c r="BG977" s="71"/>
      <c r="BH977" s="71"/>
      <c r="BI977" s="71"/>
      <c r="BJ977" s="71"/>
      <c r="BK977" s="71"/>
      <c r="BL977" s="71"/>
      <c r="BM977" s="71"/>
    </row>
    <row r="978">
      <c r="A978" s="72"/>
      <c r="B978" s="72"/>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c r="BA978" s="71"/>
      <c r="BB978" s="71"/>
      <c r="BC978" s="71"/>
      <c r="BD978" s="71"/>
      <c r="BE978" s="71"/>
      <c r="BF978" s="71"/>
      <c r="BG978" s="71"/>
      <c r="BH978" s="71"/>
      <c r="BI978" s="71"/>
      <c r="BJ978" s="71"/>
      <c r="BK978" s="71"/>
      <c r="BL978" s="71"/>
      <c r="BM978" s="71"/>
    </row>
    <row r="979">
      <c r="A979" s="72"/>
      <c r="B979" s="72"/>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c r="BA979" s="71"/>
      <c r="BB979" s="71"/>
      <c r="BC979" s="71"/>
      <c r="BD979" s="71"/>
      <c r="BE979" s="71"/>
      <c r="BF979" s="71"/>
      <c r="BG979" s="71"/>
      <c r="BH979" s="71"/>
      <c r="BI979" s="71"/>
      <c r="BJ979" s="71"/>
      <c r="BK979" s="71"/>
      <c r="BL979" s="71"/>
      <c r="BM979" s="71"/>
    </row>
    <row r="980">
      <c r="A980" s="72"/>
      <c r="B980" s="72"/>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c r="BA980" s="71"/>
      <c r="BB980" s="71"/>
      <c r="BC980" s="71"/>
      <c r="BD980" s="71"/>
      <c r="BE980" s="71"/>
      <c r="BF980" s="71"/>
      <c r="BG980" s="71"/>
      <c r="BH980" s="71"/>
      <c r="BI980" s="71"/>
      <c r="BJ980" s="71"/>
      <c r="BK980" s="71"/>
      <c r="BL980" s="71"/>
      <c r="BM980" s="71"/>
    </row>
    <row r="981">
      <c r="A981" s="72"/>
      <c r="B981" s="72"/>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c r="BA981" s="71"/>
      <c r="BB981" s="71"/>
      <c r="BC981" s="71"/>
      <c r="BD981" s="71"/>
      <c r="BE981" s="71"/>
      <c r="BF981" s="71"/>
      <c r="BG981" s="71"/>
      <c r="BH981" s="71"/>
      <c r="BI981" s="71"/>
      <c r="BJ981" s="71"/>
      <c r="BK981" s="71"/>
      <c r="BL981" s="71"/>
      <c r="BM981" s="71"/>
    </row>
    <row r="982">
      <c r="A982" s="72"/>
      <c r="B982" s="72"/>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c r="BA982" s="71"/>
      <c r="BB982" s="71"/>
      <c r="BC982" s="71"/>
      <c r="BD982" s="71"/>
      <c r="BE982" s="71"/>
      <c r="BF982" s="71"/>
      <c r="BG982" s="71"/>
      <c r="BH982" s="71"/>
      <c r="BI982" s="71"/>
      <c r="BJ982" s="71"/>
      <c r="BK982" s="71"/>
      <c r="BL982" s="71"/>
      <c r="BM982" s="71"/>
    </row>
    <row r="983">
      <c r="A983" s="72"/>
      <c r="B983" s="72"/>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c r="BA983" s="71"/>
      <c r="BB983" s="71"/>
      <c r="BC983" s="71"/>
      <c r="BD983" s="71"/>
      <c r="BE983" s="71"/>
      <c r="BF983" s="71"/>
      <c r="BG983" s="71"/>
      <c r="BH983" s="71"/>
      <c r="BI983" s="71"/>
      <c r="BJ983" s="71"/>
      <c r="BK983" s="71"/>
      <c r="BL983" s="71"/>
      <c r="BM983" s="71"/>
    </row>
    <row r="984">
      <c r="A984" s="72"/>
      <c r="B984" s="72"/>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c r="BA984" s="71"/>
      <c r="BB984" s="71"/>
      <c r="BC984" s="71"/>
      <c r="BD984" s="71"/>
      <c r="BE984" s="71"/>
      <c r="BF984" s="71"/>
      <c r="BG984" s="71"/>
      <c r="BH984" s="71"/>
      <c r="BI984" s="71"/>
      <c r="BJ984" s="71"/>
      <c r="BK984" s="71"/>
      <c r="BL984" s="71"/>
      <c r="BM984" s="71"/>
    </row>
    <row r="985">
      <c r="A985" s="72"/>
      <c r="B985" s="72"/>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c r="BA985" s="71"/>
      <c r="BB985" s="71"/>
      <c r="BC985" s="71"/>
      <c r="BD985" s="71"/>
      <c r="BE985" s="71"/>
      <c r="BF985" s="71"/>
      <c r="BG985" s="71"/>
      <c r="BH985" s="71"/>
      <c r="BI985" s="71"/>
      <c r="BJ985" s="71"/>
      <c r="BK985" s="71"/>
      <c r="BL985" s="71"/>
      <c r="BM985" s="71"/>
    </row>
    <row r="986">
      <c r="A986" s="72"/>
      <c r="B986" s="72"/>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c r="BA986" s="71"/>
      <c r="BB986" s="71"/>
      <c r="BC986" s="71"/>
      <c r="BD986" s="71"/>
      <c r="BE986" s="71"/>
      <c r="BF986" s="71"/>
      <c r="BG986" s="71"/>
      <c r="BH986" s="71"/>
      <c r="BI986" s="71"/>
      <c r="BJ986" s="71"/>
      <c r="BK986" s="71"/>
      <c r="BL986" s="71"/>
      <c r="BM986" s="71"/>
    </row>
    <row r="987">
      <c r="A987" s="72"/>
      <c r="B987" s="72"/>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c r="BA987" s="71"/>
      <c r="BB987" s="71"/>
      <c r="BC987" s="71"/>
      <c r="BD987" s="71"/>
      <c r="BE987" s="71"/>
      <c r="BF987" s="71"/>
      <c r="BG987" s="71"/>
      <c r="BH987" s="71"/>
      <c r="BI987" s="71"/>
      <c r="BJ987" s="71"/>
      <c r="BK987" s="71"/>
      <c r="BL987" s="71"/>
      <c r="BM987" s="71"/>
    </row>
    <row r="988">
      <c r="A988" s="72"/>
      <c r="B988" s="72"/>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c r="BA988" s="71"/>
      <c r="BB988" s="71"/>
      <c r="BC988" s="71"/>
      <c r="BD988" s="71"/>
      <c r="BE988" s="71"/>
      <c r="BF988" s="71"/>
      <c r="BG988" s="71"/>
      <c r="BH988" s="71"/>
      <c r="BI988" s="71"/>
      <c r="BJ988" s="71"/>
      <c r="BK988" s="71"/>
      <c r="BL988" s="71"/>
      <c r="BM988" s="71"/>
    </row>
    <row r="989">
      <c r="A989" s="72"/>
      <c r="B989" s="72"/>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c r="BA989" s="71"/>
      <c r="BB989" s="71"/>
      <c r="BC989" s="71"/>
      <c r="BD989" s="71"/>
      <c r="BE989" s="71"/>
      <c r="BF989" s="71"/>
      <c r="BG989" s="71"/>
      <c r="BH989" s="71"/>
      <c r="BI989" s="71"/>
      <c r="BJ989" s="71"/>
      <c r="BK989" s="71"/>
      <c r="BL989" s="71"/>
      <c r="BM989" s="71"/>
    </row>
    <row r="990">
      <c r="A990" s="72"/>
      <c r="B990" s="72"/>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c r="BA990" s="71"/>
      <c r="BB990" s="71"/>
      <c r="BC990" s="71"/>
      <c r="BD990" s="71"/>
      <c r="BE990" s="71"/>
      <c r="BF990" s="71"/>
      <c r="BG990" s="71"/>
      <c r="BH990" s="71"/>
      <c r="BI990" s="71"/>
      <c r="BJ990" s="71"/>
      <c r="BK990" s="71"/>
      <c r="BL990" s="71"/>
      <c r="BM990" s="71"/>
    </row>
    <row r="991">
      <c r="A991" s="72"/>
      <c r="B991" s="72"/>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c r="BA991" s="71"/>
      <c r="BB991" s="71"/>
      <c r="BC991" s="71"/>
      <c r="BD991" s="71"/>
      <c r="BE991" s="71"/>
      <c r="BF991" s="71"/>
      <c r="BG991" s="71"/>
      <c r="BH991" s="71"/>
      <c r="BI991" s="71"/>
      <c r="BJ991" s="71"/>
      <c r="BK991" s="71"/>
      <c r="BL991" s="71"/>
      <c r="BM991" s="71"/>
    </row>
    <row r="992">
      <c r="A992" s="72"/>
      <c r="B992" s="72"/>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c r="BA992" s="71"/>
      <c r="BB992" s="71"/>
      <c r="BC992" s="71"/>
      <c r="BD992" s="71"/>
      <c r="BE992" s="71"/>
      <c r="BF992" s="71"/>
      <c r="BG992" s="71"/>
      <c r="BH992" s="71"/>
      <c r="BI992" s="71"/>
      <c r="BJ992" s="71"/>
      <c r="BK992" s="71"/>
      <c r="BL992" s="71"/>
      <c r="BM992" s="71"/>
    </row>
    <row r="993">
      <c r="A993" s="72"/>
      <c r="B993" s="72"/>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c r="BA993" s="71"/>
      <c r="BB993" s="71"/>
      <c r="BC993" s="71"/>
      <c r="BD993" s="71"/>
      <c r="BE993" s="71"/>
      <c r="BF993" s="71"/>
      <c r="BG993" s="71"/>
      <c r="BH993" s="71"/>
      <c r="BI993" s="71"/>
      <c r="BJ993" s="71"/>
      <c r="BK993" s="71"/>
      <c r="BL993" s="71"/>
      <c r="BM993" s="71"/>
    </row>
    <row r="994">
      <c r="A994" s="72"/>
      <c r="B994" s="72"/>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c r="BA994" s="71"/>
      <c r="BB994" s="71"/>
      <c r="BC994" s="71"/>
      <c r="BD994" s="71"/>
      <c r="BE994" s="71"/>
      <c r="BF994" s="71"/>
      <c r="BG994" s="71"/>
      <c r="BH994" s="71"/>
      <c r="BI994" s="71"/>
      <c r="BJ994" s="71"/>
      <c r="BK994" s="71"/>
      <c r="BL994" s="71"/>
      <c r="BM994" s="71"/>
    </row>
    <row r="995">
      <c r="A995" s="72"/>
      <c r="B995" s="72"/>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c r="BA995" s="71"/>
      <c r="BB995" s="71"/>
      <c r="BC995" s="71"/>
      <c r="BD995" s="71"/>
      <c r="BE995" s="71"/>
      <c r="BF995" s="71"/>
      <c r="BG995" s="71"/>
      <c r="BH995" s="71"/>
      <c r="BI995" s="71"/>
      <c r="BJ995" s="71"/>
      <c r="BK995" s="71"/>
      <c r="BL995" s="71"/>
      <c r="BM995" s="71"/>
    </row>
    <row r="996">
      <c r="A996" s="72"/>
      <c r="B996" s="72"/>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c r="BA996" s="71"/>
      <c r="BB996" s="71"/>
      <c r="BC996" s="71"/>
      <c r="BD996" s="71"/>
      <c r="BE996" s="71"/>
      <c r="BF996" s="71"/>
      <c r="BG996" s="71"/>
      <c r="BH996" s="71"/>
      <c r="BI996" s="71"/>
      <c r="BJ996" s="71"/>
      <c r="BK996" s="71"/>
      <c r="BL996" s="71"/>
      <c r="BM996" s="71"/>
    </row>
    <row r="997">
      <c r="A997" s="72"/>
      <c r="B997" s="72"/>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c r="BA997" s="71"/>
      <c r="BB997" s="71"/>
      <c r="BC997" s="71"/>
      <c r="BD997" s="71"/>
      <c r="BE997" s="71"/>
      <c r="BF997" s="71"/>
      <c r="BG997" s="71"/>
      <c r="BH997" s="71"/>
      <c r="BI997" s="71"/>
      <c r="BJ997" s="71"/>
      <c r="BK997" s="71"/>
      <c r="BL997" s="71"/>
      <c r="BM997" s="71"/>
    </row>
    <row r="998">
      <c r="A998" s="72"/>
      <c r="B998" s="72"/>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c r="BA998" s="71"/>
      <c r="BB998" s="71"/>
      <c r="BC998" s="71"/>
      <c r="BD998" s="71"/>
      <c r="BE998" s="71"/>
      <c r="BF998" s="71"/>
      <c r="BG998" s="71"/>
      <c r="BH998" s="71"/>
      <c r="BI998" s="71"/>
      <c r="BJ998" s="71"/>
      <c r="BK998" s="71"/>
      <c r="BL998" s="71"/>
      <c r="BM998" s="71"/>
    </row>
    <row r="999">
      <c r="A999" s="72"/>
      <c r="B999" s="72"/>
      <c r="C999" s="71"/>
      <c r="D999" s="71"/>
      <c r="E999" s="71"/>
      <c r="F999" s="71"/>
      <c r="G999" s="71"/>
      <c r="H999" s="71"/>
      <c r="I999" s="71"/>
      <c r="J999" s="71"/>
      <c r="K999" s="71"/>
      <c r="L999" s="71"/>
      <c r="M999" s="71"/>
      <c r="N999" s="71"/>
      <c r="O999" s="71"/>
      <c r="P999" s="71"/>
      <c r="Q999" s="71"/>
      <c r="R999" s="71"/>
      <c r="S999" s="71"/>
      <c r="T999" s="71"/>
      <c r="U999" s="71"/>
      <c r="V999" s="71"/>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c r="BA999" s="71"/>
      <c r="BB999" s="71"/>
      <c r="BC999" s="71"/>
      <c r="BD999" s="71"/>
      <c r="BE999" s="71"/>
      <c r="BF999" s="71"/>
      <c r="BG999" s="71"/>
      <c r="BH999" s="71"/>
      <c r="BI999" s="71"/>
      <c r="BJ999" s="71"/>
      <c r="BK999" s="71"/>
      <c r="BL999" s="71"/>
      <c r="BM999" s="71"/>
    </row>
    <row r="1000">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c r="BA1000" s="71"/>
      <c r="BB1000" s="71"/>
      <c r="BC1000" s="71"/>
      <c r="BD1000" s="71"/>
      <c r="BE1000" s="71"/>
      <c r="BF1000" s="71"/>
      <c r="BG1000" s="71"/>
      <c r="BH1000" s="71"/>
      <c r="BI1000" s="71"/>
      <c r="BJ1000" s="71"/>
      <c r="BK1000" s="71"/>
      <c r="BL1000" s="71"/>
      <c r="BM1000" s="71"/>
    </row>
    <row r="1001">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c r="BA1001" s="71"/>
      <c r="BB1001" s="71"/>
      <c r="BC1001" s="71"/>
      <c r="BD1001" s="71"/>
      <c r="BE1001" s="71"/>
      <c r="BF1001" s="71"/>
      <c r="BG1001" s="71"/>
      <c r="BH1001" s="71"/>
      <c r="BI1001" s="71"/>
      <c r="BJ1001" s="71"/>
      <c r="BK1001" s="71"/>
      <c r="BL1001" s="71"/>
      <c r="BM1001" s="71"/>
    </row>
    <row r="1002">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c r="BA1002" s="71"/>
      <c r="BB1002" s="71"/>
      <c r="BC1002" s="71"/>
      <c r="BD1002" s="71"/>
      <c r="BE1002" s="71"/>
      <c r="BF1002" s="71"/>
      <c r="BG1002" s="71"/>
      <c r="BH1002" s="71"/>
      <c r="BI1002" s="71"/>
      <c r="BJ1002" s="71"/>
      <c r="BK1002" s="71"/>
      <c r="BL1002" s="71"/>
      <c r="BM1002" s="7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9.5"/>
    <col customWidth="1" min="4" max="4" width="20.38"/>
    <col customWidth="1" min="6" max="6" width="30.75"/>
  </cols>
  <sheetData>
    <row r="1">
      <c r="A1" s="73" t="s">
        <v>48</v>
      </c>
      <c r="B1" s="73" t="s">
        <v>2</v>
      </c>
      <c r="C1" s="74" t="s">
        <v>4</v>
      </c>
      <c r="D1" s="74" t="s">
        <v>5</v>
      </c>
      <c r="E1" s="74" t="s">
        <v>6</v>
      </c>
      <c r="F1" s="74" t="s">
        <v>7</v>
      </c>
      <c r="G1" s="74" t="s">
        <v>8</v>
      </c>
      <c r="H1" s="74" t="s">
        <v>9</v>
      </c>
      <c r="I1" s="74" t="s">
        <v>10</v>
      </c>
      <c r="J1" s="74" t="s">
        <v>11</v>
      </c>
      <c r="K1" s="74" t="s">
        <v>12</v>
      </c>
      <c r="L1" s="74" t="s">
        <v>13</v>
      </c>
      <c r="M1" s="74" t="s">
        <v>14</v>
      </c>
      <c r="N1" s="74" t="s">
        <v>15</v>
      </c>
      <c r="O1" s="74" t="s">
        <v>16</v>
      </c>
      <c r="P1" s="74" t="s">
        <v>17</v>
      </c>
      <c r="Q1" s="74" t="s">
        <v>18</v>
      </c>
      <c r="R1" s="74" t="s">
        <v>19</v>
      </c>
      <c r="S1" s="74" t="s">
        <v>20</v>
      </c>
      <c r="T1" s="74" t="s">
        <v>21</v>
      </c>
      <c r="U1" s="74" t="s">
        <v>22</v>
      </c>
      <c r="V1" s="74" t="s">
        <v>23</v>
      </c>
      <c r="W1" s="74" t="s">
        <v>24</v>
      </c>
      <c r="X1" s="74" t="s">
        <v>25</v>
      </c>
      <c r="Y1" s="74" t="s">
        <v>26</v>
      </c>
      <c r="Z1" s="74" t="s">
        <v>27</v>
      </c>
      <c r="AA1" s="74" t="s">
        <v>28</v>
      </c>
      <c r="AB1" s="74" t="s">
        <v>29</v>
      </c>
      <c r="AC1" s="74" t="s">
        <v>3</v>
      </c>
      <c r="AD1" s="74"/>
      <c r="AE1" s="74"/>
      <c r="AF1" s="75"/>
      <c r="AG1" s="75"/>
      <c r="AH1" s="75"/>
      <c r="AI1" s="75"/>
      <c r="AJ1" s="75"/>
      <c r="AK1" s="75"/>
      <c r="AL1" s="75"/>
      <c r="AM1" s="75"/>
      <c r="AN1" s="75"/>
      <c r="AO1" s="75"/>
      <c r="AP1" s="75"/>
      <c r="AQ1" s="75"/>
      <c r="AR1" s="75"/>
      <c r="AS1" s="75"/>
      <c r="AT1" s="75"/>
      <c r="AU1" s="75"/>
      <c r="AV1" s="75"/>
      <c r="AW1" s="75"/>
      <c r="AX1" s="75"/>
      <c r="AY1" s="75"/>
      <c r="AZ1" s="75"/>
      <c r="BA1" s="75"/>
      <c r="BB1" s="75"/>
      <c r="BC1" s="75"/>
      <c r="BD1" s="75"/>
      <c r="BE1" s="75"/>
      <c r="BF1" s="75"/>
      <c r="BG1" s="75"/>
      <c r="BH1" s="75"/>
      <c r="BI1" s="75"/>
      <c r="BJ1" s="75"/>
      <c r="BK1" s="75"/>
      <c r="BL1" s="75"/>
      <c r="BM1" s="75"/>
    </row>
    <row r="2">
      <c r="A2" s="76" t="s">
        <v>8995</v>
      </c>
      <c r="B2" s="77" t="s">
        <v>11558</v>
      </c>
      <c r="C2" s="71" t="str">
        <f>IFERROR(__xludf.DUMMYFUNCTION("GOOGLETRANSLATE(B2,""en"",""ar"")"),"موضوع لطيف")</f>
        <v>موضوع لطيف</v>
      </c>
      <c r="D2" s="71" t="str">
        <f>IFERROR(__xludf.DUMMYFUNCTION("GOOGLETRANSLATE(B2,""en"",""cs"")"),"Roztomilé téma")</f>
        <v>Roztomilé téma</v>
      </c>
      <c r="E2" s="71" t="str">
        <f>IFERROR(__xludf.DUMMYFUNCTION("GOOGLETRANSLATE(B2,""en"",""de"")"),"Nettes Thema")</f>
        <v>Nettes Thema</v>
      </c>
      <c r="F2" s="71" t="str">
        <f>IFERROR(__xludf.DUMMYFUNCTION("GOOGLETRANSLATE(B2,""en"",""el"")"),"Χαριτωμένο θέμα")</f>
        <v>Χαριτωμένο θέμα</v>
      </c>
      <c r="G2" s="71" t="str">
        <f>IFERROR(__xludf.DUMMYFUNCTION("GOOGLETRANSLATE(B2,""en"",""es"")"),"Lindo tema")</f>
        <v>Lindo tema</v>
      </c>
      <c r="H2" s="71" t="str">
        <f>IFERROR(__xludf.DUMMYFUNCTION("GOOGLETRANSLATE(B2,""en"",""et"")"),"Armas teema")</f>
        <v>Armas teema</v>
      </c>
      <c r="I2" s="71" t="str">
        <f>IFERROR(__xludf.DUMMYFUNCTION("GOOGLETRANSLATE(B2,""en"",""fi"")"),"Söpö teema")</f>
        <v>Söpö teema</v>
      </c>
      <c r="J2" s="71" t="str">
        <f>IFERROR(__xludf.DUMMYFUNCTION("GOOGLETRANSLATE(B2,""en"",""fr"")"),"Thème mignon")</f>
        <v>Thème mignon</v>
      </c>
      <c r="K2" s="71" t="str">
        <f>IFERROR(__xludf.DUMMYFUNCTION("GOOGLETRANSLATE(B2,""en"",""hi"")"),"प्यारा थीम")</f>
        <v>प्यारा थीम</v>
      </c>
      <c r="L2" s="71" t="str">
        <f>IFERROR(__xludf.DUMMYFUNCTION("GOOGLETRANSLATE(B2,""en"",""id"")"),"Tema Lucu")</f>
        <v>Tema Lucu</v>
      </c>
      <c r="M2" s="71" t="str">
        <f>IFERROR(__xludf.DUMMYFUNCTION("GOOGLETRANSLATE(B2,""en"",""it"")"),"Tema carino")</f>
        <v>Tema carino</v>
      </c>
      <c r="N2" s="71" t="str">
        <f>IFERROR(__xludf.DUMMYFUNCTION("GOOGLETRANSLATE(B2,""en"",""ja"")"),"かわいいテーマ")</f>
        <v>かわいいテーマ</v>
      </c>
      <c r="O2" s="71" t="str">
        <f>IFERROR(__xludf.DUMMYFUNCTION("GOOGLETRANSLATE(B2,""en"",""km"")"),"ស្បែកគួរឱ្យស្រឡាញ់")</f>
        <v>ស្បែកគួរឱ្យស្រឡាញ់</v>
      </c>
      <c r="P2" s="71" t="str">
        <f>IFERROR(__xludf.DUMMYFUNCTION("GOOGLETRANSLATE(B2,""en"",""kn"")"),"ಮುದ್ದಾದ ಥೀಮ್")</f>
        <v>ಮುದ್ದಾದ ಥೀಮ್</v>
      </c>
      <c r="Q2" s="71" t="str">
        <f>IFERROR(__xludf.DUMMYFUNCTION("GOOGLETRANSLATE(B2,""en"",""ko"")"),"귀여운 테마")</f>
        <v>귀여운 테마</v>
      </c>
      <c r="R2" s="71" t="str">
        <f>IFERROR(__xludf.DUMMYFUNCTION("GOOGLETRANSLATE(B2,""en"",""lo"")"),"ຫົວຂໍ້ໜ້າຮັກ")</f>
        <v>ຫົວຂໍ້ໜ້າຮັກ</v>
      </c>
      <c r="S2" s="71" t="str">
        <f>IFERROR(__xludf.DUMMYFUNCTION("GOOGLETRANSLATE(B2,""en"",""lv"")"),"Jauka tēma")</f>
        <v>Jauka tēma</v>
      </c>
      <c r="T2" s="71" t="str">
        <f>IFERROR(__xludf.DUMMYFUNCTION("GOOGLETRANSLATE(B2,""en"",""ms"")"),"Tema Comel")</f>
        <v>Tema Comel</v>
      </c>
      <c r="U2" s="71" t="str">
        <f>IFERROR(__xludf.DUMMYFUNCTION("GOOGLETRANSLATE(B2,""en"",""nl"")"),"Leuk thema")</f>
        <v>Leuk thema</v>
      </c>
      <c r="V2" s="71" t="str">
        <f>IFERROR(__xludf.DUMMYFUNCTION("GOOGLETRANSLATE(B2,""en"",""pl"")"),"Śliczny motyw")</f>
        <v>Śliczny motyw</v>
      </c>
      <c r="W2" s="71" t="str">
        <f>IFERROR(__xludf.DUMMYFUNCTION("GOOGLETRANSLATE(B2,""en"",""pt-PT"")"),"Tema fofo")</f>
        <v>Tema fofo</v>
      </c>
      <c r="X2" s="71" t="str">
        <f>IFERROR(__xludf.DUMMYFUNCTION("GOOGLETRANSLATE(B2,""en"",""ru"")"),"Симпатичная тема")</f>
        <v>Симпатичная тема</v>
      </c>
      <c r="Y2" s="71" t="str">
        <f>IFERROR(__xludf.DUMMYFUNCTION("GOOGLETRANSLATE(B2,""en"",""th"")"),"ธีมน่ารัก")</f>
        <v>ธีมน่ารัก</v>
      </c>
      <c r="Z2" s="71" t="str">
        <f>IFERROR(__xludf.DUMMYFUNCTION("GOOGLETRANSLATE(B2,""en"",""tr"")"),"Sevimli Tema")</f>
        <v>Sevimli Tema</v>
      </c>
      <c r="AA2" s="71" t="str">
        <f>IFERROR(__xludf.DUMMYFUNCTION("GOOGLETRANSLATE(B2,""en"",""uk"")"),"Мила тема")</f>
        <v>Мила тема</v>
      </c>
      <c r="AB2" s="71" t="str">
        <f>IFERROR(__xludf.DUMMYFUNCTION("GOOGLETRANSLATE(B2,""en"",""zh-CN"")"),"可爱的主题")</f>
        <v>可爱的主题</v>
      </c>
      <c r="AC2" s="71" t="str">
        <f>IFERROR(__xludf.DUMMYFUNCTION("GOOGLETRANSLATE(B2,""en"",""vi"")"),"Chủ đề dễ thương")</f>
        <v>Chủ đề dễ thương</v>
      </c>
      <c r="AD2" s="71"/>
      <c r="AE2" s="71"/>
      <c r="AF2" s="71"/>
      <c r="AG2" s="71"/>
      <c r="AH2" s="71"/>
      <c r="AI2" s="71"/>
      <c r="AJ2" s="71"/>
      <c r="AK2" s="71"/>
      <c r="AL2" s="71"/>
      <c r="AM2" s="71"/>
      <c r="AN2" s="71"/>
      <c r="AO2" s="71"/>
      <c r="AP2" s="71"/>
      <c r="AQ2" s="71"/>
      <c r="AR2" s="71"/>
      <c r="AS2" s="71"/>
      <c r="AT2" s="71"/>
      <c r="AU2" s="71"/>
      <c r="AV2" s="71"/>
      <c r="AW2" s="71"/>
      <c r="AX2" s="71"/>
      <c r="AY2" s="71"/>
      <c r="AZ2" s="71"/>
      <c r="BA2" s="71"/>
      <c r="BB2" s="71"/>
      <c r="BC2" s="71"/>
      <c r="BD2" s="71"/>
      <c r="BE2" s="71"/>
      <c r="BF2" s="71"/>
      <c r="BG2" s="71"/>
      <c r="BH2" s="71"/>
      <c r="BI2" s="71"/>
      <c r="BJ2" s="71"/>
      <c r="BK2" s="71"/>
      <c r="BL2" s="71"/>
      <c r="BM2" s="71"/>
    </row>
    <row r="3">
      <c r="A3" s="73" t="s">
        <v>11559</v>
      </c>
      <c r="B3" s="73" t="s">
        <v>11560</v>
      </c>
      <c r="C3" s="71" t="str">
        <f>IFERROR(__xludf.DUMMYFUNCTION("GOOGLETRANSLATE(B3,""en"",""ar"")"),"المواضيع")</f>
        <v>المواضيع</v>
      </c>
      <c r="D3" s="71" t="str">
        <f>IFERROR(__xludf.DUMMYFUNCTION("GOOGLETRANSLATE(B3,""en"",""cs"")"),"Témata")</f>
        <v>Témata</v>
      </c>
      <c r="E3" s="71" t="str">
        <f>IFERROR(__xludf.DUMMYFUNCTION("GOOGLETRANSLATE(B3,""en"",""de"")"),"Themen")</f>
        <v>Themen</v>
      </c>
      <c r="F3" s="71" t="str">
        <f>IFERROR(__xludf.DUMMYFUNCTION("GOOGLETRANSLATE(B3,""en"",""el"")"),"Θέματα")</f>
        <v>Θέματα</v>
      </c>
      <c r="G3" s="71" t="str">
        <f>IFERROR(__xludf.DUMMYFUNCTION("GOOGLETRANSLATE(B3,""en"",""es"")"),"Temas")</f>
        <v>Temas</v>
      </c>
      <c r="H3" s="71" t="str">
        <f>IFERROR(__xludf.DUMMYFUNCTION("GOOGLETRANSLATE(B3,""en"",""et"")"),"Teemad")</f>
        <v>Teemad</v>
      </c>
      <c r="I3" s="71" t="str">
        <f>IFERROR(__xludf.DUMMYFUNCTION("GOOGLETRANSLATE(B3,""en"",""fi"")"),"Teemat")</f>
        <v>Teemat</v>
      </c>
      <c r="J3" s="71" t="str">
        <f>IFERROR(__xludf.DUMMYFUNCTION("GOOGLETRANSLATE(B3,""en"",""fr"")"),"Thèmes")</f>
        <v>Thèmes</v>
      </c>
      <c r="K3" s="71" t="str">
        <f>IFERROR(__xludf.DUMMYFUNCTION("GOOGLETRANSLATE(B3,""en"",""hi"")"),"विषय-वस्तु")</f>
        <v>विषय-वस्तु</v>
      </c>
      <c r="L3" s="71" t="str">
        <f>IFERROR(__xludf.DUMMYFUNCTION("GOOGLETRANSLATE(B3,""en"",""id"")"),"Tema")</f>
        <v>Tema</v>
      </c>
      <c r="M3" s="71" t="str">
        <f>IFERROR(__xludf.DUMMYFUNCTION("GOOGLETRANSLATE(B3,""en"",""it"")"),"Temi")</f>
        <v>Temi</v>
      </c>
      <c r="N3" s="71" t="str">
        <f>IFERROR(__xludf.DUMMYFUNCTION("GOOGLETRANSLATE(B3,""en"",""ja"")"),"テーマ")</f>
        <v>テーマ</v>
      </c>
      <c r="O3" s="71" t="str">
        <f>IFERROR(__xludf.DUMMYFUNCTION("GOOGLETRANSLATE(B3,""en"",""km"")"),"ស្បែក")</f>
        <v>ស្បែក</v>
      </c>
      <c r="P3" s="71" t="str">
        <f>IFERROR(__xludf.DUMMYFUNCTION("GOOGLETRANSLATE(B3,""en"",""kn"")"),"ಥೀಮ್ಗಳು")</f>
        <v>ಥೀಮ್ಗಳು</v>
      </c>
      <c r="Q3" s="71" t="str">
        <f>IFERROR(__xludf.DUMMYFUNCTION("GOOGLETRANSLATE(B3,""en"",""ko"")"),"테마")</f>
        <v>테마</v>
      </c>
      <c r="R3" s="71" t="str">
        <f>IFERROR(__xludf.DUMMYFUNCTION("GOOGLETRANSLATE(B3,""en"",""lo"")"),"ຫົວຂໍ້")</f>
        <v>ຫົວຂໍ້</v>
      </c>
      <c r="S3" s="71" t="str">
        <f>IFERROR(__xludf.DUMMYFUNCTION("GOOGLETRANSLATE(B3,""en"",""lv"")"),"Tēmas")</f>
        <v>Tēmas</v>
      </c>
      <c r="T3" s="71" t="str">
        <f>IFERROR(__xludf.DUMMYFUNCTION("GOOGLETRANSLATE(B3,""en"",""ms"")"),"Tema")</f>
        <v>Tema</v>
      </c>
      <c r="U3" s="71" t="str">
        <f>IFERROR(__xludf.DUMMYFUNCTION("GOOGLETRANSLATE(B3,""en"",""nl"")"),"Thema's")</f>
        <v>Thema's</v>
      </c>
      <c r="V3" s="71" t="str">
        <f>IFERROR(__xludf.DUMMYFUNCTION("GOOGLETRANSLATE(B3,""en"",""pl"")"),"Motywy")</f>
        <v>Motywy</v>
      </c>
      <c r="W3" s="71" t="str">
        <f>IFERROR(__xludf.DUMMYFUNCTION("GOOGLETRANSLATE(B3,""en"",""pt-PT"")"),"Temas")</f>
        <v>Temas</v>
      </c>
      <c r="X3" s="71" t="str">
        <f>IFERROR(__xludf.DUMMYFUNCTION("GOOGLETRANSLATE(B3,""en"",""ru"")"),"Темы")</f>
        <v>Темы</v>
      </c>
      <c r="Y3" s="71" t="str">
        <f>IFERROR(__xludf.DUMMYFUNCTION("GOOGLETRANSLATE(B3,""en"",""th"")"),"ธีมส์")</f>
        <v>ธีมส์</v>
      </c>
      <c r="Z3" s="71" t="str">
        <f>IFERROR(__xludf.DUMMYFUNCTION("GOOGLETRANSLATE(B3,""en"",""tr"")"),"Temalar")</f>
        <v>Temalar</v>
      </c>
      <c r="AA3" s="71" t="str">
        <f>IFERROR(__xludf.DUMMYFUNCTION("GOOGLETRANSLATE(B3,""en"",""uk"")"),"Теми")</f>
        <v>Теми</v>
      </c>
      <c r="AB3" s="71" t="str">
        <f>IFERROR(__xludf.DUMMYFUNCTION("GOOGLETRANSLATE(B3,""en"",""zh-CN"")"),"主题")</f>
        <v>主题</v>
      </c>
      <c r="AC3" s="71" t="str">
        <f>IFERROR(__xludf.DUMMYFUNCTION("GOOGLETRANSLATE(B3,""en"",""vi"")"),"Chủ đề")</f>
        <v>Chủ đề</v>
      </c>
      <c r="AD3" s="75"/>
      <c r="AE3" s="75"/>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c r="BL3" s="75"/>
      <c r="BM3" s="75"/>
    </row>
    <row r="4">
      <c r="A4" s="73" t="s">
        <v>11561</v>
      </c>
      <c r="B4" s="73" t="s">
        <v>11562</v>
      </c>
      <c r="C4" s="71" t="str">
        <f>IFERROR(__xludf.DUMMYFUNCTION("GOOGLETRANSLATE(B4,""en"",""ar"")"),"أيقونات")</f>
        <v>أيقونات</v>
      </c>
      <c r="D4" s="71" t="str">
        <f>IFERROR(__xludf.DUMMYFUNCTION("GOOGLETRANSLATE(B4,""en"",""cs"")"),"ikony")</f>
        <v>ikony</v>
      </c>
      <c r="E4" s="71" t="str">
        <f>IFERROR(__xludf.DUMMYFUNCTION("GOOGLETRANSLATE(B4,""en"",""de"")"),"Symbole")</f>
        <v>Symbole</v>
      </c>
      <c r="F4" s="71" t="str">
        <f>IFERROR(__xludf.DUMMYFUNCTION("GOOGLETRANSLATE(B4,""en"",""el"")"),"εικονίδια")</f>
        <v>εικονίδια</v>
      </c>
      <c r="G4" s="71" t="str">
        <f>IFERROR(__xludf.DUMMYFUNCTION("GOOGLETRANSLATE(B4,""en"",""es"")"),"Iconos")</f>
        <v>Iconos</v>
      </c>
      <c r="H4" s="71" t="str">
        <f>IFERROR(__xludf.DUMMYFUNCTION("GOOGLETRANSLATE(B4,""en"",""et"")"),"Ikoonid")</f>
        <v>Ikoonid</v>
      </c>
      <c r="I4" s="71" t="str">
        <f>IFERROR(__xludf.DUMMYFUNCTION("GOOGLETRANSLATE(B4,""en"",""fi"")"),"Kuvakkeet")</f>
        <v>Kuvakkeet</v>
      </c>
      <c r="J4" s="71" t="str">
        <f>IFERROR(__xludf.DUMMYFUNCTION("GOOGLETRANSLATE(B4,""en"",""fr"")"),"Icônes")</f>
        <v>Icônes</v>
      </c>
      <c r="K4" s="71" t="str">
        <f>IFERROR(__xludf.DUMMYFUNCTION("GOOGLETRANSLATE(B4,""en"",""hi"")"),"माउस")</f>
        <v>माउस</v>
      </c>
      <c r="L4" s="71" t="str">
        <f>IFERROR(__xludf.DUMMYFUNCTION("GOOGLETRANSLATE(B4,""en"",""id"")"),"Ikon")</f>
        <v>Ikon</v>
      </c>
      <c r="M4" s="71" t="str">
        <f>IFERROR(__xludf.DUMMYFUNCTION("GOOGLETRANSLATE(B4,""en"",""it"")"),"Icone")</f>
        <v>Icone</v>
      </c>
      <c r="N4" s="71" t="str">
        <f>IFERROR(__xludf.DUMMYFUNCTION("GOOGLETRANSLATE(B4,""en"",""ja"")"),"アイコン")</f>
        <v>アイコン</v>
      </c>
      <c r="O4" s="71" t="str">
        <f>IFERROR(__xludf.DUMMYFUNCTION("GOOGLETRANSLATE(B4,""en"",""km"")"),"រូបតំណាង")</f>
        <v>រូបតំណាង</v>
      </c>
      <c r="P4" s="71" t="str">
        <f>IFERROR(__xludf.DUMMYFUNCTION("GOOGLETRANSLATE(B4,""en"",""kn"")"),"ಚಿಹ್ನೆಗಳು")</f>
        <v>ಚಿಹ್ನೆಗಳು</v>
      </c>
      <c r="Q4" s="71" t="str">
        <f>IFERROR(__xludf.DUMMYFUNCTION("GOOGLETRANSLATE(B4,""en"",""ko"")"),"아이콘")</f>
        <v>아이콘</v>
      </c>
      <c r="R4" s="71" t="str">
        <f>IFERROR(__xludf.DUMMYFUNCTION("GOOGLETRANSLATE(B4,""en"",""lo"")"),"ໄອຄອນ")</f>
        <v>ໄອຄອນ</v>
      </c>
      <c r="S4" s="71" t="str">
        <f>IFERROR(__xludf.DUMMYFUNCTION("GOOGLETRANSLATE(B4,""en"",""lv"")"),"Ikonas")</f>
        <v>Ikonas</v>
      </c>
      <c r="T4" s="71" t="str">
        <f>IFERROR(__xludf.DUMMYFUNCTION("GOOGLETRANSLATE(B4,""en"",""ms"")"),"ikon")</f>
        <v>ikon</v>
      </c>
      <c r="U4" s="71" t="str">
        <f>IFERROR(__xludf.DUMMYFUNCTION("GOOGLETRANSLATE(B4,""en"",""nl"")"),"Pictogrammen")</f>
        <v>Pictogrammen</v>
      </c>
      <c r="V4" s="71" t="str">
        <f>IFERROR(__xludf.DUMMYFUNCTION("GOOGLETRANSLATE(B4,""en"",""pl"")"),"Ikony")</f>
        <v>Ikony</v>
      </c>
      <c r="W4" s="71" t="str">
        <f>IFERROR(__xludf.DUMMYFUNCTION("GOOGLETRANSLATE(B4,""en"",""pt-PT"")"),"Ícones")</f>
        <v>Ícones</v>
      </c>
      <c r="X4" s="71" t="str">
        <f>IFERROR(__xludf.DUMMYFUNCTION("GOOGLETRANSLATE(B4,""en"",""ru"")"),"Иконки")</f>
        <v>Иконки</v>
      </c>
      <c r="Y4" s="71" t="str">
        <f>IFERROR(__xludf.DUMMYFUNCTION("GOOGLETRANSLATE(B4,""en"",""th"")"),"ไอคอน")</f>
        <v>ไอคอน</v>
      </c>
      <c r="Z4" s="71" t="str">
        <f>IFERROR(__xludf.DUMMYFUNCTION("GOOGLETRANSLATE(B4,""en"",""tr"")"),"Simgeler")</f>
        <v>Simgeler</v>
      </c>
      <c r="AA4" s="71" t="str">
        <f>IFERROR(__xludf.DUMMYFUNCTION("GOOGLETRANSLATE(B4,""en"",""uk"")"),"іконки")</f>
        <v>іконки</v>
      </c>
      <c r="AB4" s="71" t="str">
        <f>IFERROR(__xludf.DUMMYFUNCTION("GOOGLETRANSLATE(B4,""en"",""zh-CN"")"),"图标")</f>
        <v>图标</v>
      </c>
      <c r="AC4" s="71" t="str">
        <f>IFERROR(__xludf.DUMMYFUNCTION("GOOGLETRANSLATE(B4,""en"",""vi"")"),"Biểu tượng")</f>
        <v>Biểu tượng</v>
      </c>
      <c r="AD4" s="75"/>
      <c r="AE4" s="75"/>
      <c r="AF4" s="75"/>
      <c r="AG4" s="75"/>
      <c r="AH4" s="75"/>
      <c r="AI4" s="75"/>
      <c r="AJ4" s="75"/>
      <c r="AK4" s="75"/>
      <c r="AL4" s="75"/>
      <c r="AM4" s="75"/>
      <c r="AN4" s="75"/>
      <c r="AO4" s="75"/>
      <c r="AP4" s="75"/>
      <c r="AQ4" s="75"/>
      <c r="AR4" s="75"/>
      <c r="AS4" s="75"/>
      <c r="AT4" s="75"/>
      <c r="AU4" s="75"/>
      <c r="AV4" s="75"/>
      <c r="AW4" s="75"/>
      <c r="AX4" s="75"/>
      <c r="AY4" s="75"/>
      <c r="AZ4" s="75"/>
      <c r="BA4" s="75"/>
      <c r="BB4" s="75"/>
      <c r="BC4" s="75"/>
      <c r="BD4" s="75"/>
      <c r="BE4" s="75"/>
      <c r="BF4" s="75"/>
      <c r="BG4" s="75"/>
      <c r="BH4" s="75"/>
      <c r="BI4" s="75"/>
      <c r="BJ4" s="75"/>
      <c r="BK4" s="75"/>
      <c r="BL4" s="75"/>
      <c r="BM4" s="75"/>
    </row>
    <row r="5">
      <c r="A5" s="73" t="s">
        <v>11563</v>
      </c>
      <c r="B5" s="73" t="s">
        <v>11564</v>
      </c>
      <c r="C5" s="71" t="str">
        <f>IFERROR(__xludf.DUMMYFUNCTION("GOOGLETRANSLATE(B5,""en"",""ar"")"),"الحاجيات")</f>
        <v>الحاجيات</v>
      </c>
      <c r="D5" s="71" t="str">
        <f>IFERROR(__xludf.DUMMYFUNCTION("GOOGLETRANSLATE(B5,""en"",""cs"")"),"Widgety")</f>
        <v>Widgety</v>
      </c>
      <c r="E5" s="71" t="str">
        <f>IFERROR(__xludf.DUMMYFUNCTION("GOOGLETRANSLATE(B5,""en"",""de"")"),"Widgets")</f>
        <v>Widgets</v>
      </c>
      <c r="F5" s="71" t="str">
        <f>IFERROR(__xludf.DUMMYFUNCTION("GOOGLETRANSLATE(B5,""en"",""el"")"),"Widgets")</f>
        <v>Widgets</v>
      </c>
      <c r="G5" s="71" t="str">
        <f>IFERROR(__xludf.DUMMYFUNCTION("GOOGLETRANSLATE(B5,""en"",""es"")"),"widgets")</f>
        <v>widgets</v>
      </c>
      <c r="H5" s="71" t="str">
        <f>IFERROR(__xludf.DUMMYFUNCTION("GOOGLETRANSLATE(B5,""en"",""et"")"),"Vidinad")</f>
        <v>Vidinad</v>
      </c>
      <c r="I5" s="71" t="str">
        <f>IFERROR(__xludf.DUMMYFUNCTION("GOOGLETRANSLATE(B5,""en"",""fi"")"),"Widgetit")</f>
        <v>Widgetit</v>
      </c>
      <c r="J5" s="71" t="str">
        <f>IFERROR(__xludf.DUMMYFUNCTION("GOOGLETRANSLATE(B5,""en"",""fr"")"),"Widgets")</f>
        <v>Widgets</v>
      </c>
      <c r="K5" s="71" t="str">
        <f>IFERROR(__xludf.DUMMYFUNCTION("GOOGLETRANSLATE(B5,""en"",""hi"")"),"विजेट")</f>
        <v>विजेट</v>
      </c>
      <c r="L5" s="71" t="str">
        <f>IFERROR(__xludf.DUMMYFUNCTION("GOOGLETRANSLATE(B5,""en"",""id"")"),"Widget")</f>
        <v>Widget</v>
      </c>
      <c r="M5" s="71" t="str">
        <f>IFERROR(__xludf.DUMMYFUNCTION("GOOGLETRANSLATE(B5,""en"",""it"")"),"Widget")</f>
        <v>Widget</v>
      </c>
      <c r="N5" s="71" t="str">
        <f>IFERROR(__xludf.DUMMYFUNCTION("GOOGLETRANSLATE(B5,""en"",""ja"")"),"ウィジェット")</f>
        <v>ウィジェット</v>
      </c>
      <c r="O5" s="71" t="str">
        <f>IFERROR(__xludf.DUMMYFUNCTION("GOOGLETRANSLATE(B5,""en"",""km"")"),"ធាតុក្រាហ្វិក")</f>
        <v>ធាតុក្រាហ្វិក</v>
      </c>
      <c r="P5" s="71" t="str">
        <f>IFERROR(__xludf.DUMMYFUNCTION("GOOGLETRANSLATE(B5,""en"",""kn"")"),"ವಿಜೆಟ್‌ಗಳು")</f>
        <v>ವಿಜೆಟ್‌ಗಳು</v>
      </c>
      <c r="Q5" s="71" t="str">
        <f>IFERROR(__xludf.DUMMYFUNCTION("GOOGLETRANSLATE(B5,""en"",""ko"")"),"위젯")</f>
        <v>위젯</v>
      </c>
      <c r="R5" s="71" t="str">
        <f>IFERROR(__xludf.DUMMYFUNCTION("GOOGLETRANSLATE(B5,""en"",""lo"")"),"ວິດເຈັດ")</f>
        <v>ວິດເຈັດ</v>
      </c>
      <c r="S5" s="71" t="str">
        <f>IFERROR(__xludf.DUMMYFUNCTION("GOOGLETRANSLATE(B5,""en"",""lv"")"),"Logrīki")</f>
        <v>Logrīki</v>
      </c>
      <c r="T5" s="71" t="str">
        <f>IFERROR(__xludf.DUMMYFUNCTION("GOOGLETRANSLATE(B5,""en"",""ms"")"),"Widget")</f>
        <v>Widget</v>
      </c>
      <c r="U5" s="71" t="str">
        <f>IFERROR(__xludf.DUMMYFUNCTION("GOOGLETRANSLATE(B5,""en"",""nl"")"),"Widgets")</f>
        <v>Widgets</v>
      </c>
      <c r="V5" s="71" t="str">
        <f>IFERROR(__xludf.DUMMYFUNCTION("GOOGLETRANSLATE(B5,""en"",""pl"")"),"Widżety")</f>
        <v>Widżety</v>
      </c>
      <c r="W5" s="71" t="str">
        <f>IFERROR(__xludf.DUMMYFUNCTION("GOOGLETRANSLATE(B5,""en"",""pt-PT"")"),"Widgets")</f>
        <v>Widgets</v>
      </c>
      <c r="X5" s="71" t="str">
        <f>IFERROR(__xludf.DUMMYFUNCTION("GOOGLETRANSLATE(B5,""en"",""ru"")"),"Виджеты")</f>
        <v>Виджеты</v>
      </c>
      <c r="Y5" s="71" t="str">
        <f>IFERROR(__xludf.DUMMYFUNCTION("GOOGLETRANSLATE(B5,""en"",""th"")"),"วิดเจ็ต")</f>
        <v>วิดเจ็ต</v>
      </c>
      <c r="Z5" s="71" t="str">
        <f>IFERROR(__xludf.DUMMYFUNCTION("GOOGLETRANSLATE(B5,""en"",""tr"")"),"Widget'lar")</f>
        <v>Widget'lar</v>
      </c>
      <c r="AA5" s="71" t="str">
        <f>IFERROR(__xludf.DUMMYFUNCTION("GOOGLETRANSLATE(B5,""en"",""uk"")"),"Віджети")</f>
        <v>Віджети</v>
      </c>
      <c r="AB5" s="71" t="str">
        <f>IFERROR(__xludf.DUMMYFUNCTION("GOOGLETRANSLATE(B5,""en"",""zh-CN"")"),"小部件")</f>
        <v>小部件</v>
      </c>
      <c r="AC5" s="71" t="str">
        <f>IFERROR(__xludf.DUMMYFUNCTION("GOOGLETRANSLATE(B5,""en"",""vi"")"),"Widget")</f>
        <v>Widget</v>
      </c>
      <c r="AD5" s="75"/>
      <c r="AE5" s="75"/>
      <c r="AF5" s="75"/>
      <c r="AG5" s="75"/>
      <c r="AH5" s="75"/>
      <c r="AI5" s="75"/>
      <c r="AJ5" s="75"/>
      <c r="AK5" s="75"/>
      <c r="AL5" s="75"/>
      <c r="AM5" s="75"/>
      <c r="AN5" s="75"/>
      <c r="AO5" s="75"/>
      <c r="AP5" s="75"/>
      <c r="AQ5" s="75"/>
      <c r="AR5" s="75"/>
      <c r="AS5" s="75"/>
      <c r="AT5" s="75"/>
      <c r="AU5" s="75"/>
      <c r="AV5" s="75"/>
      <c r="AW5" s="75"/>
      <c r="AX5" s="75"/>
      <c r="AY5" s="75"/>
      <c r="AZ5" s="75"/>
      <c r="BA5" s="75"/>
      <c r="BB5" s="75"/>
      <c r="BC5" s="75"/>
      <c r="BD5" s="75"/>
      <c r="BE5" s="75"/>
      <c r="BF5" s="75"/>
      <c r="BG5" s="75"/>
      <c r="BH5" s="75"/>
      <c r="BI5" s="75"/>
      <c r="BJ5" s="75"/>
      <c r="BK5" s="75"/>
      <c r="BL5" s="75"/>
      <c r="BM5" s="75"/>
    </row>
    <row r="6">
      <c r="A6" s="73" t="s">
        <v>11565</v>
      </c>
      <c r="B6" s="73" t="s">
        <v>11566</v>
      </c>
      <c r="C6" s="71" t="str">
        <f>IFERROR(__xludf.DUMMYFUNCTION("GOOGLETRANSLATE(B6,""en"",""ar"")"),"خلفيات")</f>
        <v>خلفيات</v>
      </c>
      <c r="D6" s="71" t="str">
        <f>IFERROR(__xludf.DUMMYFUNCTION("GOOGLETRANSLATE(B6,""en"",""cs"")"),"tapety")</f>
        <v>tapety</v>
      </c>
      <c r="E6" s="71" t="str">
        <f>IFERROR(__xludf.DUMMYFUNCTION("GOOGLETRANSLATE(B6,""en"",""de"")"),"Hintergrundbilder")</f>
        <v>Hintergrundbilder</v>
      </c>
      <c r="F6" s="71" t="str">
        <f>IFERROR(__xludf.DUMMYFUNCTION("GOOGLETRANSLATE(B6,""en"",""el"")"),"Ταπετσαρίες")</f>
        <v>Ταπετσαρίες</v>
      </c>
      <c r="G6" s="71" t="str">
        <f>IFERROR(__xludf.DUMMYFUNCTION("GOOGLETRANSLATE(B6,""en"",""es"")"),"Fondos de pantalla")</f>
        <v>Fondos de pantalla</v>
      </c>
      <c r="H6" s="71" t="str">
        <f>IFERROR(__xludf.DUMMYFUNCTION("GOOGLETRANSLATE(B6,""en"",""et"")"),"Taustapildid")</f>
        <v>Taustapildid</v>
      </c>
      <c r="I6" s="71" t="str">
        <f>IFERROR(__xludf.DUMMYFUNCTION("GOOGLETRANSLATE(B6,""en"",""fi"")"),"Taustakuvat")</f>
        <v>Taustakuvat</v>
      </c>
      <c r="J6" s="71" t="str">
        <f>IFERROR(__xludf.DUMMYFUNCTION("GOOGLETRANSLATE(B6,""en"",""fr"")"),"Fonds d'écran")</f>
        <v>Fonds d'écran</v>
      </c>
      <c r="K6" s="71" t="str">
        <f>IFERROR(__xludf.DUMMYFUNCTION("GOOGLETRANSLATE(B6,""en"",""hi"")"),"वॉलपेपर")</f>
        <v>वॉलपेपर</v>
      </c>
      <c r="L6" s="71" t="str">
        <f>IFERROR(__xludf.DUMMYFUNCTION("GOOGLETRANSLATE(B6,""en"",""id"")"),"Wallpaper")</f>
        <v>Wallpaper</v>
      </c>
      <c r="M6" s="71" t="str">
        <f>IFERROR(__xludf.DUMMYFUNCTION("GOOGLETRANSLATE(B6,""en"",""it"")"),"Sfondi")</f>
        <v>Sfondi</v>
      </c>
      <c r="N6" s="71" t="str">
        <f>IFERROR(__xludf.DUMMYFUNCTION("GOOGLETRANSLATE(B6,""en"",""ja"")"),"壁紙")</f>
        <v>壁紙</v>
      </c>
      <c r="O6" s="71" t="str">
        <f>IFERROR(__xludf.DUMMYFUNCTION("GOOGLETRANSLATE(B6,""en"",""km"")"),"ផ្ទាំងរូបភាព")</f>
        <v>ផ្ទាំងរូបភាព</v>
      </c>
      <c r="P6" s="71" t="str">
        <f>IFERROR(__xludf.DUMMYFUNCTION("GOOGLETRANSLATE(B6,""en"",""kn"")"),"ವಾಲ್‌ಪೇಪರ್‌ಗಳು")</f>
        <v>ವಾಲ್‌ಪೇಪರ್‌ಗಳು</v>
      </c>
      <c r="Q6" s="71" t="str">
        <f>IFERROR(__xludf.DUMMYFUNCTION("GOOGLETRANSLATE(B6,""en"",""ko"")"),"배경화면")</f>
        <v>배경화면</v>
      </c>
      <c r="R6" s="71" t="str">
        <f>IFERROR(__xludf.DUMMYFUNCTION("GOOGLETRANSLATE(B6,""en"",""lo"")"),"ພາບພື້ນຫຼັງ")</f>
        <v>ພາບພື້ນຫຼັງ</v>
      </c>
      <c r="S6" s="71" t="str">
        <f>IFERROR(__xludf.DUMMYFUNCTION("GOOGLETRANSLATE(B6,""en"",""lv"")"),"Tapetes")</f>
        <v>Tapetes</v>
      </c>
      <c r="T6" s="71" t="str">
        <f>IFERROR(__xludf.DUMMYFUNCTION("GOOGLETRANSLATE(B6,""en"",""ms"")"),"Kertas dinding")</f>
        <v>Kertas dinding</v>
      </c>
      <c r="U6" s="71" t="str">
        <f>IFERROR(__xludf.DUMMYFUNCTION("GOOGLETRANSLATE(B6,""en"",""nl"")"),"Achtergronden")</f>
        <v>Achtergronden</v>
      </c>
      <c r="V6" s="71" t="str">
        <f>IFERROR(__xludf.DUMMYFUNCTION("GOOGLETRANSLATE(B6,""en"",""pl"")"),"Tapety")</f>
        <v>Tapety</v>
      </c>
      <c r="W6" s="71" t="str">
        <f>IFERROR(__xludf.DUMMYFUNCTION("GOOGLETRANSLATE(B6,""en"",""pt-PT"")"),"Papéis de parede")</f>
        <v>Papéis de parede</v>
      </c>
      <c r="X6" s="71" t="str">
        <f>IFERROR(__xludf.DUMMYFUNCTION("GOOGLETRANSLATE(B6,""en"",""ru"")"),"Обои")</f>
        <v>Обои</v>
      </c>
      <c r="Y6" s="71" t="str">
        <f>IFERROR(__xludf.DUMMYFUNCTION("GOOGLETRANSLATE(B6,""en"",""th"")"),"วอลเปเปอร์")</f>
        <v>วอลเปเปอร์</v>
      </c>
      <c r="Z6" s="71" t="str">
        <f>IFERROR(__xludf.DUMMYFUNCTION("GOOGLETRANSLATE(B6,""en"",""tr"")"),"Duvar Kağıtları")</f>
        <v>Duvar Kağıtları</v>
      </c>
      <c r="AA6" s="71" t="str">
        <f>IFERROR(__xludf.DUMMYFUNCTION("GOOGLETRANSLATE(B6,""en"",""uk"")"),"Шпалери")</f>
        <v>Шпалери</v>
      </c>
      <c r="AB6" s="71" t="str">
        <f>IFERROR(__xludf.DUMMYFUNCTION("GOOGLETRANSLATE(B6,""en"",""zh-CN"")"),"壁纸")</f>
        <v>壁纸</v>
      </c>
      <c r="AC6" s="71" t="str">
        <f>IFERROR(__xludf.DUMMYFUNCTION("GOOGLETRANSLATE(B6,""en"",""vi"")"),"Hình nền")</f>
        <v>Hình nền</v>
      </c>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5"/>
      <c r="BF6" s="75"/>
      <c r="BG6" s="75"/>
      <c r="BH6" s="75"/>
      <c r="BI6" s="75"/>
      <c r="BJ6" s="75"/>
      <c r="BK6" s="75"/>
      <c r="BL6" s="75"/>
      <c r="BM6" s="75"/>
    </row>
    <row r="7">
      <c r="A7" s="73" t="s">
        <v>11567</v>
      </c>
      <c r="B7" s="73" t="s">
        <v>36</v>
      </c>
      <c r="C7" s="71" t="str">
        <f>IFERROR(__xludf.DUMMYFUNCTION("GOOGLETRANSLATE(B7,""en"",""ar"")"),"إعدادات")</f>
        <v>إعدادات</v>
      </c>
      <c r="D7" s="71" t="str">
        <f>IFERROR(__xludf.DUMMYFUNCTION("GOOGLETRANSLATE(B7,""en"",""cs"")"),"Nastavení")</f>
        <v>Nastavení</v>
      </c>
      <c r="E7" s="71" t="str">
        <f>IFERROR(__xludf.DUMMYFUNCTION("GOOGLETRANSLATE(B7,""en"",""de"")"),"Einstellungen")</f>
        <v>Einstellungen</v>
      </c>
      <c r="F7" s="71" t="str">
        <f>IFERROR(__xludf.DUMMYFUNCTION("GOOGLETRANSLATE(B7,""en"",""el"")"),"Ρυθμίσεις")</f>
        <v>Ρυθμίσεις</v>
      </c>
      <c r="G7" s="71" t="str">
        <f>IFERROR(__xludf.DUMMYFUNCTION("GOOGLETRANSLATE(B7,""en"",""es"")"),"Ajustes")</f>
        <v>Ajustes</v>
      </c>
      <c r="H7" s="71" t="str">
        <f>IFERROR(__xludf.DUMMYFUNCTION("GOOGLETRANSLATE(B7,""en"",""et"")"),"Seaded")</f>
        <v>Seaded</v>
      </c>
      <c r="I7" s="71" t="str">
        <f>IFERROR(__xludf.DUMMYFUNCTION("GOOGLETRANSLATE(B7,""en"",""fi"")"),"Asetukset")</f>
        <v>Asetukset</v>
      </c>
      <c r="J7" s="71" t="str">
        <f>IFERROR(__xludf.DUMMYFUNCTION("GOOGLETRANSLATE(B7,""en"",""fr"")"),"Paramètres")</f>
        <v>Paramètres</v>
      </c>
      <c r="K7" s="71" t="str">
        <f>IFERROR(__xludf.DUMMYFUNCTION("GOOGLETRANSLATE(B7,""en"",""hi"")"),"सेटिंग्स")</f>
        <v>सेटिंग्स</v>
      </c>
      <c r="L7" s="71" t="str">
        <f>IFERROR(__xludf.DUMMYFUNCTION("GOOGLETRANSLATE(B7,""en"",""id"")"),"Pengaturan")</f>
        <v>Pengaturan</v>
      </c>
      <c r="M7" s="71" t="str">
        <f>IFERROR(__xludf.DUMMYFUNCTION("GOOGLETRANSLATE(B7,""en"",""it"")"),"Impostazioni")</f>
        <v>Impostazioni</v>
      </c>
      <c r="N7" s="71" t="str">
        <f>IFERROR(__xludf.DUMMYFUNCTION("GOOGLETRANSLATE(B7,""en"",""ja"")"),"設定")</f>
        <v>設定</v>
      </c>
      <c r="O7" s="71" t="str">
        <f>IFERROR(__xludf.DUMMYFUNCTION("GOOGLETRANSLATE(B7,""en"",""km"")"),"ការកំណត់")</f>
        <v>ការកំណត់</v>
      </c>
      <c r="P7" s="71" t="str">
        <f>IFERROR(__xludf.DUMMYFUNCTION("GOOGLETRANSLATE(B7,""en"",""kn"")"),"ಸೆಟ್ಟಿಂಗ್‌ಗಳು")</f>
        <v>ಸೆಟ್ಟಿಂಗ್‌ಗಳು</v>
      </c>
      <c r="Q7" s="71" t="str">
        <f>IFERROR(__xludf.DUMMYFUNCTION("GOOGLETRANSLATE(B7,""en"",""ko"")"),"설정")</f>
        <v>설정</v>
      </c>
      <c r="R7" s="71" t="str">
        <f>IFERROR(__xludf.DUMMYFUNCTION("GOOGLETRANSLATE(B7,""en"",""lo"")"),"ການຕັ້ງຄ່າ")</f>
        <v>ການຕັ້ງຄ່າ</v>
      </c>
      <c r="S7" s="71" t="str">
        <f>IFERROR(__xludf.DUMMYFUNCTION("GOOGLETRANSLATE(B7,""en"",""lv"")"),"Iestatījumi")</f>
        <v>Iestatījumi</v>
      </c>
      <c r="T7" s="71" t="str">
        <f>IFERROR(__xludf.DUMMYFUNCTION("GOOGLETRANSLATE(B7,""en"",""ms"")"),"tetapan")</f>
        <v>tetapan</v>
      </c>
      <c r="U7" s="71" t="str">
        <f>IFERROR(__xludf.DUMMYFUNCTION("GOOGLETRANSLATE(B7,""en"",""nl"")"),"Instellingen")</f>
        <v>Instellingen</v>
      </c>
      <c r="V7" s="71" t="str">
        <f>IFERROR(__xludf.DUMMYFUNCTION("GOOGLETRANSLATE(B7,""en"",""pl"")"),"Ustawienia")</f>
        <v>Ustawienia</v>
      </c>
      <c r="W7" s="71" t="str">
        <f>IFERROR(__xludf.DUMMYFUNCTION("GOOGLETRANSLATE(B7,""en"",""pt-PT"")"),"Configurações")</f>
        <v>Configurações</v>
      </c>
      <c r="X7" s="71" t="str">
        <f>IFERROR(__xludf.DUMMYFUNCTION("GOOGLETRANSLATE(B7,""en"",""ru"")"),"Настройки")</f>
        <v>Настройки</v>
      </c>
      <c r="Y7" s="71" t="str">
        <f>IFERROR(__xludf.DUMMYFUNCTION("GOOGLETRANSLATE(B7,""en"",""th"")"),"การตั้งค่า")</f>
        <v>การตั้งค่า</v>
      </c>
      <c r="Z7" s="71" t="str">
        <f>IFERROR(__xludf.DUMMYFUNCTION("GOOGLETRANSLATE(B7,""en"",""tr"")"),"Ayarlar")</f>
        <v>Ayarlar</v>
      </c>
      <c r="AA7" s="71" t="str">
        <f>IFERROR(__xludf.DUMMYFUNCTION("GOOGLETRANSLATE(B7,""en"",""uk"")"),"Налаштування")</f>
        <v>Налаштування</v>
      </c>
      <c r="AB7" s="71" t="str">
        <f>IFERROR(__xludf.DUMMYFUNCTION("GOOGLETRANSLATE(B7,""en"",""zh-CN"")"),"设置")</f>
        <v>设置</v>
      </c>
      <c r="AC7" s="71" t="str">
        <f>IFERROR(__xludf.DUMMYFUNCTION("GOOGLETRANSLATE(B7,""en"",""vi"")"),"Cài đặt")</f>
        <v>Cài đặt</v>
      </c>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row>
    <row r="8">
      <c r="A8" s="73" t="s">
        <v>11568</v>
      </c>
      <c r="B8" s="73" t="s">
        <v>11569</v>
      </c>
      <c r="C8" s="71" t="str">
        <f>IFERROR(__xludf.DUMMYFUNCTION("GOOGLETRANSLATE(B8,""en"",""ar"")"),"فشل التحميل :((")</f>
        <v>فشل التحميل :((</v>
      </c>
      <c r="D8" s="71" t="str">
        <f>IFERROR(__xludf.DUMMYFUNCTION("GOOGLETRANSLATE(B8,""en"",""cs"")"),"Načítání se nezdařilo :((")</f>
        <v>Načítání se nezdařilo :((</v>
      </c>
      <c r="E8" s="71" t="str">
        <f>IFERROR(__xludf.DUMMYFUNCTION("GOOGLETRANSLATE(B8,""en"",""de"")"),"Laden fehlgeschlagen :((")</f>
        <v>Laden fehlgeschlagen :((</v>
      </c>
      <c r="F8" s="71" t="str">
        <f>IFERROR(__xludf.DUMMYFUNCTION("GOOGLETRANSLATE(B8,""en"",""el"")"),"Η φόρτωση απέτυχε :((")</f>
        <v>Η φόρτωση απέτυχε :((</v>
      </c>
      <c r="G8" s="71" t="str">
        <f>IFERROR(__xludf.DUMMYFUNCTION("GOOGLETRANSLATE(B8,""en"",""es"")"),"Error al cargar :((")</f>
        <v>Error al cargar :((</v>
      </c>
      <c r="H8" s="71" t="str">
        <f>IFERROR(__xludf.DUMMYFUNCTION("GOOGLETRANSLATE(B8,""en"",""et"")"),"Laadimine ebaõnnestus :((")</f>
        <v>Laadimine ebaõnnestus :((</v>
      </c>
      <c r="I8" s="71" t="str">
        <f>IFERROR(__xludf.DUMMYFUNCTION("GOOGLETRANSLATE(B8,""en"",""fi"")"),"Lataus epäonnistui :((")</f>
        <v>Lataus epäonnistui :((</v>
      </c>
      <c r="J8" s="71" t="str">
        <f>IFERROR(__xludf.DUMMYFUNCTION("GOOGLETRANSLATE(B8,""en"",""fr"")"),"Le chargement a échoué :((")</f>
        <v>Le chargement a échoué :((</v>
      </c>
      <c r="K8" s="71" t="str">
        <f>IFERROR(__xludf.DUMMYFUNCTION("GOOGLETRANSLATE(B8,""en"",""hi"")"),"लोडिंग विफल :((")</f>
        <v>लोडिंग विफल :((</v>
      </c>
      <c r="L8" s="71" t="str">
        <f>IFERROR(__xludf.DUMMYFUNCTION("GOOGLETRANSLATE(B8,""en"",""id"")"),"Gagal memuat :((")</f>
        <v>Gagal memuat :((</v>
      </c>
      <c r="M8" s="71" t="str">
        <f>IFERROR(__xludf.DUMMYFUNCTION("GOOGLETRANSLATE(B8,""en"",""it"")"),"Caricamento fallito :((")</f>
        <v>Caricamento fallito :((</v>
      </c>
      <c r="N8" s="71" t="str">
        <f>IFERROR(__xludf.DUMMYFUNCTION("GOOGLETRANSLATE(B8,""en"",""ja"")"),"読み込みに失敗しました:((")</f>
        <v>読み込みに失敗しました:((</v>
      </c>
      <c r="O8" s="71" t="str">
        <f>IFERROR(__xludf.DUMMYFUNCTION("GOOGLETRANSLATE(B8,""en"",""km"")"),"ការផ្ទុកបរាជ័យ :((")</f>
        <v>ការផ្ទុកបរាជ័យ :((</v>
      </c>
      <c r="P8" s="71" t="str">
        <f>IFERROR(__xludf.DUMMYFUNCTION("GOOGLETRANSLATE(B8,""en"",""kn"")"),"ಲೋಡ್ ವಿಫಲವಾಗಿದೆ :((")</f>
        <v>ಲೋಡ್ ವಿಫಲವಾಗಿದೆ :((</v>
      </c>
      <c r="Q8" s="71" t="str">
        <f>IFERROR(__xludf.DUMMYFUNCTION("GOOGLETRANSLATE(B8,""en"",""ko"")"),"로딩 실패 :((")</f>
        <v>로딩 실패 :((</v>
      </c>
      <c r="R8" s="71" t="str">
        <f>IFERROR(__xludf.DUMMYFUNCTION("GOOGLETRANSLATE(B8,""en"",""lo"")"),"ການໂຫຼດລົ້ມເຫລວ :((")</f>
        <v>ການໂຫຼດລົ້ມເຫລວ :((</v>
      </c>
      <c r="S8" s="71" t="str">
        <f>IFERROR(__xludf.DUMMYFUNCTION("GOOGLETRANSLATE(B8,""en"",""lv"")"),"Ielāde neizdevās :((")</f>
        <v>Ielāde neizdevās :((</v>
      </c>
      <c r="T8" s="71" t="str">
        <f>IFERROR(__xludf.DUMMYFUNCTION("GOOGLETRANSLATE(B8,""en"",""ms"")"),"Memuatkan gagal :((")</f>
        <v>Memuatkan gagal :((</v>
      </c>
      <c r="U8" s="71" t="str">
        <f>IFERROR(__xludf.DUMMYFUNCTION("GOOGLETRANSLATE(B8,""en"",""nl"")"),"Laden mislukt :((")</f>
        <v>Laden mislukt :((</v>
      </c>
      <c r="V8" s="71" t="str">
        <f>IFERROR(__xludf.DUMMYFUNCTION("GOOGLETRANSLATE(B8,""en"",""pl"")"),"Ładowanie nie powiodło się :((")</f>
        <v>Ładowanie nie powiodło się :((</v>
      </c>
      <c r="W8" s="71" t="str">
        <f>IFERROR(__xludf.DUMMYFUNCTION("GOOGLETRANSLATE(B8,""en"",""pt-PT"")"),"Falha ao carregar :((")</f>
        <v>Falha ao carregar :((</v>
      </c>
      <c r="X8" s="71" t="str">
        <f>IFERROR(__xludf.DUMMYFUNCTION("GOOGLETRANSLATE(B8,""en"",""ru"")"),"Загрузка не удалась :((")</f>
        <v>Загрузка не удалась :((</v>
      </c>
      <c r="Y8" s="71" t="str">
        <f>IFERROR(__xludf.DUMMYFUNCTION("GOOGLETRANSLATE(B8,""en"",""th"")"),"โหลดล้มเหลว :((")</f>
        <v>โหลดล้มเหลว :((</v>
      </c>
      <c r="Z8" s="71" t="str">
        <f>IFERROR(__xludf.DUMMYFUNCTION("GOOGLETRANSLATE(B8,""en"",""tr"")"),"Yükleme başarısız oldu :((")</f>
        <v>Yükleme başarısız oldu :((</v>
      </c>
      <c r="AA8" s="71" t="str">
        <f>IFERROR(__xludf.DUMMYFUNCTION("GOOGLETRANSLATE(B8,""en"",""uk"")"),"Не вдалося завантажити :((")</f>
        <v>Не вдалося завантажити :((</v>
      </c>
      <c r="AB8" s="71" t="str">
        <f>IFERROR(__xludf.DUMMYFUNCTION("GOOGLETRANSLATE(B8,""en"",""zh-CN"")"),"加载失败:((")</f>
        <v>加载失败:((</v>
      </c>
      <c r="AC8" s="71" t="str">
        <f>IFERROR(__xludf.DUMMYFUNCTION("GOOGLETRANSLATE(B8,""en"",""vi"")"),"Tải không thành công :((")</f>
        <v>Tải không thành công :((</v>
      </c>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row>
    <row r="9">
      <c r="A9" s="73" t="s">
        <v>11570</v>
      </c>
      <c r="B9" s="73" t="s">
        <v>11571</v>
      </c>
      <c r="C9" s="71" t="str">
        <f>IFERROR(__xludf.DUMMYFUNCTION("GOOGLETRANSLATE(B9,""en"",""ar"")"),"صورة")</f>
        <v>صورة</v>
      </c>
      <c r="D9" s="71" t="str">
        <f>IFERROR(__xludf.DUMMYFUNCTION("GOOGLETRANSLATE(B9,""en"",""cs"")"),"Fotografie")</f>
        <v>Fotografie</v>
      </c>
      <c r="E9" s="71" t="str">
        <f>IFERROR(__xludf.DUMMYFUNCTION("GOOGLETRANSLATE(B9,""en"",""de"")"),"Foto")</f>
        <v>Foto</v>
      </c>
      <c r="F9" s="71" t="str">
        <f>IFERROR(__xludf.DUMMYFUNCTION("GOOGLETRANSLATE(B9,""en"",""el"")"),"Φωτογραφία")</f>
        <v>Φωτογραφία</v>
      </c>
      <c r="G9" s="71" t="str">
        <f>IFERROR(__xludf.DUMMYFUNCTION("GOOGLETRANSLATE(B9,""en"",""es"")"),"Foto")</f>
        <v>Foto</v>
      </c>
      <c r="H9" s="71" t="str">
        <f>IFERROR(__xludf.DUMMYFUNCTION("GOOGLETRANSLATE(B9,""en"",""et"")"),"Foto")</f>
        <v>Foto</v>
      </c>
      <c r="I9" s="71" t="str">
        <f>IFERROR(__xludf.DUMMYFUNCTION("GOOGLETRANSLATE(B9,""en"",""fi"")"),"Kuva")</f>
        <v>Kuva</v>
      </c>
      <c r="J9" s="71" t="str">
        <f>IFERROR(__xludf.DUMMYFUNCTION("GOOGLETRANSLATE(B9,""en"",""fr"")"),"Photo")</f>
        <v>Photo</v>
      </c>
      <c r="K9" s="71" t="str">
        <f>IFERROR(__xludf.DUMMYFUNCTION("GOOGLETRANSLATE(B9,""en"",""hi"")"),"तस्वीर")</f>
        <v>तस्वीर</v>
      </c>
      <c r="L9" s="71" t="str">
        <f>IFERROR(__xludf.DUMMYFUNCTION("GOOGLETRANSLATE(B9,""en"",""id"")"),"Foto")</f>
        <v>Foto</v>
      </c>
      <c r="M9" s="71" t="str">
        <f>IFERROR(__xludf.DUMMYFUNCTION("GOOGLETRANSLATE(B9,""en"",""it"")"),"Foto")</f>
        <v>Foto</v>
      </c>
      <c r="N9" s="71" t="str">
        <f>IFERROR(__xludf.DUMMYFUNCTION("GOOGLETRANSLATE(B9,""en"",""ja"")"),"写真")</f>
        <v>写真</v>
      </c>
      <c r="O9" s="71" t="str">
        <f>IFERROR(__xludf.DUMMYFUNCTION("GOOGLETRANSLATE(B9,""en"",""km"")"),"រូបថត")</f>
        <v>រូបថត</v>
      </c>
      <c r="P9" s="71" t="str">
        <f>IFERROR(__xludf.DUMMYFUNCTION("GOOGLETRANSLATE(B9,""en"",""kn"")"),"ಫೋಟೋ")</f>
        <v>ಫೋಟೋ</v>
      </c>
      <c r="Q9" s="71" t="str">
        <f>IFERROR(__xludf.DUMMYFUNCTION("GOOGLETRANSLATE(B9,""en"",""ko"")"),"사진")</f>
        <v>사진</v>
      </c>
      <c r="R9" s="71" t="str">
        <f>IFERROR(__xludf.DUMMYFUNCTION("GOOGLETRANSLATE(B9,""en"",""lo"")"),"ຮູບ")</f>
        <v>ຮູບ</v>
      </c>
      <c r="S9" s="71" t="str">
        <f>IFERROR(__xludf.DUMMYFUNCTION("GOOGLETRANSLATE(B9,""en"",""lv"")"),"Fotoattēls")</f>
        <v>Fotoattēls</v>
      </c>
      <c r="T9" s="71" t="str">
        <f>IFERROR(__xludf.DUMMYFUNCTION("GOOGLETRANSLATE(B9,""en"",""ms"")"),"Foto")</f>
        <v>Foto</v>
      </c>
      <c r="U9" s="71" t="str">
        <f>IFERROR(__xludf.DUMMYFUNCTION("GOOGLETRANSLATE(B9,""en"",""nl"")"),"Foto")</f>
        <v>Foto</v>
      </c>
      <c r="V9" s="71" t="str">
        <f>IFERROR(__xludf.DUMMYFUNCTION("GOOGLETRANSLATE(B9,""en"",""pl"")"),"Zdjęcie")</f>
        <v>Zdjęcie</v>
      </c>
      <c r="W9" s="71" t="str">
        <f>IFERROR(__xludf.DUMMYFUNCTION("GOOGLETRANSLATE(B9,""en"",""pt-PT"")"),"Foto")</f>
        <v>Foto</v>
      </c>
      <c r="X9" s="71" t="str">
        <f>IFERROR(__xludf.DUMMYFUNCTION("GOOGLETRANSLATE(B9,""en"",""ru"")"),"Фото")</f>
        <v>Фото</v>
      </c>
      <c r="Y9" s="71" t="str">
        <f>IFERROR(__xludf.DUMMYFUNCTION("GOOGLETRANSLATE(B9,""en"",""th"")"),"รูปถ่าย")</f>
        <v>รูปถ่าย</v>
      </c>
      <c r="Z9" s="71" t="str">
        <f>IFERROR(__xludf.DUMMYFUNCTION("GOOGLETRANSLATE(B9,""en"",""tr"")"),"Fotoğraf")</f>
        <v>Fotoğraf</v>
      </c>
      <c r="AA9" s="71" t="str">
        <f>IFERROR(__xludf.DUMMYFUNCTION("GOOGLETRANSLATE(B9,""en"",""uk"")"),"Фото")</f>
        <v>Фото</v>
      </c>
      <c r="AB9" s="71" t="str">
        <f>IFERROR(__xludf.DUMMYFUNCTION("GOOGLETRANSLATE(B9,""en"",""zh-CN"")"),"照片")</f>
        <v>照片</v>
      </c>
      <c r="AC9" s="71" t="str">
        <f>IFERROR(__xludf.DUMMYFUNCTION("GOOGLETRANSLATE(B9,""en"",""vi"")"),"Ảnh")</f>
        <v>Ảnh</v>
      </c>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5"/>
      <c r="BI9" s="75"/>
      <c r="BJ9" s="75"/>
      <c r="BK9" s="75"/>
      <c r="BL9" s="75"/>
      <c r="BM9" s="75"/>
    </row>
    <row r="10">
      <c r="A10" s="73" t="s">
        <v>11572</v>
      </c>
      <c r="B10" s="73" t="s">
        <v>11573</v>
      </c>
      <c r="C10" s="71" t="str">
        <f>IFERROR(__xludf.DUMMYFUNCTION("GOOGLETRANSLATE(B10,""en"",""ar"")"),"نص")</f>
        <v>نص</v>
      </c>
      <c r="D10" s="71" t="str">
        <f>IFERROR(__xludf.DUMMYFUNCTION("GOOGLETRANSLATE(B10,""en"",""cs"")"),"Text")</f>
        <v>Text</v>
      </c>
      <c r="E10" s="71" t="str">
        <f>IFERROR(__xludf.DUMMYFUNCTION("GOOGLETRANSLATE(B10,""en"",""de"")"),"Text")</f>
        <v>Text</v>
      </c>
      <c r="F10" s="71" t="str">
        <f>IFERROR(__xludf.DUMMYFUNCTION("GOOGLETRANSLATE(B10,""en"",""el"")"),"Κείμενο")</f>
        <v>Κείμενο</v>
      </c>
      <c r="G10" s="71" t="str">
        <f>IFERROR(__xludf.DUMMYFUNCTION("GOOGLETRANSLATE(B10,""en"",""es"")"),"Texto")</f>
        <v>Texto</v>
      </c>
      <c r="H10" s="71" t="str">
        <f>IFERROR(__xludf.DUMMYFUNCTION("GOOGLETRANSLATE(B10,""en"",""et"")"),"Tekst")</f>
        <v>Tekst</v>
      </c>
      <c r="I10" s="71" t="str">
        <f>IFERROR(__xludf.DUMMYFUNCTION("GOOGLETRANSLATE(B10,""en"",""fi"")"),"Teksti")</f>
        <v>Teksti</v>
      </c>
      <c r="J10" s="71" t="str">
        <f>IFERROR(__xludf.DUMMYFUNCTION("GOOGLETRANSLATE(B10,""en"",""fr"")"),"Texte")</f>
        <v>Texte</v>
      </c>
      <c r="K10" s="71" t="str">
        <f>IFERROR(__xludf.DUMMYFUNCTION("GOOGLETRANSLATE(B10,""en"",""hi"")"),"मूलपाठ")</f>
        <v>मूलपाठ</v>
      </c>
      <c r="L10" s="71" t="str">
        <f>IFERROR(__xludf.DUMMYFUNCTION("GOOGLETRANSLATE(B10,""en"",""id"")"),"Teks")</f>
        <v>Teks</v>
      </c>
      <c r="M10" s="71" t="str">
        <f>IFERROR(__xludf.DUMMYFUNCTION("GOOGLETRANSLATE(B10,""en"",""it"")"),"Testo")</f>
        <v>Testo</v>
      </c>
      <c r="N10" s="71" t="str">
        <f>IFERROR(__xludf.DUMMYFUNCTION("GOOGLETRANSLATE(B10,""en"",""ja"")"),"文章")</f>
        <v>文章</v>
      </c>
      <c r="O10" s="71" t="str">
        <f>IFERROR(__xludf.DUMMYFUNCTION("GOOGLETRANSLATE(B10,""en"",""km"")"),"អត្ថបទ")</f>
        <v>អត្ថបទ</v>
      </c>
      <c r="P10" s="71" t="str">
        <f>IFERROR(__xludf.DUMMYFUNCTION("GOOGLETRANSLATE(B10,""en"",""kn"")"),"ಪಠ್ಯ")</f>
        <v>ಪಠ್ಯ</v>
      </c>
      <c r="Q10" s="71" t="str">
        <f>IFERROR(__xludf.DUMMYFUNCTION("GOOGLETRANSLATE(B10,""en"",""ko"")"),"텍스트")</f>
        <v>텍스트</v>
      </c>
      <c r="R10" s="71" t="str">
        <f>IFERROR(__xludf.DUMMYFUNCTION("GOOGLETRANSLATE(B10,""en"",""lo"")"),"ຂໍ້ຄວາມ")</f>
        <v>ຂໍ້ຄວາມ</v>
      </c>
      <c r="S10" s="71" t="str">
        <f>IFERROR(__xludf.DUMMYFUNCTION("GOOGLETRANSLATE(B10,""en"",""lv"")"),"Teksts")</f>
        <v>Teksts</v>
      </c>
      <c r="T10" s="71" t="str">
        <f>IFERROR(__xludf.DUMMYFUNCTION("GOOGLETRANSLATE(B10,""en"",""ms"")"),"Teks")</f>
        <v>Teks</v>
      </c>
      <c r="U10" s="71" t="str">
        <f>IFERROR(__xludf.DUMMYFUNCTION("GOOGLETRANSLATE(B10,""en"",""nl"")"),"Tekst")</f>
        <v>Tekst</v>
      </c>
      <c r="V10" s="71" t="str">
        <f>IFERROR(__xludf.DUMMYFUNCTION("GOOGLETRANSLATE(B10,""en"",""pl"")"),"Tekst")</f>
        <v>Tekst</v>
      </c>
      <c r="W10" s="71" t="str">
        <f>IFERROR(__xludf.DUMMYFUNCTION("GOOGLETRANSLATE(B10,""en"",""pt-PT"")"),"Texto")</f>
        <v>Texto</v>
      </c>
      <c r="X10" s="71" t="str">
        <f>IFERROR(__xludf.DUMMYFUNCTION("GOOGLETRANSLATE(B10,""en"",""ru"")"),"Текст")</f>
        <v>Текст</v>
      </c>
      <c r="Y10" s="71" t="str">
        <f>IFERROR(__xludf.DUMMYFUNCTION("GOOGLETRANSLATE(B10,""en"",""th"")"),"ข้อความ")</f>
        <v>ข้อความ</v>
      </c>
      <c r="Z10" s="71" t="str">
        <f>IFERROR(__xludf.DUMMYFUNCTION("GOOGLETRANSLATE(B10,""en"",""tr"")"),"Metin")</f>
        <v>Metin</v>
      </c>
      <c r="AA10" s="71" t="str">
        <f>IFERROR(__xludf.DUMMYFUNCTION("GOOGLETRANSLATE(B10,""en"",""uk"")"),"текст")</f>
        <v>текст</v>
      </c>
      <c r="AB10" s="71" t="str">
        <f>IFERROR(__xludf.DUMMYFUNCTION("GOOGLETRANSLATE(B10,""en"",""zh-CN"")"),"文本")</f>
        <v>文本</v>
      </c>
      <c r="AC10" s="71" t="str">
        <f>IFERROR(__xludf.DUMMYFUNCTION("GOOGLETRANSLATE(B10,""en"",""vi"")"),"Chữ")</f>
        <v>Chữ</v>
      </c>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75"/>
      <c r="BG10" s="75"/>
      <c r="BH10" s="75"/>
      <c r="BI10" s="75"/>
      <c r="BJ10" s="75"/>
      <c r="BK10" s="75"/>
      <c r="BL10" s="75"/>
      <c r="BM10" s="75"/>
    </row>
    <row r="11">
      <c r="A11" s="73" t="s">
        <v>11574</v>
      </c>
      <c r="B11" s="73" t="s">
        <v>11575</v>
      </c>
      <c r="C11" s="71" t="str">
        <f>IFERROR(__xludf.DUMMYFUNCTION("GOOGLETRANSLATE(B11,""en"",""ar"")"),"معرض")</f>
        <v>معرض</v>
      </c>
      <c r="D11" s="71" t="str">
        <f>IFERROR(__xludf.DUMMYFUNCTION("GOOGLETRANSLATE(B11,""en"",""cs"")"),"Galerie")</f>
        <v>Galerie</v>
      </c>
      <c r="E11" s="71" t="str">
        <f>IFERROR(__xludf.DUMMYFUNCTION("GOOGLETRANSLATE(B11,""en"",""de"")"),"Galerie")</f>
        <v>Galerie</v>
      </c>
      <c r="F11" s="71" t="str">
        <f>IFERROR(__xludf.DUMMYFUNCTION("GOOGLETRANSLATE(B11,""en"",""el"")"),"Στοά")</f>
        <v>Στοά</v>
      </c>
      <c r="G11" s="71" t="str">
        <f>IFERROR(__xludf.DUMMYFUNCTION("GOOGLETRANSLATE(B11,""en"",""es"")"),"Galería")</f>
        <v>Galería</v>
      </c>
      <c r="H11" s="71" t="str">
        <f>IFERROR(__xludf.DUMMYFUNCTION("GOOGLETRANSLATE(B11,""en"",""et"")"),"Galerii")</f>
        <v>Galerii</v>
      </c>
      <c r="I11" s="71" t="str">
        <f>IFERROR(__xludf.DUMMYFUNCTION("GOOGLETRANSLATE(B11,""en"",""fi"")"),"Galleria")</f>
        <v>Galleria</v>
      </c>
      <c r="J11" s="71" t="str">
        <f>IFERROR(__xludf.DUMMYFUNCTION("GOOGLETRANSLATE(B11,""en"",""fr"")"),"Galerie")</f>
        <v>Galerie</v>
      </c>
      <c r="K11" s="71" t="str">
        <f>IFERROR(__xludf.DUMMYFUNCTION("GOOGLETRANSLATE(B11,""en"",""hi"")"),"गैलरी")</f>
        <v>गैलरी</v>
      </c>
      <c r="L11" s="71" t="str">
        <f>IFERROR(__xludf.DUMMYFUNCTION("GOOGLETRANSLATE(B11,""en"",""id"")"),"Galeri")</f>
        <v>Galeri</v>
      </c>
      <c r="M11" s="71" t="str">
        <f>IFERROR(__xludf.DUMMYFUNCTION("GOOGLETRANSLATE(B11,""en"",""it"")"),"Galleria")</f>
        <v>Galleria</v>
      </c>
      <c r="N11" s="71" t="str">
        <f>IFERROR(__xludf.DUMMYFUNCTION("GOOGLETRANSLATE(B11,""en"",""ja"")"),"ギャラリー")</f>
        <v>ギャラリー</v>
      </c>
      <c r="O11" s="71" t="str">
        <f>IFERROR(__xludf.DUMMYFUNCTION("GOOGLETRANSLATE(B11,""en"",""km"")"),"វិចិត្រសាល")</f>
        <v>វិចិត្រសាល</v>
      </c>
      <c r="P11" s="71" t="str">
        <f>IFERROR(__xludf.DUMMYFUNCTION("GOOGLETRANSLATE(B11,""en"",""kn"")"),"ಗ್ಯಾಲರಿ")</f>
        <v>ಗ್ಯಾಲರಿ</v>
      </c>
      <c r="Q11" s="71" t="str">
        <f>IFERROR(__xludf.DUMMYFUNCTION("GOOGLETRANSLATE(B11,""en"",""ko"")"),"갱도")</f>
        <v>갱도</v>
      </c>
      <c r="R11" s="71" t="str">
        <f>IFERROR(__xludf.DUMMYFUNCTION("GOOGLETRANSLATE(B11,""en"",""lo"")"),"ຄັງຮູບ")</f>
        <v>ຄັງຮູບ</v>
      </c>
      <c r="S11" s="71" t="str">
        <f>IFERROR(__xludf.DUMMYFUNCTION("GOOGLETRANSLATE(B11,""en"",""lv"")"),"Galerija")</f>
        <v>Galerija</v>
      </c>
      <c r="T11" s="71" t="str">
        <f>IFERROR(__xludf.DUMMYFUNCTION("GOOGLETRANSLATE(B11,""en"",""ms"")"),"Galeri")</f>
        <v>Galeri</v>
      </c>
      <c r="U11" s="71" t="str">
        <f>IFERROR(__xludf.DUMMYFUNCTION("GOOGLETRANSLATE(B11,""en"",""nl"")"),"Galerij")</f>
        <v>Galerij</v>
      </c>
      <c r="V11" s="71" t="str">
        <f>IFERROR(__xludf.DUMMYFUNCTION("GOOGLETRANSLATE(B11,""en"",""pl"")"),"Galeria")</f>
        <v>Galeria</v>
      </c>
      <c r="W11" s="71" t="str">
        <f>IFERROR(__xludf.DUMMYFUNCTION("GOOGLETRANSLATE(B11,""en"",""pt-PT"")"),"Galeria")</f>
        <v>Galeria</v>
      </c>
      <c r="X11" s="71" t="str">
        <f>IFERROR(__xludf.DUMMYFUNCTION("GOOGLETRANSLATE(B11,""en"",""ru"")"),"Галерея")</f>
        <v>Галерея</v>
      </c>
      <c r="Y11" s="71" t="str">
        <f>IFERROR(__xludf.DUMMYFUNCTION("GOOGLETRANSLATE(B11,""en"",""th"")"),"แกลเลอรี่")</f>
        <v>แกลเลอรี่</v>
      </c>
      <c r="Z11" s="71" t="str">
        <f>IFERROR(__xludf.DUMMYFUNCTION("GOOGLETRANSLATE(B11,""en"",""tr"")"),"Galeri")</f>
        <v>Galeri</v>
      </c>
      <c r="AA11" s="71" t="str">
        <f>IFERROR(__xludf.DUMMYFUNCTION("GOOGLETRANSLATE(B11,""en"",""uk"")"),"Галерея")</f>
        <v>Галерея</v>
      </c>
      <c r="AB11" s="71" t="str">
        <f>IFERROR(__xludf.DUMMYFUNCTION("GOOGLETRANSLATE(B11,""en"",""zh-CN"")"),"画廊")</f>
        <v>画廊</v>
      </c>
      <c r="AC11" s="71" t="str">
        <f>IFERROR(__xludf.DUMMYFUNCTION("GOOGLETRANSLATE(B11,""en"",""vi"")"),"Phòng trưng bày")</f>
        <v>Phòng trưng bày</v>
      </c>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row>
    <row r="12">
      <c r="A12" s="73" t="s">
        <v>11576</v>
      </c>
      <c r="B12" s="73" t="s">
        <v>11577</v>
      </c>
      <c r="C12" s="71" t="str">
        <f>IFERROR(__xludf.DUMMYFUNCTION("GOOGLETRANSLATE(B12,""en"",""ar"")"),"واضح")</f>
        <v>واضح</v>
      </c>
      <c r="D12" s="71" t="str">
        <f>IFERROR(__xludf.DUMMYFUNCTION("GOOGLETRANSLATE(B12,""en"",""cs"")"),"Jasný")</f>
        <v>Jasný</v>
      </c>
      <c r="E12" s="71" t="str">
        <f>IFERROR(__xludf.DUMMYFUNCTION("GOOGLETRANSLATE(B12,""en"",""de"")"),"Klar")</f>
        <v>Klar</v>
      </c>
      <c r="F12" s="71" t="str">
        <f>IFERROR(__xludf.DUMMYFUNCTION("GOOGLETRANSLATE(B12,""en"",""el"")"),"Σαφής")</f>
        <v>Σαφής</v>
      </c>
      <c r="G12" s="71" t="str">
        <f>IFERROR(__xludf.DUMMYFUNCTION("GOOGLETRANSLATE(B12,""en"",""es"")"),"Claro")</f>
        <v>Claro</v>
      </c>
      <c r="H12" s="71" t="str">
        <f>IFERROR(__xludf.DUMMYFUNCTION("GOOGLETRANSLATE(B12,""en"",""et"")"),"Selge")</f>
        <v>Selge</v>
      </c>
      <c r="I12" s="71" t="str">
        <f>IFERROR(__xludf.DUMMYFUNCTION("GOOGLETRANSLATE(B12,""en"",""fi"")"),"Selkeä")</f>
        <v>Selkeä</v>
      </c>
      <c r="J12" s="71" t="str">
        <f>IFERROR(__xludf.DUMMYFUNCTION("GOOGLETRANSLATE(B12,""en"",""fr"")"),"Clair")</f>
        <v>Clair</v>
      </c>
      <c r="K12" s="71" t="str">
        <f>IFERROR(__xludf.DUMMYFUNCTION("GOOGLETRANSLATE(B12,""en"",""hi"")"),"स्पष्ट")</f>
        <v>स्पष्ट</v>
      </c>
      <c r="L12" s="71" t="str">
        <f>IFERROR(__xludf.DUMMYFUNCTION("GOOGLETRANSLATE(B12,""en"",""id"")"),"Jernih")</f>
        <v>Jernih</v>
      </c>
      <c r="M12" s="71" t="str">
        <f>IFERROR(__xludf.DUMMYFUNCTION("GOOGLETRANSLATE(B12,""en"",""it"")"),"Chiaro")</f>
        <v>Chiaro</v>
      </c>
      <c r="N12" s="71" t="str">
        <f>IFERROR(__xludf.DUMMYFUNCTION("GOOGLETRANSLATE(B12,""en"",""ja"")"),"クリア")</f>
        <v>クリア</v>
      </c>
      <c r="O12" s="71" t="str">
        <f>IFERROR(__xludf.DUMMYFUNCTION("GOOGLETRANSLATE(B12,""en"",""km"")"),"ច្បាស់")</f>
        <v>ច្បាស់</v>
      </c>
      <c r="P12" s="71" t="str">
        <f>IFERROR(__xludf.DUMMYFUNCTION("GOOGLETRANSLATE(B12,""en"",""kn"")"),"ತೆರವುಗೊಳಿಸಿ")</f>
        <v>ತೆರವುಗೊಳಿಸಿ</v>
      </c>
      <c r="Q12" s="71" t="str">
        <f>IFERROR(__xludf.DUMMYFUNCTION("GOOGLETRANSLATE(B12,""en"",""ko"")"),"분명한")</f>
        <v>분명한</v>
      </c>
      <c r="R12" s="71" t="str">
        <f>IFERROR(__xludf.DUMMYFUNCTION("GOOGLETRANSLATE(B12,""en"",""lo"")"),"ຈະແຈ້ງ")</f>
        <v>ຈະແຈ້ງ</v>
      </c>
      <c r="S12" s="71" t="str">
        <f>IFERROR(__xludf.DUMMYFUNCTION("GOOGLETRANSLATE(B12,""en"",""lv"")"),"Skaidrs")</f>
        <v>Skaidrs</v>
      </c>
      <c r="T12" s="71" t="str">
        <f>IFERROR(__xludf.DUMMYFUNCTION("GOOGLETRANSLATE(B12,""en"",""ms"")"),"Jelas")</f>
        <v>Jelas</v>
      </c>
      <c r="U12" s="71" t="str">
        <f>IFERROR(__xludf.DUMMYFUNCTION("GOOGLETRANSLATE(B12,""en"",""nl"")"),"Duidelijk")</f>
        <v>Duidelijk</v>
      </c>
      <c r="V12" s="71" t="str">
        <f>IFERROR(__xludf.DUMMYFUNCTION("GOOGLETRANSLATE(B12,""en"",""pl"")"),"Jasne")</f>
        <v>Jasne</v>
      </c>
      <c r="W12" s="71" t="str">
        <f>IFERROR(__xludf.DUMMYFUNCTION("GOOGLETRANSLATE(B12,""en"",""pt-PT"")"),"Claro")</f>
        <v>Claro</v>
      </c>
      <c r="X12" s="71" t="str">
        <f>IFERROR(__xludf.DUMMYFUNCTION("GOOGLETRANSLATE(B12,""en"",""ru"")"),"Прозрачный")</f>
        <v>Прозрачный</v>
      </c>
      <c r="Y12" s="71" t="str">
        <f>IFERROR(__xludf.DUMMYFUNCTION("GOOGLETRANSLATE(B12,""en"",""th"")"),"ชัดเจน")</f>
        <v>ชัดเจน</v>
      </c>
      <c r="Z12" s="71" t="str">
        <f>IFERROR(__xludf.DUMMYFUNCTION("GOOGLETRANSLATE(B12,""en"",""tr"")"),"Temizlemek")</f>
        <v>Temizlemek</v>
      </c>
      <c r="AA12" s="71" t="str">
        <f>IFERROR(__xludf.DUMMYFUNCTION("GOOGLETRANSLATE(B12,""en"",""uk"")"),"ясно")</f>
        <v>ясно</v>
      </c>
      <c r="AB12" s="71" t="str">
        <f>IFERROR(__xludf.DUMMYFUNCTION("GOOGLETRANSLATE(B12,""en"",""zh-CN"")"),"清除")</f>
        <v>清除</v>
      </c>
      <c r="AC12" s="71" t="str">
        <f>IFERROR(__xludf.DUMMYFUNCTION("GOOGLETRANSLATE(B12,""en"",""vi"")"),"Thông thoáng")</f>
        <v>Thông thoáng</v>
      </c>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row>
    <row r="13">
      <c r="A13" s="73" t="s">
        <v>11578</v>
      </c>
      <c r="B13" s="73" t="s">
        <v>11579</v>
      </c>
      <c r="C13" s="71" t="str">
        <f>IFERROR(__xludf.DUMMYFUNCTION("GOOGLETRANSLATE(B13,""en"",""ar"")"),"الرجاء إدخال النص")</f>
        <v>الرجاء إدخال النص</v>
      </c>
      <c r="D13" s="71" t="str">
        <f>IFERROR(__xludf.DUMMYFUNCTION("GOOGLETRANSLATE(B13,""en"",""cs"")"),"Zadejte text")</f>
        <v>Zadejte text</v>
      </c>
      <c r="E13" s="71" t="str">
        <f>IFERROR(__xludf.DUMMYFUNCTION("GOOGLETRANSLATE(B13,""en"",""de"")"),"Bitte geben Sie Text ein")</f>
        <v>Bitte geben Sie Text ein</v>
      </c>
      <c r="F13" s="71" t="str">
        <f>IFERROR(__xludf.DUMMYFUNCTION("GOOGLETRANSLATE(B13,""en"",""el"")"),"Εισαγάγετε κείμενο")</f>
        <v>Εισαγάγετε κείμενο</v>
      </c>
      <c r="G13" s="71" t="str">
        <f>IFERROR(__xludf.DUMMYFUNCTION("GOOGLETRANSLATE(B13,""en"",""es"")"),"Por favor ingresa texto")</f>
        <v>Por favor ingresa texto</v>
      </c>
      <c r="H13" s="71" t="str">
        <f>IFERROR(__xludf.DUMMYFUNCTION("GOOGLETRANSLATE(B13,""en"",""et"")"),"Sisestage tekst")</f>
        <v>Sisestage tekst</v>
      </c>
      <c r="I13" s="71" t="str">
        <f>IFERROR(__xludf.DUMMYFUNCTION("GOOGLETRANSLATE(B13,""en"",""fi"")"),"Kirjoita teksti")</f>
        <v>Kirjoita teksti</v>
      </c>
      <c r="J13" s="71" t="str">
        <f>IFERROR(__xludf.DUMMYFUNCTION("GOOGLETRANSLATE(B13,""en"",""fr"")"),"Veuillez saisir du texte")</f>
        <v>Veuillez saisir du texte</v>
      </c>
      <c r="K13" s="71" t="str">
        <f>IFERROR(__xludf.DUMMYFUNCTION("GOOGLETRANSLATE(B13,""en"",""hi"")"),"कृपया पाठ दर्ज करें")</f>
        <v>कृपया पाठ दर्ज करें</v>
      </c>
      <c r="L13" s="71" t="str">
        <f>IFERROR(__xludf.DUMMYFUNCTION("GOOGLETRANSLATE(B13,""en"",""id"")"),"Silakan masukkan teks")</f>
        <v>Silakan masukkan teks</v>
      </c>
      <c r="M13" s="71" t="str">
        <f>IFERROR(__xludf.DUMMYFUNCTION("GOOGLETRANSLATE(B13,""en"",""it"")"),"Inserisci il testo")</f>
        <v>Inserisci il testo</v>
      </c>
      <c r="N13" s="71" t="str">
        <f>IFERROR(__xludf.DUMMYFUNCTION("GOOGLETRANSLATE(B13,""en"",""ja"")"),"テキストを入力してください")</f>
        <v>テキストを入力してください</v>
      </c>
      <c r="O13" s="71" t="str">
        <f>IFERROR(__xludf.DUMMYFUNCTION("GOOGLETRANSLATE(B13,""en"",""km"")"),"សូមបញ្ចូលអត្ថបទ")</f>
        <v>សូមបញ្ចូលអត្ថបទ</v>
      </c>
      <c r="P13" s="71" t="str">
        <f>IFERROR(__xludf.DUMMYFUNCTION("GOOGLETRANSLATE(B13,""en"",""kn"")"),"ದಯವಿಟ್ಟು ಪಠ್ಯವನ್ನು ನಮೂದಿಸಿ")</f>
        <v>ದಯವಿಟ್ಟು ಪಠ್ಯವನ್ನು ನಮೂದಿಸಿ</v>
      </c>
      <c r="Q13" s="71" t="str">
        <f>IFERROR(__xludf.DUMMYFUNCTION("GOOGLETRANSLATE(B13,""en"",""ko"")"),"텍스트를 입력해주세요")</f>
        <v>텍스트를 입력해주세요</v>
      </c>
      <c r="R13" s="71" t="str">
        <f>IFERROR(__xludf.DUMMYFUNCTION("GOOGLETRANSLATE(B13,""en"",""lo"")"),"ກະລຸນາໃສ່ຂໍ້ຄວາມ")</f>
        <v>ກະລຸນາໃສ່ຂໍ້ຄວາມ</v>
      </c>
      <c r="S13" s="71" t="str">
        <f>IFERROR(__xludf.DUMMYFUNCTION("GOOGLETRANSLATE(B13,""en"",""lv"")"),"Lūdzu, ievadiet tekstu")</f>
        <v>Lūdzu, ievadiet tekstu</v>
      </c>
      <c r="T13" s="71" t="str">
        <f>IFERROR(__xludf.DUMMYFUNCTION("GOOGLETRANSLATE(B13,""en"",""ms"")"),"Sila masukkan teks")</f>
        <v>Sila masukkan teks</v>
      </c>
      <c r="U13" s="71" t="str">
        <f>IFERROR(__xludf.DUMMYFUNCTION("GOOGLETRANSLATE(B13,""en"",""nl"")"),"Voer tekst in")</f>
        <v>Voer tekst in</v>
      </c>
      <c r="V13" s="71" t="str">
        <f>IFERROR(__xludf.DUMMYFUNCTION("GOOGLETRANSLATE(B13,""en"",""pl"")"),"Proszę wpisać tekst")</f>
        <v>Proszę wpisać tekst</v>
      </c>
      <c r="W13" s="71" t="str">
        <f>IFERROR(__xludf.DUMMYFUNCTION("GOOGLETRANSLATE(B13,""en"",""pt-PT"")"),"Por favor insira o texto")</f>
        <v>Por favor insira o texto</v>
      </c>
      <c r="X13" s="71" t="str">
        <f>IFERROR(__xludf.DUMMYFUNCTION("GOOGLETRANSLATE(B13,""en"",""ru"")"),"Пожалуйста, введите текст")</f>
        <v>Пожалуйста, введите текст</v>
      </c>
      <c r="Y13" s="71" t="str">
        <f>IFERROR(__xludf.DUMMYFUNCTION("GOOGLETRANSLATE(B13,""en"",""th"")"),"กรุณากรอกข้อความ")</f>
        <v>กรุณากรอกข้อความ</v>
      </c>
      <c r="Z13" s="71" t="str">
        <f>IFERROR(__xludf.DUMMYFUNCTION("GOOGLETRANSLATE(B13,""en"",""tr"")"),"Lütfen metni girin")</f>
        <v>Lütfen metni girin</v>
      </c>
      <c r="AA13" s="71" t="str">
        <f>IFERROR(__xludf.DUMMYFUNCTION("GOOGLETRANSLATE(B13,""en"",""uk"")"),"Будь ласка, введіть текст")</f>
        <v>Будь ласка, введіть текст</v>
      </c>
      <c r="AB13" s="71" t="str">
        <f>IFERROR(__xludf.DUMMYFUNCTION("GOOGLETRANSLATE(B13,""en"",""zh-CN"")"),"请输入文字")</f>
        <v>请输入文字</v>
      </c>
      <c r="AC13" s="71" t="str">
        <f>IFERROR(__xludf.DUMMYFUNCTION("GOOGLETRANSLATE(B13,""en"",""vi"")"),"Vui lòng nhập văn bản")</f>
        <v>Vui lòng nhập văn bản</v>
      </c>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row>
    <row r="14">
      <c r="A14" s="73" t="s">
        <v>11580</v>
      </c>
      <c r="B14" s="73" t="s">
        <v>11581</v>
      </c>
      <c r="C14" s="71" t="str">
        <f>IFERROR(__xludf.DUMMYFUNCTION("GOOGLETRANSLATE(B14,""en"",""ar"")"),"الخط")</f>
        <v>الخط</v>
      </c>
      <c r="D14" s="71" t="str">
        <f>IFERROR(__xludf.DUMMYFUNCTION("GOOGLETRANSLATE(B14,""en"",""cs"")"),"Písmo")</f>
        <v>Písmo</v>
      </c>
      <c r="E14" s="71" t="str">
        <f>IFERROR(__xludf.DUMMYFUNCTION("GOOGLETRANSLATE(B14,""en"",""de"")"),"Schriftart")</f>
        <v>Schriftart</v>
      </c>
      <c r="F14" s="71" t="str">
        <f>IFERROR(__xludf.DUMMYFUNCTION("GOOGLETRANSLATE(B14,""en"",""el"")"),"Γραμματοσειρά")</f>
        <v>Γραμματοσειρά</v>
      </c>
      <c r="G14" s="71" t="str">
        <f>IFERROR(__xludf.DUMMYFUNCTION("GOOGLETRANSLATE(B14,""en"",""es"")"),"Fuente")</f>
        <v>Fuente</v>
      </c>
      <c r="H14" s="71" t="str">
        <f>IFERROR(__xludf.DUMMYFUNCTION("GOOGLETRANSLATE(B14,""en"",""et"")"),"Font")</f>
        <v>Font</v>
      </c>
      <c r="I14" s="71" t="str">
        <f>IFERROR(__xludf.DUMMYFUNCTION("GOOGLETRANSLATE(B14,""en"",""fi"")"),"Fontti")</f>
        <v>Fontti</v>
      </c>
      <c r="J14" s="71" t="str">
        <f>IFERROR(__xludf.DUMMYFUNCTION("GOOGLETRANSLATE(B14,""en"",""fr"")"),"Fonte")</f>
        <v>Fonte</v>
      </c>
      <c r="K14" s="71" t="str">
        <f>IFERROR(__xludf.DUMMYFUNCTION("GOOGLETRANSLATE(B14,""en"",""hi"")"),"फ़ॉन्ट")</f>
        <v>फ़ॉन्ट</v>
      </c>
      <c r="L14" s="71" t="str">
        <f>IFERROR(__xludf.DUMMYFUNCTION("GOOGLETRANSLATE(B14,""en"",""id"")"),"huruf")</f>
        <v>huruf</v>
      </c>
      <c r="M14" s="71" t="str">
        <f>IFERROR(__xludf.DUMMYFUNCTION("GOOGLETRANSLATE(B14,""en"",""it"")"),"Font")</f>
        <v>Font</v>
      </c>
      <c r="N14" s="71" t="str">
        <f>IFERROR(__xludf.DUMMYFUNCTION("GOOGLETRANSLATE(B14,""en"",""ja"")"),"フォント")</f>
        <v>フォント</v>
      </c>
      <c r="O14" s="71" t="str">
        <f>IFERROR(__xludf.DUMMYFUNCTION("GOOGLETRANSLATE(B14,""en"",""km"")"),"ពុម្ពអក្សរ")</f>
        <v>ពុម្ពអក្សរ</v>
      </c>
      <c r="P14" s="71" t="str">
        <f>IFERROR(__xludf.DUMMYFUNCTION("GOOGLETRANSLATE(B14,""en"",""kn"")"),"ಫಾಂಟ್")</f>
        <v>ಫಾಂಟ್</v>
      </c>
      <c r="Q14" s="71" t="str">
        <f>IFERROR(__xludf.DUMMYFUNCTION("GOOGLETRANSLATE(B14,""en"",""ko"")"),"세례반")</f>
        <v>세례반</v>
      </c>
      <c r="R14" s="71" t="str">
        <f>IFERROR(__xludf.DUMMYFUNCTION("GOOGLETRANSLATE(B14,""en"",""lo"")"),"ຟອນ")</f>
        <v>ຟອນ</v>
      </c>
      <c r="S14" s="71" t="str">
        <f>IFERROR(__xludf.DUMMYFUNCTION("GOOGLETRANSLATE(B14,""en"",""lv"")"),"Fonts")</f>
        <v>Fonts</v>
      </c>
      <c r="T14" s="71" t="str">
        <f>IFERROR(__xludf.DUMMYFUNCTION("GOOGLETRANSLATE(B14,""en"",""ms"")"),"fon")</f>
        <v>fon</v>
      </c>
      <c r="U14" s="71" t="str">
        <f>IFERROR(__xludf.DUMMYFUNCTION("GOOGLETRANSLATE(B14,""en"",""nl"")"),"Lettertype")</f>
        <v>Lettertype</v>
      </c>
      <c r="V14" s="71" t="str">
        <f>IFERROR(__xludf.DUMMYFUNCTION("GOOGLETRANSLATE(B14,""en"",""pl"")"),"Chrzcielnica")</f>
        <v>Chrzcielnica</v>
      </c>
      <c r="W14" s="71" t="str">
        <f>IFERROR(__xludf.DUMMYFUNCTION("GOOGLETRANSLATE(B14,""en"",""pt-PT"")"),"Fonte")</f>
        <v>Fonte</v>
      </c>
      <c r="X14" s="71" t="str">
        <f>IFERROR(__xludf.DUMMYFUNCTION("GOOGLETRANSLATE(B14,""en"",""ru"")"),"Шрифт")</f>
        <v>Шрифт</v>
      </c>
      <c r="Y14" s="71" t="str">
        <f>IFERROR(__xludf.DUMMYFUNCTION("GOOGLETRANSLATE(B14,""en"",""th"")"),"แบบอักษร")</f>
        <v>แบบอักษร</v>
      </c>
      <c r="Z14" s="71" t="str">
        <f>IFERROR(__xludf.DUMMYFUNCTION("GOOGLETRANSLATE(B14,""en"",""tr"")"),"Yazı tipi")</f>
        <v>Yazı tipi</v>
      </c>
      <c r="AA14" s="71" t="str">
        <f>IFERROR(__xludf.DUMMYFUNCTION("GOOGLETRANSLATE(B14,""en"",""uk"")"),"Шрифт")</f>
        <v>Шрифт</v>
      </c>
      <c r="AB14" s="71" t="str">
        <f>IFERROR(__xludf.DUMMYFUNCTION("GOOGLETRANSLATE(B14,""en"",""zh-CN"")"),"字体")</f>
        <v>字体</v>
      </c>
      <c r="AC14" s="71" t="str">
        <f>IFERROR(__xludf.DUMMYFUNCTION("GOOGLETRANSLATE(B14,""en"",""vi"")"),"Phông chữ")</f>
        <v>Phông chữ</v>
      </c>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row>
    <row r="15">
      <c r="A15" s="73" t="s">
        <v>11582</v>
      </c>
      <c r="B15" s="73" t="s">
        <v>11583</v>
      </c>
      <c r="C15" s="71" t="str">
        <f>IFERROR(__xludf.DUMMYFUNCTION("GOOGLETRANSLATE(B15,""en"",""ar"")"),"حجم النص")</f>
        <v>حجم النص</v>
      </c>
      <c r="D15" s="71" t="str">
        <f>IFERROR(__xludf.DUMMYFUNCTION("GOOGLETRANSLATE(B15,""en"",""cs"")"),"Velikost textu")</f>
        <v>Velikost textu</v>
      </c>
      <c r="E15" s="71" t="str">
        <f>IFERROR(__xludf.DUMMYFUNCTION("GOOGLETRANSLATE(B15,""en"",""de"")"),"Textgröße")</f>
        <v>Textgröße</v>
      </c>
      <c r="F15" s="71" t="str">
        <f>IFERROR(__xludf.DUMMYFUNCTION("GOOGLETRANSLATE(B15,""en"",""el"")"),"Μέγεθος κειμένου")</f>
        <v>Μέγεθος κειμένου</v>
      </c>
      <c r="G15" s="71" t="str">
        <f>IFERROR(__xludf.DUMMYFUNCTION("GOOGLETRANSLATE(B15,""en"",""es"")"),"Tamaño del texto")</f>
        <v>Tamaño del texto</v>
      </c>
      <c r="H15" s="71" t="str">
        <f>IFERROR(__xludf.DUMMYFUNCTION("GOOGLETRANSLATE(B15,""en"",""et"")"),"Teksti suurus")</f>
        <v>Teksti suurus</v>
      </c>
      <c r="I15" s="71" t="str">
        <f>IFERROR(__xludf.DUMMYFUNCTION("GOOGLETRANSLATE(B15,""en"",""fi"")"),"Tekstin koko")</f>
        <v>Tekstin koko</v>
      </c>
      <c r="J15" s="71" t="str">
        <f>IFERROR(__xludf.DUMMYFUNCTION("GOOGLETRANSLATE(B15,""en"",""fr"")"),"Taille du texte")</f>
        <v>Taille du texte</v>
      </c>
      <c r="K15" s="71" t="str">
        <f>IFERROR(__xludf.DUMMYFUNCTION("GOOGLETRANSLATE(B15,""en"",""hi"")"),"टेक्स्ट का साइज़")</f>
        <v>टेक्स्ट का साइज़</v>
      </c>
      <c r="L15" s="71" t="str">
        <f>IFERROR(__xludf.DUMMYFUNCTION("GOOGLETRANSLATE(B15,""en"",""id"")"),"Ukuran Teks")</f>
        <v>Ukuran Teks</v>
      </c>
      <c r="M15" s="71" t="str">
        <f>IFERROR(__xludf.DUMMYFUNCTION("GOOGLETRANSLATE(B15,""en"",""it"")"),"Dimensione del testo")</f>
        <v>Dimensione del testo</v>
      </c>
      <c r="N15" s="71" t="str">
        <f>IFERROR(__xludf.DUMMYFUNCTION("GOOGLETRANSLATE(B15,""en"",""ja"")"),"文字サイズ")</f>
        <v>文字サイズ</v>
      </c>
      <c r="O15" s="71" t="str">
        <f>IFERROR(__xludf.DUMMYFUNCTION("GOOGLETRANSLATE(B15,""en"",""km"")"),"ទំហំអត្ថបទ")</f>
        <v>ទំហំអត្ថបទ</v>
      </c>
      <c r="P15" s="71" t="str">
        <f>IFERROR(__xludf.DUMMYFUNCTION("GOOGLETRANSLATE(B15,""en"",""kn"")"),"ಪಠ್ಯದ ಗಾತ್ರ")</f>
        <v>ಪಠ್ಯದ ಗಾತ್ರ</v>
      </c>
      <c r="Q15" s="71" t="str">
        <f>IFERROR(__xludf.DUMMYFUNCTION("GOOGLETRANSLATE(B15,""en"",""ko"")"),"텍스트 크기")</f>
        <v>텍스트 크기</v>
      </c>
      <c r="R15" s="71" t="str">
        <f>IFERROR(__xludf.DUMMYFUNCTION("GOOGLETRANSLATE(B15,""en"",""lo"")"),"ຂະໜາດຂໍ້ຄວາມ")</f>
        <v>ຂະໜາດຂໍ້ຄວາມ</v>
      </c>
      <c r="S15" s="71" t="str">
        <f>IFERROR(__xludf.DUMMYFUNCTION("GOOGLETRANSLATE(B15,""en"",""lv"")"),"Teksta lielums")</f>
        <v>Teksta lielums</v>
      </c>
      <c r="T15" s="71" t="str">
        <f>IFERROR(__xludf.DUMMYFUNCTION("GOOGLETRANSLATE(B15,""en"",""ms"")"),"Saiz Teks")</f>
        <v>Saiz Teks</v>
      </c>
      <c r="U15" s="71" t="str">
        <f>IFERROR(__xludf.DUMMYFUNCTION("GOOGLETRANSLATE(B15,""en"",""nl"")"),"Tekstgrootte")</f>
        <v>Tekstgrootte</v>
      </c>
      <c r="V15" s="71" t="str">
        <f>IFERROR(__xludf.DUMMYFUNCTION("GOOGLETRANSLATE(B15,""en"",""pl"")"),"Rozmiar tekstu")</f>
        <v>Rozmiar tekstu</v>
      </c>
      <c r="W15" s="71" t="str">
        <f>IFERROR(__xludf.DUMMYFUNCTION("GOOGLETRANSLATE(B15,""en"",""pt-PT"")"),"Tamanho do texto")</f>
        <v>Tamanho do texto</v>
      </c>
      <c r="X15" s="71" t="str">
        <f>IFERROR(__xludf.DUMMYFUNCTION("GOOGLETRANSLATE(B15,""en"",""ru"")"),"Размер текста")</f>
        <v>Размер текста</v>
      </c>
      <c r="Y15" s="71" t="str">
        <f>IFERROR(__xludf.DUMMYFUNCTION("GOOGLETRANSLATE(B15,""en"",""th"")"),"ขนาดข้อความ")</f>
        <v>ขนาดข้อความ</v>
      </c>
      <c r="Z15" s="71" t="str">
        <f>IFERROR(__xludf.DUMMYFUNCTION("GOOGLETRANSLATE(B15,""en"",""tr"")"),"Metin Boyutu")</f>
        <v>Metin Boyutu</v>
      </c>
      <c r="AA15" s="71" t="str">
        <f>IFERROR(__xludf.DUMMYFUNCTION("GOOGLETRANSLATE(B15,""en"",""uk"")"),"Розмір тексту")</f>
        <v>Розмір тексту</v>
      </c>
      <c r="AB15" s="71" t="str">
        <f>IFERROR(__xludf.DUMMYFUNCTION("GOOGLETRANSLATE(B15,""en"",""zh-CN"")"),"文字大小")</f>
        <v>文字大小</v>
      </c>
      <c r="AC15" s="71" t="str">
        <f>IFERROR(__xludf.DUMMYFUNCTION("GOOGLETRANSLATE(B15,""en"",""vi"")"),"Kích thước văn bản")</f>
        <v>Kích thước văn bản</v>
      </c>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row>
    <row r="16">
      <c r="A16" s="73" t="s">
        <v>11584</v>
      </c>
      <c r="B16" s="73" t="s">
        <v>11585</v>
      </c>
      <c r="C16" s="71" t="str">
        <f>IFERROR(__xludf.DUMMYFUNCTION("GOOGLETRANSLATE(B16,""en"",""ar"")"),"إطار الصورة")</f>
        <v>إطار الصورة</v>
      </c>
      <c r="D16" s="71" t="str">
        <f>IFERROR(__xludf.DUMMYFUNCTION("GOOGLETRANSLATE(B16,""en"",""cs"")"),"Fotorámeček")</f>
        <v>Fotorámeček</v>
      </c>
      <c r="E16" s="71" t="str">
        <f>IFERROR(__xludf.DUMMYFUNCTION("GOOGLETRANSLATE(B16,""en"",""de"")"),"Fotorahmen")</f>
        <v>Fotorahmen</v>
      </c>
      <c r="F16" s="71" t="str">
        <f>IFERROR(__xludf.DUMMYFUNCTION("GOOGLETRANSLATE(B16,""en"",""el"")"),"Κορνίζα φωτογραφιών")</f>
        <v>Κορνίζα φωτογραφιών</v>
      </c>
      <c r="G16" s="71" t="str">
        <f>IFERROR(__xludf.DUMMYFUNCTION("GOOGLETRANSLATE(B16,""en"",""es"")"),"marco de fotos")</f>
        <v>marco de fotos</v>
      </c>
      <c r="H16" s="71" t="str">
        <f>IFERROR(__xludf.DUMMYFUNCTION("GOOGLETRANSLATE(B16,""en"",""et"")"),"Fotoraam")</f>
        <v>Fotoraam</v>
      </c>
      <c r="I16" s="71" t="str">
        <f>IFERROR(__xludf.DUMMYFUNCTION("GOOGLETRANSLATE(B16,""en"",""fi"")"),"Valokuvakehys")</f>
        <v>Valokuvakehys</v>
      </c>
      <c r="J16" s="71" t="str">
        <f>IFERROR(__xludf.DUMMYFUNCTION("GOOGLETRANSLATE(B16,""en"",""fr"")"),"Cadre photo")</f>
        <v>Cadre photo</v>
      </c>
      <c r="K16" s="71" t="str">
        <f>IFERROR(__xludf.DUMMYFUNCTION("GOOGLETRANSLATE(B16,""en"",""hi"")"),"फोटो फ्रेम")</f>
        <v>फोटो फ्रेम</v>
      </c>
      <c r="L16" s="71" t="str">
        <f>IFERROR(__xludf.DUMMYFUNCTION("GOOGLETRANSLATE(B16,""en"",""id"")"),"Bingkai foto")</f>
        <v>Bingkai foto</v>
      </c>
      <c r="M16" s="71" t="str">
        <f>IFERROR(__xludf.DUMMYFUNCTION("GOOGLETRANSLATE(B16,""en"",""it"")"),"Cornice per foto")</f>
        <v>Cornice per foto</v>
      </c>
      <c r="N16" s="71" t="str">
        <f>IFERROR(__xludf.DUMMYFUNCTION("GOOGLETRANSLATE(B16,""en"",""ja"")"),"フォトフレーム")</f>
        <v>フォトフレーム</v>
      </c>
      <c r="O16" s="71" t="str">
        <f>IFERROR(__xludf.DUMMYFUNCTION("GOOGLETRANSLATE(B16,""en"",""km"")"),"ស៊ុមរូបថត")</f>
        <v>ស៊ុមរូបថត</v>
      </c>
      <c r="P16" s="71" t="str">
        <f>IFERROR(__xludf.DUMMYFUNCTION("GOOGLETRANSLATE(B16,""en"",""kn"")"),"ಫೋಟೋ ಫ್ರೇಮ್")</f>
        <v>ಫೋಟೋ ಫ್ರೇಮ್</v>
      </c>
      <c r="Q16" s="71" t="str">
        <f>IFERROR(__xludf.DUMMYFUNCTION("GOOGLETRANSLATE(B16,""en"",""ko"")"),"사진 프레임")</f>
        <v>사진 프레임</v>
      </c>
      <c r="R16" s="71" t="str">
        <f>IFERROR(__xludf.DUMMYFUNCTION("GOOGLETRANSLATE(B16,""en"",""lo"")"),"ກອບຮູບ")</f>
        <v>ກອບຮູບ</v>
      </c>
      <c r="S16" s="71" t="str">
        <f>IFERROR(__xludf.DUMMYFUNCTION("GOOGLETRANSLATE(B16,""en"",""lv"")"),"Foto rāmis")</f>
        <v>Foto rāmis</v>
      </c>
      <c r="T16" s="71" t="str">
        <f>IFERROR(__xludf.DUMMYFUNCTION("GOOGLETRANSLATE(B16,""en"",""ms"")"),"Bingkai Foto")</f>
        <v>Bingkai Foto</v>
      </c>
      <c r="U16" s="71" t="str">
        <f>IFERROR(__xludf.DUMMYFUNCTION("GOOGLETRANSLATE(B16,""en"",""nl"")"),"Fotolijst")</f>
        <v>Fotolijst</v>
      </c>
      <c r="V16" s="71" t="str">
        <f>IFERROR(__xludf.DUMMYFUNCTION("GOOGLETRANSLATE(B16,""en"",""pl"")"),"Ramka na zdjęcia")</f>
        <v>Ramka na zdjęcia</v>
      </c>
      <c r="W16" s="71" t="str">
        <f>IFERROR(__xludf.DUMMYFUNCTION("GOOGLETRANSLATE(B16,""en"",""pt-PT"")"),"Moldura para fotos")</f>
        <v>Moldura para fotos</v>
      </c>
      <c r="X16" s="71" t="str">
        <f>IFERROR(__xludf.DUMMYFUNCTION("GOOGLETRANSLATE(B16,""en"",""ru"")"),"Фоторамка")</f>
        <v>Фоторамка</v>
      </c>
      <c r="Y16" s="71" t="str">
        <f>IFERROR(__xludf.DUMMYFUNCTION("GOOGLETRANSLATE(B16,""en"",""th"")"),"กรอบรูป")</f>
        <v>กรอบรูป</v>
      </c>
      <c r="Z16" s="71" t="str">
        <f>IFERROR(__xludf.DUMMYFUNCTION("GOOGLETRANSLATE(B16,""en"",""tr"")"),"Fotoğraf Çerçevesi")</f>
        <v>Fotoğraf Çerçevesi</v>
      </c>
      <c r="AA16" s="71" t="str">
        <f>IFERROR(__xludf.DUMMYFUNCTION("GOOGLETRANSLATE(B16,""en"",""uk"")"),"Фоторамка")</f>
        <v>Фоторамка</v>
      </c>
      <c r="AB16" s="71" t="str">
        <f>IFERROR(__xludf.DUMMYFUNCTION("GOOGLETRANSLATE(B16,""en"",""zh-CN"")"),"相框")</f>
        <v>相框</v>
      </c>
      <c r="AC16" s="71" t="str">
        <f>IFERROR(__xludf.DUMMYFUNCTION("GOOGLETRANSLATE(B16,""en"",""vi"")"),"Khung ảnh")</f>
        <v>Khung ảnh</v>
      </c>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row>
    <row r="17">
      <c r="A17" s="73" t="s">
        <v>11586</v>
      </c>
      <c r="B17" s="73" t="s">
        <v>11587</v>
      </c>
      <c r="C17" s="71" t="str">
        <f>IFERROR(__xludf.DUMMYFUNCTION("GOOGLETRANSLATE(B17,""en"",""ar"")"),"موقع النص")</f>
        <v>موقع النص</v>
      </c>
      <c r="D17" s="71" t="str">
        <f>IFERROR(__xludf.DUMMYFUNCTION("GOOGLETRANSLATE(B17,""en"",""cs"")"),"Umístění textu")</f>
        <v>Umístění textu</v>
      </c>
      <c r="E17" s="71" t="str">
        <f>IFERROR(__xludf.DUMMYFUNCTION("GOOGLETRANSLATE(B17,""en"",""de"")"),"Textposition")</f>
        <v>Textposition</v>
      </c>
      <c r="F17" s="71" t="str">
        <f>IFERROR(__xludf.DUMMYFUNCTION("GOOGLETRANSLATE(B17,""en"",""el"")"),"Τοποθεσία κειμένου")</f>
        <v>Τοποθεσία κειμένου</v>
      </c>
      <c r="G17" s="71" t="str">
        <f>IFERROR(__xludf.DUMMYFUNCTION("GOOGLETRANSLATE(B17,""en"",""es"")"),"Ubicación del texto")</f>
        <v>Ubicación del texto</v>
      </c>
      <c r="H17" s="71" t="str">
        <f>IFERROR(__xludf.DUMMYFUNCTION("GOOGLETRANSLATE(B17,""en"",""et"")"),"Teksti asukoht")</f>
        <v>Teksti asukoht</v>
      </c>
      <c r="I17" s="71" t="str">
        <f>IFERROR(__xludf.DUMMYFUNCTION("GOOGLETRANSLATE(B17,""en"",""fi"")"),"Tekstin sijainti")</f>
        <v>Tekstin sijainti</v>
      </c>
      <c r="J17" s="71" t="str">
        <f>IFERROR(__xludf.DUMMYFUNCTION("GOOGLETRANSLATE(B17,""en"",""fr"")"),"Emplacement du texte")</f>
        <v>Emplacement du texte</v>
      </c>
      <c r="K17" s="71" t="str">
        <f>IFERROR(__xludf.DUMMYFUNCTION("GOOGLETRANSLATE(B17,""en"",""hi"")"),"पाठ स्थान")</f>
        <v>पाठ स्थान</v>
      </c>
      <c r="L17" s="71" t="str">
        <f>IFERROR(__xludf.DUMMYFUNCTION("GOOGLETRANSLATE(B17,""en"",""id"")"),"Lokasi Teks")</f>
        <v>Lokasi Teks</v>
      </c>
      <c r="M17" s="71" t="str">
        <f>IFERROR(__xludf.DUMMYFUNCTION("GOOGLETRANSLATE(B17,""en"",""it"")"),"Posizione del testo")</f>
        <v>Posizione del testo</v>
      </c>
      <c r="N17" s="71" t="str">
        <f>IFERROR(__xludf.DUMMYFUNCTION("GOOGLETRANSLATE(B17,""en"",""ja"")"),"テキストの場所")</f>
        <v>テキストの場所</v>
      </c>
      <c r="O17" s="71" t="str">
        <f>IFERROR(__xludf.DUMMYFUNCTION("GOOGLETRANSLATE(B17,""en"",""km"")"),"ទីតាំងអត្ថបទ")</f>
        <v>ទីតាំងអត្ថបទ</v>
      </c>
      <c r="P17" s="71" t="str">
        <f>IFERROR(__xludf.DUMMYFUNCTION("GOOGLETRANSLATE(B17,""en"",""kn"")"),"ಪಠ್ಯ ಸ್ಥಳ")</f>
        <v>ಪಠ್ಯ ಸ್ಥಳ</v>
      </c>
      <c r="Q17" s="71" t="str">
        <f>IFERROR(__xludf.DUMMYFUNCTION("GOOGLETRANSLATE(B17,""en"",""ko"")"),"텍스트 위치")</f>
        <v>텍스트 위치</v>
      </c>
      <c r="R17" s="71" t="str">
        <f>IFERROR(__xludf.DUMMYFUNCTION("GOOGLETRANSLATE(B17,""en"",""lo"")"),"ຂໍ້ຄວາມສະຖານທີ່")</f>
        <v>ຂໍ້ຄວາມສະຖານທີ່</v>
      </c>
      <c r="S17" s="71" t="str">
        <f>IFERROR(__xludf.DUMMYFUNCTION("GOOGLETRANSLATE(B17,""en"",""lv"")"),"Teksta atrašanās vieta")</f>
        <v>Teksta atrašanās vieta</v>
      </c>
      <c r="T17" s="71" t="str">
        <f>IFERROR(__xludf.DUMMYFUNCTION("GOOGLETRANSLATE(B17,""en"",""ms"")"),"Lokasi Teks")</f>
        <v>Lokasi Teks</v>
      </c>
      <c r="U17" s="71" t="str">
        <f>IFERROR(__xludf.DUMMYFUNCTION("GOOGLETRANSLATE(B17,""en"",""nl"")"),"Tekstlocatie")</f>
        <v>Tekstlocatie</v>
      </c>
      <c r="V17" s="71" t="str">
        <f>IFERROR(__xludf.DUMMYFUNCTION("GOOGLETRANSLATE(B17,""en"",""pl"")"),"Lokalizacja tekstu")</f>
        <v>Lokalizacja tekstu</v>
      </c>
      <c r="W17" s="71" t="str">
        <f>IFERROR(__xludf.DUMMYFUNCTION("GOOGLETRANSLATE(B17,""en"",""pt-PT"")"),"Localização do texto")</f>
        <v>Localização do texto</v>
      </c>
      <c r="X17" s="71" t="str">
        <f>IFERROR(__xludf.DUMMYFUNCTION("GOOGLETRANSLATE(B17,""en"",""ru"")"),"Расположение текста")</f>
        <v>Расположение текста</v>
      </c>
      <c r="Y17" s="71" t="str">
        <f>IFERROR(__xludf.DUMMYFUNCTION("GOOGLETRANSLATE(B17,""en"",""th"")"),"ตำแหน่งข้อความ")</f>
        <v>ตำแหน่งข้อความ</v>
      </c>
      <c r="Z17" s="71" t="str">
        <f>IFERROR(__xludf.DUMMYFUNCTION("GOOGLETRANSLATE(B17,""en"",""tr"")"),"Metin Konumu")</f>
        <v>Metin Konumu</v>
      </c>
      <c r="AA17" s="71" t="str">
        <f>IFERROR(__xludf.DUMMYFUNCTION("GOOGLETRANSLATE(B17,""en"",""uk"")"),"Розташування тексту")</f>
        <v>Розташування тексту</v>
      </c>
      <c r="AB17" s="71" t="str">
        <f>IFERROR(__xludf.DUMMYFUNCTION("GOOGLETRANSLATE(B17,""en"",""zh-CN"")"),"文本位置")</f>
        <v>文本位置</v>
      </c>
      <c r="AC17" s="71" t="str">
        <f>IFERROR(__xludf.DUMMYFUNCTION("GOOGLETRANSLATE(B17,""en"",""vi"")"),"Vị trí văn bản")</f>
        <v>Vị trí văn bản</v>
      </c>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row>
    <row r="18">
      <c r="A18" s="73" t="s">
        <v>11588</v>
      </c>
      <c r="B18" s="73" t="s">
        <v>11589</v>
      </c>
      <c r="C18" s="71" t="str">
        <f>IFERROR(__xludf.DUMMYFUNCTION("GOOGLETRANSLATE(B18,""en"",""ar"")"),"ثَبَّتَ")</f>
        <v>ثَبَّتَ</v>
      </c>
      <c r="D18" s="71" t="str">
        <f>IFERROR(__xludf.DUMMYFUNCTION("GOOGLETRANSLATE(B18,""en"",""cs"")"),"INSTALOVAT")</f>
        <v>INSTALOVAT</v>
      </c>
      <c r="E18" s="71" t="str">
        <f>IFERROR(__xludf.DUMMYFUNCTION("GOOGLETRANSLATE(B18,""en"",""de"")"),"INSTALLIEREN")</f>
        <v>INSTALLIEREN</v>
      </c>
      <c r="F18" s="71" t="str">
        <f>IFERROR(__xludf.DUMMYFUNCTION("GOOGLETRANSLATE(B18,""en"",""el"")"),"ΕΓΚΑΘΙΣΤΩ")</f>
        <v>ΕΓΚΑΘΙΣΤΩ</v>
      </c>
      <c r="G18" s="71" t="str">
        <f>IFERROR(__xludf.DUMMYFUNCTION("GOOGLETRANSLATE(B18,""en"",""es"")"),"INSTALAR")</f>
        <v>INSTALAR</v>
      </c>
      <c r="H18" s="71" t="str">
        <f>IFERROR(__xludf.DUMMYFUNCTION("GOOGLETRANSLATE(B18,""en"",""et"")"),"PAIGALDA")</f>
        <v>PAIGALDA</v>
      </c>
      <c r="I18" s="71" t="str">
        <f>IFERROR(__xludf.DUMMYFUNCTION("GOOGLETRANSLATE(B18,""en"",""fi"")"),"ASENTAA")</f>
        <v>ASENTAA</v>
      </c>
      <c r="J18" s="71" t="str">
        <f>IFERROR(__xludf.DUMMYFUNCTION("GOOGLETRANSLATE(B18,""en"",""fr"")"),"INSTALLER")</f>
        <v>INSTALLER</v>
      </c>
      <c r="K18" s="71" t="str">
        <f>IFERROR(__xludf.DUMMYFUNCTION("GOOGLETRANSLATE(B18,""en"",""hi"")"),"स्थापित करना")</f>
        <v>स्थापित करना</v>
      </c>
      <c r="L18" s="71" t="str">
        <f>IFERROR(__xludf.DUMMYFUNCTION("GOOGLETRANSLATE(B18,""en"",""id"")"),"MEMASANG")</f>
        <v>MEMASANG</v>
      </c>
      <c r="M18" s="71" t="str">
        <f>IFERROR(__xludf.DUMMYFUNCTION("GOOGLETRANSLATE(B18,""en"",""it"")"),"INSTALLARE")</f>
        <v>INSTALLARE</v>
      </c>
      <c r="N18" s="71" t="str">
        <f>IFERROR(__xludf.DUMMYFUNCTION("GOOGLETRANSLATE(B18,""en"",""ja"")"),"インストール")</f>
        <v>インストール</v>
      </c>
      <c r="O18" s="71" t="str">
        <f>IFERROR(__xludf.DUMMYFUNCTION("GOOGLETRANSLATE(B18,""en"",""km"")"),"ដំឡើង")</f>
        <v>ដំឡើង</v>
      </c>
      <c r="P18" s="71" t="str">
        <f>IFERROR(__xludf.DUMMYFUNCTION("GOOGLETRANSLATE(B18,""en"",""kn"")"),"ಸ್ಥಾಪಿಸಿ")</f>
        <v>ಸ್ಥಾಪಿಸಿ</v>
      </c>
      <c r="Q18" s="71" t="str">
        <f>IFERROR(__xludf.DUMMYFUNCTION("GOOGLETRANSLATE(B18,""en"",""ko"")"),"설치하다")</f>
        <v>설치하다</v>
      </c>
      <c r="R18" s="71" t="str">
        <f>IFERROR(__xludf.DUMMYFUNCTION("GOOGLETRANSLATE(B18,""en"",""lo"")"),"ຕິດຕັ້ງ")</f>
        <v>ຕິດຕັ້ງ</v>
      </c>
      <c r="S18" s="71" t="str">
        <f>IFERROR(__xludf.DUMMYFUNCTION("GOOGLETRANSLATE(B18,""en"",""lv"")"),"UZSTĀDĪT")</f>
        <v>UZSTĀDĪT</v>
      </c>
      <c r="T18" s="71" t="str">
        <f>IFERROR(__xludf.DUMMYFUNCTION("GOOGLETRANSLATE(B18,""en"",""ms"")"),"PASANG")</f>
        <v>PASANG</v>
      </c>
      <c r="U18" s="71" t="str">
        <f>IFERROR(__xludf.DUMMYFUNCTION("GOOGLETRANSLATE(B18,""en"",""nl"")"),"INSTALLEREN")</f>
        <v>INSTALLEREN</v>
      </c>
      <c r="V18" s="71" t="str">
        <f>IFERROR(__xludf.DUMMYFUNCTION("GOOGLETRANSLATE(B18,""en"",""pl"")"),"ZAINSTALOWAĆ")</f>
        <v>ZAINSTALOWAĆ</v>
      </c>
      <c r="W18" s="71" t="str">
        <f>IFERROR(__xludf.DUMMYFUNCTION("GOOGLETRANSLATE(B18,""en"",""pt-PT"")"),"INSTALAR")</f>
        <v>INSTALAR</v>
      </c>
      <c r="X18" s="71" t="str">
        <f>IFERROR(__xludf.DUMMYFUNCTION("GOOGLETRANSLATE(B18,""en"",""ru"")"),"УСТАНОВИТЬ")</f>
        <v>УСТАНОВИТЬ</v>
      </c>
      <c r="Y18" s="71" t="str">
        <f>IFERROR(__xludf.DUMMYFUNCTION("GOOGLETRANSLATE(B18,""en"",""th"")"),"ติดตั้ง")</f>
        <v>ติดตั้ง</v>
      </c>
      <c r="Z18" s="71" t="str">
        <f>IFERROR(__xludf.DUMMYFUNCTION("GOOGLETRANSLATE(B18,""en"",""tr"")"),"DÜZENLEMEK")</f>
        <v>DÜZENLEMEK</v>
      </c>
      <c r="AA18" s="71" t="str">
        <f>IFERROR(__xludf.DUMMYFUNCTION("GOOGLETRANSLATE(B18,""en"",""uk"")"),"ВСТАНОВИТИ")</f>
        <v>ВСТАНОВИТИ</v>
      </c>
      <c r="AB18" s="71" t="str">
        <f>IFERROR(__xludf.DUMMYFUNCTION("GOOGLETRANSLATE(B18,""en"",""zh-CN"")"),"安装")</f>
        <v>安装</v>
      </c>
      <c r="AC18" s="71" t="str">
        <f>IFERROR(__xludf.DUMMYFUNCTION("GOOGLETRANSLATE(B18,""en"",""vi"")"),"CÀI ĐẶT")</f>
        <v>CÀI ĐẶT</v>
      </c>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row>
    <row r="19">
      <c r="A19" s="73" t="s">
        <v>11590</v>
      </c>
      <c r="B19" s="73" t="s">
        <v>11591</v>
      </c>
      <c r="C19" s="71" t="str">
        <f>IFERROR(__xludf.DUMMYFUNCTION("GOOGLETRANSLATE(B19,""en"",""ar"")"),"ثَبَّتَ")</f>
        <v>ثَبَّتَ</v>
      </c>
      <c r="D19" s="71" t="str">
        <f>IFERROR(__xludf.DUMMYFUNCTION("GOOGLETRANSLATE(B19,""en"",""cs"")"),"Instalovat")</f>
        <v>Instalovat</v>
      </c>
      <c r="E19" s="71" t="str">
        <f>IFERROR(__xludf.DUMMYFUNCTION("GOOGLETRANSLATE(B19,""en"",""de"")"),"Installieren")</f>
        <v>Installieren</v>
      </c>
      <c r="F19" s="71" t="str">
        <f>IFERROR(__xludf.DUMMYFUNCTION("GOOGLETRANSLATE(B19,""en"",""el"")"),"Εγκαθιστώ")</f>
        <v>Εγκαθιστώ</v>
      </c>
      <c r="G19" s="71" t="str">
        <f>IFERROR(__xludf.DUMMYFUNCTION("GOOGLETRANSLATE(B19,""en"",""es"")"),"Instalar")</f>
        <v>Instalar</v>
      </c>
      <c r="H19" s="71" t="str">
        <f>IFERROR(__xludf.DUMMYFUNCTION("GOOGLETRANSLATE(B19,""en"",""et"")"),"Installige")</f>
        <v>Installige</v>
      </c>
      <c r="I19" s="71" t="str">
        <f>IFERROR(__xludf.DUMMYFUNCTION("GOOGLETRANSLATE(B19,""en"",""fi"")"),"Asentaa")</f>
        <v>Asentaa</v>
      </c>
      <c r="J19" s="71" t="str">
        <f>IFERROR(__xludf.DUMMYFUNCTION("GOOGLETRANSLATE(B19,""en"",""fr"")"),"Installer")</f>
        <v>Installer</v>
      </c>
      <c r="K19" s="71" t="str">
        <f>IFERROR(__xludf.DUMMYFUNCTION("GOOGLETRANSLATE(B19,""en"",""hi"")"),"स्थापित करना")</f>
        <v>स्थापित करना</v>
      </c>
      <c r="L19" s="71" t="str">
        <f>IFERROR(__xludf.DUMMYFUNCTION("GOOGLETRANSLATE(B19,""en"",""id"")"),"Memasang")</f>
        <v>Memasang</v>
      </c>
      <c r="M19" s="71" t="str">
        <f>IFERROR(__xludf.DUMMYFUNCTION("GOOGLETRANSLATE(B19,""en"",""it"")"),"Installare")</f>
        <v>Installare</v>
      </c>
      <c r="N19" s="71" t="str">
        <f>IFERROR(__xludf.DUMMYFUNCTION("GOOGLETRANSLATE(B19,""en"",""ja"")"),"インストール")</f>
        <v>インストール</v>
      </c>
      <c r="O19" s="71" t="str">
        <f>IFERROR(__xludf.DUMMYFUNCTION("GOOGLETRANSLATE(B19,""en"",""km"")"),"ដំឡើង")</f>
        <v>ដំឡើង</v>
      </c>
      <c r="P19" s="71" t="str">
        <f>IFERROR(__xludf.DUMMYFUNCTION("GOOGLETRANSLATE(B19,""en"",""kn"")"),"ಸ್ಥಾಪಿಸಿ")</f>
        <v>ಸ್ಥಾಪಿಸಿ</v>
      </c>
      <c r="Q19" s="71" t="str">
        <f>IFERROR(__xludf.DUMMYFUNCTION("GOOGLETRANSLATE(B19,""en"",""ko"")"),"설치하다")</f>
        <v>설치하다</v>
      </c>
      <c r="R19" s="71" t="str">
        <f>IFERROR(__xludf.DUMMYFUNCTION("GOOGLETRANSLATE(B19,""en"",""lo"")"),"ຕິດຕັ້ງ")</f>
        <v>ຕິດຕັ້ງ</v>
      </c>
      <c r="S19" s="71" t="str">
        <f>IFERROR(__xludf.DUMMYFUNCTION("GOOGLETRANSLATE(B19,""en"",""lv"")"),"Instalējiet")</f>
        <v>Instalējiet</v>
      </c>
      <c r="T19" s="71" t="str">
        <f>IFERROR(__xludf.DUMMYFUNCTION("GOOGLETRANSLATE(B19,""en"",""ms"")"),"Pasang")</f>
        <v>Pasang</v>
      </c>
      <c r="U19" s="71" t="str">
        <f>IFERROR(__xludf.DUMMYFUNCTION("GOOGLETRANSLATE(B19,""en"",""nl"")"),"Installeren")</f>
        <v>Installeren</v>
      </c>
      <c r="V19" s="71" t="str">
        <f>IFERROR(__xludf.DUMMYFUNCTION("GOOGLETRANSLATE(B19,""en"",""pl"")"),"Zainstalować")</f>
        <v>Zainstalować</v>
      </c>
      <c r="W19" s="71" t="str">
        <f>IFERROR(__xludf.DUMMYFUNCTION("GOOGLETRANSLATE(B19,""en"",""pt-PT"")"),"Instalar")</f>
        <v>Instalar</v>
      </c>
      <c r="X19" s="71" t="str">
        <f>IFERROR(__xludf.DUMMYFUNCTION("GOOGLETRANSLATE(B19,""en"",""ru"")"),"Установить")</f>
        <v>Установить</v>
      </c>
      <c r="Y19" s="71" t="str">
        <f>IFERROR(__xludf.DUMMYFUNCTION("GOOGLETRANSLATE(B19,""en"",""th"")"),"ติดตั้ง")</f>
        <v>ติดตั้ง</v>
      </c>
      <c r="Z19" s="71" t="str">
        <f>IFERROR(__xludf.DUMMYFUNCTION("GOOGLETRANSLATE(B19,""en"",""tr"")"),"Düzenlemek")</f>
        <v>Düzenlemek</v>
      </c>
      <c r="AA19" s="71" t="str">
        <f>IFERROR(__xludf.DUMMYFUNCTION("GOOGLETRANSLATE(B19,""en"",""uk"")"),"встановити")</f>
        <v>встановити</v>
      </c>
      <c r="AB19" s="71" t="str">
        <f>IFERROR(__xludf.DUMMYFUNCTION("GOOGLETRANSLATE(B19,""en"",""zh-CN"")"),"安装")</f>
        <v>安装</v>
      </c>
      <c r="AC19" s="71" t="str">
        <f>IFERROR(__xludf.DUMMYFUNCTION("GOOGLETRANSLATE(B19,""en"",""vi"")"),"Cài đặt")</f>
        <v>Cài đặt</v>
      </c>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row>
    <row r="20">
      <c r="A20" s="73" t="s">
        <v>11592</v>
      </c>
      <c r="B20" s="73" t="s">
        <v>11593</v>
      </c>
      <c r="C20" s="71" t="str">
        <f>IFERROR(__xludf.DUMMYFUNCTION("GOOGLETRANSLATE(B20,""en"",""ar"")"),"القطعة التطبيق")</f>
        <v>القطعة التطبيق</v>
      </c>
      <c r="D20" s="71" t="str">
        <f>IFERROR(__xludf.DUMMYFUNCTION("GOOGLETRANSLATE(B20,""en"",""cs"")"),"Widget aplikace")</f>
        <v>Widget aplikace</v>
      </c>
      <c r="E20" s="71" t="str">
        <f>IFERROR(__xludf.DUMMYFUNCTION("GOOGLETRANSLATE(B20,""en"",""de"")"),"App-Widget")</f>
        <v>App-Widget</v>
      </c>
      <c r="F20" s="71" t="str">
        <f>IFERROR(__xludf.DUMMYFUNCTION("GOOGLETRANSLATE(B20,""en"",""el"")"),"Γραφικό στοιχείο εφαρμογής")</f>
        <v>Γραφικό στοιχείο εφαρμογής</v>
      </c>
      <c r="G20" s="71" t="str">
        <f>IFERROR(__xludf.DUMMYFUNCTION("GOOGLETRANSLATE(B20,""en"",""es"")"),"Widget de aplicación")</f>
        <v>Widget de aplicación</v>
      </c>
      <c r="H20" s="71" t="str">
        <f>IFERROR(__xludf.DUMMYFUNCTION("GOOGLETRANSLATE(B20,""en"",""et"")"),"Rakenduse vidin")</f>
        <v>Rakenduse vidin</v>
      </c>
      <c r="I20" s="71" t="str">
        <f>IFERROR(__xludf.DUMMYFUNCTION("GOOGLETRANSLATE(B20,""en"",""fi"")"),"Sovellus-widget")</f>
        <v>Sovellus-widget</v>
      </c>
      <c r="J20" s="71" t="str">
        <f>IFERROR(__xludf.DUMMYFUNCTION("GOOGLETRANSLATE(B20,""en"",""fr"")"),"Widget d'application")</f>
        <v>Widget d'application</v>
      </c>
      <c r="K20" s="71" t="str">
        <f>IFERROR(__xludf.DUMMYFUNCTION("GOOGLETRANSLATE(B20,""en"",""hi"")"),"ऐप विजेट")</f>
        <v>ऐप विजेट</v>
      </c>
      <c r="L20" s="71" t="str">
        <f>IFERROR(__xludf.DUMMYFUNCTION("GOOGLETRANSLATE(B20,""en"",""id"")"),"Widget Aplikasi")</f>
        <v>Widget Aplikasi</v>
      </c>
      <c r="M20" s="71" t="str">
        <f>IFERROR(__xludf.DUMMYFUNCTION("GOOGLETRANSLATE(B20,""en"",""it"")"),"Widget dell'app")</f>
        <v>Widget dell'app</v>
      </c>
      <c r="N20" s="71" t="str">
        <f>IFERROR(__xludf.DUMMYFUNCTION("GOOGLETRANSLATE(B20,""en"",""ja"")"),"アプリウィジェット")</f>
        <v>アプリウィジェット</v>
      </c>
      <c r="O20" s="71" t="str">
        <f>IFERROR(__xludf.DUMMYFUNCTION("GOOGLETRANSLATE(B20,""en"",""km"")"),"ធាតុក្រាហ្វិកកម្មវិធី")</f>
        <v>ធាតុក្រាហ្វិកកម្មវិធី</v>
      </c>
      <c r="P20" s="71" t="str">
        <f>IFERROR(__xludf.DUMMYFUNCTION("GOOGLETRANSLATE(B20,""en"",""kn"")"),"ಅಪ್ಲಿಕೇಶನ್ ವಿಜೆಟ್")</f>
        <v>ಅಪ್ಲಿಕೇಶನ್ ವಿಜೆಟ್</v>
      </c>
      <c r="Q20" s="71" t="str">
        <f>IFERROR(__xludf.DUMMYFUNCTION("GOOGLETRANSLATE(B20,""en"",""ko"")"),"앱 위젯")</f>
        <v>앱 위젯</v>
      </c>
      <c r="R20" s="71" t="str">
        <f>IFERROR(__xludf.DUMMYFUNCTION("GOOGLETRANSLATE(B20,""en"",""lo"")"),"App Widget")</f>
        <v>App Widget</v>
      </c>
      <c r="S20" s="71" t="str">
        <f>IFERROR(__xludf.DUMMYFUNCTION("GOOGLETRANSLATE(B20,""en"",""lv"")"),"Lietotņu logrīks")</f>
        <v>Lietotņu logrīks</v>
      </c>
      <c r="T20" s="71" t="str">
        <f>IFERROR(__xludf.DUMMYFUNCTION("GOOGLETRANSLATE(B20,""en"",""ms"")"),"Widget Apl")</f>
        <v>Widget Apl</v>
      </c>
      <c r="U20" s="71" t="str">
        <f>IFERROR(__xludf.DUMMYFUNCTION("GOOGLETRANSLATE(B20,""en"",""nl"")"),"App-widget")</f>
        <v>App-widget</v>
      </c>
      <c r="V20" s="71" t="str">
        <f>IFERROR(__xludf.DUMMYFUNCTION("GOOGLETRANSLATE(B20,""en"",""pl"")"),"Widżet aplikacji")</f>
        <v>Widżet aplikacji</v>
      </c>
      <c r="W20" s="71" t="str">
        <f>IFERROR(__xludf.DUMMYFUNCTION("GOOGLETRANSLATE(B20,""en"",""pt-PT"")"),"Widget de aplicativo")</f>
        <v>Widget de aplicativo</v>
      </c>
      <c r="X20" s="71" t="str">
        <f>IFERROR(__xludf.DUMMYFUNCTION("GOOGLETRANSLATE(B20,""en"",""ru"")"),"Виджет приложения")</f>
        <v>Виджет приложения</v>
      </c>
      <c r="Y20" s="71" t="str">
        <f>IFERROR(__xludf.DUMMYFUNCTION("GOOGLETRANSLATE(B20,""en"",""th"")"),"วิดเจ็ตแอป")</f>
        <v>วิดเจ็ตแอป</v>
      </c>
      <c r="Z20" s="71" t="str">
        <f>IFERROR(__xludf.DUMMYFUNCTION("GOOGLETRANSLATE(B20,""en"",""tr"")"),"Uygulama Widget'ı")</f>
        <v>Uygulama Widget'ı</v>
      </c>
      <c r="AA20" s="71" t="str">
        <f>IFERROR(__xludf.DUMMYFUNCTION("GOOGLETRANSLATE(B20,""en"",""uk"")"),"Віджет програми")</f>
        <v>Віджет програми</v>
      </c>
      <c r="AB20" s="71" t="str">
        <f>IFERROR(__xludf.DUMMYFUNCTION("GOOGLETRANSLATE(B20,""en"",""zh-CN"")"),"应用程序小部件")</f>
        <v>应用程序小部件</v>
      </c>
      <c r="AC20" s="71" t="str">
        <f>IFERROR(__xludf.DUMMYFUNCTION("GOOGLETRANSLATE(B20,""en"",""vi"")"),"Tiện ích ứng dụng")</f>
        <v>Tiện ích ứng dụng</v>
      </c>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row>
    <row r="21">
      <c r="A21" s="73" t="s">
        <v>11594</v>
      </c>
      <c r="B21" s="73" t="s">
        <v>11595</v>
      </c>
      <c r="C21" s="71" t="str">
        <f>IFERROR(__xludf.DUMMYFUNCTION("GOOGLETRANSLATE(B21,""en"",""ar"")"),"تعيين خلفية")</f>
        <v>تعيين خلفية</v>
      </c>
      <c r="D21" s="71" t="str">
        <f>IFERROR(__xludf.DUMMYFUNCTION("GOOGLETRANSLATE(B21,""en"",""cs"")"),"Nastavit tapetu")</f>
        <v>Nastavit tapetu</v>
      </c>
      <c r="E21" s="71" t="str">
        <f>IFERROR(__xludf.DUMMYFUNCTION("GOOGLETRANSLATE(B21,""en"",""de"")"),"Hintergrundbild festlegen")</f>
        <v>Hintergrundbild festlegen</v>
      </c>
      <c r="F21" s="71" t="str">
        <f>IFERROR(__xludf.DUMMYFUNCTION("GOOGLETRANSLATE(B21,""en"",""el"")"),"Ορισμός ταπετσαρίας")</f>
        <v>Ορισμός ταπετσαρίας</v>
      </c>
      <c r="G21" s="71" t="str">
        <f>IFERROR(__xludf.DUMMYFUNCTION("GOOGLETRANSLATE(B21,""en"",""es"")"),"Establecer fondo de pantalla")</f>
        <v>Establecer fondo de pantalla</v>
      </c>
      <c r="H21" s="71" t="str">
        <f>IFERROR(__xludf.DUMMYFUNCTION("GOOGLETRANSLATE(B21,""en"",""et"")"),"Määra taustpilt")</f>
        <v>Määra taustpilt</v>
      </c>
      <c r="I21" s="71" t="str">
        <f>IFERROR(__xludf.DUMMYFUNCTION("GOOGLETRANSLATE(B21,""en"",""fi"")"),"Aseta taustakuva")</f>
        <v>Aseta taustakuva</v>
      </c>
      <c r="J21" s="71" t="str">
        <f>IFERROR(__xludf.DUMMYFUNCTION("GOOGLETRANSLATE(B21,""en"",""fr"")"),"Définir le papier peint")</f>
        <v>Définir le papier peint</v>
      </c>
      <c r="K21" s="71" t="str">
        <f>IFERROR(__xludf.DUMMYFUNCTION("GOOGLETRANSLATE(B21,""en"",""hi"")"),"वॉलपेपर सेट करो")</f>
        <v>वॉलपेपर सेट करो</v>
      </c>
      <c r="L21" s="71" t="str">
        <f>IFERROR(__xludf.DUMMYFUNCTION("GOOGLETRANSLATE(B21,""en"",""id"")"),"Setel Kertas Dinding")</f>
        <v>Setel Kertas Dinding</v>
      </c>
      <c r="M21" s="71" t="str">
        <f>IFERROR(__xludf.DUMMYFUNCTION("GOOGLETRANSLATE(B21,""en"",""it"")"),"Imposta lo sfondo")</f>
        <v>Imposta lo sfondo</v>
      </c>
      <c r="N21" s="71" t="str">
        <f>IFERROR(__xludf.DUMMYFUNCTION("GOOGLETRANSLATE(B21,""en"",""ja"")"),"壁紙を設定する")</f>
        <v>壁紙を設定する</v>
      </c>
      <c r="O21" s="71" t="str">
        <f>IFERROR(__xludf.DUMMYFUNCTION("GOOGLETRANSLATE(B21,""en"",""km"")"),"កំណត់ផ្ទាំងរូបភាព")</f>
        <v>កំណត់ផ្ទាំងរូបភាព</v>
      </c>
      <c r="P21" s="71" t="str">
        <f>IFERROR(__xludf.DUMMYFUNCTION("GOOGLETRANSLATE(B21,""en"",""kn"")"),"ವಾಲ್‌ಪೇಪರ್ ಹೊಂದಿಸಿ")</f>
        <v>ವಾಲ್‌ಪೇಪರ್ ಹೊಂದಿಸಿ</v>
      </c>
      <c r="Q21" s="71" t="str">
        <f>IFERROR(__xludf.DUMMYFUNCTION("GOOGLETRANSLATE(B21,""en"",""ko"")"),"배경화면 설정")</f>
        <v>배경화면 설정</v>
      </c>
      <c r="R21" s="71" t="str">
        <f>IFERROR(__xludf.DUMMYFUNCTION("GOOGLETRANSLATE(B21,""en"",""lo"")"),"ຕັ້ງພາບພື້ນຫຼັງ")</f>
        <v>ຕັ້ງພາບພື້ນຫຼັງ</v>
      </c>
      <c r="S21" s="71" t="str">
        <f>IFERROR(__xludf.DUMMYFUNCTION("GOOGLETRANSLATE(B21,""en"",""lv"")"),"Iestatīt fona attēlu")</f>
        <v>Iestatīt fona attēlu</v>
      </c>
      <c r="T21" s="71" t="str">
        <f>IFERROR(__xludf.DUMMYFUNCTION("GOOGLETRANSLATE(B21,""en"",""ms"")"),"Tetapkan Kertas Dinding")</f>
        <v>Tetapkan Kertas Dinding</v>
      </c>
      <c r="U21" s="71" t="str">
        <f>IFERROR(__xludf.DUMMYFUNCTION("GOOGLETRANSLATE(B21,""en"",""nl"")"),"Achtergrond instellen")</f>
        <v>Achtergrond instellen</v>
      </c>
      <c r="V21" s="71" t="str">
        <f>IFERROR(__xludf.DUMMYFUNCTION("GOOGLETRANSLATE(B21,""en"",""pl"")"),"Ustaw tapetę")</f>
        <v>Ustaw tapetę</v>
      </c>
      <c r="W21" s="71" t="str">
        <f>IFERROR(__xludf.DUMMYFUNCTION("GOOGLETRANSLATE(B21,""en"",""pt-PT"")"),"Definir papel de parede")</f>
        <v>Definir papel de parede</v>
      </c>
      <c r="X21" s="71" t="str">
        <f>IFERROR(__xludf.DUMMYFUNCTION("GOOGLETRANSLATE(B21,""en"",""ru"")"),"Установить обои")</f>
        <v>Установить обои</v>
      </c>
      <c r="Y21" s="71" t="str">
        <f>IFERROR(__xludf.DUMMYFUNCTION("GOOGLETRANSLATE(B21,""en"",""th"")"),"ตั้งค่าวอลเปเปอร์")</f>
        <v>ตั้งค่าวอลเปเปอร์</v>
      </c>
      <c r="Z21" s="71" t="str">
        <f>IFERROR(__xludf.DUMMYFUNCTION("GOOGLETRANSLATE(B21,""en"",""tr"")"),"Duvar Kağıdını Ayarla")</f>
        <v>Duvar Kağıdını Ayarla</v>
      </c>
      <c r="AA21" s="71" t="str">
        <f>IFERROR(__xludf.DUMMYFUNCTION("GOOGLETRANSLATE(B21,""en"",""uk"")"),"Встановити шпалери")</f>
        <v>Встановити шпалери</v>
      </c>
      <c r="AB21" s="71" t="str">
        <f>IFERROR(__xludf.DUMMYFUNCTION("GOOGLETRANSLATE(B21,""en"",""zh-CN"")"),"设置壁纸")</f>
        <v>设置壁纸</v>
      </c>
      <c r="AC21" s="71" t="str">
        <f>IFERROR(__xludf.DUMMYFUNCTION("GOOGLETRANSLATE(B21,""en"",""vi"")"),"Đặt hình nền")</f>
        <v>Đặt hình nền</v>
      </c>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row>
    <row r="22">
      <c r="A22" s="73" t="s">
        <v>11596</v>
      </c>
      <c r="B22" s="73" t="s">
        <v>11597</v>
      </c>
      <c r="C22" s="71" t="str">
        <f>IFERROR(__xludf.DUMMYFUNCTION("GOOGLETRANSLATE(B22,""en"",""ar"")"),"فشل في تنزيل الاختصار! يرجى المحاولة مرة أخرى لاحقا")</f>
        <v>فشل في تنزيل الاختصار! يرجى المحاولة مرة أخرى لاحقا</v>
      </c>
      <c r="D22" s="71" t="str">
        <f>IFERROR(__xludf.DUMMYFUNCTION("GOOGLETRANSLATE(B22,""en"",""cs"")"),"Stažení zástupce se nezdařilo! Zkuste to znovu později")</f>
        <v>Stažení zástupce se nezdařilo! Zkuste to znovu později</v>
      </c>
      <c r="E22" s="71" t="str">
        <f>IFERROR(__xludf.DUMMYFUNCTION("GOOGLETRANSLATE(B22,""en"",""de"")"),"Shortcut konnte nicht heruntergeladen werden! Bitte versuchen Sie es später noch einmal")</f>
        <v>Shortcut konnte nicht heruntergeladen werden! Bitte versuchen Sie es später noch einmal</v>
      </c>
      <c r="F22" s="71" t="str">
        <f>IFERROR(__xludf.DUMMYFUNCTION("GOOGLETRANSLATE(B22,""en"",""el"")"),"Η λήψη της συντόμευσης απέτυχε! Δοκιμάστε ξανά αργότερα")</f>
        <v>Η λήψη της συντόμευσης απέτυχε! Δοκιμάστε ξανά αργότερα</v>
      </c>
      <c r="G22" s="71" t="str">
        <f>IFERROR(__xludf.DUMMYFUNCTION("GOOGLETRANSLATE(B22,""en"",""es"")"),"¡No se pudo descargar el acceso directo! Por favor inténtalo de nuevo más tarde.")</f>
        <v>¡No se pudo descargar el acceso directo! Por favor inténtalo de nuevo más tarde.</v>
      </c>
      <c r="H22" s="71" t="str">
        <f>IFERROR(__xludf.DUMMYFUNCTION("GOOGLETRANSLATE(B22,""en"",""et"")"),"Otsetee allalaadimine nurjus! Proovige hiljem uuesti")</f>
        <v>Otsetee allalaadimine nurjus! Proovige hiljem uuesti</v>
      </c>
      <c r="I22" s="71" t="str">
        <f>IFERROR(__xludf.DUMMYFUNCTION("GOOGLETRANSLATE(B22,""en"",""fi"")"),"Pikakuvakkeen lataaminen epäonnistui! Yritä myöhemmin uudelleen")</f>
        <v>Pikakuvakkeen lataaminen epäonnistui! Yritä myöhemmin uudelleen</v>
      </c>
      <c r="J22" s="71" t="str">
        <f>IFERROR(__xludf.DUMMYFUNCTION("GOOGLETRANSLATE(B22,""en"",""fr"")"),"Échec du téléchargement du raccourci ! Veuillez réessayer plus tard")</f>
        <v>Échec du téléchargement du raccourci ! Veuillez réessayer plus tard</v>
      </c>
      <c r="K22" s="71" t="str">
        <f>IFERROR(__xludf.DUMMYFUNCTION("GOOGLETRANSLATE(B22,""en"",""hi"")"),"शॉर्टकट डाउनलोड करने में विफल! कृपया बाद में पुन: प्रयास करें")</f>
        <v>शॉर्टकट डाउनलोड करने में विफल! कृपया बाद में पुन: प्रयास करें</v>
      </c>
      <c r="L22" s="71" t="str">
        <f>IFERROR(__xludf.DUMMYFUNCTION("GOOGLETRANSLATE(B22,""en"",""id"")"),"Gagal mengunduh Pintasan! Silakan coba lagi nanti")</f>
        <v>Gagal mengunduh Pintasan! Silakan coba lagi nanti</v>
      </c>
      <c r="M22" s="71" t="str">
        <f>IFERROR(__xludf.DUMMYFUNCTION("GOOGLETRANSLATE(B22,""en"",""it"")"),"Impossibile scaricare il collegamento! Per favore riprova più tardi")</f>
        <v>Impossibile scaricare il collegamento! Per favore riprova più tardi</v>
      </c>
      <c r="N22" s="71" t="str">
        <f>IFERROR(__xludf.DUMMYFUNCTION("GOOGLETRANSLATE(B22,""en"",""ja"")"),"ショートカットのダウンロードに失敗しました!後でもう一度試してください")</f>
        <v>ショートカットのダウンロードに失敗しました!後でもう一度試してください</v>
      </c>
      <c r="O22" s="71" t="str">
        <f>IFERROR(__xludf.DUMMYFUNCTION("GOOGLETRANSLATE(B22,""en"",""km"")"),"បរាជ័យក្នុងការទាញយកផ្លូវកាត់! សូមព្យាយាមម្តងទៀតនៅពេលក្រោយ")</f>
        <v>បរាជ័យក្នុងការទាញយកផ្លូវកាត់! សូមព្យាយាមម្តងទៀតនៅពេលក្រោយ</v>
      </c>
      <c r="P22" s="71" t="str">
        <f>IFERROR(__xludf.DUMMYFUNCTION("GOOGLETRANSLATE(B22,""en"",""kn"")"),"ಶಾರ್ಟ್‌ಕಟ್ ಡೌನ್‌ಲೋಡ್ ಮಾಡಲು ವಿಫಲವಾಗಿದೆ! ದಯವಿಟ್ಟು ನಂತರ ಮತ್ತೆ ಪ್ರಯತ್ನಿಸಿ")</f>
        <v>ಶಾರ್ಟ್‌ಕಟ್ ಡೌನ್‌ಲೋಡ್ ಮಾಡಲು ವಿಫಲವಾಗಿದೆ! ದಯವಿಟ್ಟು ನಂತರ ಮತ್ತೆ ಪ್ರಯತ್ನಿಸಿ</v>
      </c>
      <c r="Q22" s="71" t="str">
        <f>IFERROR(__xludf.DUMMYFUNCTION("GOOGLETRANSLATE(B22,""en"",""ko"")"),"바로가기를 다운로드하지 못했습니다! 나중에 다시 시도해 주세요.")</f>
        <v>바로가기를 다운로드하지 못했습니다! 나중에 다시 시도해 주세요.</v>
      </c>
      <c r="R22" s="71" t="str">
        <f>IFERROR(__xludf.DUMMYFUNCTION("GOOGLETRANSLATE(B22,""en"",""lo"")"),"ດາວໂຫຼດທາງລັດບໍ່ສຳເລັດ! ກະລຸນາລອງໃໝ່ໃນພາຍຫຼັງ")</f>
        <v>ດາວໂຫຼດທາງລັດບໍ່ສຳເລັດ! ກະລຸນາລອງໃໝ່ໃນພາຍຫຼັງ</v>
      </c>
      <c r="S22" s="71" t="str">
        <f>IFERROR(__xludf.DUMMYFUNCTION("GOOGLETRANSLATE(B22,""en"",""lv"")"),"Neizdevās lejupielādēt saīsni! Lūdzu, vēlāk mēģiniet vēlreiz")</f>
        <v>Neizdevās lejupielādēt saīsni! Lūdzu, vēlāk mēģiniet vēlreiz</v>
      </c>
      <c r="T22" s="71" t="str">
        <f>IFERROR(__xludf.DUMMYFUNCTION("GOOGLETRANSLATE(B22,""en"",""ms"")"),"Gagal memuat turun Pintasan! Sila cuba lagi kemudian")</f>
        <v>Gagal memuat turun Pintasan! Sila cuba lagi kemudian</v>
      </c>
      <c r="U22" s="71" t="str">
        <f>IFERROR(__xludf.DUMMYFUNCTION("GOOGLETRANSLATE(B22,""en"",""nl"")"),"Kan snelkoppeling niet downloaden! Probeer het later opnieuw")</f>
        <v>Kan snelkoppeling niet downloaden! Probeer het later opnieuw</v>
      </c>
      <c r="V22" s="71" t="str">
        <f>IFERROR(__xludf.DUMMYFUNCTION("GOOGLETRANSLATE(B22,""en"",""pl"")"),"Nie udało się pobrać skrótu! Spróbuj ponownie później")</f>
        <v>Nie udało się pobrać skrótu! Spróbuj ponownie później</v>
      </c>
      <c r="W22" s="71" t="str">
        <f>IFERROR(__xludf.DUMMYFUNCTION("GOOGLETRANSLATE(B22,""en"",""pt-PT"")"),"Falha ao baixar o atalho! Por favor, tente novamente mais tarde")</f>
        <v>Falha ao baixar o atalho! Por favor, tente novamente mais tarde</v>
      </c>
      <c r="X22" s="71" t="str">
        <f>IFERROR(__xludf.DUMMYFUNCTION("GOOGLETRANSLATE(B22,""en"",""ru"")"),"Не удалось загрузить ярлык! Пожалуйста, повторите попытку позже")</f>
        <v>Не удалось загрузить ярлык! Пожалуйста, повторите попытку позже</v>
      </c>
      <c r="Y22" s="71" t="str">
        <f>IFERROR(__xludf.DUMMYFUNCTION("GOOGLETRANSLATE(B22,""en"",""th"")"),"ดาวน์โหลดทางลัดไม่สำเร็จ! โปรดลองอีกครั้งในภายหลัง")</f>
        <v>ดาวน์โหลดทางลัดไม่สำเร็จ! โปรดลองอีกครั้งในภายหลัง</v>
      </c>
      <c r="Z22" s="71" t="str">
        <f>IFERROR(__xludf.DUMMYFUNCTION("GOOGLETRANSLATE(B22,""en"",""tr"")"),"Kısayol indirilemedi! Lütfen daha sonra tekrar deneyin")</f>
        <v>Kısayol indirilemedi! Lütfen daha sonra tekrar deneyin</v>
      </c>
      <c r="AA22" s="71" t="str">
        <f>IFERROR(__xludf.DUMMYFUNCTION("GOOGLETRANSLATE(B22,""en"",""uk"")"),"Не вдалося завантажити ярлик! Спробуйте пізніше")</f>
        <v>Не вдалося завантажити ярлик! Спробуйте пізніше</v>
      </c>
      <c r="AB22" s="71" t="str">
        <f>IFERROR(__xludf.DUMMYFUNCTION("GOOGLETRANSLATE(B22,""en"",""zh-CN"")"),"快捷方式下载失败！请稍后重试")</f>
        <v>快捷方式下载失败！请稍后重试</v>
      </c>
      <c r="AC22" s="71" t="str">
        <f>IFERROR(__xludf.DUMMYFUNCTION("GOOGLETRANSLATE(B22,""en"",""vi"")"),"Không tải xuống được Phím tắt! Vui lòng thử lại sau")</f>
        <v>Không tải xuống được Phím tắt! Vui lòng thử lại sau</v>
      </c>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row>
    <row r="23">
      <c r="A23" s="73" t="s">
        <v>11598</v>
      </c>
      <c r="B23" s="73" t="s">
        <v>11599</v>
      </c>
      <c r="C23" s="71" t="str">
        <f>IFERROR(__xludf.DUMMYFUNCTION("GOOGLETRANSLATE(B23,""en"",""ar"")"),"فشل تنزيل القطعة! يرجى المحاولة مرة أخرى لاحقا")</f>
        <v>فشل تنزيل القطعة! يرجى المحاولة مرة أخرى لاحقا</v>
      </c>
      <c r="D23" s="71" t="str">
        <f>IFERROR(__xludf.DUMMYFUNCTION("GOOGLETRANSLATE(B23,""en"",""cs"")"),"Widget se nepodařilo stáhnout! Zkuste to znovu později")</f>
        <v>Widget se nepodařilo stáhnout! Zkuste to znovu později</v>
      </c>
      <c r="E23" s="71" t="str">
        <f>IFERROR(__xludf.DUMMYFUNCTION("GOOGLETRANSLATE(B23,""en"",""de"")"),"Widget konnte nicht heruntergeladen werden! Bitte versuchen Sie es später noch einmal")</f>
        <v>Widget konnte nicht heruntergeladen werden! Bitte versuchen Sie es später noch einmal</v>
      </c>
      <c r="F23" s="71" t="str">
        <f>IFERROR(__xludf.DUMMYFUNCTION("GOOGLETRANSLATE(B23,""en"",""el"")"),"Η λήψη του Widget απέτυχε! Δοκιμάστε ξανά αργότερα")</f>
        <v>Η λήψη του Widget απέτυχε! Δοκιμάστε ξανά αργότερα</v>
      </c>
      <c r="G23" s="71" t="str">
        <f>IFERROR(__xludf.DUMMYFUNCTION("GOOGLETRANSLATE(B23,""en"",""es"")"),"¡No se pudo descargar el widget! Por favor inténtalo de nuevo más tarde.")</f>
        <v>¡No se pudo descargar el widget! Por favor inténtalo de nuevo más tarde.</v>
      </c>
      <c r="H23" s="71" t="str">
        <f>IFERROR(__xludf.DUMMYFUNCTION("GOOGLETRANSLATE(B23,""en"",""et"")"),"Vidina allalaadimine nurjus! Proovige hiljem uuesti")</f>
        <v>Vidina allalaadimine nurjus! Proovige hiljem uuesti</v>
      </c>
      <c r="I23" s="71" t="str">
        <f>IFERROR(__xludf.DUMMYFUNCTION("GOOGLETRANSLATE(B23,""en"",""fi"")"),"Widgetin lataaminen epäonnistui! Yritä myöhemmin uudelleen")</f>
        <v>Widgetin lataaminen epäonnistui! Yritä myöhemmin uudelleen</v>
      </c>
      <c r="J23" s="71" t="str">
        <f>IFERROR(__xludf.DUMMYFUNCTION("GOOGLETRANSLATE(B23,""en"",""fr"")"),"Échec du téléchargement du widget ! Veuillez réessayer plus tard")</f>
        <v>Échec du téléchargement du widget ! Veuillez réessayer plus tard</v>
      </c>
      <c r="K23" s="71" t="str">
        <f>IFERROR(__xludf.DUMMYFUNCTION("GOOGLETRANSLATE(B23,""en"",""hi"")"),"विजेट डाउनलोड करने में विफल! कृपया बाद में पुन: प्रयास करें")</f>
        <v>विजेट डाउनलोड करने में विफल! कृपया बाद में पुन: प्रयास करें</v>
      </c>
      <c r="L23" s="71" t="str">
        <f>IFERROR(__xludf.DUMMYFUNCTION("GOOGLETRANSLATE(B23,""en"",""id"")"),"Gagal mengunduh Widget! Silakan coba lagi nanti")</f>
        <v>Gagal mengunduh Widget! Silakan coba lagi nanti</v>
      </c>
      <c r="M23" s="71" t="str">
        <f>IFERROR(__xludf.DUMMYFUNCTION("GOOGLETRANSLATE(B23,""en"",""it"")"),"Impossibile scaricare il widget! Per favore riprova più tardi")</f>
        <v>Impossibile scaricare il widget! Per favore riprova più tardi</v>
      </c>
      <c r="N23" s="71" t="str">
        <f>IFERROR(__xludf.DUMMYFUNCTION("GOOGLETRANSLATE(B23,""en"",""ja"")"),"ウィジェットのダウンロードに失敗しました!後でもう一度試してください")</f>
        <v>ウィジェットのダウンロードに失敗しました!後でもう一度試してください</v>
      </c>
      <c r="O23" s="71" t="str">
        <f>IFERROR(__xludf.DUMMYFUNCTION("GOOGLETRANSLATE(B23,""en"",""km"")"),"បរាជ័យក្នុងការទាញយក Widget! សូមព្យាយាមម្តងទៀតនៅពេលក្រោយ")</f>
        <v>បរាជ័យក្នុងការទាញយក Widget! សូមព្យាយាមម្តងទៀតនៅពេលក្រោយ</v>
      </c>
      <c r="P23" s="71" t="str">
        <f>IFERROR(__xludf.DUMMYFUNCTION("GOOGLETRANSLATE(B23,""en"",""kn"")"),"ವಿಜೆಟ್ ಡೌನ್‌ಲೋಡ್ ಮಾಡಲು ವಿಫಲವಾಗಿದೆ! ದಯವಿಟ್ಟು ನಂತರ ಮತ್ತೆ ಪ್ರಯತ್ನಿಸಿ")</f>
        <v>ವಿಜೆಟ್ ಡೌನ್‌ಲೋಡ್ ಮಾಡಲು ವಿಫಲವಾಗಿದೆ! ದಯವಿಟ್ಟು ನಂತರ ಮತ್ತೆ ಪ್ರಯತ್ನಿಸಿ</v>
      </c>
      <c r="Q23" s="71" t="str">
        <f>IFERROR(__xludf.DUMMYFUNCTION("GOOGLETRANSLATE(B23,""en"",""ko"")"),"위젯을 다운로드하지 못했습니다! 나중에 다시 시도해 주세요.")</f>
        <v>위젯을 다운로드하지 못했습니다! 나중에 다시 시도해 주세요.</v>
      </c>
      <c r="R23" s="71" t="str">
        <f>IFERROR(__xludf.DUMMYFUNCTION("GOOGLETRANSLATE(B23,""en"",""lo"")"),"ລົ້ມເຫລວໃນການດາວໂຫຼດ Widget! ກະລຸນາລອງໃໝ່ໃນພາຍຫຼັງ")</f>
        <v>ລົ້ມເຫລວໃນການດາວໂຫຼດ Widget! ກະລຸນາລອງໃໝ່ໃນພາຍຫຼັງ</v>
      </c>
      <c r="S23" s="71" t="str">
        <f>IFERROR(__xludf.DUMMYFUNCTION("GOOGLETRANSLATE(B23,""en"",""lv"")"),"Neizdevās lejupielādēt logrīku! Lūdzu, vēlāk mēģiniet vēlreiz")</f>
        <v>Neizdevās lejupielādēt logrīku! Lūdzu, vēlāk mēģiniet vēlreiz</v>
      </c>
      <c r="T23" s="71" t="str">
        <f>IFERROR(__xludf.DUMMYFUNCTION("GOOGLETRANSLATE(B23,""en"",""ms"")"),"Gagal memuat turun Widget! Sila cuba lagi kemudian")</f>
        <v>Gagal memuat turun Widget! Sila cuba lagi kemudian</v>
      </c>
      <c r="U23" s="71" t="str">
        <f>IFERROR(__xludf.DUMMYFUNCTION("GOOGLETRANSLATE(B23,""en"",""nl"")"),"Kan de widget niet downloaden! Probeer het later opnieuw")</f>
        <v>Kan de widget niet downloaden! Probeer het later opnieuw</v>
      </c>
      <c r="V23" s="71" t="str">
        <f>IFERROR(__xludf.DUMMYFUNCTION("GOOGLETRANSLATE(B23,""en"",""pl"")"),"Nie udało się pobrać widgetu! Spróbuj ponownie później")</f>
        <v>Nie udało się pobrać widgetu! Spróbuj ponownie później</v>
      </c>
      <c r="W23" s="71" t="str">
        <f>IFERROR(__xludf.DUMMYFUNCTION("GOOGLETRANSLATE(B23,""en"",""pt-PT"")"),"Falha ao baixar o widget! Por favor, tente novamente mais tarde")</f>
        <v>Falha ao baixar o widget! Por favor, tente novamente mais tarde</v>
      </c>
      <c r="X23" s="71" t="str">
        <f>IFERROR(__xludf.DUMMYFUNCTION("GOOGLETRANSLATE(B23,""en"",""ru"")"),"Не удалось загрузить виджет! Пожалуйста, повторите попытку позже")</f>
        <v>Не удалось загрузить виджет! Пожалуйста, повторите попытку позже</v>
      </c>
      <c r="Y23" s="71" t="str">
        <f>IFERROR(__xludf.DUMMYFUNCTION("GOOGLETRANSLATE(B23,""en"",""th"")"),"ดาวน์โหลดวิดเจ็ตไม่สำเร็จ! โปรดลองอีกครั้งในภายหลัง")</f>
        <v>ดาวน์โหลดวิดเจ็ตไม่สำเร็จ! โปรดลองอีกครั้งในภายหลัง</v>
      </c>
      <c r="Z23" s="71" t="str">
        <f>IFERROR(__xludf.DUMMYFUNCTION("GOOGLETRANSLATE(B23,""en"",""tr"")"),"Widget indirilemedi! Lütfen daha sonra tekrar deneyin")</f>
        <v>Widget indirilemedi! Lütfen daha sonra tekrar deneyin</v>
      </c>
      <c r="AA23" s="71" t="str">
        <f>IFERROR(__xludf.DUMMYFUNCTION("GOOGLETRANSLATE(B23,""en"",""uk"")"),"Не вдалося завантажити віджет! Спробуйте пізніше")</f>
        <v>Не вдалося завантажити віджет! Спробуйте пізніше</v>
      </c>
      <c r="AB23" s="71" t="str">
        <f>IFERROR(__xludf.DUMMYFUNCTION("GOOGLETRANSLATE(B23,""en"",""zh-CN"")"),"下载小部件失败！请稍后重试")</f>
        <v>下载小部件失败！请稍后重试</v>
      </c>
      <c r="AC23" s="71" t="str">
        <f>IFERROR(__xludf.DUMMYFUNCTION("GOOGLETRANSLATE(B23,""en"",""vi"")"),"Không tải được tiện ích xuống! Vui lòng thử lại sau")</f>
        <v>Không tải được tiện ích xuống! Vui lòng thử lại sau</v>
      </c>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row>
    <row r="24">
      <c r="A24" s="73" t="s">
        <v>11600</v>
      </c>
      <c r="B24" s="73" t="s">
        <v>11601</v>
      </c>
      <c r="C24" s="71" t="str">
        <f>IFERROR(__xludf.DUMMYFUNCTION("GOOGLETRANSLATE(B24,""en"",""ar"")"),"فشل التنزيل! يرجى المحاولة مرة أخرى لاحقا")</f>
        <v>فشل التنزيل! يرجى المحاولة مرة أخرى لاحقا</v>
      </c>
      <c r="D24" s="71" t="str">
        <f>IFERROR(__xludf.DUMMYFUNCTION("GOOGLETRANSLATE(B24,""en"",""cs"")"),"Stažení se nezdařilo! Zkuste to znovu později")</f>
        <v>Stažení se nezdařilo! Zkuste to znovu později</v>
      </c>
      <c r="E24" s="71" t="str">
        <f>IFERROR(__xludf.DUMMYFUNCTION("GOOGLETRANSLATE(B24,""en"",""de"")"),"Download fehlgeschlagen! Bitte versuchen Sie es später noch einmal")</f>
        <v>Download fehlgeschlagen! Bitte versuchen Sie es später noch einmal</v>
      </c>
      <c r="F24" s="71" t="str">
        <f>IFERROR(__xludf.DUMMYFUNCTION("GOOGLETRANSLATE(B24,""en"",""el"")"),"Αποτυχία λήψης! Δοκιμάστε ξανά αργότερα")</f>
        <v>Αποτυχία λήψης! Δοκιμάστε ξανά αργότερα</v>
      </c>
      <c r="G24" s="71" t="str">
        <f>IFERROR(__xludf.DUMMYFUNCTION("GOOGLETRANSLATE(B24,""en"",""es"")"),"¡No se pudo descargar! Por favor inténtalo de nuevo más tarde.")</f>
        <v>¡No se pudo descargar! Por favor inténtalo de nuevo más tarde.</v>
      </c>
      <c r="H24" s="71" t="str">
        <f>IFERROR(__xludf.DUMMYFUNCTION("GOOGLETRANSLATE(B24,""en"",""et"")"),"Allalaadimine ebaõnnestus! Proovige hiljem uuesti")</f>
        <v>Allalaadimine ebaõnnestus! Proovige hiljem uuesti</v>
      </c>
      <c r="I24" s="71" t="str">
        <f>IFERROR(__xludf.DUMMYFUNCTION("GOOGLETRANSLATE(B24,""en"",""fi"")"),"Lataus epäonnistui! Yritä myöhemmin uudelleen")</f>
        <v>Lataus epäonnistui! Yritä myöhemmin uudelleen</v>
      </c>
      <c r="J24" s="71" t="str">
        <f>IFERROR(__xludf.DUMMYFUNCTION("GOOGLETRANSLATE(B24,""en"",""fr"")"),"Échec du téléchargement ! Veuillez réessayer plus tard")</f>
        <v>Échec du téléchargement ! Veuillez réessayer plus tard</v>
      </c>
      <c r="K24" s="71" t="str">
        <f>IFERROR(__xludf.DUMMYFUNCTION("GOOGLETRANSLATE(B24,""en"",""hi"")"),"डाउनलोड करने में विफल! कृपया बाद में पुन: प्रयास करें")</f>
        <v>डाउनलोड करने में विफल! कृपया बाद में पुन: प्रयास करें</v>
      </c>
      <c r="L24" s="71" t="str">
        <f>IFERROR(__xludf.DUMMYFUNCTION("GOOGLETRANSLATE(B24,""en"",""id"")"),"Gagal mengunduh! Silakan coba lagi nanti")</f>
        <v>Gagal mengunduh! Silakan coba lagi nanti</v>
      </c>
      <c r="M24" s="71" t="str">
        <f>IFERROR(__xludf.DUMMYFUNCTION("GOOGLETRANSLATE(B24,""en"",""it"")"),"Impossibile scaricare! Per favore riprova più tardi")</f>
        <v>Impossibile scaricare! Per favore riprova più tardi</v>
      </c>
      <c r="N24" s="71" t="str">
        <f>IFERROR(__xludf.DUMMYFUNCTION("GOOGLETRANSLATE(B24,""en"",""ja"")"),"ダウンロードに失敗しました!後でもう一度試してください")</f>
        <v>ダウンロードに失敗しました!後でもう一度試してください</v>
      </c>
      <c r="O24" s="71" t="str">
        <f>IFERROR(__xludf.DUMMYFUNCTION("GOOGLETRANSLATE(B24,""en"",""km"")"),"បរាជ័យក្នុងការទាញយក! សូមព្យាយាមម្តងទៀតនៅពេលក្រោយ")</f>
        <v>បរាជ័យក្នុងការទាញយក! សូមព្យាយាមម្តងទៀតនៅពេលក្រោយ</v>
      </c>
      <c r="P24" s="71" t="str">
        <f>IFERROR(__xludf.DUMMYFUNCTION("GOOGLETRANSLATE(B24,""en"",""kn"")"),"ಡೌನ್‌ಲೋಡ್ ಮಾಡಲು ವಿಫಲವಾಗಿದೆ! ದಯವಿಟ್ಟು ನಂತರ ಮತ್ತೆ ಪ್ರಯತ್ನಿಸಿ")</f>
        <v>ಡೌನ್‌ಲೋಡ್ ಮಾಡಲು ವಿಫಲವಾಗಿದೆ! ದಯವಿಟ್ಟು ನಂತರ ಮತ್ತೆ ಪ್ರಯತ್ನಿಸಿ</v>
      </c>
      <c r="Q24" s="71" t="str">
        <f>IFERROR(__xludf.DUMMYFUNCTION("GOOGLETRANSLATE(B24,""en"",""ko"")"),"다운로드에 실패했습니다! 나중에 다시 시도해 주세요.")</f>
        <v>다운로드에 실패했습니다! 나중에 다시 시도해 주세요.</v>
      </c>
      <c r="R24" s="71" t="str">
        <f>IFERROR(__xludf.DUMMYFUNCTION("GOOGLETRANSLATE(B24,""en"",""lo"")"),"ດາວໂຫຼດບໍ່ສຳເລັດ! ກະລຸນາລອງໃໝ່ໃນພາຍຫຼັງ")</f>
        <v>ດາວໂຫຼດບໍ່ສຳເລັດ! ກະລຸນາລອງໃໝ່ໃນພາຍຫຼັງ</v>
      </c>
      <c r="S24" s="71" t="str">
        <f>IFERROR(__xludf.DUMMYFUNCTION("GOOGLETRANSLATE(B24,""en"",""lv"")"),"Neizdevās lejupielādēt! Lūdzu, vēlāk mēģiniet vēlreiz")</f>
        <v>Neizdevās lejupielādēt! Lūdzu, vēlāk mēģiniet vēlreiz</v>
      </c>
      <c r="T24" s="71" t="str">
        <f>IFERROR(__xludf.DUMMYFUNCTION("GOOGLETRANSLATE(B24,""en"",""ms"")"),"Gagal memuat turun! Sila cuba lagi kemudian")</f>
        <v>Gagal memuat turun! Sila cuba lagi kemudian</v>
      </c>
      <c r="U24" s="71" t="str">
        <f>IFERROR(__xludf.DUMMYFUNCTION("GOOGLETRANSLATE(B24,""en"",""nl"")"),"Kan niet downloaden! Probeer het later opnieuw")</f>
        <v>Kan niet downloaden! Probeer het later opnieuw</v>
      </c>
      <c r="V24" s="71" t="str">
        <f>IFERROR(__xludf.DUMMYFUNCTION("GOOGLETRANSLATE(B24,""en"",""pl"")"),"Nie udało się pobrać! Spróbuj ponownie później")</f>
        <v>Nie udało się pobrać! Spróbuj ponownie później</v>
      </c>
      <c r="W24" s="71" t="str">
        <f>IFERROR(__xludf.DUMMYFUNCTION("GOOGLETRANSLATE(B24,""en"",""pt-PT"")"),"Falha ao baixar! Por favor, tente novamente mais tarde")</f>
        <v>Falha ao baixar! Por favor, tente novamente mais tarde</v>
      </c>
      <c r="X24" s="71" t="str">
        <f>IFERROR(__xludf.DUMMYFUNCTION("GOOGLETRANSLATE(B24,""en"",""ru"")"),"Не удалось скачать! Пожалуйста, повторите попытку позже")</f>
        <v>Не удалось скачать! Пожалуйста, повторите попытку позже</v>
      </c>
      <c r="Y24" s="71" t="str">
        <f>IFERROR(__xludf.DUMMYFUNCTION("GOOGLETRANSLATE(B24,""en"",""th"")"),"ดาวน์โหลดไม่สำเร็จ! โปรดลองอีกครั้งในภายหลัง")</f>
        <v>ดาวน์โหลดไม่สำเร็จ! โปรดลองอีกครั้งในภายหลัง</v>
      </c>
      <c r="Z24" s="71" t="str">
        <f>IFERROR(__xludf.DUMMYFUNCTION("GOOGLETRANSLATE(B24,""en"",""tr"")"),"İndirilemedi! Lütfen daha sonra tekrar deneyin")</f>
        <v>İndirilemedi! Lütfen daha sonra tekrar deneyin</v>
      </c>
      <c r="AA24" s="71" t="str">
        <f>IFERROR(__xludf.DUMMYFUNCTION("GOOGLETRANSLATE(B24,""en"",""uk"")"),"Не вдалося завантажити! Спробуйте пізніше")</f>
        <v>Не вдалося завантажити! Спробуйте пізніше</v>
      </c>
      <c r="AB24" s="71" t="str">
        <f>IFERROR(__xludf.DUMMYFUNCTION("GOOGLETRANSLATE(B24,""en"",""zh-CN"")"),"下载失败！请稍后重试")</f>
        <v>下载失败！请稍后重试</v>
      </c>
      <c r="AC24" s="71" t="str">
        <f>IFERROR(__xludf.DUMMYFUNCTION("GOOGLETRANSLATE(B24,""en"",""vi"")"),"Không thể tải xuống! Vui lòng thử lại sau")</f>
        <v>Không thể tải xuống! Vui lòng thử lại sau</v>
      </c>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row>
    <row r="25">
      <c r="A25" s="73" t="s">
        <v>11602</v>
      </c>
      <c r="B25" s="73" t="s">
        <v>11603</v>
      </c>
      <c r="C25" s="71" t="str">
        <f>IFERROR(__xludf.DUMMYFUNCTION("GOOGLETRANSLATE(B25,""en"",""ar"")"),"فشل في إنشاء الصورة النقطية! يرجى المحاولة مرة أخرى لاحقا")</f>
        <v>فشل في إنشاء الصورة النقطية! يرجى المحاولة مرة أخرى لاحقا</v>
      </c>
      <c r="D25" s="71" t="str">
        <f>IFERROR(__xludf.DUMMYFUNCTION("GOOGLETRANSLATE(B25,""en"",""cs"")"),"Vytvoření bitmapy se nezdařilo! Zkuste to znovu později")</f>
        <v>Vytvoření bitmapy se nezdařilo! Zkuste to znovu později</v>
      </c>
      <c r="E25" s="71" t="str">
        <f>IFERROR(__xludf.DUMMYFUNCTION("GOOGLETRANSLATE(B25,""en"",""de"")"),"Bitmap konnte nicht erstellt werden! Bitte versuchen Sie es später noch einmal")</f>
        <v>Bitmap konnte nicht erstellt werden! Bitte versuchen Sie es später noch einmal</v>
      </c>
      <c r="F25" s="71" t="str">
        <f>IFERROR(__xludf.DUMMYFUNCTION("GOOGLETRANSLATE(B25,""en"",""el"")"),"Αποτυχία δημιουργίας bitmap! Δοκιμάστε ξανά αργότερα")</f>
        <v>Αποτυχία δημιουργίας bitmap! Δοκιμάστε ξανά αργότερα</v>
      </c>
      <c r="G25" s="71" t="str">
        <f>IFERROR(__xludf.DUMMYFUNCTION("GOOGLETRANSLATE(B25,""en"",""es"")"),"¡No se pudo crear el mapa de bits! Por favor inténtalo de nuevo más tarde.")</f>
        <v>¡No se pudo crear el mapa de bits! Por favor inténtalo de nuevo más tarde.</v>
      </c>
      <c r="H25" s="71" t="str">
        <f>IFERROR(__xludf.DUMMYFUNCTION("GOOGLETRANSLATE(B25,""en"",""et"")"),"Bitkaardi loomine ebaõnnestus! Proovige hiljem uuesti")</f>
        <v>Bitkaardi loomine ebaõnnestus! Proovige hiljem uuesti</v>
      </c>
      <c r="I25" s="71" t="str">
        <f>IFERROR(__xludf.DUMMYFUNCTION("GOOGLETRANSLATE(B25,""en"",""fi"")"),"Bittikartan luominen epäonnistui! Yritä myöhemmin uudelleen")</f>
        <v>Bittikartan luominen epäonnistui! Yritä myöhemmin uudelleen</v>
      </c>
      <c r="J25" s="71" t="str">
        <f>IFERROR(__xludf.DUMMYFUNCTION("GOOGLETRANSLATE(B25,""en"",""fr"")"),"Échec de la création du bitmap ! Veuillez réessayer plus tard")</f>
        <v>Échec de la création du bitmap ! Veuillez réessayer plus tard</v>
      </c>
      <c r="K25" s="71" t="str">
        <f>IFERROR(__xludf.DUMMYFUNCTION("GOOGLETRANSLATE(B25,""en"",""hi"")"),"बिटमैप बनाने में विफल! कृपया बाद में पुन: प्रयास करें")</f>
        <v>बिटमैप बनाने में विफल! कृपया बाद में पुन: प्रयास करें</v>
      </c>
      <c r="L25" s="71" t="str">
        <f>IFERROR(__xludf.DUMMYFUNCTION("GOOGLETRANSLATE(B25,""en"",""id"")"),"Gagal membuat bitmap! Silakan coba lagi nanti")</f>
        <v>Gagal membuat bitmap! Silakan coba lagi nanti</v>
      </c>
      <c r="M25" s="71" t="str">
        <f>IFERROR(__xludf.DUMMYFUNCTION("GOOGLETRANSLATE(B25,""en"",""it"")"),"Impossibile creare la bitmap! Per favore riprova più tardi")</f>
        <v>Impossibile creare la bitmap! Per favore riprova più tardi</v>
      </c>
      <c r="N25" s="71" t="str">
        <f>IFERROR(__xludf.DUMMYFUNCTION("GOOGLETRANSLATE(B25,""en"",""ja"")"),"ビットマップの作成に失敗しました!後でもう一度試してください")</f>
        <v>ビットマップの作成に失敗しました!後でもう一度試してください</v>
      </c>
      <c r="O25" s="71" t="str">
        <f>IFERROR(__xludf.DUMMYFUNCTION("GOOGLETRANSLATE(B25,""en"",""km"")"),"បរាជ័យ​ក្នុង​ការ​បង្កើត​ផែនទី​ប៊ីត! សូមព្យាយាមម្តងទៀតនៅពេលក្រោយ")</f>
        <v>បរាជ័យ​ក្នុង​ការ​បង្កើត​ផែនទី​ប៊ីត! សូមព្យាយាមម្តងទៀតនៅពេលក្រោយ</v>
      </c>
      <c r="P25" s="71" t="str">
        <f>IFERROR(__xludf.DUMMYFUNCTION("GOOGLETRANSLATE(B25,""en"",""kn"")"),"ಬಿಟ್‌ಮ್ಯಾಪ್ ರಚಿಸಲು ವಿಫಲವಾಗಿದೆ! ದಯವಿಟ್ಟು ನಂತರ ಮತ್ತೆ ಪ್ರಯತ್ನಿಸಿ")</f>
        <v>ಬಿಟ್‌ಮ್ಯಾಪ್ ರಚಿಸಲು ವಿಫಲವಾಗಿದೆ! ದಯವಿಟ್ಟು ನಂತರ ಮತ್ತೆ ಪ್ರಯತ್ನಿಸಿ</v>
      </c>
      <c r="Q25" s="71" t="str">
        <f>IFERROR(__xludf.DUMMYFUNCTION("GOOGLETRANSLATE(B25,""en"",""ko"")"),"비트맵을 생성하지 못했습니다! 나중에 다시 시도해 주세요.")</f>
        <v>비트맵을 생성하지 못했습니다! 나중에 다시 시도해 주세요.</v>
      </c>
      <c r="R25" s="71" t="str">
        <f>IFERROR(__xludf.DUMMYFUNCTION("GOOGLETRANSLATE(B25,""en"",""lo"")"),"ລົ້ມເຫລວໃນການສ້າງແຜນທີ່ບິດ! ກະລຸນາລອງໃໝ່ໃນພາຍຫຼັງ")</f>
        <v>ລົ້ມເຫລວໃນການສ້າງແຜນທີ່ບິດ! ກະລຸນາລອງໃໝ່ໃນພາຍຫຼັງ</v>
      </c>
      <c r="S25" s="71" t="str">
        <f>IFERROR(__xludf.DUMMYFUNCTION("GOOGLETRANSLATE(B25,""en"",""lv"")"),"Neizdevās izveidot bitkarti! Lūdzu, vēlāk mēģiniet vēlreiz")</f>
        <v>Neizdevās izveidot bitkarti! Lūdzu, vēlāk mēģiniet vēlreiz</v>
      </c>
      <c r="T25" s="71" t="str">
        <f>IFERROR(__xludf.DUMMYFUNCTION("GOOGLETRANSLATE(B25,""en"",""ms"")"),"Gagal mencipta bitmap! Sila cuba lagi kemudian")</f>
        <v>Gagal mencipta bitmap! Sila cuba lagi kemudian</v>
      </c>
      <c r="U25" s="71" t="str">
        <f>IFERROR(__xludf.DUMMYFUNCTION("GOOGLETRANSLATE(B25,""en"",""nl"")"),"Kan bitmap niet maken! Probeer het later opnieuw")</f>
        <v>Kan bitmap niet maken! Probeer het later opnieuw</v>
      </c>
      <c r="V25" s="71" t="str">
        <f>IFERROR(__xludf.DUMMYFUNCTION("GOOGLETRANSLATE(B25,""en"",""pl"")"),"Nie udało się utworzyć bitmapy! Spróbuj ponownie później")</f>
        <v>Nie udało się utworzyć bitmapy! Spróbuj ponownie później</v>
      </c>
      <c r="W25" s="71" t="str">
        <f>IFERROR(__xludf.DUMMYFUNCTION("GOOGLETRANSLATE(B25,""en"",""pt-PT"")"),"Falha ao criar bitmap! Por favor, tente novamente mais tarde")</f>
        <v>Falha ao criar bitmap! Por favor, tente novamente mais tarde</v>
      </c>
      <c r="X25" s="71" t="str">
        <f>IFERROR(__xludf.DUMMYFUNCTION("GOOGLETRANSLATE(B25,""en"",""ru"")"),"Не удалось создать растровое изображение! Пожалуйста, повторите попытку позже")</f>
        <v>Не удалось создать растровое изображение! Пожалуйста, повторите попытку позже</v>
      </c>
      <c r="Y25" s="71" t="str">
        <f>IFERROR(__xludf.DUMMYFUNCTION("GOOGLETRANSLATE(B25,""en"",""th"")"),"ไม่สามารถสร้างบิตแมป! โปรดลองอีกครั้งในภายหลัง")</f>
        <v>ไม่สามารถสร้างบิตแมป! โปรดลองอีกครั้งในภายหลัง</v>
      </c>
      <c r="Z25" s="71" t="str">
        <f>IFERROR(__xludf.DUMMYFUNCTION("GOOGLETRANSLATE(B25,""en"",""tr"")"),"Bitmap oluşturulamadı! Lütfen daha sonra tekrar deneyin")</f>
        <v>Bitmap oluşturulamadı! Lütfen daha sonra tekrar deneyin</v>
      </c>
      <c r="AA25" s="71" t="str">
        <f>IFERROR(__xludf.DUMMYFUNCTION("GOOGLETRANSLATE(B25,""en"",""uk"")"),"Не вдалося створити растрове зображення! Спробуйте пізніше")</f>
        <v>Не вдалося створити растрове зображення! Спробуйте пізніше</v>
      </c>
      <c r="AB25" s="71" t="str">
        <f>IFERROR(__xludf.DUMMYFUNCTION("GOOGLETRANSLATE(B25,""en"",""zh-CN"")"),"创建位图失败！请稍后重试")</f>
        <v>创建位图失败！请稍后重试</v>
      </c>
      <c r="AC25" s="71" t="str">
        <f>IFERROR(__xludf.DUMMYFUNCTION("GOOGLETRANSLATE(B25,""en"",""vi"")"),"Không tạo được bitmap! Vui lòng thử lại sau")</f>
        <v>Không tạo được bitmap! Vui lòng thử lại sau</v>
      </c>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row>
    <row r="26">
      <c r="A26" s="73" t="s">
        <v>11604</v>
      </c>
      <c r="B26" s="73" t="s">
        <v>11605</v>
      </c>
      <c r="C26" s="71" t="str">
        <f>IFERROR(__xludf.DUMMYFUNCTION("GOOGLETRANSLATE(B26,""en"",""ar"")"),"حدد التطبيق الخاص بك")</f>
        <v>حدد التطبيق الخاص بك</v>
      </c>
      <c r="D26" s="71" t="str">
        <f>IFERROR(__xludf.DUMMYFUNCTION("GOOGLETRANSLATE(B26,""en"",""cs"")"),"Vyberte aplikaci")</f>
        <v>Vyberte aplikaci</v>
      </c>
      <c r="E26" s="71" t="str">
        <f>IFERROR(__xludf.DUMMYFUNCTION("GOOGLETRANSLATE(B26,""en"",""de"")"),"Wählen Sie Ihre Anwendung aus")</f>
        <v>Wählen Sie Ihre Anwendung aus</v>
      </c>
      <c r="F26" s="71" t="str">
        <f>IFERROR(__xludf.DUMMYFUNCTION("GOOGLETRANSLATE(B26,""en"",""el"")"),"Επιλέξτε την εφαρμογή σας")</f>
        <v>Επιλέξτε την εφαρμογή σας</v>
      </c>
      <c r="G26" s="71" t="str">
        <f>IFERROR(__xludf.DUMMYFUNCTION("GOOGLETRANSLATE(B26,""en"",""es"")"),"Selecciona tu aplicación")</f>
        <v>Selecciona tu aplicación</v>
      </c>
      <c r="H26" s="71" t="str">
        <f>IFERROR(__xludf.DUMMYFUNCTION("GOOGLETRANSLATE(B26,""en"",""et"")"),"Valige oma rakendus")</f>
        <v>Valige oma rakendus</v>
      </c>
      <c r="I26" s="71" t="str">
        <f>IFERROR(__xludf.DUMMYFUNCTION("GOOGLETRANSLATE(B26,""en"",""fi"")"),"Valitse sovelluksesi")</f>
        <v>Valitse sovelluksesi</v>
      </c>
      <c r="J26" s="71" t="str">
        <f>IFERROR(__xludf.DUMMYFUNCTION("GOOGLETRANSLATE(B26,""en"",""fr"")"),"Sélectionnez votre candidature")</f>
        <v>Sélectionnez votre candidature</v>
      </c>
      <c r="K26" s="71" t="str">
        <f>IFERROR(__xludf.DUMMYFUNCTION("GOOGLETRANSLATE(B26,""en"",""hi"")"),"अपना आवेदन चुनें")</f>
        <v>अपना आवेदन चुनें</v>
      </c>
      <c r="L26" s="71" t="str">
        <f>IFERROR(__xludf.DUMMYFUNCTION("GOOGLETRANSLATE(B26,""en"",""id"")"),"Pilih aplikasi Anda")</f>
        <v>Pilih aplikasi Anda</v>
      </c>
      <c r="M26" s="71" t="str">
        <f>IFERROR(__xludf.DUMMYFUNCTION("GOOGLETRANSLATE(B26,""en"",""it"")"),"Seleziona la tua applicazione")</f>
        <v>Seleziona la tua applicazione</v>
      </c>
      <c r="N26" s="71" t="str">
        <f>IFERROR(__xludf.DUMMYFUNCTION("GOOGLETRANSLATE(B26,""en"",""ja"")"),"アプリケーションを選択してください")</f>
        <v>アプリケーションを選択してください</v>
      </c>
      <c r="O26" s="71" t="str">
        <f>IFERROR(__xludf.DUMMYFUNCTION("GOOGLETRANSLATE(B26,""en"",""km"")"),"ជ្រើសរើសកម្មវិធីរបស់អ្នក។")</f>
        <v>ជ្រើសរើសកម្មវិធីរបស់អ្នក។</v>
      </c>
      <c r="P26" s="71" t="str">
        <f>IFERROR(__xludf.DUMMYFUNCTION("GOOGLETRANSLATE(B26,""en"",""kn"")"),"ನಿಮ್ಮ ಅಪ್ಲಿಕೇಶನ್ ಆಯ್ಕೆಮಾಡಿ")</f>
        <v>ನಿಮ್ಮ ಅಪ್ಲಿಕೇಶನ್ ಆಯ್ಕೆಮಾಡಿ</v>
      </c>
      <c r="Q26" s="71" t="str">
        <f>IFERROR(__xludf.DUMMYFUNCTION("GOOGLETRANSLATE(B26,""en"",""ko"")"),"애플리케이션을 선택하세요")</f>
        <v>애플리케이션을 선택하세요</v>
      </c>
      <c r="R26" s="71" t="str">
        <f>IFERROR(__xludf.DUMMYFUNCTION("GOOGLETRANSLATE(B26,""en"",""lo"")"),"ເລືອກຄໍາຮ້ອງສະຫມັກຂອງທ່ານ")</f>
        <v>ເລືອກຄໍາຮ້ອງສະຫມັກຂອງທ່ານ</v>
      </c>
      <c r="S26" s="71" t="str">
        <f>IFERROR(__xludf.DUMMYFUNCTION("GOOGLETRANSLATE(B26,""en"",""lv"")"),"Izvēlieties savu lietojumprogrammu")</f>
        <v>Izvēlieties savu lietojumprogrammu</v>
      </c>
      <c r="T26" s="71" t="str">
        <f>IFERROR(__xludf.DUMMYFUNCTION("GOOGLETRANSLATE(B26,""en"",""ms"")"),"Pilih aplikasi anda")</f>
        <v>Pilih aplikasi anda</v>
      </c>
      <c r="U26" s="71" t="str">
        <f>IFERROR(__xludf.DUMMYFUNCTION("GOOGLETRANSLATE(B26,""en"",""nl"")"),"Selecteer uw toepassing")</f>
        <v>Selecteer uw toepassing</v>
      </c>
      <c r="V26" s="71" t="str">
        <f>IFERROR(__xludf.DUMMYFUNCTION("GOOGLETRANSLATE(B26,""en"",""pl"")"),"Wybierz swoją aplikację")</f>
        <v>Wybierz swoją aplikację</v>
      </c>
      <c r="W26" s="71" t="str">
        <f>IFERROR(__xludf.DUMMYFUNCTION("GOOGLETRANSLATE(B26,""en"",""pt-PT"")"),"Selecione seu aplicativo")</f>
        <v>Selecione seu aplicativo</v>
      </c>
      <c r="X26" s="71" t="str">
        <f>IFERROR(__xludf.DUMMYFUNCTION("GOOGLETRANSLATE(B26,""en"",""ru"")"),"Выберите ваше приложение")</f>
        <v>Выберите ваше приложение</v>
      </c>
      <c r="Y26" s="71" t="str">
        <f>IFERROR(__xludf.DUMMYFUNCTION("GOOGLETRANSLATE(B26,""en"",""th"")"),"เลือกใบสมัครของคุณ")</f>
        <v>เลือกใบสมัครของคุณ</v>
      </c>
      <c r="Z26" s="71" t="str">
        <f>IFERROR(__xludf.DUMMYFUNCTION("GOOGLETRANSLATE(B26,""en"",""tr"")"),"Uygulamanızı seçin")</f>
        <v>Uygulamanızı seçin</v>
      </c>
      <c r="AA26" s="71" t="str">
        <f>IFERROR(__xludf.DUMMYFUNCTION("GOOGLETRANSLATE(B26,""en"",""uk"")"),"Виберіть свою програму")</f>
        <v>Виберіть свою програму</v>
      </c>
      <c r="AB26" s="71" t="str">
        <f>IFERROR(__xludf.DUMMYFUNCTION("GOOGLETRANSLATE(B26,""en"",""zh-CN"")"),"选择您的应用程序")</f>
        <v>选择您的应用程序</v>
      </c>
      <c r="AC26" s="71" t="str">
        <f>IFERROR(__xludf.DUMMYFUNCTION("GOOGLETRANSLATE(B26,""en"",""vi"")"),"Chọn ứng dụng của bạn")</f>
        <v>Chọn ứng dụng của bạn</v>
      </c>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row>
    <row r="27">
      <c r="A27" s="73" t="s">
        <v>11606</v>
      </c>
      <c r="B27" s="73" t="s">
        <v>11607</v>
      </c>
      <c r="C27" s="71" t="str">
        <f>IFERROR(__xludf.DUMMYFUNCTION("GOOGLETRANSLATE(B27,""en"",""ar"")"),"اكتب للبحث")</f>
        <v>اكتب للبحث</v>
      </c>
      <c r="D27" s="71" t="str">
        <f>IFERROR(__xludf.DUMMYFUNCTION("GOOGLETRANSLATE(B27,""en"",""cs"")"),"Zadejte pro vyhledávání")</f>
        <v>Zadejte pro vyhledávání</v>
      </c>
      <c r="E27" s="71" t="str">
        <f>IFERROR(__xludf.DUMMYFUNCTION("GOOGLETRANSLATE(B27,""en"",""de"")"),"Geben Sie „Suchen“ ein")</f>
        <v>Geben Sie „Suchen“ ein</v>
      </c>
      <c r="F27" s="71" t="str">
        <f>IFERROR(__xludf.DUMMYFUNCTION("GOOGLETRANSLATE(B27,""en"",""el"")"),"Πληκτρολογήστε Για Αναζήτηση")</f>
        <v>Πληκτρολογήστε Για Αναζήτηση</v>
      </c>
      <c r="G27" s="71" t="str">
        <f>IFERROR(__xludf.DUMMYFUNCTION("GOOGLETRANSLATE(B27,""en"",""es"")"),"Escriba para buscar")</f>
        <v>Escriba para buscar</v>
      </c>
      <c r="H27" s="71" t="str">
        <f>IFERROR(__xludf.DUMMYFUNCTION("GOOGLETRANSLATE(B27,""en"",""et"")"),"Tippige otsimiseks")</f>
        <v>Tippige otsimiseks</v>
      </c>
      <c r="I27" s="71" t="str">
        <f>IFERROR(__xludf.DUMMYFUNCTION("GOOGLETRANSLATE(B27,""en"",""fi"")"),"Kirjoita Hae")</f>
        <v>Kirjoita Hae</v>
      </c>
      <c r="J27" s="71" t="str">
        <f>IFERROR(__xludf.DUMMYFUNCTION("GOOGLETRANSLATE(B27,""en"",""fr"")"),"Tapez pour rechercher")</f>
        <v>Tapez pour rechercher</v>
      </c>
      <c r="K27" s="71" t="str">
        <f>IFERROR(__xludf.DUMMYFUNCTION("GOOGLETRANSLATE(B27,""en"",""hi"")"),"खोजने के लिए टाइप करें")</f>
        <v>खोजने के लिए टाइप करें</v>
      </c>
      <c r="L27" s="71" t="str">
        <f>IFERROR(__xludf.DUMMYFUNCTION("GOOGLETRANSLATE(B27,""en"",""id"")"),"Ketik Untuk Mencari")</f>
        <v>Ketik Untuk Mencari</v>
      </c>
      <c r="M27" s="71" t="str">
        <f>IFERROR(__xludf.DUMMYFUNCTION("GOOGLETRANSLATE(B27,""en"",""it"")"),"Digita per cercare")</f>
        <v>Digita per cercare</v>
      </c>
      <c r="N27" s="71" t="str">
        <f>IFERROR(__xludf.DUMMYFUNCTION("GOOGLETRANSLATE(B27,""en"",""ja"")"),"入力して検索")</f>
        <v>入力して検索</v>
      </c>
      <c r="O27" s="71" t="str">
        <f>IFERROR(__xludf.DUMMYFUNCTION("GOOGLETRANSLATE(B27,""en"",""km"")"),"វាយបញ្ចូលដើម្បីស្វែងរក")</f>
        <v>វាយបញ្ចូលដើម្បីស្វែងរក</v>
      </c>
      <c r="P27" s="71" t="str">
        <f>IFERROR(__xludf.DUMMYFUNCTION("GOOGLETRANSLATE(B27,""en"",""kn"")"),"ಹುಡುಕಲು ಟೈಪ್ ಮಾಡಿ")</f>
        <v>ಹುಡುಕಲು ಟೈಪ್ ಮಾಡಿ</v>
      </c>
      <c r="Q27" s="71" t="str">
        <f>IFERROR(__xludf.DUMMYFUNCTION("GOOGLETRANSLATE(B27,""en"",""ko"")"),"검색하려면 입력하세요.")</f>
        <v>검색하려면 입력하세요.</v>
      </c>
      <c r="R27" s="71" t="str">
        <f>IFERROR(__xludf.DUMMYFUNCTION("GOOGLETRANSLATE(B27,""en"",""lo"")"),"ພິມເພື່ອຊອກຫາ")</f>
        <v>ພິມເພື່ອຊອກຫາ</v>
      </c>
      <c r="S27" s="71" t="str">
        <f>IFERROR(__xludf.DUMMYFUNCTION("GOOGLETRANSLATE(B27,""en"",""lv"")"),"Ierakstiet, lai meklētu")</f>
        <v>Ierakstiet, lai meklētu</v>
      </c>
      <c r="T27" s="71" t="str">
        <f>IFERROR(__xludf.DUMMYFUNCTION("GOOGLETRANSLATE(B27,""en"",""ms"")"),"Taip Untuk Cari")</f>
        <v>Taip Untuk Cari</v>
      </c>
      <c r="U27" s="71" t="str">
        <f>IFERROR(__xludf.DUMMYFUNCTION("GOOGLETRANSLATE(B27,""en"",""nl"")"),"Typ om te zoeken")</f>
        <v>Typ om te zoeken</v>
      </c>
      <c r="V27" s="71" t="str">
        <f>IFERROR(__xludf.DUMMYFUNCTION("GOOGLETRANSLATE(B27,""en"",""pl"")"),"Wpisz, aby wyszukać")</f>
        <v>Wpisz, aby wyszukać</v>
      </c>
      <c r="W27" s="71" t="str">
        <f>IFERROR(__xludf.DUMMYFUNCTION("GOOGLETRANSLATE(B27,""en"",""pt-PT"")"),"Digite para pesquisar")</f>
        <v>Digite para pesquisar</v>
      </c>
      <c r="X27" s="71" t="str">
        <f>IFERROR(__xludf.DUMMYFUNCTION("GOOGLETRANSLATE(B27,""en"",""ru"")"),"Введите для поиска")</f>
        <v>Введите для поиска</v>
      </c>
      <c r="Y27" s="71" t="str">
        <f>IFERROR(__xludf.DUMMYFUNCTION("GOOGLETRANSLATE(B27,""en"",""th"")"),"พิมพ์เพื่อค้นหา")</f>
        <v>พิมพ์เพื่อค้นหา</v>
      </c>
      <c r="Z27" s="71" t="str">
        <f>IFERROR(__xludf.DUMMYFUNCTION("GOOGLETRANSLATE(B27,""en"",""tr"")"),"Aramak İçin Yazın")</f>
        <v>Aramak İçin Yazın</v>
      </c>
      <c r="AA27" s="71" t="str">
        <f>IFERROR(__xludf.DUMMYFUNCTION("GOOGLETRANSLATE(B27,""en"",""uk"")"),"Введіть для пошуку")</f>
        <v>Введіть для пошуку</v>
      </c>
      <c r="AB27" s="71" t="str">
        <f>IFERROR(__xludf.DUMMYFUNCTION("GOOGLETRANSLATE(B27,""en"",""zh-CN"")"),"输入搜索")</f>
        <v>输入搜索</v>
      </c>
      <c r="AC27" s="71" t="str">
        <f>IFERROR(__xludf.DUMMYFUNCTION("GOOGLETRANSLATE(B27,""en"",""vi"")"),"Nhập để tìm kiếm")</f>
        <v>Nhập để tìm kiếm</v>
      </c>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row>
    <row r="28">
      <c r="A28" s="73" t="s">
        <v>11608</v>
      </c>
      <c r="B28" s="73" t="s">
        <v>11609</v>
      </c>
      <c r="C28" s="71" t="str">
        <f>IFERROR(__xludf.DUMMYFUNCTION("GOOGLETRANSLATE(B28,""en"",""ar"")"),"المواضيع المختارة")</f>
        <v>المواضيع المختارة</v>
      </c>
      <c r="D28" s="71" t="str">
        <f>IFERROR(__xludf.DUMMYFUNCTION("GOOGLETRANSLATE(B28,""en"",""cs"")"),"Vybraná témata")</f>
        <v>Vybraná témata</v>
      </c>
      <c r="E28" s="71" t="str">
        <f>IFERROR(__xludf.DUMMYFUNCTION("GOOGLETRANSLATE(B28,""en"",""de"")"),"Ausgewählte Themen")</f>
        <v>Ausgewählte Themen</v>
      </c>
      <c r="F28" s="71" t="str">
        <f>IFERROR(__xludf.DUMMYFUNCTION("GOOGLETRANSLATE(B28,""en"",""el"")"),"Επιλεγμένα Θέματα")</f>
        <v>Επιλεγμένα Θέματα</v>
      </c>
      <c r="G28" s="71" t="str">
        <f>IFERROR(__xludf.DUMMYFUNCTION("GOOGLETRANSLATE(B28,""en"",""es"")"),"Temas seleccionados")</f>
        <v>Temas seleccionados</v>
      </c>
      <c r="H28" s="71" t="str">
        <f>IFERROR(__xludf.DUMMYFUNCTION("GOOGLETRANSLATE(B28,""en"",""et"")"),"Valitud teemad")</f>
        <v>Valitud teemad</v>
      </c>
      <c r="I28" s="71" t="str">
        <f>IFERROR(__xludf.DUMMYFUNCTION("GOOGLETRANSLATE(B28,""en"",""fi"")"),"Valitut teemat")</f>
        <v>Valitut teemat</v>
      </c>
      <c r="J28" s="71" t="str">
        <f>IFERROR(__xludf.DUMMYFUNCTION("GOOGLETRANSLATE(B28,""en"",""fr"")"),"Thèmes sélectionnés")</f>
        <v>Thèmes sélectionnés</v>
      </c>
      <c r="K28" s="71" t="str">
        <f>IFERROR(__xludf.DUMMYFUNCTION("GOOGLETRANSLATE(B28,""en"",""hi"")"),"चयनित थीम")</f>
        <v>चयनित थीम</v>
      </c>
      <c r="L28" s="71" t="str">
        <f>IFERROR(__xludf.DUMMYFUNCTION("GOOGLETRANSLATE(B28,""en"",""id"")"),"Tema yang Dipilih")</f>
        <v>Tema yang Dipilih</v>
      </c>
      <c r="M28" s="71" t="str">
        <f>IFERROR(__xludf.DUMMYFUNCTION("GOOGLETRANSLATE(B28,""en"",""it"")"),"Temi selezionati")</f>
        <v>Temi selezionati</v>
      </c>
      <c r="N28" s="71" t="str">
        <f>IFERROR(__xludf.DUMMYFUNCTION("GOOGLETRANSLATE(B28,""en"",""ja"")"),"選択されたテーマ")</f>
        <v>選択されたテーマ</v>
      </c>
      <c r="O28" s="71" t="str">
        <f>IFERROR(__xludf.DUMMYFUNCTION("GOOGLETRANSLATE(B28,""en"",""km"")"),"ស្បែកដែលបានជ្រើសរើស")</f>
        <v>ស្បែកដែលបានជ្រើសរើស</v>
      </c>
      <c r="P28" s="71" t="str">
        <f>IFERROR(__xludf.DUMMYFUNCTION("GOOGLETRANSLATE(B28,""en"",""kn"")"),"ಆಯ್ದ ಥೀಮ್‌ಗಳು")</f>
        <v>ಆಯ್ದ ಥೀಮ್‌ಗಳು</v>
      </c>
      <c r="Q28" s="71" t="str">
        <f>IFERROR(__xludf.DUMMYFUNCTION("GOOGLETRANSLATE(B28,""en"",""ko"")"),"선택된 테마")</f>
        <v>선택된 테마</v>
      </c>
      <c r="R28" s="71" t="str">
        <f>IFERROR(__xludf.DUMMYFUNCTION("GOOGLETRANSLATE(B28,""en"",""lo"")"),"ຮູບແບບສີສັນທີ່ເລືອກ")</f>
        <v>ຮູບແບບສີສັນທີ່ເລືອກ</v>
      </c>
      <c r="S28" s="71" t="str">
        <f>IFERROR(__xludf.DUMMYFUNCTION("GOOGLETRANSLATE(B28,""en"",""lv"")"),"Atlasītie motīvi")</f>
        <v>Atlasītie motīvi</v>
      </c>
      <c r="T28" s="71" t="str">
        <f>IFERROR(__xludf.DUMMYFUNCTION("GOOGLETRANSLATE(B28,""en"",""ms"")"),"Tema yang Dipilih")</f>
        <v>Tema yang Dipilih</v>
      </c>
      <c r="U28" s="71" t="str">
        <f>IFERROR(__xludf.DUMMYFUNCTION("GOOGLETRANSLATE(B28,""en"",""nl"")"),"Geselecteerde thema's")</f>
        <v>Geselecteerde thema's</v>
      </c>
      <c r="V28" s="71" t="str">
        <f>IFERROR(__xludf.DUMMYFUNCTION("GOOGLETRANSLATE(B28,""en"",""pl"")"),"Wybrane tematy")</f>
        <v>Wybrane tematy</v>
      </c>
      <c r="W28" s="71" t="str">
        <f>IFERROR(__xludf.DUMMYFUNCTION("GOOGLETRANSLATE(B28,""en"",""pt-PT"")"),"Temas Selecionados")</f>
        <v>Temas Selecionados</v>
      </c>
      <c r="X28" s="71" t="str">
        <f>IFERROR(__xludf.DUMMYFUNCTION("GOOGLETRANSLATE(B28,""en"",""ru"")"),"Выбранные темы")</f>
        <v>Выбранные темы</v>
      </c>
      <c r="Y28" s="71" t="str">
        <f>IFERROR(__xludf.DUMMYFUNCTION("GOOGLETRANSLATE(B28,""en"",""th"")"),"ธีมที่เลือก")</f>
        <v>ธีมที่เลือก</v>
      </c>
      <c r="Z28" s="71" t="str">
        <f>IFERROR(__xludf.DUMMYFUNCTION("GOOGLETRANSLATE(B28,""en"",""tr"")"),"Seçilen Temalar")</f>
        <v>Seçilen Temalar</v>
      </c>
      <c r="AA28" s="71" t="str">
        <f>IFERROR(__xludf.DUMMYFUNCTION("GOOGLETRANSLATE(B28,""en"",""uk"")"),"Вибрані теми")</f>
        <v>Вибрані теми</v>
      </c>
      <c r="AB28" s="71" t="str">
        <f>IFERROR(__xludf.DUMMYFUNCTION("GOOGLETRANSLATE(B28,""en"",""zh-CN"")"),"精选主题")</f>
        <v>精选主题</v>
      </c>
      <c r="AC28" s="71" t="str">
        <f>IFERROR(__xludf.DUMMYFUNCTION("GOOGLETRANSLATE(B28,""en"",""vi"")"),"Chủ đề đã chọn")</f>
        <v>Chủ đề đã chọn</v>
      </c>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row>
    <row r="29">
      <c r="A29" s="73" t="s">
        <v>11610</v>
      </c>
      <c r="B29" s="73" t="s">
        <v>11611</v>
      </c>
      <c r="C29" s="71" t="str">
        <f>IFERROR(__xludf.DUMMYFUNCTION("GOOGLETRANSLATE(B29,""en"",""ar"")"),"فتح ورق الجدران")</f>
        <v>فتح ورق الجدران</v>
      </c>
      <c r="D29" s="71" t="str">
        <f>IFERROR(__xludf.DUMMYFUNCTION("GOOGLETRANSLATE(B29,""en"",""cs"")"),"Odemknout tapetu")</f>
        <v>Odemknout tapetu</v>
      </c>
      <c r="E29" s="71" t="str">
        <f>IFERROR(__xludf.DUMMYFUNCTION("GOOGLETRANSLATE(B29,""en"",""de"")"),"Schalte das Hintergrundbild frei")</f>
        <v>Schalte das Hintergrundbild frei</v>
      </c>
      <c r="F29" s="71" t="str">
        <f>IFERROR(__xludf.DUMMYFUNCTION("GOOGLETRANSLATE(B29,""en"",""el"")"),"Ξεκλείδωμα ταπετσαρίας")</f>
        <v>Ξεκλείδωμα ταπετσαρίας</v>
      </c>
      <c r="G29" s="71" t="str">
        <f>IFERROR(__xludf.DUMMYFUNCTION("GOOGLETRANSLATE(B29,""en"",""es"")"),"Desbloquear fondo de pantalla")</f>
        <v>Desbloquear fondo de pantalla</v>
      </c>
      <c r="H29" s="71" t="str">
        <f>IFERROR(__xludf.DUMMYFUNCTION("GOOGLETRANSLATE(B29,""en"",""et"")"),"Avage taustpilt")</f>
        <v>Avage taustpilt</v>
      </c>
      <c r="I29" s="71" t="str">
        <f>IFERROR(__xludf.DUMMYFUNCTION("GOOGLETRANSLATE(B29,""en"",""fi"")"),"Avaa taustakuva")</f>
        <v>Avaa taustakuva</v>
      </c>
      <c r="J29" s="71" t="str">
        <f>IFERROR(__xludf.DUMMYFUNCTION("GOOGLETRANSLATE(B29,""en"",""fr"")"),"Déverrouiller le fond d'écran")</f>
        <v>Déverrouiller le fond d'écran</v>
      </c>
      <c r="K29" s="71" t="str">
        <f>IFERROR(__xludf.DUMMYFUNCTION("GOOGLETRANSLATE(B29,""en"",""hi"")"),"वॉलपेपर अनलॉक करें")</f>
        <v>वॉलपेपर अनलॉक करें</v>
      </c>
      <c r="L29" s="71" t="str">
        <f>IFERROR(__xludf.DUMMYFUNCTION("GOOGLETRANSLATE(B29,""en"",""id"")"),"Buka Kunci Wallpaper")</f>
        <v>Buka Kunci Wallpaper</v>
      </c>
      <c r="M29" s="71" t="str">
        <f>IFERROR(__xludf.DUMMYFUNCTION("GOOGLETRANSLATE(B29,""en"",""it"")"),"Sblocca lo sfondo")</f>
        <v>Sblocca lo sfondo</v>
      </c>
      <c r="N29" s="71" t="str">
        <f>IFERROR(__xludf.DUMMYFUNCTION("GOOGLETRANSLATE(B29,""en"",""ja"")"),"壁紙のロックを解除する")</f>
        <v>壁紙のロックを解除する</v>
      </c>
      <c r="O29" s="71" t="str">
        <f>IFERROR(__xludf.DUMMYFUNCTION("GOOGLETRANSLATE(B29,""en"",""km"")"),"ដោះសោផ្ទាំងរូបភាព")</f>
        <v>ដោះសោផ្ទាំងរូបភាព</v>
      </c>
      <c r="P29" s="71" t="str">
        <f>IFERROR(__xludf.DUMMYFUNCTION("GOOGLETRANSLATE(B29,""en"",""kn"")"),"ವಾಲ್‌ಪೇಪರ್ ಅನ್‌ಲಾಕ್ ಮಾಡಿ")</f>
        <v>ವಾಲ್‌ಪೇಪರ್ ಅನ್‌ಲಾಕ್ ಮಾಡಿ</v>
      </c>
      <c r="Q29" s="71" t="str">
        <f>IFERROR(__xludf.DUMMYFUNCTION("GOOGLETRANSLATE(B29,""en"",""ko"")"),"배경화면 잠금 해제")</f>
        <v>배경화면 잠금 해제</v>
      </c>
      <c r="R29" s="71" t="str">
        <f>IFERROR(__xludf.DUMMYFUNCTION("GOOGLETRANSLATE(B29,""en"",""lo"")"),"ປົດລັອກວໍເປເປີ")</f>
        <v>ປົດລັອກວໍເປເປີ</v>
      </c>
      <c r="S29" s="71" t="str">
        <f>IFERROR(__xludf.DUMMYFUNCTION("GOOGLETRANSLATE(B29,""en"",""lv"")"),"Atbloķēt fona attēlu")</f>
        <v>Atbloķēt fona attēlu</v>
      </c>
      <c r="T29" s="71" t="str">
        <f>IFERROR(__xludf.DUMMYFUNCTION("GOOGLETRANSLATE(B29,""en"",""ms"")"),"Buka kunci Kertas Dinding")</f>
        <v>Buka kunci Kertas Dinding</v>
      </c>
      <c r="U29" s="71" t="str">
        <f>IFERROR(__xludf.DUMMYFUNCTION("GOOGLETRANSLATE(B29,""en"",""nl"")"),"Ontgrendel achtergrond")</f>
        <v>Ontgrendel achtergrond</v>
      </c>
      <c r="V29" s="71" t="str">
        <f>IFERROR(__xludf.DUMMYFUNCTION("GOOGLETRANSLATE(B29,""en"",""pl"")"),"Odblokuj tapetę")</f>
        <v>Odblokuj tapetę</v>
      </c>
      <c r="W29" s="71" t="str">
        <f>IFERROR(__xludf.DUMMYFUNCTION("GOOGLETRANSLATE(B29,""en"",""pt-PT"")"),"Desbloquear papel de parede")</f>
        <v>Desbloquear papel de parede</v>
      </c>
      <c r="X29" s="71" t="str">
        <f>IFERROR(__xludf.DUMMYFUNCTION("GOOGLETRANSLATE(B29,""en"",""ru"")"),"Разблокировать обои")</f>
        <v>Разблокировать обои</v>
      </c>
      <c r="Y29" s="71" t="str">
        <f>IFERROR(__xludf.DUMMYFUNCTION("GOOGLETRANSLATE(B29,""en"",""th"")"),"ปลดล็อควอลเปเปอร์")</f>
        <v>ปลดล็อควอลเปเปอร์</v>
      </c>
      <c r="Z29" s="71" t="str">
        <f>IFERROR(__xludf.DUMMYFUNCTION("GOOGLETRANSLATE(B29,""en"",""tr"")"),"Duvar Kağıdının Kilidini Aç")</f>
        <v>Duvar Kağıdının Kilidini Aç</v>
      </c>
      <c r="AA29" s="71" t="str">
        <f>IFERROR(__xludf.DUMMYFUNCTION("GOOGLETRANSLATE(B29,""en"",""uk"")"),"Розблокувати шпалери")</f>
        <v>Розблокувати шпалери</v>
      </c>
      <c r="AB29" s="71" t="str">
        <f>IFERROR(__xludf.DUMMYFUNCTION("GOOGLETRANSLATE(B29,""en"",""zh-CN"")"),"解锁壁纸")</f>
        <v>解锁壁纸</v>
      </c>
      <c r="AC29" s="71" t="str">
        <f>IFERROR(__xludf.DUMMYFUNCTION("GOOGLETRANSLATE(B29,""en"",""vi"")"),"Mở khóa hình nền")</f>
        <v>Mở khóa hình nền</v>
      </c>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row>
    <row r="30">
      <c r="A30" s="73" t="s">
        <v>11612</v>
      </c>
      <c r="B30" s="73" t="s">
        <v>11613</v>
      </c>
      <c r="C30" s="71" t="str">
        <f>IFERROR(__xludf.DUMMYFUNCTION("GOOGLETRANSLATE(B30,""en"",""ar"")"),"ورق جدران")</f>
        <v>ورق جدران</v>
      </c>
      <c r="D30" s="71" t="str">
        <f>IFERROR(__xludf.DUMMYFUNCTION("GOOGLETRANSLATE(B30,""en"",""cs"")"),"TAPETA")</f>
        <v>TAPETA</v>
      </c>
      <c r="E30" s="71" t="str">
        <f>IFERROR(__xludf.DUMMYFUNCTION("GOOGLETRANSLATE(B30,""en"",""de"")"),"TAPETE")</f>
        <v>TAPETE</v>
      </c>
      <c r="F30" s="71" t="str">
        <f>IFERROR(__xludf.DUMMYFUNCTION("GOOGLETRANSLATE(B30,""en"",""el"")"),"ΤΑΠΕΤΣΑΡΙΑ")</f>
        <v>ΤΑΠΕΤΣΑΡΙΑ</v>
      </c>
      <c r="G30" s="71" t="str">
        <f>IFERROR(__xludf.DUMMYFUNCTION("GOOGLETRANSLATE(B30,""en"",""es"")"),"PAPEL PINTADO")</f>
        <v>PAPEL PINTADO</v>
      </c>
      <c r="H30" s="71" t="str">
        <f>IFERROR(__xludf.DUMMYFUNCTION("GOOGLETRANSLATE(B30,""en"",""et"")"),"TAPEET")</f>
        <v>TAPEET</v>
      </c>
      <c r="I30" s="71" t="str">
        <f>IFERROR(__xludf.DUMMYFUNCTION("GOOGLETRANSLATE(B30,""en"",""fi"")"),"TAPETTA")</f>
        <v>TAPETTA</v>
      </c>
      <c r="J30" s="71" t="str">
        <f>IFERROR(__xludf.DUMMYFUNCTION("GOOGLETRANSLATE(B30,""en"",""fr"")"),"PAPIER PEINT")</f>
        <v>PAPIER PEINT</v>
      </c>
      <c r="K30" s="71" t="str">
        <f>IFERROR(__xludf.DUMMYFUNCTION("GOOGLETRANSLATE(B30,""en"",""hi"")"),"वॉलपेपर")</f>
        <v>वॉलपेपर</v>
      </c>
      <c r="L30" s="71" t="str">
        <f>IFERROR(__xludf.DUMMYFUNCTION("GOOGLETRANSLATE(B30,""en"",""id"")"),"WALLPAPER")</f>
        <v>WALLPAPER</v>
      </c>
      <c r="M30" s="71" t="str">
        <f>IFERROR(__xludf.DUMMYFUNCTION("GOOGLETRANSLATE(B30,""en"",""it"")"),"CARTA DA PARATI")</f>
        <v>CARTA DA PARATI</v>
      </c>
      <c r="N30" s="71" t="str">
        <f>IFERROR(__xludf.DUMMYFUNCTION("GOOGLETRANSLATE(B30,""en"",""ja"")"),"壁紙")</f>
        <v>壁紙</v>
      </c>
      <c r="O30" s="71" t="str">
        <f>IFERROR(__xludf.DUMMYFUNCTION("GOOGLETRANSLATE(B30,""en"",""km"")"),"ផ្ទាំងរូបភាព")</f>
        <v>ផ្ទាំងរូបភាព</v>
      </c>
      <c r="P30" s="71" t="str">
        <f>IFERROR(__xludf.DUMMYFUNCTION("GOOGLETRANSLATE(B30,""en"",""kn"")"),"ವಾಲ್‌ಪೇಪರ್")</f>
        <v>ವಾಲ್‌ಪೇಪರ್</v>
      </c>
      <c r="Q30" s="71" t="str">
        <f>IFERROR(__xludf.DUMMYFUNCTION("GOOGLETRANSLATE(B30,""en"",""ko"")"),"벽지")</f>
        <v>벽지</v>
      </c>
      <c r="R30" s="71" t="str">
        <f>IFERROR(__xludf.DUMMYFUNCTION("GOOGLETRANSLATE(B30,""en"",""lo"")"),"ຮູບວໍເປເປີ")</f>
        <v>ຮູບວໍເປເປີ</v>
      </c>
      <c r="S30" s="71" t="str">
        <f>IFERROR(__xludf.DUMMYFUNCTION("GOOGLETRANSLATE(B30,""en"",""lv"")"),"TAPETE")</f>
        <v>TAPETE</v>
      </c>
      <c r="T30" s="71" t="str">
        <f>IFERROR(__xludf.DUMMYFUNCTION("GOOGLETRANSLATE(B30,""en"",""ms"")"),"KERTAS WALLPAPER")</f>
        <v>KERTAS WALLPAPER</v>
      </c>
      <c r="U30" s="71" t="str">
        <f>IFERROR(__xludf.DUMMYFUNCTION("GOOGLETRANSLATE(B30,""en"",""nl"")"),"BEHANG")</f>
        <v>BEHANG</v>
      </c>
      <c r="V30" s="71" t="str">
        <f>IFERROR(__xludf.DUMMYFUNCTION("GOOGLETRANSLATE(B30,""en"",""pl"")"),"TAPETA")</f>
        <v>TAPETA</v>
      </c>
      <c r="W30" s="71" t="str">
        <f>IFERROR(__xludf.DUMMYFUNCTION("GOOGLETRANSLATE(B30,""en"",""pt-PT"")"),"PAPEL DE PAREDE")</f>
        <v>PAPEL DE PAREDE</v>
      </c>
      <c r="X30" s="71" t="str">
        <f>IFERROR(__xludf.DUMMYFUNCTION("GOOGLETRANSLATE(B30,""en"",""ru"")"),"ОБОИ")</f>
        <v>ОБОИ</v>
      </c>
      <c r="Y30" s="71" t="str">
        <f>IFERROR(__xludf.DUMMYFUNCTION("GOOGLETRANSLATE(B30,""en"",""th"")"),"วอลล์เปเปอร์")</f>
        <v>วอลล์เปเปอร์</v>
      </c>
      <c r="Z30" s="71" t="str">
        <f>IFERROR(__xludf.DUMMYFUNCTION("GOOGLETRANSLATE(B30,""en"",""tr"")"),"DUVAR KAĞIDI")</f>
        <v>DUVAR KAĞIDI</v>
      </c>
      <c r="AA30" s="71" t="str">
        <f>IFERROR(__xludf.DUMMYFUNCTION("GOOGLETRANSLATE(B30,""en"",""uk"")"),"ШПАЛЕРИ")</f>
        <v>ШПАЛЕРИ</v>
      </c>
      <c r="AB30" s="71" t="str">
        <f>IFERROR(__xludf.DUMMYFUNCTION("GOOGLETRANSLATE(B30,""en"",""zh-CN"")"),"墙纸")</f>
        <v>墙纸</v>
      </c>
      <c r="AC30" s="71" t="str">
        <f>IFERROR(__xludf.DUMMYFUNCTION("GOOGLETRANSLATE(B30,""en"",""vi"")"),"HÌNH NỀN")</f>
        <v>HÌNH NỀN</v>
      </c>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row>
    <row r="31">
      <c r="A31" s="73" t="s">
        <v>11614</v>
      </c>
      <c r="B31" s="73" t="s">
        <v>11566</v>
      </c>
      <c r="C31" s="71" t="str">
        <f>IFERROR(__xludf.DUMMYFUNCTION("GOOGLETRANSLATE(B31,""en"",""ar"")"),"خلفيات")</f>
        <v>خلفيات</v>
      </c>
      <c r="D31" s="71" t="str">
        <f>IFERROR(__xludf.DUMMYFUNCTION("GOOGLETRANSLATE(B31,""en"",""cs"")"),"tapety")</f>
        <v>tapety</v>
      </c>
      <c r="E31" s="71" t="str">
        <f>IFERROR(__xludf.DUMMYFUNCTION("GOOGLETRANSLATE(B31,""en"",""de"")"),"Hintergrundbilder")</f>
        <v>Hintergrundbilder</v>
      </c>
      <c r="F31" s="71" t="str">
        <f>IFERROR(__xludf.DUMMYFUNCTION("GOOGLETRANSLATE(B31,""en"",""el"")"),"Ταπετσαρίες")</f>
        <v>Ταπετσαρίες</v>
      </c>
      <c r="G31" s="71" t="str">
        <f>IFERROR(__xludf.DUMMYFUNCTION("GOOGLETRANSLATE(B31,""en"",""es"")"),"Fondos de pantalla")</f>
        <v>Fondos de pantalla</v>
      </c>
      <c r="H31" s="71" t="str">
        <f>IFERROR(__xludf.DUMMYFUNCTION("GOOGLETRANSLATE(B31,""en"",""et"")"),"Taustapildid")</f>
        <v>Taustapildid</v>
      </c>
      <c r="I31" s="71" t="str">
        <f>IFERROR(__xludf.DUMMYFUNCTION("GOOGLETRANSLATE(B31,""en"",""fi"")"),"Taustakuvat")</f>
        <v>Taustakuvat</v>
      </c>
      <c r="J31" s="71" t="str">
        <f>IFERROR(__xludf.DUMMYFUNCTION("GOOGLETRANSLATE(B31,""en"",""fr"")"),"Fonds d'écran")</f>
        <v>Fonds d'écran</v>
      </c>
      <c r="K31" s="71" t="str">
        <f>IFERROR(__xludf.DUMMYFUNCTION("GOOGLETRANSLATE(B31,""en"",""hi"")"),"वॉलपेपर")</f>
        <v>वॉलपेपर</v>
      </c>
      <c r="L31" s="71" t="str">
        <f>IFERROR(__xludf.DUMMYFUNCTION("GOOGLETRANSLATE(B31,""en"",""id"")"),"Wallpaper")</f>
        <v>Wallpaper</v>
      </c>
      <c r="M31" s="71" t="str">
        <f>IFERROR(__xludf.DUMMYFUNCTION("GOOGLETRANSLATE(B31,""en"",""it"")"),"Sfondi")</f>
        <v>Sfondi</v>
      </c>
      <c r="N31" s="71" t="str">
        <f>IFERROR(__xludf.DUMMYFUNCTION("GOOGLETRANSLATE(B31,""en"",""ja"")"),"壁紙")</f>
        <v>壁紙</v>
      </c>
      <c r="O31" s="71" t="str">
        <f>IFERROR(__xludf.DUMMYFUNCTION("GOOGLETRANSLATE(B31,""en"",""km"")"),"ផ្ទាំងរូបភាព")</f>
        <v>ផ្ទាំងរូបភាព</v>
      </c>
      <c r="P31" s="71" t="str">
        <f>IFERROR(__xludf.DUMMYFUNCTION("GOOGLETRANSLATE(B31,""en"",""kn"")"),"ವಾಲ್‌ಪೇಪರ್‌ಗಳು")</f>
        <v>ವಾಲ್‌ಪೇಪರ್‌ಗಳು</v>
      </c>
      <c r="Q31" s="71" t="str">
        <f>IFERROR(__xludf.DUMMYFUNCTION("GOOGLETRANSLATE(B31,""en"",""ko"")"),"배경화면")</f>
        <v>배경화면</v>
      </c>
      <c r="R31" s="71" t="str">
        <f>IFERROR(__xludf.DUMMYFUNCTION("GOOGLETRANSLATE(B31,""en"",""lo"")"),"ພາບພື້ນຫຼັງ")</f>
        <v>ພາບພື້ນຫຼັງ</v>
      </c>
      <c r="S31" s="71" t="str">
        <f>IFERROR(__xludf.DUMMYFUNCTION("GOOGLETRANSLATE(B31,""en"",""lv"")"),"Tapetes")</f>
        <v>Tapetes</v>
      </c>
      <c r="T31" s="71" t="str">
        <f>IFERROR(__xludf.DUMMYFUNCTION("GOOGLETRANSLATE(B31,""en"",""ms"")"),"Kertas dinding")</f>
        <v>Kertas dinding</v>
      </c>
      <c r="U31" s="71" t="str">
        <f>IFERROR(__xludf.DUMMYFUNCTION("GOOGLETRANSLATE(B31,""en"",""nl"")"),"Achtergronden")</f>
        <v>Achtergronden</v>
      </c>
      <c r="V31" s="71" t="str">
        <f>IFERROR(__xludf.DUMMYFUNCTION("GOOGLETRANSLATE(B31,""en"",""pl"")"),"Tapety")</f>
        <v>Tapety</v>
      </c>
      <c r="W31" s="71" t="str">
        <f>IFERROR(__xludf.DUMMYFUNCTION("GOOGLETRANSLATE(B31,""en"",""pt-PT"")"),"Papéis de parede")</f>
        <v>Papéis de parede</v>
      </c>
      <c r="X31" s="71" t="str">
        <f>IFERROR(__xludf.DUMMYFUNCTION("GOOGLETRANSLATE(B31,""en"",""ru"")"),"Обои")</f>
        <v>Обои</v>
      </c>
      <c r="Y31" s="71" t="str">
        <f>IFERROR(__xludf.DUMMYFUNCTION("GOOGLETRANSLATE(B31,""en"",""th"")"),"วอลเปเปอร์")</f>
        <v>วอลเปเปอร์</v>
      </c>
      <c r="Z31" s="71" t="str">
        <f>IFERROR(__xludf.DUMMYFUNCTION("GOOGLETRANSLATE(B31,""en"",""tr"")"),"Duvar Kağıtları")</f>
        <v>Duvar Kağıtları</v>
      </c>
      <c r="AA31" s="71" t="str">
        <f>IFERROR(__xludf.DUMMYFUNCTION("GOOGLETRANSLATE(B31,""en"",""uk"")"),"Шпалери")</f>
        <v>Шпалери</v>
      </c>
      <c r="AB31" s="71" t="str">
        <f>IFERROR(__xludf.DUMMYFUNCTION("GOOGLETRANSLATE(B31,""en"",""zh-CN"")"),"壁纸")</f>
        <v>壁纸</v>
      </c>
      <c r="AC31" s="71" t="str">
        <f>IFERROR(__xludf.DUMMYFUNCTION("GOOGLETRANSLATE(B31,""en"",""vi"")"),"Hình nền")</f>
        <v>Hình nền</v>
      </c>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row>
    <row r="32">
      <c r="A32" s="73" t="s">
        <v>11615</v>
      </c>
      <c r="B32" s="73" t="s">
        <v>11562</v>
      </c>
      <c r="C32" s="71" t="str">
        <f>IFERROR(__xludf.DUMMYFUNCTION("GOOGLETRANSLATE(B32,""en"",""ar"")"),"أيقونات")</f>
        <v>أيقونات</v>
      </c>
      <c r="D32" s="71" t="str">
        <f>IFERROR(__xludf.DUMMYFUNCTION("GOOGLETRANSLATE(B32,""en"",""cs"")"),"ikony")</f>
        <v>ikony</v>
      </c>
      <c r="E32" s="71" t="str">
        <f>IFERROR(__xludf.DUMMYFUNCTION("GOOGLETRANSLATE(B32,""en"",""de"")"),"Symbole")</f>
        <v>Symbole</v>
      </c>
      <c r="F32" s="71" t="str">
        <f>IFERROR(__xludf.DUMMYFUNCTION("GOOGLETRANSLATE(B32,""en"",""el"")"),"εικονίδια")</f>
        <v>εικονίδια</v>
      </c>
      <c r="G32" s="71" t="str">
        <f>IFERROR(__xludf.DUMMYFUNCTION("GOOGLETRANSLATE(B32,""en"",""es"")"),"Iconos")</f>
        <v>Iconos</v>
      </c>
      <c r="H32" s="71" t="str">
        <f>IFERROR(__xludf.DUMMYFUNCTION("GOOGLETRANSLATE(B32,""en"",""et"")"),"Ikoonid")</f>
        <v>Ikoonid</v>
      </c>
      <c r="I32" s="71" t="str">
        <f>IFERROR(__xludf.DUMMYFUNCTION("GOOGLETRANSLATE(B32,""en"",""fi"")"),"Kuvakkeet")</f>
        <v>Kuvakkeet</v>
      </c>
      <c r="J32" s="71" t="str">
        <f>IFERROR(__xludf.DUMMYFUNCTION("GOOGLETRANSLATE(B32,""en"",""fr"")"),"Icônes")</f>
        <v>Icônes</v>
      </c>
      <c r="K32" s="71" t="str">
        <f>IFERROR(__xludf.DUMMYFUNCTION("GOOGLETRANSLATE(B32,""en"",""hi"")"),"माउस")</f>
        <v>माउस</v>
      </c>
      <c r="L32" s="71" t="str">
        <f>IFERROR(__xludf.DUMMYFUNCTION("GOOGLETRANSLATE(B32,""en"",""id"")"),"Ikon")</f>
        <v>Ikon</v>
      </c>
      <c r="M32" s="71" t="str">
        <f>IFERROR(__xludf.DUMMYFUNCTION("GOOGLETRANSLATE(B32,""en"",""it"")"),"Icone")</f>
        <v>Icone</v>
      </c>
      <c r="N32" s="71" t="str">
        <f>IFERROR(__xludf.DUMMYFUNCTION("GOOGLETRANSLATE(B32,""en"",""ja"")"),"アイコン")</f>
        <v>アイコン</v>
      </c>
      <c r="O32" s="71" t="str">
        <f>IFERROR(__xludf.DUMMYFUNCTION("GOOGLETRANSLATE(B32,""en"",""km"")"),"រូបតំណាង")</f>
        <v>រូបតំណាង</v>
      </c>
      <c r="P32" s="71" t="str">
        <f>IFERROR(__xludf.DUMMYFUNCTION("GOOGLETRANSLATE(B32,""en"",""kn"")"),"ಚಿಹ್ನೆಗಳು")</f>
        <v>ಚಿಹ್ನೆಗಳು</v>
      </c>
      <c r="Q32" s="71" t="str">
        <f>IFERROR(__xludf.DUMMYFUNCTION("GOOGLETRANSLATE(B32,""en"",""ko"")"),"아이콘")</f>
        <v>아이콘</v>
      </c>
      <c r="R32" s="71" t="str">
        <f>IFERROR(__xludf.DUMMYFUNCTION("GOOGLETRANSLATE(B32,""en"",""lo"")"),"ໄອຄອນ")</f>
        <v>ໄອຄອນ</v>
      </c>
      <c r="S32" s="71" t="str">
        <f>IFERROR(__xludf.DUMMYFUNCTION("GOOGLETRANSLATE(B32,""en"",""lv"")"),"Ikonas")</f>
        <v>Ikonas</v>
      </c>
      <c r="T32" s="71" t="str">
        <f>IFERROR(__xludf.DUMMYFUNCTION("GOOGLETRANSLATE(B32,""en"",""ms"")"),"ikon")</f>
        <v>ikon</v>
      </c>
      <c r="U32" s="71" t="str">
        <f>IFERROR(__xludf.DUMMYFUNCTION("GOOGLETRANSLATE(B32,""en"",""nl"")"),"Pictogrammen")</f>
        <v>Pictogrammen</v>
      </c>
      <c r="V32" s="71" t="str">
        <f>IFERROR(__xludf.DUMMYFUNCTION("GOOGLETRANSLATE(B32,""en"",""pl"")"),"Ikony")</f>
        <v>Ikony</v>
      </c>
      <c r="W32" s="71" t="str">
        <f>IFERROR(__xludf.DUMMYFUNCTION("GOOGLETRANSLATE(B32,""en"",""pt-PT"")"),"Ícones")</f>
        <v>Ícones</v>
      </c>
      <c r="X32" s="71" t="str">
        <f>IFERROR(__xludf.DUMMYFUNCTION("GOOGLETRANSLATE(B32,""en"",""ru"")"),"Иконки")</f>
        <v>Иконки</v>
      </c>
      <c r="Y32" s="71" t="str">
        <f>IFERROR(__xludf.DUMMYFUNCTION("GOOGLETRANSLATE(B32,""en"",""th"")"),"ไอคอน")</f>
        <v>ไอคอน</v>
      </c>
      <c r="Z32" s="71" t="str">
        <f>IFERROR(__xludf.DUMMYFUNCTION("GOOGLETRANSLATE(B32,""en"",""tr"")"),"Simgeler")</f>
        <v>Simgeler</v>
      </c>
      <c r="AA32" s="71" t="str">
        <f>IFERROR(__xludf.DUMMYFUNCTION("GOOGLETRANSLATE(B32,""en"",""uk"")"),"іконки")</f>
        <v>іконки</v>
      </c>
      <c r="AB32" s="71" t="str">
        <f>IFERROR(__xludf.DUMMYFUNCTION("GOOGLETRANSLATE(B32,""en"",""zh-CN"")"),"图标")</f>
        <v>图标</v>
      </c>
      <c r="AC32" s="71" t="str">
        <f>IFERROR(__xludf.DUMMYFUNCTION("GOOGLETRANSLATE(B32,""en"",""vi"")"),"Biểu tượng")</f>
        <v>Biểu tượng</v>
      </c>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row>
    <row r="33">
      <c r="A33" s="73" t="s">
        <v>11616</v>
      </c>
      <c r="B33" s="73" t="s">
        <v>11564</v>
      </c>
      <c r="C33" s="71" t="str">
        <f>IFERROR(__xludf.DUMMYFUNCTION("GOOGLETRANSLATE(B33,""en"",""ar"")"),"الحاجيات")</f>
        <v>الحاجيات</v>
      </c>
      <c r="D33" s="71" t="str">
        <f>IFERROR(__xludf.DUMMYFUNCTION("GOOGLETRANSLATE(B33,""en"",""cs"")"),"Widgety")</f>
        <v>Widgety</v>
      </c>
      <c r="E33" s="71" t="str">
        <f>IFERROR(__xludf.DUMMYFUNCTION("GOOGLETRANSLATE(B33,""en"",""de"")"),"Widgets")</f>
        <v>Widgets</v>
      </c>
      <c r="F33" s="71" t="str">
        <f>IFERROR(__xludf.DUMMYFUNCTION("GOOGLETRANSLATE(B33,""en"",""el"")"),"Widgets")</f>
        <v>Widgets</v>
      </c>
      <c r="G33" s="71" t="str">
        <f>IFERROR(__xludf.DUMMYFUNCTION("GOOGLETRANSLATE(B33,""en"",""es"")"),"widgets")</f>
        <v>widgets</v>
      </c>
      <c r="H33" s="71" t="str">
        <f>IFERROR(__xludf.DUMMYFUNCTION("GOOGLETRANSLATE(B33,""en"",""et"")"),"Vidinad")</f>
        <v>Vidinad</v>
      </c>
      <c r="I33" s="71" t="str">
        <f>IFERROR(__xludf.DUMMYFUNCTION("GOOGLETRANSLATE(B33,""en"",""fi"")"),"Widgetit")</f>
        <v>Widgetit</v>
      </c>
      <c r="J33" s="71" t="str">
        <f>IFERROR(__xludf.DUMMYFUNCTION("GOOGLETRANSLATE(B33,""en"",""fr"")"),"Widgets")</f>
        <v>Widgets</v>
      </c>
      <c r="K33" s="71" t="str">
        <f>IFERROR(__xludf.DUMMYFUNCTION("GOOGLETRANSLATE(B33,""en"",""hi"")"),"विजेट")</f>
        <v>विजेट</v>
      </c>
      <c r="L33" s="71" t="str">
        <f>IFERROR(__xludf.DUMMYFUNCTION("GOOGLETRANSLATE(B33,""en"",""id"")"),"Widget")</f>
        <v>Widget</v>
      </c>
      <c r="M33" s="71" t="str">
        <f>IFERROR(__xludf.DUMMYFUNCTION("GOOGLETRANSLATE(B33,""en"",""it"")"),"Widget")</f>
        <v>Widget</v>
      </c>
      <c r="N33" s="71" t="str">
        <f>IFERROR(__xludf.DUMMYFUNCTION("GOOGLETRANSLATE(B33,""en"",""ja"")"),"ウィジェット")</f>
        <v>ウィジェット</v>
      </c>
      <c r="O33" s="71" t="str">
        <f>IFERROR(__xludf.DUMMYFUNCTION("GOOGLETRANSLATE(B33,""en"",""km"")"),"ធាតុក្រាហ្វិក")</f>
        <v>ធាតុក្រាហ្វិក</v>
      </c>
      <c r="P33" s="71" t="str">
        <f>IFERROR(__xludf.DUMMYFUNCTION("GOOGLETRANSLATE(B33,""en"",""kn"")"),"ವಿಜೆಟ್‌ಗಳು")</f>
        <v>ವಿಜೆಟ್‌ಗಳು</v>
      </c>
      <c r="Q33" s="71" t="str">
        <f>IFERROR(__xludf.DUMMYFUNCTION("GOOGLETRANSLATE(B33,""en"",""ko"")"),"위젯")</f>
        <v>위젯</v>
      </c>
      <c r="R33" s="71" t="str">
        <f>IFERROR(__xludf.DUMMYFUNCTION("GOOGLETRANSLATE(B33,""en"",""lo"")"),"ວິດເຈັດ")</f>
        <v>ວິດເຈັດ</v>
      </c>
      <c r="S33" s="71" t="str">
        <f>IFERROR(__xludf.DUMMYFUNCTION("GOOGLETRANSLATE(B33,""en"",""lv"")"),"Logrīki")</f>
        <v>Logrīki</v>
      </c>
      <c r="T33" s="71" t="str">
        <f>IFERROR(__xludf.DUMMYFUNCTION("GOOGLETRANSLATE(B33,""en"",""ms"")"),"Widget")</f>
        <v>Widget</v>
      </c>
      <c r="U33" s="71" t="str">
        <f>IFERROR(__xludf.DUMMYFUNCTION("GOOGLETRANSLATE(B33,""en"",""nl"")"),"Widgets")</f>
        <v>Widgets</v>
      </c>
      <c r="V33" s="71" t="str">
        <f>IFERROR(__xludf.DUMMYFUNCTION("GOOGLETRANSLATE(B33,""en"",""pl"")"),"Widżety")</f>
        <v>Widżety</v>
      </c>
      <c r="W33" s="71" t="str">
        <f>IFERROR(__xludf.DUMMYFUNCTION("GOOGLETRANSLATE(B33,""en"",""pt-PT"")"),"Widgets")</f>
        <v>Widgets</v>
      </c>
      <c r="X33" s="71" t="str">
        <f>IFERROR(__xludf.DUMMYFUNCTION("GOOGLETRANSLATE(B33,""en"",""ru"")"),"Виджеты")</f>
        <v>Виджеты</v>
      </c>
      <c r="Y33" s="71" t="str">
        <f>IFERROR(__xludf.DUMMYFUNCTION("GOOGLETRANSLATE(B33,""en"",""th"")"),"วิดเจ็ต")</f>
        <v>วิดเจ็ต</v>
      </c>
      <c r="Z33" s="71" t="str">
        <f>IFERROR(__xludf.DUMMYFUNCTION("GOOGLETRANSLATE(B33,""en"",""tr"")"),"Widget'lar")</f>
        <v>Widget'lar</v>
      </c>
      <c r="AA33" s="71" t="str">
        <f>IFERROR(__xludf.DUMMYFUNCTION("GOOGLETRANSLATE(B33,""en"",""uk"")"),"Віджети")</f>
        <v>Віджети</v>
      </c>
      <c r="AB33" s="71" t="str">
        <f>IFERROR(__xludf.DUMMYFUNCTION("GOOGLETRANSLATE(B33,""en"",""zh-CN"")"),"小部件")</f>
        <v>小部件</v>
      </c>
      <c r="AC33" s="71" t="str">
        <f>IFERROR(__xludf.DUMMYFUNCTION("GOOGLETRANSLATE(B33,""en"",""vi"")"),"Widget")</f>
        <v>Widget</v>
      </c>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row>
    <row r="34">
      <c r="A34" s="73" t="s">
        <v>7034</v>
      </c>
      <c r="B34" s="73" t="s">
        <v>7035</v>
      </c>
      <c r="C34" s="71" t="str">
        <f>IFERROR(__xludf.DUMMYFUNCTION("GOOGLETRANSLATE(B34,""en"",""ar"")"),"تحميل")</f>
        <v>تحميل</v>
      </c>
      <c r="D34" s="71" t="str">
        <f>IFERROR(__xludf.DUMMYFUNCTION("GOOGLETRANSLATE(B34,""en"",""cs"")"),"Stáhnout")</f>
        <v>Stáhnout</v>
      </c>
      <c r="E34" s="71" t="str">
        <f>IFERROR(__xludf.DUMMYFUNCTION("GOOGLETRANSLATE(B34,""en"",""de"")"),"Herunterladen")</f>
        <v>Herunterladen</v>
      </c>
      <c r="F34" s="71" t="str">
        <f>IFERROR(__xludf.DUMMYFUNCTION("GOOGLETRANSLATE(B34,""en"",""el"")"),"Λήψη")</f>
        <v>Λήψη</v>
      </c>
      <c r="G34" s="71" t="str">
        <f>IFERROR(__xludf.DUMMYFUNCTION("GOOGLETRANSLATE(B34,""en"",""es"")"),"Descargar")</f>
        <v>Descargar</v>
      </c>
      <c r="H34" s="71" t="str">
        <f>IFERROR(__xludf.DUMMYFUNCTION("GOOGLETRANSLATE(B34,""en"",""et"")"),"Laadi alla")</f>
        <v>Laadi alla</v>
      </c>
      <c r="I34" s="71" t="str">
        <f>IFERROR(__xludf.DUMMYFUNCTION("GOOGLETRANSLATE(B34,""en"",""fi"")"),"Lataa")</f>
        <v>Lataa</v>
      </c>
      <c r="J34" s="71" t="str">
        <f>IFERROR(__xludf.DUMMYFUNCTION("GOOGLETRANSLATE(B34,""en"",""fr"")"),"Télécharger")</f>
        <v>Télécharger</v>
      </c>
      <c r="K34" s="71" t="str">
        <f>IFERROR(__xludf.DUMMYFUNCTION("GOOGLETRANSLATE(B34,""en"",""hi"")"),"डाउनलोड करना")</f>
        <v>डाउनलोड करना</v>
      </c>
      <c r="L34" s="71" t="str">
        <f>IFERROR(__xludf.DUMMYFUNCTION("GOOGLETRANSLATE(B34,""en"",""id"")"),"Unduh")</f>
        <v>Unduh</v>
      </c>
      <c r="M34" s="71" t="str">
        <f>IFERROR(__xludf.DUMMYFUNCTION("GOOGLETRANSLATE(B34,""en"",""it"")"),"Scaricamento")</f>
        <v>Scaricamento</v>
      </c>
      <c r="N34" s="71" t="str">
        <f>IFERROR(__xludf.DUMMYFUNCTION("GOOGLETRANSLATE(B34,""en"",""ja"")"),"ダウンロード")</f>
        <v>ダウンロード</v>
      </c>
      <c r="O34" s="71" t="str">
        <f>IFERROR(__xludf.DUMMYFUNCTION("GOOGLETRANSLATE(B34,""en"",""km"")"),"ទាញយក")</f>
        <v>ទាញយក</v>
      </c>
      <c r="P34" s="71" t="str">
        <f>IFERROR(__xludf.DUMMYFUNCTION("GOOGLETRANSLATE(B34,""en"",""kn"")"),"ಡೌನ್‌ಲೋಡ್ ಮಾಡಿ")</f>
        <v>ಡೌನ್‌ಲೋಡ್ ಮಾಡಿ</v>
      </c>
      <c r="Q34" s="71" t="str">
        <f>IFERROR(__xludf.DUMMYFUNCTION("GOOGLETRANSLATE(B34,""en"",""ko"")"),"다운로드")</f>
        <v>다운로드</v>
      </c>
      <c r="R34" s="71" t="str">
        <f>IFERROR(__xludf.DUMMYFUNCTION("GOOGLETRANSLATE(B34,""en"",""lo"")"),"ດາວໂຫຼດ")</f>
        <v>ດາວໂຫຼດ</v>
      </c>
      <c r="S34" s="71" t="str">
        <f>IFERROR(__xludf.DUMMYFUNCTION("GOOGLETRANSLATE(B34,""en"",""lv"")"),"Lejupielādēt")</f>
        <v>Lejupielādēt</v>
      </c>
      <c r="T34" s="71" t="str">
        <f>IFERROR(__xludf.DUMMYFUNCTION("GOOGLETRANSLATE(B34,""en"",""ms"")"),"Muat turun")</f>
        <v>Muat turun</v>
      </c>
      <c r="U34" s="71" t="str">
        <f>IFERROR(__xludf.DUMMYFUNCTION("GOOGLETRANSLATE(B34,""en"",""nl"")"),"Downloaden")</f>
        <v>Downloaden</v>
      </c>
      <c r="V34" s="71" t="str">
        <f>IFERROR(__xludf.DUMMYFUNCTION("GOOGLETRANSLATE(B34,""en"",""pl"")"),"Pobierać")</f>
        <v>Pobierać</v>
      </c>
      <c r="W34" s="71" t="str">
        <f>IFERROR(__xludf.DUMMYFUNCTION("GOOGLETRANSLATE(B34,""en"",""pt-PT"")"),"Download")</f>
        <v>Download</v>
      </c>
      <c r="X34" s="71" t="str">
        <f>IFERROR(__xludf.DUMMYFUNCTION("GOOGLETRANSLATE(B34,""en"",""ru"")"),"Скачать")</f>
        <v>Скачать</v>
      </c>
      <c r="Y34" s="71" t="str">
        <f>IFERROR(__xludf.DUMMYFUNCTION("GOOGLETRANSLATE(B34,""en"",""th"")"),"ดาวน์โหลด")</f>
        <v>ดาวน์โหลด</v>
      </c>
      <c r="Z34" s="71" t="str">
        <f>IFERROR(__xludf.DUMMYFUNCTION("GOOGLETRANSLATE(B34,""en"",""tr"")"),"İndirmek")</f>
        <v>İndirmek</v>
      </c>
      <c r="AA34" s="71" t="str">
        <f>IFERROR(__xludf.DUMMYFUNCTION("GOOGLETRANSLATE(B34,""en"",""uk"")"),"Завантажити")</f>
        <v>Завантажити</v>
      </c>
      <c r="AB34" s="71" t="str">
        <f>IFERROR(__xludf.DUMMYFUNCTION("GOOGLETRANSLATE(B34,""en"",""zh-CN"")"),"下载")</f>
        <v>下载</v>
      </c>
      <c r="AC34" s="71" t="str">
        <f>IFERROR(__xludf.DUMMYFUNCTION("GOOGLETRANSLATE(B34,""en"",""vi"")"),"Tải xuống")</f>
        <v>Tải xuống</v>
      </c>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row>
    <row r="35">
      <c r="A35" s="73" t="s">
        <v>11617</v>
      </c>
      <c r="B35" s="73" t="s">
        <v>11618</v>
      </c>
      <c r="C35" s="71" t="str">
        <f>IFERROR(__xludf.DUMMYFUNCTION("GOOGLETRANSLATE(B35,""en"",""ar"")"),"فتح مع ")</f>
        <v>فتح مع </v>
      </c>
      <c r="D35" s="71" t="str">
        <f>IFERROR(__xludf.DUMMYFUNCTION("GOOGLETRANSLATE(B35,""en"",""cs"")"),"Odemknout pomocí ")</f>
        <v>Odemknout pomocí </v>
      </c>
      <c r="E35" s="71" t="str">
        <f>IFERROR(__xludf.DUMMYFUNCTION("GOOGLETRANSLATE(B35,""en"",""de"")"),"Entsperren Sie mit ")</f>
        <v>Entsperren Sie mit </v>
      </c>
      <c r="F35" s="71" t="str">
        <f>IFERROR(__xludf.DUMMYFUNCTION("GOOGLETRANSLATE(B35,""en"",""el"")"),"Ξεκλείδωμα με ")</f>
        <v>Ξεκλείδωμα με </v>
      </c>
      <c r="G35" s="71" t="str">
        <f>IFERROR(__xludf.DUMMYFUNCTION("GOOGLETRANSLATE(B35,""en"",""es"")"),"Desbloquear con ")</f>
        <v>Desbloquear con </v>
      </c>
      <c r="H35" s="71" t="str">
        <f>IFERROR(__xludf.DUMMYFUNCTION("GOOGLETRANSLATE(B35,""en"",""et"")"),"Avage rakendusega ")</f>
        <v>Avage rakendusega </v>
      </c>
      <c r="I35" s="71" t="str">
        <f>IFERROR(__xludf.DUMMYFUNCTION("GOOGLETRANSLATE(B35,""en"",""fi"")"),"Avaa lukitus ")</f>
        <v>Avaa lukitus </v>
      </c>
      <c r="J35" s="71" t="str">
        <f>IFERROR(__xludf.DUMMYFUNCTION("GOOGLETRANSLATE(B35,""en"",""fr"")"),"Débloquez avec ")</f>
        <v>Débloquez avec </v>
      </c>
      <c r="K35" s="71" t="str">
        <f>IFERROR(__xludf.DUMMYFUNCTION("GOOGLETRANSLATE(B35,""en"",""hi"")"),"के साथ अनलॉक करें ")</f>
        <v>के साथ अनलॉक करें </v>
      </c>
      <c r="L35" s="71" t="str">
        <f>IFERROR(__xludf.DUMMYFUNCTION("GOOGLETRANSLATE(B35,""en"",""id"")"),"Buka kunci dengan ")</f>
        <v>Buka kunci dengan </v>
      </c>
      <c r="M35" s="71" t="str">
        <f>IFERROR(__xludf.DUMMYFUNCTION("GOOGLETRANSLATE(B35,""en"",""it"")"),"Sblocca con ")</f>
        <v>Sblocca con </v>
      </c>
      <c r="N35" s="71" t="str">
        <f>IFERROR(__xludf.DUMMYFUNCTION("GOOGLETRANSLATE(B35,""en"",""ja"")"),"でロックを解除します ")</f>
        <v>でロックを解除します </v>
      </c>
      <c r="O35" s="71" t="str">
        <f>IFERROR(__xludf.DUMMYFUNCTION("GOOGLETRANSLATE(B35,""en"",""km"")"),"ដោះសោជាមួយ ")</f>
        <v>ដោះសោជាមួយ </v>
      </c>
      <c r="P35" s="71" t="str">
        <f>IFERROR(__xludf.DUMMYFUNCTION("GOOGLETRANSLATE(B35,""en"",""kn"")"),"ಇದರೊಂದಿಗೆ ಅನ್ಲಾಕ್ ಮಾಡಿ ")</f>
        <v>ಇದರೊಂದಿಗೆ ಅನ್ಲಾಕ್ ಮಾಡಿ </v>
      </c>
      <c r="Q35" s="71" t="str">
        <f>IFERROR(__xludf.DUMMYFUNCTION("GOOGLETRANSLATE(B35,""en"",""ko"")"),"다음으로 잠금 해제 ")</f>
        <v>다음으로 잠금 해제 </v>
      </c>
      <c r="R35" s="71" t="str">
        <f>IFERROR(__xludf.DUMMYFUNCTION("GOOGLETRANSLATE(B35,""en"",""lo"")"),"ປົດລັອກດ້ວຍ ")</f>
        <v>ປົດລັອກດ້ວຍ </v>
      </c>
      <c r="S35" s="71" t="str">
        <f>IFERROR(__xludf.DUMMYFUNCTION("GOOGLETRANSLATE(B35,""en"",""lv"")"),"Atbloķēt ar ")</f>
        <v>Atbloķēt ar </v>
      </c>
      <c r="T35" s="71" t="str">
        <f>IFERROR(__xludf.DUMMYFUNCTION("GOOGLETRANSLATE(B35,""en"",""ms"")"),"Buka kunci dengan ")</f>
        <v>Buka kunci dengan </v>
      </c>
      <c r="U35" s="71" t="str">
        <f>IFERROR(__xludf.DUMMYFUNCTION("GOOGLETRANSLATE(B35,""en"",""nl"")"),"Ontgrendel met ")</f>
        <v>Ontgrendel met </v>
      </c>
      <c r="V35" s="71" t="str">
        <f>IFERROR(__xludf.DUMMYFUNCTION("GOOGLETRANSLATE(B35,""en"",""pl"")"),"Odblokuj za pomocą ")</f>
        <v>Odblokuj za pomocą </v>
      </c>
      <c r="W35" s="71" t="str">
        <f>IFERROR(__xludf.DUMMYFUNCTION("GOOGLETRANSLATE(B35,""en"",""pt-PT"")"),"Desbloquear com ")</f>
        <v>Desbloquear com </v>
      </c>
      <c r="X35" s="71" t="str">
        <f>IFERROR(__xludf.DUMMYFUNCTION("GOOGLETRANSLATE(B35,""en"",""ru"")"),"Разблокировать с помощью ")</f>
        <v>Разблокировать с помощью </v>
      </c>
      <c r="Y35" s="71" t="str">
        <f>IFERROR(__xludf.DUMMYFUNCTION("GOOGLETRANSLATE(B35,""en"",""th"")"),"ปลดล็อคด้วย ")</f>
        <v>ปลดล็อคด้วย </v>
      </c>
      <c r="Z35" s="71" t="str">
        <f>IFERROR(__xludf.DUMMYFUNCTION("GOOGLETRANSLATE(B35,""en"",""tr"")"),"ile kilidini aç ")</f>
        <v>ile kilidini aç </v>
      </c>
      <c r="AA35" s="71" t="str">
        <f>IFERROR(__xludf.DUMMYFUNCTION("GOOGLETRANSLATE(B35,""en"",""uk"")"),"Розблокувати за допомогою ")</f>
        <v>Розблокувати за допомогою </v>
      </c>
      <c r="AB35" s="71" t="str">
        <f>IFERROR(__xludf.DUMMYFUNCTION("GOOGLETRANSLATE(B35,""en"",""zh-CN"")"),"解锁用 ")</f>
        <v>解锁用 </v>
      </c>
      <c r="AC35" s="71" t="str">
        <f>IFERROR(__xludf.DUMMYFUNCTION("GOOGLETRANSLATE(B35,""en"",""vi"")"),"Mở khóa bằng ")</f>
        <v>Mở khóa bằng </v>
      </c>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row>
    <row r="36">
      <c r="A36" s="73" t="s">
        <v>11619</v>
      </c>
      <c r="B36" s="73" t="s">
        <v>11620</v>
      </c>
      <c r="C36" s="71" t="str">
        <f>IFERROR(__xludf.DUMMYFUNCTION("GOOGLETRANSLATE(B36,""en"",""ar"")"),"احصل على 300 الماسة مجانا")</f>
        <v>احصل على 300 الماسة مجانا</v>
      </c>
      <c r="D36" s="71" t="str">
        <f>IFERROR(__xludf.DUMMYFUNCTION("GOOGLETRANSLATE(B36,""en"",""cs"")"),"Získejte 300 diamantů zdarma")</f>
        <v>Získejte 300 diamantů zdarma</v>
      </c>
      <c r="E36" s="71" t="str">
        <f>IFERROR(__xludf.DUMMYFUNCTION("GOOGLETRANSLATE(B36,""en"",""de"")"),"Erhalten Sie 300 Diamanten kostenlos")</f>
        <v>Erhalten Sie 300 Diamanten kostenlos</v>
      </c>
      <c r="F36" s="71" t="str">
        <f>IFERROR(__xludf.DUMMYFUNCTION("GOOGLETRANSLATE(B36,""en"",""el"")"),"Αποκτήστε δωρεάν 300 διαμάντια")</f>
        <v>Αποκτήστε δωρεάν 300 διαμάντια</v>
      </c>
      <c r="G36" s="71" t="str">
        <f>IFERROR(__xludf.DUMMYFUNCTION("GOOGLETRANSLATE(B36,""en"",""es"")"),"Obtenga 300 diamantes gratis")</f>
        <v>Obtenga 300 diamantes gratis</v>
      </c>
      <c r="H36" s="71" t="str">
        <f>IFERROR(__xludf.DUMMYFUNCTION("GOOGLETRANSLATE(B36,""en"",""et"")"),"Hankige 300 teemanti tasuta")</f>
        <v>Hankige 300 teemanti tasuta</v>
      </c>
      <c r="I36" s="71" t="str">
        <f>IFERROR(__xludf.DUMMYFUNCTION("GOOGLETRANSLATE(B36,""en"",""fi"")"),"Hanki 300 timanttia ilmaiseksi")</f>
        <v>Hanki 300 timanttia ilmaiseksi</v>
      </c>
      <c r="J36" s="71" t="str">
        <f>IFERROR(__xludf.DUMMYFUNCTION("GOOGLETRANSLATE(B36,""en"",""fr"")"),"Obtenez 300 diamants gratuitement")</f>
        <v>Obtenez 300 diamants gratuitement</v>
      </c>
      <c r="K36" s="71" t="str">
        <f>IFERROR(__xludf.DUMMYFUNCTION("GOOGLETRANSLATE(B36,""en"",""hi"")"),"300 हीरे निःशुल्क प्राप्त करें")</f>
        <v>300 हीरे निःशुल्क प्राप्त करें</v>
      </c>
      <c r="L36" s="71" t="str">
        <f>IFERROR(__xludf.DUMMYFUNCTION("GOOGLETRANSLATE(B36,""en"",""id"")"),"Dapatkan 300 Berlian Gratis")</f>
        <v>Dapatkan 300 Berlian Gratis</v>
      </c>
      <c r="M36" s="71" t="str">
        <f>IFERROR(__xludf.DUMMYFUNCTION("GOOGLETRANSLATE(B36,""en"",""it"")"),"Ottieni 300 diamanti gratuitamente")</f>
        <v>Ottieni 300 diamanti gratuitamente</v>
      </c>
      <c r="N36" s="71" t="str">
        <f>IFERROR(__xludf.DUMMYFUNCTION("GOOGLETRANSLATE(B36,""en"",""ja"")"),"ダイヤモンド 300 個を無料で入手")</f>
        <v>ダイヤモンド 300 個を無料で入手</v>
      </c>
      <c r="O36" s="71" t="str">
        <f>IFERROR(__xludf.DUMMYFUNCTION("GOOGLETRANSLATE(B36,""en"",""km"")"),"ទទួលបានពេជ្រ 300 ដោយឥតគិតថ្លៃ")</f>
        <v>ទទួលបានពេជ្រ 300 ដោយឥតគិតថ្លៃ</v>
      </c>
      <c r="P36" s="71" t="str">
        <f>IFERROR(__xludf.DUMMYFUNCTION("GOOGLETRANSLATE(B36,""en"",""kn"")"),"300 ವಜ್ರಗಳನ್ನು ಉಚಿತವಾಗಿ ಪಡೆಯಿರಿ")</f>
        <v>300 ವಜ್ರಗಳನ್ನು ಉಚಿತವಾಗಿ ಪಡೆಯಿರಿ</v>
      </c>
      <c r="Q36" s="71" t="str">
        <f>IFERROR(__xludf.DUMMYFUNCTION("GOOGLETRANSLATE(B36,""en"",""ko"")"),"무료로 다이아몬드 300개를 받으세요")</f>
        <v>무료로 다이아몬드 300개를 받으세요</v>
      </c>
      <c r="R36" s="71" t="str">
        <f>IFERROR(__xludf.DUMMYFUNCTION("GOOGLETRANSLATE(B36,""en"",""lo"")"),"ຮັບ 300 ເພັດຟຣີ")</f>
        <v>ຮັບ 300 ເພັດຟຣີ</v>
      </c>
      <c r="S36" s="71" t="str">
        <f>IFERROR(__xludf.DUMMYFUNCTION("GOOGLETRANSLATE(B36,""en"",""lv"")"),"Saņemiet 300 dimantus bez maksas")</f>
        <v>Saņemiet 300 dimantus bez maksas</v>
      </c>
      <c r="T36" s="71" t="str">
        <f>IFERROR(__xludf.DUMMYFUNCTION("GOOGLETRANSLATE(B36,""en"",""ms"")"),"Dapatkan 300 Berlian secara Percuma")</f>
        <v>Dapatkan 300 Berlian secara Percuma</v>
      </c>
      <c r="U36" s="71" t="str">
        <f>IFERROR(__xludf.DUMMYFUNCTION("GOOGLETRANSLATE(B36,""en"",""nl"")"),"Ontvang 300 diamanten gratis")</f>
        <v>Ontvang 300 diamanten gratis</v>
      </c>
      <c r="V36" s="71" t="str">
        <f>IFERROR(__xludf.DUMMYFUNCTION("GOOGLETRANSLATE(B36,""en"",""pl"")"),"Zdobądź 300 diamentów za darmo")</f>
        <v>Zdobądź 300 diamentów za darmo</v>
      </c>
      <c r="W36" s="71" t="str">
        <f>IFERROR(__xludf.DUMMYFUNCTION("GOOGLETRANSLATE(B36,""en"",""pt-PT"")"),"Ganhe 300 diamantes gratuitamente")</f>
        <v>Ganhe 300 diamantes gratuitamente</v>
      </c>
      <c r="X36" s="71" t="str">
        <f>IFERROR(__xludf.DUMMYFUNCTION("GOOGLETRANSLATE(B36,""en"",""ru"")"),"Получите 300 бриллиантов бесплатно")</f>
        <v>Получите 300 бриллиантов бесплатно</v>
      </c>
      <c r="Y36" s="71" t="str">
        <f>IFERROR(__xludf.DUMMYFUNCTION("GOOGLETRANSLATE(B36,""en"",""th"")"),"รับ 300 เพชรฟรี")</f>
        <v>รับ 300 เพชรฟรี</v>
      </c>
      <c r="Z36" s="71" t="str">
        <f>IFERROR(__xludf.DUMMYFUNCTION("GOOGLETRANSLATE(B36,""en"",""tr"")"),"Ücretsiz 300 Elmas Alın")</f>
        <v>Ücretsiz 300 Elmas Alın</v>
      </c>
      <c r="AA36" s="71" t="str">
        <f>IFERROR(__xludf.DUMMYFUNCTION("GOOGLETRANSLATE(B36,""en"",""uk"")"),"Отримайте 300 діамантів безкоштовно")</f>
        <v>Отримайте 300 діамантів безкоштовно</v>
      </c>
      <c r="AB36" s="71" t="str">
        <f>IFERROR(__xludf.DUMMYFUNCTION("GOOGLETRANSLATE(B36,""en"",""zh-CN"")"),"免费获得 300 钻石")</f>
        <v>免费获得 300 钻石</v>
      </c>
      <c r="AC36" s="71" t="str">
        <f>IFERROR(__xludf.DUMMYFUNCTION("GOOGLETRANSLATE(B36,""en"",""vi"")"),"Nhận 300 viên kim cương miễn phí")</f>
        <v>Nhận 300 viên kim cương miễn phí</v>
      </c>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row>
    <row r="37">
      <c r="A37" s="73" t="s">
        <v>11621</v>
      </c>
      <c r="B37" s="73" t="s">
        <v>11622</v>
      </c>
      <c r="C37" s="71" t="str">
        <f>IFERROR(__xludf.DUMMYFUNCTION("GOOGLETRANSLATE(B37,""en"",""ar"")"),"فتح")</f>
        <v>فتح</v>
      </c>
      <c r="D37" s="71" t="str">
        <f>IFERROR(__xludf.DUMMYFUNCTION("GOOGLETRANSLATE(B37,""en"",""cs"")"),"ODEMKNOUT")</f>
        <v>ODEMKNOUT</v>
      </c>
      <c r="E37" s="71" t="str">
        <f>IFERROR(__xludf.DUMMYFUNCTION("GOOGLETRANSLATE(B37,""en"",""de"")"),"ENTSPERREN")</f>
        <v>ENTSPERREN</v>
      </c>
      <c r="F37" s="71" t="str">
        <f>IFERROR(__xludf.DUMMYFUNCTION("GOOGLETRANSLATE(B37,""en"",""el"")"),"ΞΕΚΛΕΙΔΩΝΩ")</f>
        <v>ΞΕΚΛΕΙΔΩΝΩ</v>
      </c>
      <c r="G37" s="71" t="str">
        <f>IFERROR(__xludf.DUMMYFUNCTION("GOOGLETRANSLATE(B37,""en"",""es"")"),"DESCUBRIR")</f>
        <v>DESCUBRIR</v>
      </c>
      <c r="H37" s="71" t="str">
        <f>IFERROR(__xludf.DUMMYFUNCTION("GOOGLETRANSLATE(B37,""en"",""et"")"),"AVASTA")</f>
        <v>AVASTA</v>
      </c>
      <c r="I37" s="71" t="str">
        <f>IFERROR(__xludf.DUMMYFUNCTION("GOOGLETRANSLATE(B37,""en"",""fi"")"),"AVATA")</f>
        <v>AVATA</v>
      </c>
      <c r="J37" s="71" t="str">
        <f>IFERROR(__xludf.DUMMYFUNCTION("GOOGLETRANSLATE(B37,""en"",""fr"")"),"OUVRIR")</f>
        <v>OUVRIR</v>
      </c>
      <c r="K37" s="71" t="str">
        <f>IFERROR(__xludf.DUMMYFUNCTION("GOOGLETRANSLATE(B37,""en"",""hi"")"),"अनलॉक")</f>
        <v>अनलॉक</v>
      </c>
      <c r="L37" s="71" t="str">
        <f>IFERROR(__xludf.DUMMYFUNCTION("GOOGLETRANSLATE(B37,""en"",""id"")"),"MEMBUKA KUNCI")</f>
        <v>MEMBUKA KUNCI</v>
      </c>
      <c r="M37" s="71" t="str">
        <f>IFERROR(__xludf.DUMMYFUNCTION("GOOGLETRANSLATE(B37,""en"",""it"")"),"SBLOCCARE")</f>
        <v>SBLOCCARE</v>
      </c>
      <c r="N37" s="71" t="str">
        <f>IFERROR(__xludf.DUMMYFUNCTION("GOOGLETRANSLATE(B37,""en"",""ja"")"),"ロックを解除する")</f>
        <v>ロックを解除する</v>
      </c>
      <c r="O37" s="71" t="str">
        <f>IFERROR(__xludf.DUMMYFUNCTION("GOOGLETRANSLATE(B37,""en"",""km"")"),"ដោះសោ")</f>
        <v>ដោះសោ</v>
      </c>
      <c r="P37" s="71" t="str">
        <f>IFERROR(__xludf.DUMMYFUNCTION("GOOGLETRANSLATE(B37,""en"",""kn"")"),"ಅನ್ಲಾಕ್ ಮಾಡಿ")</f>
        <v>ಅನ್ಲಾಕ್ ಮಾಡಿ</v>
      </c>
      <c r="Q37" s="71" t="str">
        <f>IFERROR(__xludf.DUMMYFUNCTION("GOOGLETRANSLATE(B37,""en"",""ko"")"),"터놓다")</f>
        <v>터놓다</v>
      </c>
      <c r="R37" s="71" t="str">
        <f>IFERROR(__xludf.DUMMYFUNCTION("GOOGLETRANSLATE(B37,""en"",""lo"")"),"ປົດລັອກ")</f>
        <v>ປົດລັອກ</v>
      </c>
      <c r="S37" s="71" t="str">
        <f>IFERROR(__xludf.DUMMYFUNCTION("GOOGLETRANSLATE(B37,""en"",""lv"")"),"ATbloķēt")</f>
        <v>ATbloķēt</v>
      </c>
      <c r="T37" s="71" t="str">
        <f>IFERROR(__xludf.DUMMYFUNCTION("GOOGLETRANSLATE(B37,""en"",""ms"")"),"BUKA KUNCI")</f>
        <v>BUKA KUNCI</v>
      </c>
      <c r="U37" s="71" t="str">
        <f>IFERROR(__xludf.DUMMYFUNCTION("GOOGLETRANSLATE(B37,""en"",""nl"")"),"ONTGRENDELEN")</f>
        <v>ONTGRENDELEN</v>
      </c>
      <c r="V37" s="71" t="str">
        <f>IFERROR(__xludf.DUMMYFUNCTION("GOOGLETRANSLATE(B37,""en"",""pl"")"),"ODBLOKOWAĆ")</f>
        <v>ODBLOKOWAĆ</v>
      </c>
      <c r="W37" s="71" t="str">
        <f>IFERROR(__xludf.DUMMYFUNCTION("GOOGLETRANSLATE(B37,""en"",""pt-PT"")"),"DESBLOQUEAR")</f>
        <v>DESBLOQUEAR</v>
      </c>
      <c r="X37" s="71" t="str">
        <f>IFERROR(__xludf.DUMMYFUNCTION("GOOGLETRANSLATE(B37,""en"",""ru"")"),"РАЗБЛОКИРОВАТЬ")</f>
        <v>РАЗБЛОКИРОВАТЬ</v>
      </c>
      <c r="Y37" s="71" t="str">
        <f>IFERROR(__xludf.DUMMYFUNCTION("GOOGLETRANSLATE(B37,""en"",""th"")"),"ปลดล็อค")</f>
        <v>ปลดล็อค</v>
      </c>
      <c r="Z37" s="71" t="str">
        <f>IFERROR(__xludf.DUMMYFUNCTION("GOOGLETRANSLATE(B37,""en"",""tr"")"),"KİLİDİ ​​AÇ")</f>
        <v>KİLİDİ ​​AÇ</v>
      </c>
      <c r="AA37" s="71" t="str">
        <f>IFERROR(__xludf.DUMMYFUNCTION("GOOGLETRANSLATE(B37,""en"",""uk"")"),"РОЗБЛОКУВАТИ")</f>
        <v>РОЗБЛОКУВАТИ</v>
      </c>
      <c r="AB37" s="71" t="str">
        <f>IFERROR(__xludf.DUMMYFUNCTION("GOOGLETRANSLATE(B37,""en"",""zh-CN"")"),"开锁")</f>
        <v>开锁</v>
      </c>
      <c r="AC37" s="71" t="str">
        <f>IFERROR(__xludf.DUMMYFUNCTION("GOOGLETRANSLATE(B37,""en"",""vi"")"),"MỞ KHÓA")</f>
        <v>MỞ KHÓA</v>
      </c>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row>
    <row r="38">
      <c r="A38" s="73" t="s">
        <v>11623</v>
      </c>
      <c r="B38" s="73" t="s">
        <v>11624</v>
      </c>
      <c r="C38" s="71" t="str">
        <f>IFERROR(__xludf.DUMMYFUNCTION("GOOGLETRANSLATE(B38,""en"",""ar"")"),"فتح الكل")</f>
        <v>فتح الكل</v>
      </c>
      <c r="D38" s="71" t="str">
        <f>IFERROR(__xludf.DUMMYFUNCTION("GOOGLETRANSLATE(B38,""en"",""cs"")"),"ODEMKNOUT VŠE")</f>
        <v>ODEMKNOUT VŠE</v>
      </c>
      <c r="E38" s="71" t="str">
        <f>IFERROR(__xludf.DUMMYFUNCTION("GOOGLETRANSLATE(B38,""en"",""de"")"),"ALLE ENTSPERREN")</f>
        <v>ALLE ENTSPERREN</v>
      </c>
      <c r="F38" s="71" t="str">
        <f>IFERROR(__xludf.DUMMYFUNCTION("GOOGLETRANSLATE(B38,""en"",""el"")"),"ΞΕΚΛΕΙΔΩΜΑ ΟΛΩΝ")</f>
        <v>ΞΕΚΛΕΙΔΩΜΑ ΟΛΩΝ</v>
      </c>
      <c r="G38" s="71" t="str">
        <f>IFERROR(__xludf.DUMMYFUNCTION("GOOGLETRANSLATE(B38,""en"",""es"")"),"DESBLOQUEAR TODO")</f>
        <v>DESBLOQUEAR TODO</v>
      </c>
      <c r="H38" s="71" t="str">
        <f>IFERROR(__xludf.DUMMYFUNCTION("GOOGLETRANSLATE(B38,""en"",""et"")"),"AVA KÕIK")</f>
        <v>AVA KÕIK</v>
      </c>
      <c r="I38" s="71" t="str">
        <f>IFERROR(__xludf.DUMMYFUNCTION("GOOGLETRANSLATE(B38,""en"",""fi"")"),"AVAA KAIKKI")</f>
        <v>AVAA KAIKKI</v>
      </c>
      <c r="J38" s="71" t="str">
        <f>IFERROR(__xludf.DUMMYFUNCTION("GOOGLETRANSLATE(B38,""en"",""fr"")"),"TOUT DÉBLOQUER")</f>
        <v>TOUT DÉBLOQUER</v>
      </c>
      <c r="K38" s="71" t="str">
        <f>IFERROR(__xludf.DUMMYFUNCTION("GOOGLETRANSLATE(B38,""en"",""hi"")"),"सबको अनलॉक करें")</f>
        <v>सबको अनलॉक करें</v>
      </c>
      <c r="L38" s="71" t="str">
        <f>IFERROR(__xludf.DUMMYFUNCTION("GOOGLETRANSLATE(B38,""en"",""id"")"),"BUKA SEMUA")</f>
        <v>BUKA SEMUA</v>
      </c>
      <c r="M38" s="71" t="str">
        <f>IFERROR(__xludf.DUMMYFUNCTION("GOOGLETRANSLATE(B38,""en"",""it"")"),"SBLOCCA TUTTO")</f>
        <v>SBLOCCA TUTTO</v>
      </c>
      <c r="N38" s="71" t="str">
        <f>IFERROR(__xludf.DUMMYFUNCTION("GOOGLETRANSLATE(B38,""en"",""ja"")"),"すべてのロックを解除")</f>
        <v>すべてのロックを解除</v>
      </c>
      <c r="O38" s="71" t="str">
        <f>IFERROR(__xludf.DUMMYFUNCTION("GOOGLETRANSLATE(B38,""en"",""km"")"),"ដោះសោទាំងអស់។")</f>
        <v>ដោះសោទាំងអស់។</v>
      </c>
      <c r="P38" s="71" t="str">
        <f>IFERROR(__xludf.DUMMYFUNCTION("GOOGLETRANSLATE(B38,""en"",""kn"")"),"ಎಲ್ಲವನ್ನೂ ಅನ್ಲಾಕ್ ಮಾಡಿ")</f>
        <v>ಎಲ್ಲವನ್ನೂ ಅನ್ಲಾಕ್ ಮಾಡಿ</v>
      </c>
      <c r="Q38" s="71" t="str">
        <f>IFERROR(__xludf.DUMMYFUNCTION("GOOGLETRANSLATE(B38,""en"",""ko"")"),"모두 잠금 해제")</f>
        <v>모두 잠금 해제</v>
      </c>
      <c r="R38" s="71" t="str">
        <f>IFERROR(__xludf.DUMMYFUNCTION("GOOGLETRANSLATE(B38,""en"",""lo"")"),"ປົດລັອກທັງໝົດ")</f>
        <v>ປົດລັອກທັງໝົດ</v>
      </c>
      <c r="S38" s="71" t="str">
        <f>IFERROR(__xludf.DUMMYFUNCTION("GOOGLETRANSLATE(B38,""en"",""lv"")"),"ATKLĀJOT VISU")</f>
        <v>ATKLĀJOT VISU</v>
      </c>
      <c r="T38" s="71" t="str">
        <f>IFERROR(__xludf.DUMMYFUNCTION("GOOGLETRANSLATE(B38,""en"",""ms"")"),"BUKA KUNCI SEMUA")</f>
        <v>BUKA KUNCI SEMUA</v>
      </c>
      <c r="U38" s="71" t="str">
        <f>IFERROR(__xludf.DUMMYFUNCTION("GOOGLETRANSLATE(B38,""en"",""nl"")"),"ONTGRENDEL ALLES")</f>
        <v>ONTGRENDEL ALLES</v>
      </c>
      <c r="V38" s="71" t="str">
        <f>IFERROR(__xludf.DUMMYFUNCTION("GOOGLETRANSLATE(B38,""en"",""pl"")"),"ODBLOKUJ WSZYSTKO")</f>
        <v>ODBLOKUJ WSZYSTKO</v>
      </c>
      <c r="W38" s="71" t="str">
        <f>IFERROR(__xludf.DUMMYFUNCTION("GOOGLETRANSLATE(B38,""en"",""pt-PT"")"),"DESBLOQUEAR TUDO")</f>
        <v>DESBLOQUEAR TUDO</v>
      </c>
      <c r="X38" s="71" t="str">
        <f>IFERROR(__xludf.DUMMYFUNCTION("GOOGLETRANSLATE(B38,""en"",""ru"")"),"РАЗБЛОКИРОВАТЬ ВСЕ")</f>
        <v>РАЗБЛОКИРОВАТЬ ВСЕ</v>
      </c>
      <c r="Y38" s="71" t="str">
        <f>IFERROR(__xludf.DUMMYFUNCTION("GOOGLETRANSLATE(B38,""en"",""th"")"),"ปลดล็อคทั้งหมด")</f>
        <v>ปลดล็อคทั้งหมด</v>
      </c>
      <c r="Z38" s="71" t="str">
        <f>IFERROR(__xludf.DUMMYFUNCTION("GOOGLETRANSLATE(B38,""en"",""tr"")"),"TÜMÜNÜN KİLİDİNİ AÇ")</f>
        <v>TÜMÜNÜN KİLİDİNİ AÇ</v>
      </c>
      <c r="AA38" s="71" t="str">
        <f>IFERROR(__xludf.DUMMYFUNCTION("GOOGLETRANSLATE(B38,""en"",""uk"")"),"РОЗБЛОКУВАТИ ВСІ")</f>
        <v>РОЗБЛОКУВАТИ ВСІ</v>
      </c>
      <c r="AB38" s="71" t="str">
        <f>IFERROR(__xludf.DUMMYFUNCTION("GOOGLETRANSLATE(B38,""en"",""zh-CN"")"),"解锁全部")</f>
        <v>解锁全部</v>
      </c>
      <c r="AC38" s="71" t="str">
        <f>IFERROR(__xludf.DUMMYFUNCTION("GOOGLETRANSLATE(B38,""en"",""vi"")"),"MỞ KHÓA TẤT CẢ")</f>
        <v>MỞ KHÓA TẤT CẢ</v>
      </c>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row>
    <row r="39">
      <c r="A39" s="73" t="s">
        <v>11625</v>
      </c>
      <c r="B39" s="73" t="s">
        <v>11626</v>
      </c>
      <c r="C39" s="71" t="str">
        <f>IFERROR(__xludf.DUMMYFUNCTION("GOOGLETRANSLATE(B39,""en"",""ar"")"),"فتح القطعة")</f>
        <v>فتح القطعة</v>
      </c>
      <c r="D39" s="71" t="str">
        <f>IFERROR(__xludf.DUMMYFUNCTION("GOOGLETRANSLATE(B39,""en"",""cs"")"),"ODEMKNOUT WIDGET")</f>
        <v>ODEMKNOUT WIDGET</v>
      </c>
      <c r="E39" s="71" t="str">
        <f>IFERROR(__xludf.DUMMYFUNCTION("GOOGLETRANSLATE(B39,""en"",""de"")"),"WIDGET ENTSPERREN")</f>
        <v>WIDGET ENTSPERREN</v>
      </c>
      <c r="F39" s="71" t="str">
        <f>IFERROR(__xludf.DUMMYFUNCTION("GOOGLETRANSLATE(B39,""en"",""el"")"),"ΞΕΚΛΕΙΔΩΜΑ WIDGET")</f>
        <v>ΞΕΚΛΕΙΔΩΜΑ WIDGET</v>
      </c>
      <c r="G39" s="71" t="str">
        <f>IFERROR(__xludf.DUMMYFUNCTION("GOOGLETRANSLATE(B39,""en"",""es"")"),"DESBLOQUEAR WIDGET")</f>
        <v>DESBLOQUEAR WIDGET</v>
      </c>
      <c r="H39" s="71" t="str">
        <f>IFERROR(__xludf.DUMMYFUNCTION("GOOGLETRANSLATE(B39,""en"",""et"")"),"AVASTA VIDINA")</f>
        <v>AVASTA VIDINA</v>
      </c>
      <c r="I39" s="71" t="str">
        <f>IFERROR(__xludf.DUMMYFUNCTION("GOOGLETRANSLATE(B39,""en"",""fi"")"),"AVAA WIDGET")</f>
        <v>AVAA WIDGET</v>
      </c>
      <c r="J39" s="71" t="str">
        <f>IFERROR(__xludf.DUMMYFUNCTION("GOOGLETRANSLATE(B39,""en"",""fr"")"),"DÉBLOQUER LE WIDGET")</f>
        <v>DÉBLOQUER LE WIDGET</v>
      </c>
      <c r="K39" s="71" t="str">
        <f>IFERROR(__xludf.DUMMYFUNCTION("GOOGLETRANSLATE(B39,""en"",""hi"")"),"विजेट अनलॉक करें")</f>
        <v>विजेट अनलॉक करें</v>
      </c>
      <c r="L39" s="71" t="str">
        <f>IFERROR(__xludf.DUMMYFUNCTION("GOOGLETRANSLATE(B39,""en"",""id"")"),"BUKA WIDGET")</f>
        <v>BUKA WIDGET</v>
      </c>
      <c r="M39" s="71" t="str">
        <f>IFERROR(__xludf.DUMMYFUNCTION("GOOGLETRANSLATE(B39,""en"",""it"")"),"SBLOCCA IL WIDGET")</f>
        <v>SBLOCCA IL WIDGET</v>
      </c>
      <c r="N39" s="71" t="str">
        <f>IFERROR(__xludf.DUMMYFUNCTION("GOOGLETRANSLATE(B39,""en"",""ja"")"),"ウィジェットのロックを解除")</f>
        <v>ウィジェットのロックを解除</v>
      </c>
      <c r="O39" s="71" t="str">
        <f>IFERROR(__xludf.DUMMYFUNCTION("GOOGLETRANSLATE(B39,""en"",""km"")"),"ដោះសោធាតុក្រាហ្វិក")</f>
        <v>ដោះសោធាតុក្រាហ្វិក</v>
      </c>
      <c r="P39" s="71" t="str">
        <f>IFERROR(__xludf.DUMMYFUNCTION("GOOGLETRANSLATE(B39,""en"",""kn"")"),"ವಿಜೆಟ್ ಅನ್ನು ಅನ್ಲಾಕ್ ಮಾಡಿ")</f>
        <v>ವಿಜೆಟ್ ಅನ್ನು ಅನ್ಲಾಕ್ ಮಾಡಿ</v>
      </c>
      <c r="Q39" s="71" t="str">
        <f>IFERROR(__xludf.DUMMYFUNCTION("GOOGLETRANSLATE(B39,""en"",""ko"")"),"위젯 잠금 해제")</f>
        <v>위젯 잠금 해제</v>
      </c>
      <c r="R39" s="71" t="str">
        <f>IFERROR(__xludf.DUMMYFUNCTION("GOOGLETRANSLATE(B39,""en"",""lo"")"),"ປົດລັອກ widget")</f>
        <v>ປົດລັອກ widget</v>
      </c>
      <c r="S39" s="71" t="str">
        <f>IFERROR(__xludf.DUMMYFUNCTION("GOOGLETRANSLATE(B39,""en"",""lv"")"),"ATKLĀJOT LOGRĀKU")</f>
        <v>ATKLĀJOT LOGRĀKU</v>
      </c>
      <c r="T39" s="71" t="str">
        <f>IFERROR(__xludf.DUMMYFUNCTION("GOOGLETRANSLATE(B39,""en"",""ms"")"),"BUKA KUNCI WIDGET")</f>
        <v>BUKA KUNCI WIDGET</v>
      </c>
      <c r="U39" s="71" t="str">
        <f>IFERROR(__xludf.DUMMYFUNCTION("GOOGLETRANSLATE(B39,""en"",""nl"")"),"ONTGRENDEL WIDGET")</f>
        <v>ONTGRENDEL WIDGET</v>
      </c>
      <c r="V39" s="71" t="str">
        <f>IFERROR(__xludf.DUMMYFUNCTION("GOOGLETRANSLATE(B39,""en"",""pl"")"),"ODBLOKUJ WIDŻET")</f>
        <v>ODBLOKUJ WIDŻET</v>
      </c>
      <c r="W39" s="71" t="str">
        <f>IFERROR(__xludf.DUMMYFUNCTION("GOOGLETRANSLATE(B39,""en"",""pt-PT"")"),"DESBLOQUEAR WIDGET")</f>
        <v>DESBLOQUEAR WIDGET</v>
      </c>
      <c r="X39" s="71" t="str">
        <f>IFERROR(__xludf.DUMMYFUNCTION("GOOGLETRANSLATE(B39,""en"",""ru"")"),"РАЗБЛОКИРОВАТЬ ВИДЖЕТ")</f>
        <v>РАЗБЛОКИРОВАТЬ ВИДЖЕТ</v>
      </c>
      <c r="Y39" s="71" t="str">
        <f>IFERROR(__xludf.DUMMYFUNCTION("GOOGLETRANSLATE(B39,""en"",""th"")"),"ปลดล็อควิดเจ็ต")</f>
        <v>ปลดล็อควิดเจ็ต</v>
      </c>
      <c r="Z39" s="71" t="str">
        <f>IFERROR(__xludf.DUMMYFUNCTION("GOOGLETRANSLATE(B39,""en"",""tr"")"),"WIDGET'IN KİLİDİNİ AÇ")</f>
        <v>WIDGET'IN KİLİDİNİ AÇ</v>
      </c>
      <c r="AA39" s="71" t="str">
        <f>IFERROR(__xludf.DUMMYFUNCTION("GOOGLETRANSLATE(B39,""en"",""uk"")"),"РОЗБЛОКУВАТИ ВІДЖЕТ")</f>
        <v>РОЗБЛОКУВАТИ ВІДЖЕТ</v>
      </c>
      <c r="AB39" s="71" t="str">
        <f>IFERROR(__xludf.DUMMYFUNCTION("GOOGLETRANSLATE(B39,""en"",""zh-CN"")"),"解锁小部件")</f>
        <v>解锁小部件</v>
      </c>
      <c r="AC39" s="71" t="str">
        <f>IFERROR(__xludf.DUMMYFUNCTION("GOOGLETRANSLATE(B39,""en"",""vi"")"),"MỞ KHÓA TIỆN ÍCH")</f>
        <v>MỞ KHÓA TIỆN ÍCH</v>
      </c>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row>
    <row r="40">
      <c r="A40" s="73" t="s">
        <v>11627</v>
      </c>
      <c r="B40" s="73" t="s">
        <v>11628</v>
      </c>
      <c r="C40" s="71" t="str">
        <f>IFERROR(__xludf.DUMMYFUNCTION("GOOGLETRANSLATE(B40,""en"",""ar"")"),"الرجاء تحديد القطعة الخاصة بك")</f>
        <v>الرجاء تحديد القطعة الخاصة بك</v>
      </c>
      <c r="D40" s="71" t="str">
        <f>IFERROR(__xludf.DUMMYFUNCTION("GOOGLETRANSLATE(B40,""en"",""cs"")"),"Vyberte prosím svůj widget")</f>
        <v>Vyberte prosím svůj widget</v>
      </c>
      <c r="E40" s="71" t="str">
        <f>IFERROR(__xludf.DUMMYFUNCTION("GOOGLETRANSLATE(B40,""en"",""de"")"),"Bitte wählen Sie Ihr Widget aus")</f>
        <v>Bitte wählen Sie Ihr Widget aus</v>
      </c>
      <c r="F40" s="71" t="str">
        <f>IFERROR(__xludf.DUMMYFUNCTION("GOOGLETRANSLATE(B40,""en"",""el"")"),"Επιλέξτε το widget σας")</f>
        <v>Επιλέξτε το widget σας</v>
      </c>
      <c r="G40" s="71" t="str">
        <f>IFERROR(__xludf.DUMMYFUNCTION("GOOGLETRANSLATE(B40,""en"",""es"")"),"Por favor seleccione su widget")</f>
        <v>Por favor seleccione su widget</v>
      </c>
      <c r="H40" s="71" t="str">
        <f>IFERROR(__xludf.DUMMYFUNCTION("GOOGLETRANSLATE(B40,""en"",""et"")"),"Valige oma vidin")</f>
        <v>Valige oma vidin</v>
      </c>
      <c r="I40" s="71" t="str">
        <f>IFERROR(__xludf.DUMMYFUNCTION("GOOGLETRANSLATE(B40,""en"",""fi"")"),"Valitse widgettisi")</f>
        <v>Valitse widgettisi</v>
      </c>
      <c r="J40" s="71" t="str">
        <f>IFERROR(__xludf.DUMMYFUNCTION("GOOGLETRANSLATE(B40,""en"",""fr"")"),"Veuillez sélectionner votre widget")</f>
        <v>Veuillez sélectionner votre widget</v>
      </c>
      <c r="K40" s="71" t="str">
        <f>IFERROR(__xludf.DUMMYFUNCTION("GOOGLETRANSLATE(B40,""en"",""hi"")"),"कृपया अपना विजेट चुनें")</f>
        <v>कृपया अपना विजेट चुनें</v>
      </c>
      <c r="L40" s="71" t="str">
        <f>IFERROR(__xludf.DUMMYFUNCTION("GOOGLETRANSLATE(B40,""en"",""id"")"),"Silakan pilih widget Anda")</f>
        <v>Silakan pilih widget Anda</v>
      </c>
      <c r="M40" s="71" t="str">
        <f>IFERROR(__xludf.DUMMYFUNCTION("GOOGLETRANSLATE(B40,""en"",""it"")"),"Seleziona il tuo widget")</f>
        <v>Seleziona il tuo widget</v>
      </c>
      <c r="N40" s="71" t="str">
        <f>IFERROR(__xludf.DUMMYFUNCTION("GOOGLETRANSLATE(B40,""en"",""ja"")"),"ウィジェットを選択してください")</f>
        <v>ウィジェットを選択してください</v>
      </c>
      <c r="O40" s="71" t="str">
        <f>IFERROR(__xludf.DUMMYFUNCTION("GOOGLETRANSLATE(B40,""en"",""km"")"),"សូមជ្រើសរើសធាតុក្រាហ្វិករបស់អ្នក។")</f>
        <v>សូមជ្រើសរើសធាតុក្រាហ្វិករបស់អ្នក។</v>
      </c>
      <c r="P40" s="71" t="str">
        <f>IFERROR(__xludf.DUMMYFUNCTION("GOOGLETRANSLATE(B40,""en"",""kn"")"),"ದಯವಿಟ್ಟು ನಿಮ್ಮ ವಿಜೆಟ್ ಆಯ್ಕೆಮಾಡಿ")</f>
        <v>ದಯವಿಟ್ಟು ನಿಮ್ಮ ವಿಜೆಟ್ ಆಯ್ಕೆಮಾಡಿ</v>
      </c>
      <c r="Q40" s="71" t="str">
        <f>IFERROR(__xludf.DUMMYFUNCTION("GOOGLETRANSLATE(B40,""en"",""ko"")"),"위젯을 선택해주세요")</f>
        <v>위젯을 선택해주세요</v>
      </c>
      <c r="R40" s="71" t="str">
        <f>IFERROR(__xludf.DUMMYFUNCTION("GOOGLETRANSLATE(B40,""en"",""lo"")"),"ກະລຸນາເລືອກ widget ຂອງທ່ານ")</f>
        <v>ກະລຸນາເລືອກ widget ຂອງທ່ານ</v>
      </c>
      <c r="S40" s="71" t="str">
        <f>IFERROR(__xludf.DUMMYFUNCTION("GOOGLETRANSLATE(B40,""en"",""lv"")"),"Lūdzu, atlasiet savu logrīku")</f>
        <v>Lūdzu, atlasiet savu logrīku</v>
      </c>
      <c r="T40" s="71" t="str">
        <f>IFERROR(__xludf.DUMMYFUNCTION("GOOGLETRANSLATE(B40,""en"",""ms"")"),"Sila pilih widget anda")</f>
        <v>Sila pilih widget anda</v>
      </c>
      <c r="U40" s="71" t="str">
        <f>IFERROR(__xludf.DUMMYFUNCTION("GOOGLETRANSLATE(B40,""en"",""nl"")"),"Selecteer uw widget")</f>
        <v>Selecteer uw widget</v>
      </c>
      <c r="V40" s="71" t="str">
        <f>IFERROR(__xludf.DUMMYFUNCTION("GOOGLETRANSLATE(B40,""en"",""pl"")"),"Wybierz swój widget")</f>
        <v>Wybierz swój widget</v>
      </c>
      <c r="W40" s="71" t="str">
        <f>IFERROR(__xludf.DUMMYFUNCTION("GOOGLETRANSLATE(B40,""en"",""pt-PT"")"),"Selecione seu widget")</f>
        <v>Selecione seu widget</v>
      </c>
      <c r="X40" s="71" t="str">
        <f>IFERROR(__xludf.DUMMYFUNCTION("GOOGLETRANSLATE(B40,""en"",""ru"")"),"Пожалуйста, выберите виджет")</f>
        <v>Пожалуйста, выберите виджет</v>
      </c>
      <c r="Y40" s="71" t="str">
        <f>IFERROR(__xludf.DUMMYFUNCTION("GOOGLETRANSLATE(B40,""en"",""th"")"),"โปรดเลือกวิดเจ็ตของคุณ")</f>
        <v>โปรดเลือกวิดเจ็ตของคุณ</v>
      </c>
      <c r="Z40" s="71" t="str">
        <f>IFERROR(__xludf.DUMMYFUNCTION("GOOGLETRANSLATE(B40,""en"",""tr"")"),"Lütfen widget'ınızı seçin")</f>
        <v>Lütfen widget'ınızı seçin</v>
      </c>
      <c r="AA40" s="71" t="str">
        <f>IFERROR(__xludf.DUMMYFUNCTION("GOOGLETRANSLATE(B40,""en"",""uk"")"),"Виберіть свій віджет")</f>
        <v>Виберіть свій віджет</v>
      </c>
      <c r="AB40" s="71" t="str">
        <f>IFERROR(__xludf.DUMMYFUNCTION("GOOGLETRANSLATE(B40,""en"",""zh-CN"")"),"请选择您的小部件")</f>
        <v>请选择您的小部件</v>
      </c>
      <c r="AC40" s="71" t="str">
        <f>IFERROR(__xludf.DUMMYFUNCTION("GOOGLETRANSLATE(B40,""en"",""vi"")"),"Vui lòng chọn tiện ích của bạn")</f>
        <v>Vui lòng chọn tiện ích của bạn</v>
      </c>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row>
    <row r="41">
      <c r="A41" s="73" t="s">
        <v>11629</v>
      </c>
      <c r="B41" s="73" t="s">
        <v>11630</v>
      </c>
      <c r="C41" s="71" t="str">
        <f>IFERROR(__xludf.DUMMYFUNCTION("GOOGLETRANSLATE(B41,""en"",""ar"")"),"فتح بنجاح!")</f>
        <v>فتح بنجاح!</v>
      </c>
      <c r="D41" s="71" t="str">
        <f>IFERROR(__xludf.DUMMYFUNCTION("GOOGLETRANSLATE(B41,""en"",""cs"")"),"Odemknout úspěšně!")</f>
        <v>Odemknout úspěšně!</v>
      </c>
      <c r="E41" s="71" t="str">
        <f>IFERROR(__xludf.DUMMYFUNCTION("GOOGLETRANSLATE(B41,""en"",""de"")"),"Erfolgreich freischalten!")</f>
        <v>Erfolgreich freischalten!</v>
      </c>
      <c r="F41" s="71" t="str">
        <f>IFERROR(__xludf.DUMMYFUNCTION("GOOGLETRANSLATE(B41,""en"",""el"")"),"Ξεκλείδωμα με επιτυχία!")</f>
        <v>Ξεκλείδωμα με επιτυχία!</v>
      </c>
      <c r="G41" s="71" t="str">
        <f>IFERROR(__xludf.DUMMYFUNCTION("GOOGLETRANSLATE(B41,""en"",""es"")"),"¡Desbloquea con éxito!")</f>
        <v>¡Desbloquea con éxito!</v>
      </c>
      <c r="H41" s="71" t="str">
        <f>IFERROR(__xludf.DUMMYFUNCTION("GOOGLETRANSLATE(B41,""en"",""et"")"),"Avamine õnnestus!")</f>
        <v>Avamine õnnestus!</v>
      </c>
      <c r="I41" s="71" t="str">
        <f>IFERROR(__xludf.DUMMYFUNCTION("GOOGLETRANSLATE(B41,""en"",""fi"")"),"Avaa lukitus onnistuneesti!")</f>
        <v>Avaa lukitus onnistuneesti!</v>
      </c>
      <c r="J41" s="71" t="str">
        <f>IFERROR(__xludf.DUMMYFUNCTION("GOOGLETRANSLATE(B41,""en"",""fr"")"),"Débloquez avec succès !")</f>
        <v>Débloquez avec succès !</v>
      </c>
      <c r="K41" s="71" t="str">
        <f>IFERROR(__xludf.DUMMYFUNCTION("GOOGLETRANSLATE(B41,""en"",""hi"")"),"सफलतापूर्वक अनलॉक!")</f>
        <v>सफलतापूर्वक अनलॉक!</v>
      </c>
      <c r="L41" s="71" t="str">
        <f>IFERROR(__xludf.DUMMYFUNCTION("GOOGLETRANSLATE(B41,""en"",""id"")"),"Buka kunci dengan sukses!")</f>
        <v>Buka kunci dengan sukses!</v>
      </c>
      <c r="M41" s="71" t="str">
        <f>IFERROR(__xludf.DUMMYFUNCTION("GOOGLETRANSLATE(B41,""en"",""it"")"),"Sblocca con successo!")</f>
        <v>Sblocca con successo!</v>
      </c>
      <c r="N41" s="71" t="str">
        <f>IFERROR(__xludf.DUMMYFUNCTION("GOOGLETRANSLATE(B41,""en"",""ja"")"),"無事にロック解除完了！")</f>
        <v>無事にロック解除完了！</v>
      </c>
      <c r="O41" s="71" t="str">
        <f>IFERROR(__xludf.DUMMYFUNCTION("GOOGLETRANSLATE(B41,""en"",""km"")"),"ដោះសោដោយជោគជ័យ!")</f>
        <v>ដោះសោដោយជោគជ័យ!</v>
      </c>
      <c r="P41" s="71" t="str">
        <f>IFERROR(__xludf.DUMMYFUNCTION("GOOGLETRANSLATE(B41,""en"",""kn"")"),"ಯಶಸ್ವಿಯಾಗಿ ಅನ್ಲಾಕ್ ಮಾಡಿ!")</f>
        <v>ಯಶಸ್ವಿಯಾಗಿ ಅನ್ಲಾಕ್ ಮಾಡಿ!</v>
      </c>
      <c r="Q41" s="71" t="str">
        <f>IFERROR(__xludf.DUMMYFUNCTION("GOOGLETRANSLATE(B41,""en"",""ko"")"),"성공적으로 잠금 해제되었습니다!")</f>
        <v>성공적으로 잠금 해제되었습니다!</v>
      </c>
      <c r="R41" s="71" t="str">
        <f>IFERROR(__xludf.DUMMYFUNCTION("GOOGLETRANSLATE(B41,""en"",""lo"")"),"ປົດລັອກສຳເລັດແລ້ວ!")</f>
        <v>ປົດລັອກສຳເລັດແລ້ວ!</v>
      </c>
      <c r="S41" s="71" t="str">
        <f>IFERROR(__xludf.DUMMYFUNCTION("GOOGLETRANSLATE(B41,""en"",""lv"")"),"Atbloķēt veiksmīgi!")</f>
        <v>Atbloķēt veiksmīgi!</v>
      </c>
      <c r="T41" s="71" t="str">
        <f>IFERROR(__xludf.DUMMYFUNCTION("GOOGLETRANSLATE(B41,""en"",""ms"")"),"Buka kunci berjaya!")</f>
        <v>Buka kunci berjaya!</v>
      </c>
      <c r="U41" s="71" t="str">
        <f>IFERROR(__xludf.DUMMYFUNCTION("GOOGLETRANSLATE(B41,""en"",""nl"")"),"Ontgrendel succesvol!")</f>
        <v>Ontgrendel succesvol!</v>
      </c>
      <c r="V41" s="71" t="str">
        <f>IFERROR(__xludf.DUMMYFUNCTION("GOOGLETRANSLATE(B41,""en"",""pl"")"),"Odblokuj pomyślnie!")</f>
        <v>Odblokuj pomyślnie!</v>
      </c>
      <c r="W41" s="71" t="str">
        <f>IFERROR(__xludf.DUMMYFUNCTION("GOOGLETRANSLATE(B41,""en"",""pt-PT"")"),"Desbloqueie com sucesso!")</f>
        <v>Desbloqueie com sucesso!</v>
      </c>
      <c r="X41" s="71" t="str">
        <f>IFERROR(__xludf.DUMMYFUNCTION("GOOGLETRANSLATE(B41,""en"",""ru"")"),"Разблокировка прошла успешно!")</f>
        <v>Разблокировка прошла успешно!</v>
      </c>
      <c r="Y41" s="71" t="str">
        <f>IFERROR(__xludf.DUMMYFUNCTION("GOOGLETRANSLATE(B41,""en"",""th"")"),"ปลดล็อคสำเร็จ!")</f>
        <v>ปลดล็อคสำเร็จ!</v>
      </c>
      <c r="Z41" s="71" t="str">
        <f>IFERROR(__xludf.DUMMYFUNCTION("GOOGLETRANSLATE(B41,""en"",""tr"")"),"Başarıyla kilidini aç!")</f>
        <v>Başarıyla kilidini aç!</v>
      </c>
      <c r="AA41" s="71" t="str">
        <f>IFERROR(__xludf.DUMMYFUNCTION("GOOGLETRANSLATE(B41,""en"",""uk"")"),"Успішно розблоковано!")</f>
        <v>Успішно розблоковано!</v>
      </c>
      <c r="AB41" s="71" t="str">
        <f>IFERROR(__xludf.DUMMYFUNCTION("GOOGLETRANSLATE(B41,""en"",""zh-CN"")"),"解锁成功！")</f>
        <v>解锁成功！</v>
      </c>
      <c r="AC41" s="71" t="str">
        <f>IFERROR(__xludf.DUMMYFUNCTION("GOOGLETRANSLATE(B41,""en"",""vi"")"),"Mở khóa thành công!")</f>
        <v>Mở khóa thành công!</v>
      </c>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row>
    <row r="42">
      <c r="A42" s="73" t="s">
        <v>11631</v>
      </c>
      <c r="B42" s="73" t="s">
        <v>11632</v>
      </c>
      <c r="C42" s="71" t="str">
        <f>IFERROR(__xludf.DUMMYFUNCTION("GOOGLETRANSLATE(B42,""en"",""ar"")"),"لا يكفي الماس!")</f>
        <v>لا يكفي الماس!</v>
      </c>
      <c r="D42" s="71" t="str">
        <f>IFERROR(__xludf.DUMMYFUNCTION("GOOGLETRANSLATE(B42,""en"",""cs"")"),"Není dost diamantů!")</f>
        <v>Není dost diamantů!</v>
      </c>
      <c r="E42" s="71" t="str">
        <f>IFERROR(__xludf.DUMMYFUNCTION("GOOGLETRANSLATE(B42,""en"",""de"")"),"Nicht genug Diamant!")</f>
        <v>Nicht genug Diamant!</v>
      </c>
      <c r="F42" s="71" t="str">
        <f>IFERROR(__xludf.DUMMYFUNCTION("GOOGLETRANSLATE(B42,""en"",""el"")"),"Δεν είναι αρκετό το Diamond!")</f>
        <v>Δεν είναι αρκετό το Diamond!</v>
      </c>
      <c r="G42" s="71" t="str">
        <f>IFERROR(__xludf.DUMMYFUNCTION("GOOGLETRANSLATE(B42,""en"",""es"")"),"¡No hay suficiente diamante!")</f>
        <v>¡No hay suficiente diamante!</v>
      </c>
      <c r="H42" s="71" t="str">
        <f>IFERROR(__xludf.DUMMYFUNCTION("GOOGLETRANSLATE(B42,""en"",""et"")"),"Teemandist ei piisa!")</f>
        <v>Teemandist ei piisa!</v>
      </c>
      <c r="I42" s="71" t="str">
        <f>IFERROR(__xludf.DUMMYFUNCTION("GOOGLETRANSLATE(B42,""en"",""fi"")"),"Timantti ei riitä!")</f>
        <v>Timantti ei riitä!</v>
      </c>
      <c r="J42" s="71" t="str">
        <f>IFERROR(__xludf.DUMMYFUNCTION("GOOGLETRANSLATE(B42,""en"",""fr"")"),"Pas assez de diamant !")</f>
        <v>Pas assez de diamant !</v>
      </c>
      <c r="K42" s="71" t="str">
        <f>IFERROR(__xludf.DUMMYFUNCTION("GOOGLETRANSLATE(B42,""en"",""hi"")"),"पर्याप्त हीरा नहीं!")</f>
        <v>पर्याप्त हीरा नहीं!</v>
      </c>
      <c r="L42" s="71" t="str">
        <f>IFERROR(__xludf.DUMMYFUNCTION("GOOGLETRANSLATE(B42,""en"",""id"")"),"Berlian tidak cukup!")</f>
        <v>Berlian tidak cukup!</v>
      </c>
      <c r="M42" s="71" t="str">
        <f>IFERROR(__xludf.DUMMYFUNCTION("GOOGLETRANSLATE(B42,""en"",""it"")"),"Non abbastanza diamante!")</f>
        <v>Non abbastanza diamante!</v>
      </c>
      <c r="N42" s="71" t="str">
        <f>IFERROR(__xludf.DUMMYFUNCTION("GOOGLETRANSLATE(B42,""en"",""ja"")"),"ダイヤモンドが足りない！")</f>
        <v>ダイヤモンドが足りない！</v>
      </c>
      <c r="O42" s="71" t="str">
        <f>IFERROR(__xludf.DUMMYFUNCTION("GOOGLETRANSLATE(B42,""en"",""km"")"),"មិន​គ្រប់​គ្រាន់​ទេ ពេជ្រ!")</f>
        <v>មិន​គ្រប់​គ្រាន់​ទេ ពេជ្រ!</v>
      </c>
      <c r="P42" s="71" t="str">
        <f>IFERROR(__xludf.DUMMYFUNCTION("GOOGLETRANSLATE(B42,""en"",""kn"")"),"ಸಾಕಷ್ಟು ಡೈಮಂಡ್ ಇಲ್ಲ!")</f>
        <v>ಸಾಕಷ್ಟು ಡೈಮಂಡ್ ಇಲ್ಲ!</v>
      </c>
      <c r="Q42" s="71" t="str">
        <f>IFERROR(__xludf.DUMMYFUNCTION("GOOGLETRANSLATE(B42,""en"",""ko"")"),"다이아몬드가 부족해요!")</f>
        <v>다이아몬드가 부족해요!</v>
      </c>
      <c r="R42" s="71" t="str">
        <f>IFERROR(__xludf.DUMMYFUNCTION("GOOGLETRANSLATE(B42,""en"",""lo"")"),"ບໍ່ພໍເພັດ!")</f>
        <v>ບໍ່ພໍເພັດ!</v>
      </c>
      <c r="S42" s="71" t="str">
        <f>IFERROR(__xludf.DUMMYFUNCTION("GOOGLETRANSLATE(B42,""en"",""lv"")"),"Par maz dimanta!")</f>
        <v>Par maz dimanta!</v>
      </c>
      <c r="T42" s="71" t="str">
        <f>IFERROR(__xludf.DUMMYFUNCTION("GOOGLETRANSLATE(B42,""en"",""ms"")"),"Tak cukup Intan!")</f>
        <v>Tak cukup Intan!</v>
      </c>
      <c r="U42" s="71" t="str">
        <f>IFERROR(__xludf.DUMMYFUNCTION("GOOGLETRANSLATE(B42,""en"",""nl"")"),"Niet genoeg diamant!")</f>
        <v>Niet genoeg diamant!</v>
      </c>
      <c r="V42" s="71" t="str">
        <f>IFERROR(__xludf.DUMMYFUNCTION("GOOGLETRANSLATE(B42,""en"",""pl"")"),"Za mało Diamentu!")</f>
        <v>Za mało Diamentu!</v>
      </c>
      <c r="W42" s="71" t="str">
        <f>IFERROR(__xludf.DUMMYFUNCTION("GOOGLETRANSLATE(B42,""en"",""pt-PT"")"),"Diamante insuficiente!")</f>
        <v>Diamante insuficiente!</v>
      </c>
      <c r="X42" s="71" t="str">
        <f>IFERROR(__xludf.DUMMYFUNCTION("GOOGLETRANSLATE(B42,""en"",""ru"")"),"Недостаточно алмаза!")</f>
        <v>Недостаточно алмаза!</v>
      </c>
      <c r="Y42" s="71" t="str">
        <f>IFERROR(__xludf.DUMMYFUNCTION("GOOGLETRANSLATE(B42,""en"",""th"")"),"เพชรไม่พอ!")</f>
        <v>เพชรไม่พอ!</v>
      </c>
      <c r="Z42" s="71" t="str">
        <f>IFERROR(__xludf.DUMMYFUNCTION("GOOGLETRANSLATE(B42,""en"",""tr"")"),"Yeterli Elmas yok!")</f>
        <v>Yeterli Elmas yok!</v>
      </c>
      <c r="AA42" s="71" t="str">
        <f>IFERROR(__xludf.DUMMYFUNCTION("GOOGLETRANSLATE(B42,""en"",""uk"")"),"Недостатньо діаманта!")</f>
        <v>Недостатньо діаманта!</v>
      </c>
      <c r="AB42" s="71" t="str">
        <f>IFERROR(__xludf.DUMMYFUNCTION("GOOGLETRANSLATE(B42,""en"",""zh-CN"")"),"钻石不够！")</f>
        <v>钻石不够！</v>
      </c>
      <c r="AC42" s="71" t="str">
        <f>IFERROR(__xludf.DUMMYFUNCTION("GOOGLETRANSLATE(B42,""en"",""vi"")"),"Không đủ kim cương!")</f>
        <v>Không đủ kim cương!</v>
      </c>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row>
    <row r="43">
      <c r="A43" s="73" t="s">
        <v>11633</v>
      </c>
      <c r="B43" s="73" t="s">
        <v>11634</v>
      </c>
      <c r="C43" s="71" t="str">
        <f>IFERROR(__xludf.DUMMYFUNCTION("GOOGLETRANSLATE(B43,""en"",""ar"")"),"العنصر مفتوح بالفعل!")</f>
        <v>العنصر مفتوح بالفعل!</v>
      </c>
      <c r="D43" s="71" t="str">
        <f>IFERROR(__xludf.DUMMYFUNCTION("GOOGLETRANSLATE(B43,""en"",""cs"")"),"Položka je již odemčena!")</f>
        <v>Položka je již odemčena!</v>
      </c>
      <c r="E43" s="71" t="str">
        <f>IFERROR(__xludf.DUMMYFUNCTION("GOOGLETRANSLATE(B43,""en"",""de"")"),"Artikel ist bereits freigeschaltet!")</f>
        <v>Artikel ist bereits freigeschaltet!</v>
      </c>
      <c r="F43" s="71" t="str">
        <f>IFERROR(__xludf.DUMMYFUNCTION("GOOGLETRANSLATE(B43,""en"",""el"")"),"Το στοιχείο είναι ήδη ξεκλείδωτο!")</f>
        <v>Το στοιχείο είναι ήδη ξεκλείδωτο!</v>
      </c>
      <c r="G43" s="71" t="str">
        <f>IFERROR(__xludf.DUMMYFUNCTION("GOOGLETRANSLATE(B43,""en"",""es"")"),"¡El artículo ya está desbloqueado!")</f>
        <v>¡El artículo ya está desbloqueado!</v>
      </c>
      <c r="H43" s="71" t="str">
        <f>IFERROR(__xludf.DUMMYFUNCTION("GOOGLETRANSLATE(B43,""en"",""et"")"),"Üksus on juba lukust lahti!")</f>
        <v>Üksus on juba lukust lahti!</v>
      </c>
      <c r="I43" s="71" t="str">
        <f>IFERROR(__xludf.DUMMYFUNCTION("GOOGLETRANSLATE(B43,""en"",""fi"")"),"Tuote on jo avattu!")</f>
        <v>Tuote on jo avattu!</v>
      </c>
      <c r="J43" s="71" t="str">
        <f>IFERROR(__xludf.DUMMYFUNCTION("GOOGLETRANSLATE(B43,""en"",""fr"")"),"L'article est déjà débloqué !")</f>
        <v>L'article est déjà débloqué !</v>
      </c>
      <c r="K43" s="71" t="str">
        <f>IFERROR(__xludf.DUMMYFUNCTION("GOOGLETRANSLATE(B43,""en"",""hi"")"),"आइटम पहले से ही अनलॉक है!")</f>
        <v>आइटम पहले से ही अनलॉक है!</v>
      </c>
      <c r="L43" s="71" t="str">
        <f>IFERROR(__xludf.DUMMYFUNCTION("GOOGLETRANSLATE(B43,""en"",""id"")"),"Item sudah terbuka!")</f>
        <v>Item sudah terbuka!</v>
      </c>
      <c r="M43" s="71" t="str">
        <f>IFERROR(__xludf.DUMMYFUNCTION("GOOGLETRANSLATE(B43,""en"",""it"")"),"L'oggetto è già sbloccato!")</f>
        <v>L'oggetto è già sbloccato!</v>
      </c>
      <c r="N43" s="71" t="str">
        <f>IFERROR(__xludf.DUMMYFUNCTION("GOOGLETRANSLATE(B43,""en"",""ja"")"),"アイテムはすでにロック解除されています!")</f>
        <v>アイテムはすでにロック解除されています!</v>
      </c>
      <c r="O43" s="71" t="str">
        <f>IFERROR(__xludf.DUMMYFUNCTION("GOOGLETRANSLATE(B43,""en"",""km"")"),"ធាតុត្រូវបានដោះសោរួចហើយ!")</f>
        <v>ធាតុត្រូវបានដោះសោរួចហើយ!</v>
      </c>
      <c r="P43" s="71" t="str">
        <f>IFERROR(__xludf.DUMMYFUNCTION("GOOGLETRANSLATE(B43,""en"",""kn"")"),"ಐಟಂ ಈಗಾಗಲೇ ಅನ್‌ಲಾಕ್ ಆಗಿದೆ!")</f>
        <v>ಐಟಂ ಈಗಾಗಲೇ ಅನ್‌ಲಾಕ್ ಆಗಿದೆ!</v>
      </c>
      <c r="Q43" s="71" t="str">
        <f>IFERROR(__xludf.DUMMYFUNCTION("GOOGLETRANSLATE(B43,""en"",""ko"")"),"항목이 이미 잠금 해제되었습니다!")</f>
        <v>항목이 이미 잠금 해제되었습니다!</v>
      </c>
      <c r="R43" s="71" t="str">
        <f>IFERROR(__xludf.DUMMYFUNCTION("GOOGLETRANSLATE(B43,""en"",""lo"")"),"ລາຍການຖືກປົດລັອກແລ້ວ!")</f>
        <v>ລາຍການຖືກປົດລັອກແລ້ວ!</v>
      </c>
      <c r="S43" s="71" t="str">
        <f>IFERROR(__xludf.DUMMYFUNCTION("GOOGLETRANSLATE(B43,""en"",""lv"")"),"Prece jau ir atbloķēta!")</f>
        <v>Prece jau ir atbloķēta!</v>
      </c>
      <c r="T43" s="71" t="str">
        <f>IFERROR(__xludf.DUMMYFUNCTION("GOOGLETRANSLATE(B43,""en"",""ms"")"),"Item sudah Dibuka kunci!")</f>
        <v>Item sudah Dibuka kunci!</v>
      </c>
      <c r="U43" s="71" t="str">
        <f>IFERROR(__xludf.DUMMYFUNCTION("GOOGLETRANSLATE(B43,""en"",""nl"")"),"Het item is al ontgrendeld!")</f>
        <v>Het item is al ontgrendeld!</v>
      </c>
      <c r="V43" s="71" t="str">
        <f>IFERROR(__xludf.DUMMYFUNCTION("GOOGLETRANSLATE(B43,""en"",""pl"")"),"Przedmiot jest już odblokowany!")</f>
        <v>Przedmiot jest już odblokowany!</v>
      </c>
      <c r="W43" s="71" t="str">
        <f>IFERROR(__xludf.DUMMYFUNCTION("GOOGLETRANSLATE(B43,""en"",""pt-PT"")"),"O item já está desbloqueado!")</f>
        <v>O item já está desbloqueado!</v>
      </c>
      <c r="X43" s="71" t="str">
        <f>IFERROR(__xludf.DUMMYFUNCTION("GOOGLETRANSLATE(B43,""en"",""ru"")"),"Предмет уже разблокирован!")</f>
        <v>Предмет уже разблокирован!</v>
      </c>
      <c r="Y43" s="71" t="str">
        <f>IFERROR(__xludf.DUMMYFUNCTION("GOOGLETRANSLATE(B43,""en"",""th"")"),"ไอเท็มนี้ถูกปลดล็อคแล้ว!")</f>
        <v>ไอเท็มนี้ถูกปลดล็อคแล้ว!</v>
      </c>
      <c r="Z43" s="71" t="str">
        <f>IFERROR(__xludf.DUMMYFUNCTION("GOOGLETRANSLATE(B43,""en"",""tr"")"),"Öğenin Kilidi zaten Açık!")</f>
        <v>Öğenin Kilidi zaten Açık!</v>
      </c>
      <c r="AA43" s="71" t="str">
        <f>IFERROR(__xludf.DUMMYFUNCTION("GOOGLETRANSLATE(B43,""en"",""uk"")"),"Товар уже розблоковано!")</f>
        <v>Товар уже розблоковано!</v>
      </c>
      <c r="AB43" s="71" t="str">
        <f>IFERROR(__xludf.DUMMYFUNCTION("GOOGLETRANSLATE(B43,""en"",""zh-CN"")"),"物品已经解锁！")</f>
        <v>物品已经解锁！</v>
      </c>
      <c r="AC43" s="71" t="str">
        <f>IFERROR(__xludf.DUMMYFUNCTION("GOOGLETRANSLATE(B43,""en"",""vi"")"),"Vật phẩm đã được mở khóa!")</f>
        <v>Vật phẩm đã được mở khóa!</v>
      </c>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row>
    <row r="44">
      <c r="A44" s="73" t="s">
        <v>4545</v>
      </c>
      <c r="B44" s="73" t="s">
        <v>2934</v>
      </c>
      <c r="C44" s="71" t="str">
        <f>IFERROR(__xludf.DUMMYFUNCTION("GOOGLETRANSLATE(B44,""en"",""ar"")"),"نجاح!")</f>
        <v>نجاح!</v>
      </c>
      <c r="D44" s="71" t="str">
        <f>IFERROR(__xludf.DUMMYFUNCTION("GOOGLETRANSLATE(B44,""en"",""cs"")"),"Úspěch!")</f>
        <v>Úspěch!</v>
      </c>
      <c r="E44" s="71" t="str">
        <f>IFERROR(__xludf.DUMMYFUNCTION("GOOGLETRANSLATE(B44,""en"",""de"")"),"Erfolg!")</f>
        <v>Erfolg!</v>
      </c>
      <c r="F44" s="71" t="str">
        <f>IFERROR(__xludf.DUMMYFUNCTION("GOOGLETRANSLATE(B44,""en"",""el"")"),"Επιτυχία!")</f>
        <v>Επιτυχία!</v>
      </c>
      <c r="G44" s="71" t="str">
        <f>IFERROR(__xludf.DUMMYFUNCTION("GOOGLETRANSLATE(B44,""en"",""es"")"),"¡Éxito!")</f>
        <v>¡Éxito!</v>
      </c>
      <c r="H44" s="71" t="str">
        <f>IFERROR(__xludf.DUMMYFUNCTION("GOOGLETRANSLATE(B44,""en"",""et"")"),"Edu!")</f>
        <v>Edu!</v>
      </c>
      <c r="I44" s="71" t="str">
        <f>IFERROR(__xludf.DUMMYFUNCTION("GOOGLETRANSLATE(B44,""en"",""fi"")"),"Menestys!")</f>
        <v>Menestys!</v>
      </c>
      <c r="J44" s="71" t="str">
        <f>IFERROR(__xludf.DUMMYFUNCTION("GOOGLETRANSLATE(B44,""en"",""fr"")"),"Succès!")</f>
        <v>Succès!</v>
      </c>
      <c r="K44" s="71" t="str">
        <f>IFERROR(__xludf.DUMMYFUNCTION("GOOGLETRANSLATE(B44,""en"",""hi"")"),"सफलता!")</f>
        <v>सफलता!</v>
      </c>
      <c r="L44" s="71" t="str">
        <f>IFERROR(__xludf.DUMMYFUNCTION("GOOGLETRANSLATE(B44,""en"",""id"")"),"Kesuksesan!")</f>
        <v>Kesuksesan!</v>
      </c>
      <c r="M44" s="71" t="str">
        <f>IFERROR(__xludf.DUMMYFUNCTION("GOOGLETRANSLATE(B44,""en"",""it"")"),"Successo!")</f>
        <v>Successo!</v>
      </c>
      <c r="N44" s="71" t="str">
        <f>IFERROR(__xludf.DUMMYFUNCTION("GOOGLETRANSLATE(B44,""en"",""ja"")"),"成功！")</f>
        <v>成功！</v>
      </c>
      <c r="O44" s="71" t="str">
        <f>IFERROR(__xludf.DUMMYFUNCTION("GOOGLETRANSLATE(B44,""en"",""km"")"),"ជោគជ័យ!")</f>
        <v>ជោគជ័យ!</v>
      </c>
      <c r="P44" s="71" t="str">
        <f>IFERROR(__xludf.DUMMYFUNCTION("GOOGLETRANSLATE(B44,""en"",""kn"")"),"ಯಶಸ್ಸು!")</f>
        <v>ಯಶಸ್ಸು!</v>
      </c>
      <c r="Q44" s="71" t="str">
        <f>IFERROR(__xludf.DUMMYFUNCTION("GOOGLETRANSLATE(B44,""en"",""ko"")"),"성공!")</f>
        <v>성공!</v>
      </c>
      <c r="R44" s="71" t="str">
        <f>IFERROR(__xludf.DUMMYFUNCTION("GOOGLETRANSLATE(B44,""en"",""lo"")"),"ສຳເລັດ!")</f>
        <v>ສຳເລັດ!</v>
      </c>
      <c r="S44" s="71" t="str">
        <f>IFERROR(__xludf.DUMMYFUNCTION("GOOGLETRANSLATE(B44,""en"",""lv"")"),"Veiksmi!")</f>
        <v>Veiksmi!</v>
      </c>
      <c r="T44" s="71" t="str">
        <f>IFERROR(__xludf.DUMMYFUNCTION("GOOGLETRANSLATE(B44,""en"",""ms"")"),"Berjaya!")</f>
        <v>Berjaya!</v>
      </c>
      <c r="U44" s="71" t="str">
        <f>IFERROR(__xludf.DUMMYFUNCTION("GOOGLETRANSLATE(B44,""en"",""nl"")"),"Succes!")</f>
        <v>Succes!</v>
      </c>
      <c r="V44" s="71" t="str">
        <f>IFERROR(__xludf.DUMMYFUNCTION("GOOGLETRANSLATE(B44,""en"",""pl"")"),"Sukces!")</f>
        <v>Sukces!</v>
      </c>
      <c r="W44" s="71" t="str">
        <f>IFERROR(__xludf.DUMMYFUNCTION("GOOGLETRANSLATE(B44,""en"",""pt-PT"")"),"Sucesso!")</f>
        <v>Sucesso!</v>
      </c>
      <c r="X44" s="71" t="str">
        <f>IFERROR(__xludf.DUMMYFUNCTION("GOOGLETRANSLATE(B44,""en"",""ru"")"),"Успех!")</f>
        <v>Успех!</v>
      </c>
      <c r="Y44" s="71" t="str">
        <f>IFERROR(__xludf.DUMMYFUNCTION("GOOGLETRANSLATE(B44,""en"",""th"")"),"ความสำเร็จ!")</f>
        <v>ความสำเร็จ!</v>
      </c>
      <c r="Z44" s="71" t="str">
        <f>IFERROR(__xludf.DUMMYFUNCTION("GOOGLETRANSLATE(B44,""en"",""tr"")"),"Başarı!")</f>
        <v>Başarı!</v>
      </c>
      <c r="AA44" s="71" t="str">
        <f>IFERROR(__xludf.DUMMYFUNCTION("GOOGLETRANSLATE(B44,""en"",""uk"")"),"Успіх!")</f>
        <v>Успіх!</v>
      </c>
      <c r="AB44" s="71" t="str">
        <f>IFERROR(__xludf.DUMMYFUNCTION("GOOGLETRANSLATE(B44,""en"",""zh-CN"")"),"成功！")</f>
        <v>成功！</v>
      </c>
      <c r="AC44" s="71" t="str">
        <f>IFERROR(__xludf.DUMMYFUNCTION("GOOGLETRANSLATE(B44,""en"",""vi"")"),"Thành công!")</f>
        <v>Thành công!</v>
      </c>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row>
    <row r="45">
      <c r="A45" s="73" t="s">
        <v>383</v>
      </c>
      <c r="B45" s="73" t="s">
        <v>11635</v>
      </c>
      <c r="C45" s="71" t="str">
        <f>IFERROR(__xludf.DUMMYFUNCTION("GOOGLETRANSLATE(B45,""en"",""ar"")"),"خطأ! ")</f>
        <v>خطأ! </v>
      </c>
      <c r="D45" s="71" t="str">
        <f>IFERROR(__xludf.DUMMYFUNCTION("GOOGLETRANSLATE(B45,""en"",""cs"")"),"Chyba! ")</f>
        <v>Chyba! </v>
      </c>
      <c r="E45" s="71" t="str">
        <f>IFERROR(__xludf.DUMMYFUNCTION("GOOGLETRANSLATE(B45,""en"",""de"")"),"Fehler! ")</f>
        <v>Fehler! </v>
      </c>
      <c r="F45" s="71" t="str">
        <f>IFERROR(__xludf.DUMMYFUNCTION("GOOGLETRANSLATE(B45,""en"",""el"")"),"Σφάλμα! ")</f>
        <v>Σφάλμα! </v>
      </c>
      <c r="G45" s="71" t="str">
        <f>IFERROR(__xludf.DUMMYFUNCTION("GOOGLETRANSLATE(B45,""en"",""es"")"),"¡Error! ")</f>
        <v>¡Error! </v>
      </c>
      <c r="H45" s="71" t="str">
        <f>IFERROR(__xludf.DUMMYFUNCTION("GOOGLETRANSLATE(B45,""en"",""et"")"),"Viga! ")</f>
        <v>Viga! </v>
      </c>
      <c r="I45" s="71" t="str">
        <f>IFERROR(__xludf.DUMMYFUNCTION("GOOGLETRANSLATE(B45,""en"",""fi"")"),"Virhe! ")</f>
        <v>Virhe! </v>
      </c>
      <c r="J45" s="71" t="str">
        <f>IFERROR(__xludf.DUMMYFUNCTION("GOOGLETRANSLATE(B45,""en"",""fr"")"),"Erreur! ")</f>
        <v>Erreur! </v>
      </c>
      <c r="K45" s="71" t="str">
        <f>IFERROR(__xludf.DUMMYFUNCTION("GOOGLETRANSLATE(B45,""en"",""hi"")"),"गलती! ")</f>
        <v>गलती! </v>
      </c>
      <c r="L45" s="71" t="str">
        <f>IFERROR(__xludf.DUMMYFUNCTION("GOOGLETRANSLATE(B45,""en"",""id"")"),"Kesalahan! ")</f>
        <v>Kesalahan! </v>
      </c>
      <c r="M45" s="71" t="str">
        <f>IFERROR(__xludf.DUMMYFUNCTION("GOOGLETRANSLATE(B45,""en"",""it"")"),"Errore! ")</f>
        <v>Errore! </v>
      </c>
      <c r="N45" s="71" t="str">
        <f>IFERROR(__xludf.DUMMYFUNCTION("GOOGLETRANSLATE(B45,""en"",""ja"")"),"エラー！ ")</f>
        <v>エラー！ </v>
      </c>
      <c r="O45" s="71" t="str">
        <f>IFERROR(__xludf.DUMMYFUNCTION("GOOGLETRANSLATE(B45,""en"",""km"")"),"កំហុស! ")</f>
        <v>កំហុស! </v>
      </c>
      <c r="P45" s="71" t="str">
        <f>IFERROR(__xludf.DUMMYFUNCTION("GOOGLETRANSLATE(B45,""en"",""kn"")"),"ದೋಷ! ")</f>
        <v>ದೋಷ! </v>
      </c>
      <c r="Q45" s="71" t="str">
        <f>IFERROR(__xludf.DUMMYFUNCTION("GOOGLETRANSLATE(B45,""en"",""ko"")"),"오류! ")</f>
        <v>오류! </v>
      </c>
      <c r="R45" s="71" t="str">
        <f>IFERROR(__xludf.DUMMYFUNCTION("GOOGLETRANSLATE(B45,""en"",""lo"")"),"ຜິດພາດ! ")</f>
        <v>ຜິດພາດ! </v>
      </c>
      <c r="S45" s="71" t="str">
        <f>IFERROR(__xludf.DUMMYFUNCTION("GOOGLETRANSLATE(B45,""en"",""lv"")"),"Kļūda! ")</f>
        <v>Kļūda! </v>
      </c>
      <c r="T45" s="71" t="str">
        <f>IFERROR(__xludf.DUMMYFUNCTION("GOOGLETRANSLATE(B45,""en"",""ms"")"),"Ralat! ")</f>
        <v>Ralat! </v>
      </c>
      <c r="U45" s="71" t="str">
        <f>IFERROR(__xludf.DUMMYFUNCTION("GOOGLETRANSLATE(B45,""en"",""nl"")"),"Fout! ")</f>
        <v>Fout! </v>
      </c>
      <c r="V45" s="71" t="str">
        <f>IFERROR(__xludf.DUMMYFUNCTION("GOOGLETRANSLATE(B45,""en"",""pl"")"),"Błąd! ")</f>
        <v>Błąd! </v>
      </c>
      <c r="W45" s="71" t="str">
        <f>IFERROR(__xludf.DUMMYFUNCTION("GOOGLETRANSLATE(B45,""en"",""pt-PT"")"),"Erro! ")</f>
        <v>Erro! </v>
      </c>
      <c r="X45" s="71" t="str">
        <f>IFERROR(__xludf.DUMMYFUNCTION("GOOGLETRANSLATE(B45,""en"",""ru"")"),"Ошибка! ")</f>
        <v>Ошибка! </v>
      </c>
      <c r="Y45" s="71" t="str">
        <f>IFERROR(__xludf.DUMMYFUNCTION("GOOGLETRANSLATE(B45,""en"",""th"")"),"ข้อผิดพลาด! ")</f>
        <v>ข้อผิดพลาด! </v>
      </c>
      <c r="Z45" s="71" t="str">
        <f>IFERROR(__xludf.DUMMYFUNCTION("GOOGLETRANSLATE(B45,""en"",""tr"")"),"Hata! ")</f>
        <v>Hata! </v>
      </c>
      <c r="AA45" s="71" t="str">
        <f>IFERROR(__xludf.DUMMYFUNCTION("GOOGLETRANSLATE(B45,""en"",""uk"")"),"Помилка! ")</f>
        <v>Помилка! </v>
      </c>
      <c r="AB45" s="71" t="str">
        <f>IFERROR(__xludf.DUMMYFUNCTION("GOOGLETRANSLATE(B45,""en"",""zh-CN"")"),"错误！ ")</f>
        <v>错误！ </v>
      </c>
      <c r="AC45" s="71" t="str">
        <f>IFERROR(__xludf.DUMMYFUNCTION("GOOGLETRANSLATE(B45,""en"",""vi"")"),"Lỗi! ")</f>
        <v>Lỗi! </v>
      </c>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row>
    <row r="46">
      <c r="A46" s="73" t="s">
        <v>11636</v>
      </c>
      <c r="B46" s="73" t="s">
        <v>11637</v>
      </c>
      <c r="C46" s="71" t="str">
        <f>IFERROR(__xludf.DUMMYFUNCTION("GOOGLETRANSLATE(B46,""en"",""ar"")"),"الرجاء تحديد التطبيق أولا!")</f>
        <v>الرجاء تحديد التطبيق أولا!</v>
      </c>
      <c r="D46" s="71" t="str">
        <f>IFERROR(__xludf.DUMMYFUNCTION("GOOGLETRANSLATE(B46,""en"",""cs"")"),"Nejprve prosím vyberte aplikaci!")</f>
        <v>Nejprve prosím vyberte aplikaci!</v>
      </c>
      <c r="E46" s="71" t="str">
        <f>IFERROR(__xludf.DUMMYFUNCTION("GOOGLETRANSLATE(B46,""en"",""de"")"),"Bitte zuerst Anwendung auswählen!")</f>
        <v>Bitte zuerst Anwendung auswählen!</v>
      </c>
      <c r="F46" s="71" t="str">
        <f>IFERROR(__xludf.DUMMYFUNCTION("GOOGLETRANSLATE(B46,""en"",""el"")"),"Επιλέξτε πρώτα την εφαρμογή!")</f>
        <v>Επιλέξτε πρώτα την εφαρμογή!</v>
      </c>
      <c r="G46" s="71" t="str">
        <f>IFERROR(__xludf.DUMMYFUNCTION("GOOGLETRANSLATE(B46,""en"",""es"")"),"¡Por favor seleccione la aplicación primero!")</f>
        <v>¡Por favor seleccione la aplicación primero!</v>
      </c>
      <c r="H46" s="71" t="str">
        <f>IFERROR(__xludf.DUMMYFUNCTION("GOOGLETRANSLATE(B46,""en"",""et"")"),"Valige esmalt rakendus!")</f>
        <v>Valige esmalt rakendus!</v>
      </c>
      <c r="I46" s="71" t="str">
        <f>IFERROR(__xludf.DUMMYFUNCTION("GOOGLETRANSLATE(B46,""en"",""fi"")"),"Valitse ensin sovellus!")</f>
        <v>Valitse ensin sovellus!</v>
      </c>
      <c r="J46" s="71" t="str">
        <f>IFERROR(__xludf.DUMMYFUNCTION("GOOGLETRANSLATE(B46,""en"",""fr"")"),"Veuillez d'abord sélectionner votre candidature !")</f>
        <v>Veuillez d'abord sélectionner votre candidature !</v>
      </c>
      <c r="K46" s="71" t="str">
        <f>IFERROR(__xludf.DUMMYFUNCTION("GOOGLETRANSLATE(B46,""en"",""hi"")"),"कृपया पहले आवेदन का चयन करें!")</f>
        <v>कृपया पहले आवेदन का चयन करें!</v>
      </c>
      <c r="L46" s="71" t="str">
        <f>IFERROR(__xludf.DUMMYFUNCTION("GOOGLETRANSLATE(B46,""en"",""id"")"),"Silakan pilih aplikasi terlebih dahulu!")</f>
        <v>Silakan pilih aplikasi terlebih dahulu!</v>
      </c>
      <c r="M46" s="71" t="str">
        <f>IFERROR(__xludf.DUMMYFUNCTION("GOOGLETRANSLATE(B46,""en"",""it"")"),"Seleziona prima l'applicazione!")</f>
        <v>Seleziona prima l'applicazione!</v>
      </c>
      <c r="N46" s="71" t="str">
        <f>IFERROR(__xludf.DUMMYFUNCTION("GOOGLETRANSLATE(B46,""en"",""ja"")"),"最初にアプリケーションを選択してください。")</f>
        <v>最初にアプリケーションを選択してください。</v>
      </c>
      <c r="O46" s="71" t="str">
        <f>IFERROR(__xludf.DUMMYFUNCTION("GOOGLETRANSLATE(B46,""en"",""km"")"),"សូមជ្រើសរើសកម្មវិធីជាមុនសិន!")</f>
        <v>សូមជ្រើសរើសកម្មវិធីជាមុនសិន!</v>
      </c>
      <c r="P46" s="71" t="str">
        <f>IFERROR(__xludf.DUMMYFUNCTION("GOOGLETRANSLATE(B46,""en"",""kn"")"),"ದಯವಿಟ್ಟು ಮೊದಲು ಅಪ್ಲಿಕೇಶನ್ ಆಯ್ಕೆಮಾಡಿ!")</f>
        <v>ದಯವಿಟ್ಟು ಮೊದಲು ಅಪ್ಲಿಕೇಶನ್ ಆಯ್ಕೆಮಾಡಿ!</v>
      </c>
      <c r="Q46" s="71" t="str">
        <f>IFERROR(__xludf.DUMMYFUNCTION("GOOGLETRANSLATE(B46,""en"",""ko"")"),"먼저 신청을 선택해주세요!")</f>
        <v>먼저 신청을 선택해주세요!</v>
      </c>
      <c r="R46" s="71" t="str">
        <f>IFERROR(__xludf.DUMMYFUNCTION("GOOGLETRANSLATE(B46,""en"",""lo"")"),"ກະລຸນາເລືອກໃບສະໝັກກ່ອນ!")</f>
        <v>ກະລຸນາເລືອກໃບສະໝັກກ່ອນ!</v>
      </c>
      <c r="S46" s="71" t="str">
        <f>IFERROR(__xludf.DUMMYFUNCTION("GOOGLETRANSLATE(B46,""en"",""lv"")"),"Vispirms izvēlieties pieteikumu!")</f>
        <v>Vispirms izvēlieties pieteikumu!</v>
      </c>
      <c r="T46" s="71" t="str">
        <f>IFERROR(__xludf.DUMMYFUNCTION("GOOGLETRANSLATE(B46,""en"",""ms"")"),"Sila pilih permohonan dahulu!")</f>
        <v>Sila pilih permohonan dahulu!</v>
      </c>
      <c r="U46" s="71" t="str">
        <f>IFERROR(__xludf.DUMMYFUNCTION("GOOGLETRANSLATE(B46,""en"",""nl"")"),"Selecteer eerst de toepassing!")</f>
        <v>Selecteer eerst de toepassing!</v>
      </c>
      <c r="V46" s="71" t="str">
        <f>IFERROR(__xludf.DUMMYFUNCTION("GOOGLETRANSLATE(B46,""en"",""pl"")"),"Najpierw wybierz aplikację!")</f>
        <v>Najpierw wybierz aplikację!</v>
      </c>
      <c r="W46" s="71" t="str">
        <f>IFERROR(__xludf.DUMMYFUNCTION("GOOGLETRANSLATE(B46,""en"",""pt-PT"")"),"Selecione o aplicativo primeiro!")</f>
        <v>Selecione o aplicativo primeiro!</v>
      </c>
      <c r="X46" s="71" t="str">
        <f>IFERROR(__xludf.DUMMYFUNCTION("GOOGLETRANSLATE(B46,""en"",""ru"")"),"Пожалуйста, сначала выберите приложение!")</f>
        <v>Пожалуйста, сначала выберите приложение!</v>
      </c>
      <c r="Y46" s="71" t="str">
        <f>IFERROR(__xludf.DUMMYFUNCTION("GOOGLETRANSLATE(B46,""en"",""th"")"),"กรุณาเลือกใบสมัครก่อน!")</f>
        <v>กรุณาเลือกใบสมัครก่อน!</v>
      </c>
      <c r="Z46" s="71" t="str">
        <f>IFERROR(__xludf.DUMMYFUNCTION("GOOGLETRANSLATE(B46,""en"",""tr"")"),"Lütfen önce uygulamayı seçin!")</f>
        <v>Lütfen önce uygulamayı seçin!</v>
      </c>
      <c r="AA46" s="71" t="str">
        <f>IFERROR(__xludf.DUMMYFUNCTION("GOOGLETRANSLATE(B46,""en"",""uk"")"),"Спочатку виберіть програму!")</f>
        <v>Спочатку виберіть програму!</v>
      </c>
      <c r="AB46" s="71" t="str">
        <f>IFERROR(__xludf.DUMMYFUNCTION("GOOGLETRANSLATE(B46,""en"",""zh-CN"")"),"请先选择应用！")</f>
        <v>请先选择应用！</v>
      </c>
      <c r="AC46" s="71" t="str">
        <f>IFERROR(__xludf.DUMMYFUNCTION("GOOGLETRANSLATE(B46,""en"",""vi"")"),"Vui lòng chọn ứng dụng trước!")</f>
        <v>Vui lòng chọn ứng dụng trước!</v>
      </c>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row>
    <row r="47">
      <c r="A47" s="73" t="s">
        <v>11638</v>
      </c>
      <c r="B47" s="73" t="s">
        <v>11639</v>
      </c>
      <c r="C47" s="71" t="str">
        <f>IFERROR(__xludf.DUMMYFUNCTION("GOOGLETRANSLATE(B47,""en"",""ar"")"),"القطعة المخصصة")</f>
        <v>القطعة المخصصة</v>
      </c>
      <c r="D47" s="71" t="str">
        <f>IFERROR(__xludf.DUMMYFUNCTION("GOOGLETRANSLATE(B47,""en"",""cs"")"),"Vlastní widget")</f>
        <v>Vlastní widget</v>
      </c>
      <c r="E47" s="71" t="str">
        <f>IFERROR(__xludf.DUMMYFUNCTION("GOOGLETRANSLATE(B47,""en"",""de"")"),"Benutzerdefiniertes Widget")</f>
        <v>Benutzerdefiniertes Widget</v>
      </c>
      <c r="F47" s="71" t="str">
        <f>IFERROR(__xludf.DUMMYFUNCTION("GOOGLETRANSLATE(B47,""en"",""el"")"),"Προσαρμοσμένο γραφικό στοιχείο")</f>
        <v>Προσαρμοσμένο γραφικό στοιχείο</v>
      </c>
      <c r="G47" s="71" t="str">
        <f>IFERROR(__xludf.DUMMYFUNCTION("GOOGLETRANSLATE(B47,""en"",""es"")"),"Widget personalizado")</f>
        <v>Widget personalizado</v>
      </c>
      <c r="H47" s="71" t="str">
        <f>IFERROR(__xludf.DUMMYFUNCTION("GOOGLETRANSLATE(B47,""en"",""et"")"),"Kohandatud vidin")</f>
        <v>Kohandatud vidin</v>
      </c>
      <c r="I47" s="71" t="str">
        <f>IFERROR(__xludf.DUMMYFUNCTION("GOOGLETRANSLATE(B47,""en"",""fi"")"),"Mukautettu widget")</f>
        <v>Mukautettu widget</v>
      </c>
      <c r="J47" s="71" t="str">
        <f>IFERROR(__xludf.DUMMYFUNCTION("GOOGLETRANSLATE(B47,""en"",""fr"")"),"Widget personnalisé")</f>
        <v>Widget personnalisé</v>
      </c>
      <c r="K47" s="71" t="str">
        <f>IFERROR(__xludf.DUMMYFUNCTION("GOOGLETRANSLATE(B47,""en"",""hi"")"),"कस्टम विजेट")</f>
        <v>कस्टम विजेट</v>
      </c>
      <c r="L47" s="71" t="str">
        <f>IFERROR(__xludf.DUMMYFUNCTION("GOOGLETRANSLATE(B47,""en"",""id"")"),"Widget Khusus")</f>
        <v>Widget Khusus</v>
      </c>
      <c r="M47" s="71" t="str">
        <f>IFERROR(__xludf.DUMMYFUNCTION("GOOGLETRANSLATE(B47,""en"",""it"")"),"Widget personalizzato")</f>
        <v>Widget personalizzato</v>
      </c>
      <c r="N47" s="71" t="str">
        <f>IFERROR(__xludf.DUMMYFUNCTION("GOOGLETRANSLATE(B47,""en"",""ja"")"),"カスタムウィジェット")</f>
        <v>カスタムウィジェット</v>
      </c>
      <c r="O47" s="71" t="str">
        <f>IFERROR(__xludf.DUMMYFUNCTION("GOOGLETRANSLATE(B47,""en"",""km"")"),"ធាតុក្រាហ្វិកផ្ទាល់ខ្លួន")</f>
        <v>ធាតុក្រាហ្វិកផ្ទាល់ខ្លួន</v>
      </c>
      <c r="P47" s="71" t="str">
        <f>IFERROR(__xludf.DUMMYFUNCTION("GOOGLETRANSLATE(B47,""en"",""kn"")"),"ಕಸ್ಟಮ್ ವಿಜೆಟ್")</f>
        <v>ಕಸ್ಟಮ್ ವಿಜೆಟ್</v>
      </c>
      <c r="Q47" s="71" t="str">
        <f>IFERROR(__xludf.DUMMYFUNCTION("GOOGLETRANSLATE(B47,""en"",""ko"")"),"맞춤 위젯")</f>
        <v>맞춤 위젯</v>
      </c>
      <c r="R47" s="71" t="str">
        <f>IFERROR(__xludf.DUMMYFUNCTION("GOOGLETRANSLATE(B47,""en"",""lo"")"),"Widget ກຳນົດເອງ")</f>
        <v>Widget ກຳນົດເອງ</v>
      </c>
      <c r="S47" s="71" t="str">
        <f>IFERROR(__xludf.DUMMYFUNCTION("GOOGLETRANSLATE(B47,""en"",""lv"")"),"Pielāgots logrīks")</f>
        <v>Pielāgots logrīks</v>
      </c>
      <c r="T47" s="71" t="str">
        <f>IFERROR(__xludf.DUMMYFUNCTION("GOOGLETRANSLATE(B47,""en"",""ms"")"),"Widget Tersuai")</f>
        <v>Widget Tersuai</v>
      </c>
      <c r="U47" s="71" t="str">
        <f>IFERROR(__xludf.DUMMYFUNCTION("GOOGLETRANSLATE(B47,""en"",""nl"")"),"Aangepaste widget")</f>
        <v>Aangepaste widget</v>
      </c>
      <c r="V47" s="71" t="str">
        <f>IFERROR(__xludf.DUMMYFUNCTION("GOOGLETRANSLATE(B47,""en"",""pl"")"),"Niestandardowy widget")</f>
        <v>Niestandardowy widget</v>
      </c>
      <c r="W47" s="71" t="str">
        <f>IFERROR(__xludf.DUMMYFUNCTION("GOOGLETRANSLATE(B47,""en"",""pt-PT"")"),"Widget personalizado")</f>
        <v>Widget personalizado</v>
      </c>
      <c r="X47" s="71" t="str">
        <f>IFERROR(__xludf.DUMMYFUNCTION("GOOGLETRANSLATE(B47,""en"",""ru"")"),"Пользовательский виджет")</f>
        <v>Пользовательский виджет</v>
      </c>
      <c r="Y47" s="71" t="str">
        <f>IFERROR(__xludf.DUMMYFUNCTION("GOOGLETRANSLATE(B47,""en"",""th"")"),"วิดเจ็ตที่กำหนดเอง")</f>
        <v>วิดเจ็ตที่กำหนดเอง</v>
      </c>
      <c r="Z47" s="71" t="str">
        <f>IFERROR(__xludf.DUMMYFUNCTION("GOOGLETRANSLATE(B47,""en"",""tr"")"),"Özel Widget")</f>
        <v>Özel Widget</v>
      </c>
      <c r="AA47" s="71" t="str">
        <f>IFERROR(__xludf.DUMMYFUNCTION("GOOGLETRANSLATE(B47,""en"",""uk"")"),"Спеціальний віджет")</f>
        <v>Спеціальний віджет</v>
      </c>
      <c r="AB47" s="71" t="str">
        <f>IFERROR(__xludf.DUMMYFUNCTION("GOOGLETRANSLATE(B47,""en"",""zh-CN"")"),"自定义小部件")</f>
        <v>自定义小部件</v>
      </c>
      <c r="AC47" s="71" t="str">
        <f>IFERROR(__xludf.DUMMYFUNCTION("GOOGLETRANSLATE(B47,""en"",""vi"")"),"Tiện ích tùy chỉnh")</f>
        <v>Tiện ích tùy chỉnh</v>
      </c>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row>
    <row r="48">
      <c r="A48" s="73" t="s">
        <v>215</v>
      </c>
      <c r="B48" s="73" t="s">
        <v>11640</v>
      </c>
      <c r="C48" s="71" t="str">
        <f>IFERROR(__xludf.DUMMYFUNCTION("GOOGLETRANSLATE(B48,""en"",""ar"")"),"يحرر")</f>
        <v>يحرر</v>
      </c>
      <c r="D48" s="71" t="str">
        <f>IFERROR(__xludf.DUMMYFUNCTION("GOOGLETRANSLATE(B48,""en"",""cs"")"),"UPRAVIT")</f>
        <v>UPRAVIT</v>
      </c>
      <c r="E48" s="71" t="str">
        <f>IFERROR(__xludf.DUMMYFUNCTION("GOOGLETRANSLATE(B48,""en"",""de"")"),"BEARBEITEN")</f>
        <v>BEARBEITEN</v>
      </c>
      <c r="F48" s="71" t="str">
        <f>IFERROR(__xludf.DUMMYFUNCTION("GOOGLETRANSLATE(B48,""en"",""el"")"),"ΕΚΔΙΔΩ")</f>
        <v>ΕΚΔΙΔΩ</v>
      </c>
      <c r="G48" s="71" t="str">
        <f>IFERROR(__xludf.DUMMYFUNCTION("GOOGLETRANSLATE(B48,""en"",""es"")"),"EDITAR")</f>
        <v>EDITAR</v>
      </c>
      <c r="H48" s="71" t="str">
        <f>IFERROR(__xludf.DUMMYFUNCTION("GOOGLETRANSLATE(B48,""en"",""et"")"),"EDIT")</f>
        <v>EDIT</v>
      </c>
      <c r="I48" s="71" t="str">
        <f>IFERROR(__xludf.DUMMYFUNCTION("GOOGLETRANSLATE(B48,""en"",""fi"")"),"MUOKATA")</f>
        <v>MUOKATA</v>
      </c>
      <c r="J48" s="71" t="str">
        <f>IFERROR(__xludf.DUMMYFUNCTION("GOOGLETRANSLATE(B48,""en"",""fr"")"),"MODIFIER")</f>
        <v>MODIFIER</v>
      </c>
      <c r="K48" s="71" t="str">
        <f>IFERROR(__xludf.DUMMYFUNCTION("GOOGLETRANSLATE(B48,""en"",""hi"")"),"संपादन करना")</f>
        <v>संपादन करना</v>
      </c>
      <c r="L48" s="71" t="str">
        <f>IFERROR(__xludf.DUMMYFUNCTION("GOOGLETRANSLATE(B48,""en"",""id"")"),"Sunting")</f>
        <v>Sunting</v>
      </c>
      <c r="M48" s="71" t="str">
        <f>IFERROR(__xludf.DUMMYFUNCTION("GOOGLETRANSLATE(B48,""en"",""it"")"),"MODIFICARE")</f>
        <v>MODIFICARE</v>
      </c>
      <c r="N48" s="71" t="str">
        <f>IFERROR(__xludf.DUMMYFUNCTION("GOOGLETRANSLATE(B48,""en"",""ja"")"),"編集")</f>
        <v>編集</v>
      </c>
      <c r="O48" s="71" t="str">
        <f>IFERROR(__xludf.DUMMYFUNCTION("GOOGLETRANSLATE(B48,""en"",""km"")"),"កែសម្រួល")</f>
        <v>កែសម្រួល</v>
      </c>
      <c r="P48" s="71" t="str">
        <f>IFERROR(__xludf.DUMMYFUNCTION("GOOGLETRANSLATE(B48,""en"",""kn"")"),"ಸಂಪಾದಿಸಿ")</f>
        <v>ಸಂಪಾದಿಸಿ</v>
      </c>
      <c r="Q48" s="71" t="str">
        <f>IFERROR(__xludf.DUMMYFUNCTION("GOOGLETRANSLATE(B48,""en"",""ko"")"),"편집하다")</f>
        <v>편집하다</v>
      </c>
      <c r="R48" s="71" t="str">
        <f>IFERROR(__xludf.DUMMYFUNCTION("GOOGLETRANSLATE(B48,""en"",""lo"")"),"ແກ້ໄຂ")</f>
        <v>ແກ້ໄຂ</v>
      </c>
      <c r="S48" s="71" t="str">
        <f>IFERROR(__xludf.DUMMYFUNCTION("GOOGLETRANSLATE(B48,""en"",""lv"")"),"REDIĢĒT")</f>
        <v>REDIĢĒT</v>
      </c>
      <c r="T48" s="71" t="str">
        <f>IFERROR(__xludf.DUMMYFUNCTION("GOOGLETRANSLATE(B48,""en"",""ms"")"),"EDIT")</f>
        <v>EDIT</v>
      </c>
      <c r="U48" s="71" t="str">
        <f>IFERROR(__xludf.DUMMYFUNCTION("GOOGLETRANSLATE(B48,""en"",""nl"")"),"BEWERKING")</f>
        <v>BEWERKING</v>
      </c>
      <c r="V48" s="71" t="str">
        <f>IFERROR(__xludf.DUMMYFUNCTION("GOOGLETRANSLATE(B48,""en"",""pl"")"),"REDAGOWAĆ")</f>
        <v>REDAGOWAĆ</v>
      </c>
      <c r="W48" s="71" t="str">
        <f>IFERROR(__xludf.DUMMYFUNCTION("GOOGLETRANSLATE(B48,""en"",""pt-PT"")"),"EDITAR")</f>
        <v>EDITAR</v>
      </c>
      <c r="X48" s="71" t="str">
        <f>IFERROR(__xludf.DUMMYFUNCTION("GOOGLETRANSLATE(B48,""en"",""ru"")"),"РЕДАКТИРОВАТЬ")</f>
        <v>РЕДАКТИРОВАТЬ</v>
      </c>
      <c r="Y48" s="71" t="str">
        <f>IFERROR(__xludf.DUMMYFUNCTION("GOOGLETRANSLATE(B48,""en"",""th"")"),"แก้ไข")</f>
        <v>แก้ไข</v>
      </c>
      <c r="Z48" s="71" t="str">
        <f>IFERROR(__xludf.DUMMYFUNCTION("GOOGLETRANSLATE(B48,""en"",""tr"")"),"DÜZENLEMEK")</f>
        <v>DÜZENLEMEK</v>
      </c>
      <c r="AA48" s="71" t="str">
        <f>IFERROR(__xludf.DUMMYFUNCTION("GOOGLETRANSLATE(B48,""en"",""uk"")"),"РЕДАГУВАТИ")</f>
        <v>РЕДАГУВАТИ</v>
      </c>
      <c r="AB48" s="71" t="str">
        <f>IFERROR(__xludf.DUMMYFUNCTION("GOOGLETRANSLATE(B48,""en"",""zh-CN"")"),"编辑")</f>
        <v>编辑</v>
      </c>
      <c r="AC48" s="71" t="str">
        <f>IFERROR(__xludf.DUMMYFUNCTION("GOOGLETRANSLATE(B48,""en"",""vi"")"),"BIÊN TẬP")</f>
        <v>BIÊN TẬP</v>
      </c>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row>
    <row r="49">
      <c r="A49" s="73" t="s">
        <v>11641</v>
      </c>
      <c r="B49" s="73" t="s">
        <v>11642</v>
      </c>
      <c r="C49" s="71" t="str">
        <f>IFERROR(__xludf.DUMMYFUNCTION("GOOGLETRANSLATE(B49,""en"",""ar"")"),"إنشاء القطعة")</f>
        <v>إنشاء القطعة</v>
      </c>
      <c r="D49" s="71" t="str">
        <f>IFERROR(__xludf.DUMMYFUNCTION("GOOGLETRANSLATE(B49,""en"",""cs"")"),"VYTVOŘIT WIDGET")</f>
        <v>VYTVOŘIT WIDGET</v>
      </c>
      <c r="E49" s="71" t="str">
        <f>IFERROR(__xludf.DUMMYFUNCTION("GOOGLETRANSLATE(B49,""en"",""de"")"),"WIDGET ERSTELLEN")</f>
        <v>WIDGET ERSTELLEN</v>
      </c>
      <c r="F49" s="71" t="str">
        <f>IFERROR(__xludf.DUMMYFUNCTION("GOOGLETRANSLATE(B49,""en"",""el"")"),"ΔΗΜΙΟΥΡΓΙΑ ΓΡΑΦΙΚΟΥ ΛΟΓΙΟΥ")</f>
        <v>ΔΗΜΙΟΥΡΓΙΑ ΓΡΑΦΙΚΟΥ ΛΟΓΙΟΥ</v>
      </c>
      <c r="G49" s="71" t="str">
        <f>IFERROR(__xludf.DUMMYFUNCTION("GOOGLETRANSLATE(B49,""en"",""es"")"),"CREAR WIDGET")</f>
        <v>CREAR WIDGET</v>
      </c>
      <c r="H49" s="71" t="str">
        <f>IFERROR(__xludf.DUMMYFUNCTION("GOOGLETRANSLATE(B49,""en"",""et"")"),"LOO VIDINA")</f>
        <v>LOO VIDINA</v>
      </c>
      <c r="I49" s="71" t="str">
        <f>IFERROR(__xludf.DUMMYFUNCTION("GOOGLETRANSLATE(B49,""en"",""fi"")"),"LUO WIDGET")</f>
        <v>LUO WIDGET</v>
      </c>
      <c r="J49" s="71" t="str">
        <f>IFERROR(__xludf.DUMMYFUNCTION("GOOGLETRANSLATE(B49,""en"",""fr"")"),"CRÉER UN WIDGET")</f>
        <v>CRÉER UN WIDGET</v>
      </c>
      <c r="K49" s="71" t="str">
        <f>IFERROR(__xludf.DUMMYFUNCTION("GOOGLETRANSLATE(B49,""en"",""hi"")"),"विजेट बनाएं")</f>
        <v>विजेट बनाएं</v>
      </c>
      <c r="L49" s="71" t="str">
        <f>IFERROR(__xludf.DUMMYFUNCTION("GOOGLETRANSLATE(B49,""en"",""id"")"),"BUAT WIDGET")</f>
        <v>BUAT WIDGET</v>
      </c>
      <c r="M49" s="71" t="str">
        <f>IFERROR(__xludf.DUMMYFUNCTION("GOOGLETRANSLATE(B49,""en"",""it"")"),"CREA WIDGET")</f>
        <v>CREA WIDGET</v>
      </c>
      <c r="N49" s="71" t="str">
        <f>IFERROR(__xludf.DUMMYFUNCTION("GOOGLETRANSLATE(B49,""en"",""ja"")"),"ウィジェットの作成")</f>
        <v>ウィジェットの作成</v>
      </c>
      <c r="O49" s="71" t="str">
        <f>IFERROR(__xludf.DUMMYFUNCTION("GOOGLETRANSLATE(B49,""en"",""km"")"),"បង្កើតធាតុក្រាហ្វិក")</f>
        <v>បង្កើតធាតុក្រាហ្វិក</v>
      </c>
      <c r="P49" s="71" t="str">
        <f>IFERROR(__xludf.DUMMYFUNCTION("GOOGLETRANSLATE(B49,""en"",""kn"")"),"ವಿಜೆಟ್ ರಚಿಸಿ")</f>
        <v>ವಿಜೆಟ್ ರಚಿಸಿ</v>
      </c>
      <c r="Q49" s="71" t="str">
        <f>IFERROR(__xludf.DUMMYFUNCTION("GOOGLETRANSLATE(B49,""en"",""ko"")"),"위젯 만들기")</f>
        <v>위젯 만들기</v>
      </c>
      <c r="R49" s="71" t="str">
        <f>IFERROR(__xludf.DUMMYFUNCTION("GOOGLETRANSLATE(B49,""en"",""lo"")"),"ສ້າງ widget")</f>
        <v>ສ້າງ widget</v>
      </c>
      <c r="S49" s="71" t="str">
        <f>IFERROR(__xludf.DUMMYFUNCTION("GOOGLETRANSLATE(B49,""en"",""lv"")"),"IZVEIDOT LOGrīku")</f>
        <v>IZVEIDOT LOGrīku</v>
      </c>
      <c r="T49" s="71" t="str">
        <f>IFERROR(__xludf.DUMMYFUNCTION("GOOGLETRANSLATE(B49,""en"",""ms"")"),"BUAT WIDGET")</f>
        <v>BUAT WIDGET</v>
      </c>
      <c r="U49" s="71" t="str">
        <f>IFERROR(__xludf.DUMMYFUNCTION("GOOGLETRANSLATE(B49,""en"",""nl"")"),"MAAK WIDGET")</f>
        <v>MAAK WIDGET</v>
      </c>
      <c r="V49" s="71" t="str">
        <f>IFERROR(__xludf.DUMMYFUNCTION("GOOGLETRANSLATE(B49,""en"",""pl"")"),"UTWÓRZ WIDŻET")</f>
        <v>UTWÓRZ WIDŻET</v>
      </c>
      <c r="W49" s="71" t="str">
        <f>IFERROR(__xludf.DUMMYFUNCTION("GOOGLETRANSLATE(B49,""en"",""pt-PT"")"),"CRIAR WIDGET")</f>
        <v>CRIAR WIDGET</v>
      </c>
      <c r="X49" s="71" t="str">
        <f>IFERROR(__xludf.DUMMYFUNCTION("GOOGLETRANSLATE(B49,""en"",""ru"")"),"СОЗДАТЬ ВИДЖЕТ")</f>
        <v>СОЗДАТЬ ВИДЖЕТ</v>
      </c>
      <c r="Y49" s="71" t="str">
        <f>IFERROR(__xludf.DUMMYFUNCTION("GOOGLETRANSLATE(B49,""en"",""th"")"),"สร้างวิดเจ็ต")</f>
        <v>สร้างวิดเจ็ต</v>
      </c>
      <c r="Z49" s="71" t="str">
        <f>IFERROR(__xludf.DUMMYFUNCTION("GOOGLETRANSLATE(B49,""en"",""tr"")"),"WIDGET'I OLUŞTUR")</f>
        <v>WIDGET'I OLUŞTUR</v>
      </c>
      <c r="AA49" s="71" t="str">
        <f>IFERROR(__xludf.DUMMYFUNCTION("GOOGLETRANSLATE(B49,""en"",""uk"")"),"СТВОРИТИ ВІДЖЕТ")</f>
        <v>СТВОРИТИ ВІДЖЕТ</v>
      </c>
      <c r="AB49" s="71" t="str">
        <f>IFERROR(__xludf.DUMMYFUNCTION("GOOGLETRANSLATE(B49,""en"",""zh-CN"")"),"创建小部件")</f>
        <v>创建小部件</v>
      </c>
      <c r="AC49" s="71" t="str">
        <f>IFERROR(__xludf.DUMMYFUNCTION("GOOGLETRANSLATE(B49,""en"",""vi"")"),"TẠO TIỆN ÍCH")</f>
        <v>TẠO TIỆN ÍCH</v>
      </c>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row>
    <row r="50">
      <c r="A50" s="73" t="s">
        <v>11643</v>
      </c>
      <c r="B50" s="73" t="s">
        <v>11644</v>
      </c>
      <c r="C50" s="71" t="str">
        <f>IFERROR(__xludf.DUMMYFUNCTION("GOOGLETRANSLATE(B50,""en"",""ar"")"),"لون الخط")</f>
        <v>لون الخط</v>
      </c>
      <c r="D50" s="71" t="str">
        <f>IFERROR(__xludf.DUMMYFUNCTION("GOOGLETRANSLATE(B50,""en"",""cs"")"),"Barva písma")</f>
        <v>Barva písma</v>
      </c>
      <c r="E50" s="71" t="str">
        <f>IFERROR(__xludf.DUMMYFUNCTION("GOOGLETRANSLATE(B50,""en"",""de"")"),"Schriftfarbe")</f>
        <v>Schriftfarbe</v>
      </c>
      <c r="F50" s="71" t="str">
        <f>IFERROR(__xludf.DUMMYFUNCTION("GOOGLETRANSLATE(B50,""en"",""el"")"),"Χρώμα γραμματοσειράς")</f>
        <v>Χρώμα γραμματοσειράς</v>
      </c>
      <c r="G50" s="71" t="str">
        <f>IFERROR(__xludf.DUMMYFUNCTION("GOOGLETRANSLATE(B50,""en"",""es"")"),"Color de fuente")</f>
        <v>Color de fuente</v>
      </c>
      <c r="H50" s="71" t="str">
        <f>IFERROR(__xludf.DUMMYFUNCTION("GOOGLETRANSLATE(B50,""en"",""et"")"),"Fondi värv")</f>
        <v>Fondi värv</v>
      </c>
      <c r="I50" s="71" t="str">
        <f>IFERROR(__xludf.DUMMYFUNCTION("GOOGLETRANSLATE(B50,""en"",""fi"")"),"Fontin väri")</f>
        <v>Fontin väri</v>
      </c>
      <c r="J50" s="71" t="str">
        <f>IFERROR(__xludf.DUMMYFUNCTION("GOOGLETRANSLATE(B50,""en"",""fr"")"),"Couleur de police")</f>
        <v>Couleur de police</v>
      </c>
      <c r="K50" s="71" t="str">
        <f>IFERROR(__xludf.DUMMYFUNCTION("GOOGLETRANSLATE(B50,""en"",""hi"")"),"फ़ॉन्ट रंग")</f>
        <v>फ़ॉन्ट रंग</v>
      </c>
      <c r="L50" s="71" t="str">
        <f>IFERROR(__xludf.DUMMYFUNCTION("GOOGLETRANSLATE(B50,""en"",""id"")"),"Warna Huruf")</f>
        <v>Warna Huruf</v>
      </c>
      <c r="M50" s="71" t="str">
        <f>IFERROR(__xludf.DUMMYFUNCTION("GOOGLETRANSLATE(B50,""en"",""it"")"),"Colore carattere")</f>
        <v>Colore carattere</v>
      </c>
      <c r="N50" s="71" t="str">
        <f>IFERROR(__xludf.DUMMYFUNCTION("GOOGLETRANSLATE(B50,""en"",""ja"")"),"フォントの色")</f>
        <v>フォントの色</v>
      </c>
      <c r="O50" s="71" t="str">
        <f>IFERROR(__xludf.DUMMYFUNCTION("GOOGLETRANSLATE(B50,""en"",""km"")"),"ពណ៌ពុម្ពអក្សរ")</f>
        <v>ពណ៌ពុម្ពអក្សរ</v>
      </c>
      <c r="P50" s="71" t="str">
        <f>IFERROR(__xludf.DUMMYFUNCTION("GOOGLETRANSLATE(B50,""en"",""kn"")"),"ಫಾಂಟ್ ಬಣ್ಣ")</f>
        <v>ಫಾಂಟ್ ಬಣ್ಣ</v>
      </c>
      <c r="Q50" s="71" t="str">
        <f>IFERROR(__xludf.DUMMYFUNCTION("GOOGLETRANSLATE(B50,""en"",""ko"")"),"글꼴 색상")</f>
        <v>글꼴 색상</v>
      </c>
      <c r="R50" s="71" t="str">
        <f>IFERROR(__xludf.DUMMYFUNCTION("GOOGLETRANSLATE(B50,""en"",""lo"")"),"ສີຕົວອັກສອນ")</f>
        <v>ສີຕົວອັກສອນ</v>
      </c>
      <c r="S50" s="71" t="str">
        <f>IFERROR(__xludf.DUMMYFUNCTION("GOOGLETRANSLATE(B50,""en"",""lv"")"),"Fonta krāsa")</f>
        <v>Fonta krāsa</v>
      </c>
      <c r="T50" s="71" t="str">
        <f>IFERROR(__xludf.DUMMYFUNCTION("GOOGLETRANSLATE(B50,""en"",""ms"")"),"Warna Fon")</f>
        <v>Warna Fon</v>
      </c>
      <c r="U50" s="71" t="str">
        <f>IFERROR(__xludf.DUMMYFUNCTION("GOOGLETRANSLATE(B50,""en"",""nl"")"),"Lettertypekleur")</f>
        <v>Lettertypekleur</v>
      </c>
      <c r="V50" s="71" t="str">
        <f>IFERROR(__xludf.DUMMYFUNCTION("GOOGLETRANSLATE(B50,""en"",""pl"")"),"Kolor czcionki")</f>
        <v>Kolor czcionki</v>
      </c>
      <c r="W50" s="71" t="str">
        <f>IFERROR(__xludf.DUMMYFUNCTION("GOOGLETRANSLATE(B50,""en"",""pt-PT"")"),"Cor da fonte")</f>
        <v>Cor da fonte</v>
      </c>
      <c r="X50" s="71" t="str">
        <f>IFERROR(__xludf.DUMMYFUNCTION("GOOGLETRANSLATE(B50,""en"",""ru"")"),"Цвет шрифта")</f>
        <v>Цвет шрифта</v>
      </c>
      <c r="Y50" s="71" t="str">
        <f>IFERROR(__xludf.DUMMYFUNCTION("GOOGLETRANSLATE(B50,""en"",""th"")"),"สีตัวอักษร")</f>
        <v>สีตัวอักษร</v>
      </c>
      <c r="Z50" s="71" t="str">
        <f>IFERROR(__xludf.DUMMYFUNCTION("GOOGLETRANSLATE(B50,""en"",""tr"")"),"Yazı Tipi Rengi")</f>
        <v>Yazı Tipi Rengi</v>
      </c>
      <c r="AA50" s="71" t="str">
        <f>IFERROR(__xludf.DUMMYFUNCTION("GOOGLETRANSLATE(B50,""en"",""uk"")"),"Колір шрифту")</f>
        <v>Колір шрифту</v>
      </c>
      <c r="AB50" s="71" t="str">
        <f>IFERROR(__xludf.DUMMYFUNCTION("GOOGLETRANSLATE(B50,""en"",""zh-CN"")"),"字体颜色")</f>
        <v>字体颜色</v>
      </c>
      <c r="AC50" s="71" t="str">
        <f>IFERROR(__xludf.DUMMYFUNCTION("GOOGLETRANSLATE(B50,""en"",""vi"")"),"Màu chữ")</f>
        <v>Màu chữ</v>
      </c>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row>
    <row r="51">
      <c r="A51" s="73" t="s">
        <v>11645</v>
      </c>
      <c r="B51" s="73" t="s">
        <v>4444</v>
      </c>
      <c r="C51" s="71" t="str">
        <f>IFERROR(__xludf.DUMMYFUNCTION("GOOGLETRANSLATE(B51,""en"",""ar"")"),"يكمل")</f>
        <v>يكمل</v>
      </c>
      <c r="D51" s="71" t="str">
        <f>IFERROR(__xludf.DUMMYFUNCTION("GOOGLETRANSLATE(B51,""en"",""cs"")"),"Pokračovat")</f>
        <v>Pokračovat</v>
      </c>
      <c r="E51" s="71" t="str">
        <f>IFERROR(__xludf.DUMMYFUNCTION("GOOGLETRANSLATE(B51,""en"",""de"")"),"Weitermachen")</f>
        <v>Weitermachen</v>
      </c>
      <c r="F51" s="71" t="str">
        <f>IFERROR(__xludf.DUMMYFUNCTION("GOOGLETRANSLATE(B51,""en"",""el"")"),"Συνεχίζω")</f>
        <v>Συνεχίζω</v>
      </c>
      <c r="G51" s="71" t="str">
        <f>IFERROR(__xludf.DUMMYFUNCTION("GOOGLETRANSLATE(B51,""en"",""es"")"),"Continuar")</f>
        <v>Continuar</v>
      </c>
      <c r="H51" s="71" t="str">
        <f>IFERROR(__xludf.DUMMYFUNCTION("GOOGLETRANSLATE(B51,""en"",""et"")"),"Jätka")</f>
        <v>Jätka</v>
      </c>
      <c r="I51" s="71" t="str">
        <f>IFERROR(__xludf.DUMMYFUNCTION("GOOGLETRANSLATE(B51,""en"",""fi"")"),"Jatkaa")</f>
        <v>Jatkaa</v>
      </c>
      <c r="J51" s="71" t="str">
        <f>IFERROR(__xludf.DUMMYFUNCTION("GOOGLETRANSLATE(B51,""en"",""fr"")"),"Continuer")</f>
        <v>Continuer</v>
      </c>
      <c r="K51" s="71" t="str">
        <f>IFERROR(__xludf.DUMMYFUNCTION("GOOGLETRANSLATE(B51,""en"",""hi"")"),"जारी रखना")</f>
        <v>जारी रखना</v>
      </c>
      <c r="L51" s="71" t="str">
        <f>IFERROR(__xludf.DUMMYFUNCTION("GOOGLETRANSLATE(B51,""en"",""id"")"),"Melanjutkan")</f>
        <v>Melanjutkan</v>
      </c>
      <c r="M51" s="71" t="str">
        <f>IFERROR(__xludf.DUMMYFUNCTION("GOOGLETRANSLATE(B51,""en"",""it"")"),"Continuare")</f>
        <v>Continuare</v>
      </c>
      <c r="N51" s="71" t="str">
        <f>IFERROR(__xludf.DUMMYFUNCTION("GOOGLETRANSLATE(B51,""en"",""ja"")"),"続く")</f>
        <v>続く</v>
      </c>
      <c r="O51" s="71" t="str">
        <f>IFERROR(__xludf.DUMMYFUNCTION("GOOGLETRANSLATE(B51,""en"",""km"")"),"បន្ត")</f>
        <v>បន្ត</v>
      </c>
      <c r="P51" s="71" t="str">
        <f>IFERROR(__xludf.DUMMYFUNCTION("GOOGLETRANSLATE(B51,""en"",""kn"")"),"ಮುಂದುವರಿಸಿ")</f>
        <v>ಮುಂದುವರಿಸಿ</v>
      </c>
      <c r="Q51" s="71" t="str">
        <f>IFERROR(__xludf.DUMMYFUNCTION("GOOGLETRANSLATE(B51,""en"",""ko"")"),"계속하다")</f>
        <v>계속하다</v>
      </c>
      <c r="R51" s="71" t="str">
        <f>IFERROR(__xludf.DUMMYFUNCTION("GOOGLETRANSLATE(B51,""en"",""lo"")"),"ສືບຕໍ່")</f>
        <v>ສືບຕໍ່</v>
      </c>
      <c r="S51" s="71" t="str">
        <f>IFERROR(__xludf.DUMMYFUNCTION("GOOGLETRANSLATE(B51,""en"",""lv"")"),"Turpināt")</f>
        <v>Turpināt</v>
      </c>
      <c r="T51" s="71" t="str">
        <f>IFERROR(__xludf.DUMMYFUNCTION("GOOGLETRANSLATE(B51,""en"",""ms"")"),"teruskan")</f>
        <v>teruskan</v>
      </c>
      <c r="U51" s="71" t="str">
        <f>IFERROR(__xludf.DUMMYFUNCTION("GOOGLETRANSLATE(B51,""en"",""nl"")"),"Doorgaan")</f>
        <v>Doorgaan</v>
      </c>
      <c r="V51" s="71" t="str">
        <f>IFERROR(__xludf.DUMMYFUNCTION("GOOGLETRANSLATE(B51,""en"",""pl"")"),"Kontynuować")</f>
        <v>Kontynuować</v>
      </c>
      <c r="W51" s="71" t="str">
        <f>IFERROR(__xludf.DUMMYFUNCTION("GOOGLETRANSLATE(B51,""en"",""pt-PT"")"),"Continuar")</f>
        <v>Continuar</v>
      </c>
      <c r="X51" s="71" t="str">
        <f>IFERROR(__xludf.DUMMYFUNCTION("GOOGLETRANSLATE(B51,""en"",""ru"")"),"Продолжать")</f>
        <v>Продолжать</v>
      </c>
      <c r="Y51" s="71" t="str">
        <f>IFERROR(__xludf.DUMMYFUNCTION("GOOGLETRANSLATE(B51,""en"",""th"")"),"ดำเนินการต่อ")</f>
        <v>ดำเนินการต่อ</v>
      </c>
      <c r="Z51" s="71" t="str">
        <f>IFERROR(__xludf.DUMMYFUNCTION("GOOGLETRANSLATE(B51,""en"",""tr"")"),"Devam etmek")</f>
        <v>Devam etmek</v>
      </c>
      <c r="AA51" s="71" t="str">
        <f>IFERROR(__xludf.DUMMYFUNCTION("GOOGLETRANSLATE(B51,""en"",""uk"")"),"Продовжити")</f>
        <v>Продовжити</v>
      </c>
      <c r="AB51" s="71" t="str">
        <f>IFERROR(__xludf.DUMMYFUNCTION("GOOGLETRANSLATE(B51,""en"",""zh-CN"")"),"继续")</f>
        <v>继续</v>
      </c>
      <c r="AC51" s="71" t="str">
        <f>IFERROR(__xludf.DUMMYFUNCTION("GOOGLETRANSLATE(B51,""en"",""vi"")"),"Tiếp tục")</f>
        <v>Tiếp tục</v>
      </c>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row>
    <row r="52">
      <c r="A52" s="73" t="s">
        <v>11646</v>
      </c>
      <c r="B52" s="73" t="s">
        <v>11647</v>
      </c>
      <c r="C52" s="71" t="str">
        <f>IFERROR(__xludf.DUMMYFUNCTION("GOOGLETRANSLATE(B52,""en"",""ar"")"),"جارٍ تحميل الأداة…")</f>
        <v>جارٍ تحميل الأداة…</v>
      </c>
      <c r="D52" s="71" t="str">
        <f>IFERROR(__xludf.DUMMYFUNCTION("GOOGLETRANSLATE(B52,""en"",""cs"")"),"Widget se načítá…")</f>
        <v>Widget se načítá…</v>
      </c>
      <c r="E52" s="71" t="str">
        <f>IFERROR(__xludf.DUMMYFUNCTION("GOOGLETRANSLATE(B52,""en"",""de"")"),"Widget wird geladen…")</f>
        <v>Widget wird geladen…</v>
      </c>
      <c r="F52" s="71" t="str">
        <f>IFERROR(__xludf.DUMMYFUNCTION("GOOGLETRANSLATE(B52,""en"",""el"")"),"Γίνεται φόρτωση του γραφικού στοιχείου…")</f>
        <v>Γίνεται φόρτωση του γραφικού στοιχείου…</v>
      </c>
      <c r="G52" s="71" t="str">
        <f>IFERROR(__xludf.DUMMYFUNCTION("GOOGLETRANSLATE(B52,""en"",""es"")"),"El widget se está cargando...")</f>
        <v>El widget se está cargando...</v>
      </c>
      <c r="H52" s="71" t="str">
        <f>IFERROR(__xludf.DUMMYFUNCTION("GOOGLETRANSLATE(B52,""en"",""et"")"),"Vidinat laaditakse…")</f>
        <v>Vidinat laaditakse…</v>
      </c>
      <c r="I52" s="71" t="str">
        <f>IFERROR(__xludf.DUMMYFUNCTION("GOOGLETRANSLATE(B52,""en"",""fi"")"),"Widgetiä ladataan…")</f>
        <v>Widgetiä ladataan…</v>
      </c>
      <c r="J52" s="71" t="str">
        <f>IFERROR(__xludf.DUMMYFUNCTION("GOOGLETRANSLATE(B52,""en"",""fr"")"),"Le widget est en cours de chargement…")</f>
        <v>Le widget est en cours de chargement…</v>
      </c>
      <c r="K52" s="71" t="str">
        <f>IFERROR(__xludf.DUMMYFUNCTION("GOOGLETRANSLATE(B52,""en"",""hi"")"),"विजेट लोड हो रहा है...")</f>
        <v>विजेट लोड हो रहा है...</v>
      </c>
      <c r="L52" s="71" t="str">
        <f>IFERROR(__xludf.DUMMYFUNCTION("GOOGLETRANSLATE(B52,""en"",""id"")"),"Widget sedang dimuat…")</f>
        <v>Widget sedang dimuat…</v>
      </c>
      <c r="M52" s="71" t="str">
        <f>IFERROR(__xludf.DUMMYFUNCTION("GOOGLETRANSLATE(B52,""en"",""it"")"),"Il widget è in caricamento...")</f>
        <v>Il widget è in caricamento...</v>
      </c>
      <c r="N52" s="71" t="str">
        <f>IFERROR(__xludf.DUMMYFUNCTION("GOOGLETRANSLATE(B52,""en"",""ja"")"),"ウィジェットを読み込んでいます…")</f>
        <v>ウィジェットを読み込んでいます…</v>
      </c>
      <c r="O52" s="71" t="str">
        <f>IFERROR(__xludf.DUMMYFUNCTION("GOOGLETRANSLATE(B52,""en"",""km"")"),"ធាតុក្រាហ្វិកកំពុងផ្ទុក...")</f>
        <v>ធាតុក្រាហ្វិកកំពុងផ្ទុក...</v>
      </c>
      <c r="P52" s="71" t="str">
        <f>IFERROR(__xludf.DUMMYFUNCTION("GOOGLETRANSLATE(B52,""en"",""kn"")"),"ವಿಜೆಟ್ ಲೋಡ್ ಆಗುತ್ತಿದೆ...")</f>
        <v>ವಿಜೆಟ್ ಲೋಡ್ ಆಗುತ್ತಿದೆ...</v>
      </c>
      <c r="Q52" s="71" t="str">
        <f>IFERROR(__xludf.DUMMYFUNCTION("GOOGLETRANSLATE(B52,""en"",""ko"")"),"위젯 로드 중…")</f>
        <v>위젯 로드 중…</v>
      </c>
      <c r="R52" s="71" t="str">
        <f>IFERROR(__xludf.DUMMYFUNCTION("GOOGLETRANSLATE(B52,""en"",""lo"")"),"ກຳລັງໂຫຼດວິດເຈັດ...")</f>
        <v>ກຳລັງໂຫຼດວິດເຈັດ...</v>
      </c>
      <c r="S52" s="71" t="str">
        <f>IFERROR(__xludf.DUMMYFUNCTION("GOOGLETRANSLATE(B52,""en"",""lv"")"),"Notiek logrīka ielāde…")</f>
        <v>Notiek logrīka ielāde…</v>
      </c>
      <c r="T52" s="71" t="str">
        <f>IFERROR(__xludf.DUMMYFUNCTION("GOOGLETRANSLATE(B52,""en"",""ms"")"),"Widget sedang dimuatkan…")</f>
        <v>Widget sedang dimuatkan…</v>
      </c>
      <c r="U52" s="71" t="str">
        <f>IFERROR(__xludf.DUMMYFUNCTION("GOOGLETRANSLATE(B52,""en"",""nl"")"),"Widget wordt geladen...")</f>
        <v>Widget wordt geladen...</v>
      </c>
      <c r="V52" s="71" t="str">
        <f>IFERROR(__xludf.DUMMYFUNCTION("GOOGLETRANSLATE(B52,""en"",""pl"")"),"Ładowanie widżetu…")</f>
        <v>Ładowanie widżetu…</v>
      </c>
      <c r="W52" s="71" t="str">
        <f>IFERROR(__xludf.DUMMYFUNCTION("GOOGLETRANSLATE(B52,""en"",""pt-PT"")"),"O widget está carregando…")</f>
        <v>O widget está carregando…</v>
      </c>
      <c r="X52" s="71" t="str">
        <f>IFERROR(__xludf.DUMMYFUNCTION("GOOGLETRANSLATE(B52,""en"",""ru"")"),"Виджет загружается…")</f>
        <v>Виджет загружается…</v>
      </c>
      <c r="Y52" s="71" t="str">
        <f>IFERROR(__xludf.DUMMYFUNCTION("GOOGLETRANSLATE(B52,""en"",""th"")"),"กำลังโหลดวิดเจ็ต...")</f>
        <v>กำลังโหลดวิดเจ็ต...</v>
      </c>
      <c r="Z52" s="71" t="str">
        <f>IFERROR(__xludf.DUMMYFUNCTION("GOOGLETRANSLATE(B52,""en"",""tr"")"),"Widget yükleniyor…")</f>
        <v>Widget yükleniyor…</v>
      </c>
      <c r="AA52" s="71" t="str">
        <f>IFERROR(__xludf.DUMMYFUNCTION("GOOGLETRANSLATE(B52,""en"",""uk"")"),"Віджет завантажується…")</f>
        <v>Віджет завантажується…</v>
      </c>
      <c r="AB52" s="71" t="str">
        <f>IFERROR(__xludf.DUMMYFUNCTION("GOOGLETRANSLATE(B52,""en"",""zh-CN"")"),"小部件正在加载...")</f>
        <v>小部件正在加载...</v>
      </c>
      <c r="AC52" s="71" t="str">
        <f>IFERROR(__xludf.DUMMYFUNCTION("GOOGLETRANSLATE(B52,""en"",""vi"")"),"Tiện ích đang tải…")</f>
        <v>Tiện ích đang tải…</v>
      </c>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row>
    <row r="53">
      <c r="A53" s="73" t="s">
        <v>11648</v>
      </c>
      <c r="B53" s="73" t="s">
        <v>11649</v>
      </c>
      <c r="C53" s="71" t="str">
        <f>IFERROR(__xludf.DUMMYFUNCTION("GOOGLETRANSLATE(B53,""en"",""ar"")"),"تَخطِيط")</f>
        <v>تَخطِيط</v>
      </c>
      <c r="D53" s="71" t="str">
        <f>IFERROR(__xludf.DUMMYFUNCTION("GOOGLETRANSLATE(B53,""en"",""cs"")"),"Rozložení")</f>
        <v>Rozložení</v>
      </c>
      <c r="E53" s="71" t="str">
        <f>IFERROR(__xludf.DUMMYFUNCTION("GOOGLETRANSLATE(B53,""en"",""de"")"),"Layout")</f>
        <v>Layout</v>
      </c>
      <c r="F53" s="71" t="str">
        <f>IFERROR(__xludf.DUMMYFUNCTION("GOOGLETRANSLATE(B53,""en"",""el"")"),"Σχέδιο")</f>
        <v>Σχέδιο</v>
      </c>
      <c r="G53" s="71" t="str">
        <f>IFERROR(__xludf.DUMMYFUNCTION("GOOGLETRANSLATE(B53,""en"",""es"")"),"Disposición")</f>
        <v>Disposición</v>
      </c>
      <c r="H53" s="71" t="str">
        <f>IFERROR(__xludf.DUMMYFUNCTION("GOOGLETRANSLATE(B53,""en"",""et"")"),"Paigutus")</f>
        <v>Paigutus</v>
      </c>
      <c r="I53" s="71" t="str">
        <f>IFERROR(__xludf.DUMMYFUNCTION("GOOGLETRANSLATE(B53,""en"",""fi"")"),"Layout")</f>
        <v>Layout</v>
      </c>
      <c r="J53" s="71" t="str">
        <f>IFERROR(__xludf.DUMMYFUNCTION("GOOGLETRANSLATE(B53,""en"",""fr"")"),"Mise en page")</f>
        <v>Mise en page</v>
      </c>
      <c r="K53" s="71" t="str">
        <f>IFERROR(__xludf.DUMMYFUNCTION("GOOGLETRANSLATE(B53,""en"",""hi"")"),"लेआउट")</f>
        <v>लेआउट</v>
      </c>
      <c r="L53" s="71" t="str">
        <f>IFERROR(__xludf.DUMMYFUNCTION("GOOGLETRANSLATE(B53,""en"",""id"")"),"Tata Letak")</f>
        <v>Tata Letak</v>
      </c>
      <c r="M53" s="71" t="str">
        <f>IFERROR(__xludf.DUMMYFUNCTION("GOOGLETRANSLATE(B53,""en"",""it"")"),"Disposizione")</f>
        <v>Disposizione</v>
      </c>
      <c r="N53" s="71" t="str">
        <f>IFERROR(__xludf.DUMMYFUNCTION("GOOGLETRANSLATE(B53,""en"",""ja"")"),"レイアウト")</f>
        <v>レイアウト</v>
      </c>
      <c r="O53" s="71" t="str">
        <f>IFERROR(__xludf.DUMMYFUNCTION("GOOGLETRANSLATE(B53,""en"",""km"")"),"ប្លង់")</f>
        <v>ប្លង់</v>
      </c>
      <c r="P53" s="71" t="str">
        <f>IFERROR(__xludf.DUMMYFUNCTION("GOOGLETRANSLATE(B53,""en"",""kn"")"),"ಲೇಔಟ್")</f>
        <v>ಲೇಔಟ್</v>
      </c>
      <c r="Q53" s="71" t="str">
        <f>IFERROR(__xludf.DUMMYFUNCTION("GOOGLETRANSLATE(B53,""en"",""ko"")"),"공들여 나열한 것")</f>
        <v>공들여 나열한 것</v>
      </c>
      <c r="R53" s="71" t="str">
        <f>IFERROR(__xludf.DUMMYFUNCTION("GOOGLETRANSLATE(B53,""en"",""lo"")"),"ແຜນຜັງ")</f>
        <v>ແຜນຜັງ</v>
      </c>
      <c r="S53" s="71" t="str">
        <f>IFERROR(__xludf.DUMMYFUNCTION("GOOGLETRANSLATE(B53,""en"",""lv"")"),"Izkārtojums")</f>
        <v>Izkārtojums</v>
      </c>
      <c r="T53" s="71" t="str">
        <f>IFERROR(__xludf.DUMMYFUNCTION("GOOGLETRANSLATE(B53,""en"",""ms"")"),"Susun atur")</f>
        <v>Susun atur</v>
      </c>
      <c r="U53" s="71" t="str">
        <f>IFERROR(__xludf.DUMMYFUNCTION("GOOGLETRANSLATE(B53,""en"",""nl"")"),"Indeling")</f>
        <v>Indeling</v>
      </c>
      <c r="V53" s="71" t="str">
        <f>IFERROR(__xludf.DUMMYFUNCTION("GOOGLETRANSLATE(B53,""en"",""pl"")"),"Układ")</f>
        <v>Układ</v>
      </c>
      <c r="W53" s="71" t="str">
        <f>IFERROR(__xludf.DUMMYFUNCTION("GOOGLETRANSLATE(B53,""en"",""pt-PT"")"),"Disposição")</f>
        <v>Disposição</v>
      </c>
      <c r="X53" s="71" t="str">
        <f>IFERROR(__xludf.DUMMYFUNCTION("GOOGLETRANSLATE(B53,""en"",""ru"")"),"Макет")</f>
        <v>Макет</v>
      </c>
      <c r="Y53" s="71" t="str">
        <f>IFERROR(__xludf.DUMMYFUNCTION("GOOGLETRANSLATE(B53,""en"",""th"")"),"เค้าโครง")</f>
        <v>เค้าโครง</v>
      </c>
      <c r="Z53" s="71" t="str">
        <f>IFERROR(__xludf.DUMMYFUNCTION("GOOGLETRANSLATE(B53,""en"",""tr"")"),"Düzen")</f>
        <v>Düzen</v>
      </c>
      <c r="AA53" s="71" t="str">
        <f>IFERROR(__xludf.DUMMYFUNCTION("GOOGLETRANSLATE(B53,""en"",""uk"")"),"Макет")</f>
        <v>Макет</v>
      </c>
      <c r="AB53" s="71" t="str">
        <f>IFERROR(__xludf.DUMMYFUNCTION("GOOGLETRANSLATE(B53,""en"",""zh-CN"")"),"布局")</f>
        <v>布局</v>
      </c>
      <c r="AC53" s="71" t="str">
        <f>IFERROR(__xludf.DUMMYFUNCTION("GOOGLETRANSLATE(B53,""en"",""vi"")"),"Cách trình bày")</f>
        <v>Cách trình bày</v>
      </c>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row>
    <row r="54">
      <c r="A54" s="73" t="s">
        <v>136</v>
      </c>
      <c r="B54" s="73" t="s">
        <v>137</v>
      </c>
      <c r="C54" s="71" t="str">
        <f>IFERROR(__xludf.DUMMYFUNCTION("GOOGLETRANSLATE(B54,""en"",""ar"")"),"منتهي")</f>
        <v>منتهي</v>
      </c>
      <c r="D54" s="71" t="str">
        <f>IFERROR(__xludf.DUMMYFUNCTION("GOOGLETRANSLATE(B54,""en"",""cs"")"),"Hotovo")</f>
        <v>Hotovo</v>
      </c>
      <c r="E54" s="71" t="str">
        <f>IFERROR(__xludf.DUMMYFUNCTION("GOOGLETRANSLATE(B54,""en"",""de"")"),"Erledigt")</f>
        <v>Erledigt</v>
      </c>
      <c r="F54" s="71" t="str">
        <f>IFERROR(__xludf.DUMMYFUNCTION("GOOGLETRANSLATE(B54,""en"",""el"")"),"Γινώμενος")</f>
        <v>Γινώμενος</v>
      </c>
      <c r="G54" s="71" t="str">
        <f>IFERROR(__xludf.DUMMYFUNCTION("GOOGLETRANSLATE(B54,""en"",""es"")"),"Hecho")</f>
        <v>Hecho</v>
      </c>
      <c r="H54" s="71" t="str">
        <f>IFERROR(__xludf.DUMMYFUNCTION("GOOGLETRANSLATE(B54,""en"",""et"")"),"Valmis")</f>
        <v>Valmis</v>
      </c>
      <c r="I54" s="71" t="str">
        <f>IFERROR(__xludf.DUMMYFUNCTION("GOOGLETRANSLATE(B54,""en"",""fi"")"),"Tehty")</f>
        <v>Tehty</v>
      </c>
      <c r="J54" s="71" t="str">
        <f>IFERROR(__xludf.DUMMYFUNCTION("GOOGLETRANSLATE(B54,""en"",""fr"")"),"Fait")</f>
        <v>Fait</v>
      </c>
      <c r="K54" s="71" t="str">
        <f>IFERROR(__xludf.DUMMYFUNCTION("GOOGLETRANSLATE(B54,""en"",""hi"")"),"हो गया")</f>
        <v>हो गया</v>
      </c>
      <c r="L54" s="71" t="str">
        <f>IFERROR(__xludf.DUMMYFUNCTION("GOOGLETRANSLATE(B54,""en"",""id"")"),"Selesai")</f>
        <v>Selesai</v>
      </c>
      <c r="M54" s="71" t="str">
        <f>IFERROR(__xludf.DUMMYFUNCTION("GOOGLETRANSLATE(B54,""en"",""it"")"),"Fatto")</f>
        <v>Fatto</v>
      </c>
      <c r="N54" s="71" t="str">
        <f>IFERROR(__xludf.DUMMYFUNCTION("GOOGLETRANSLATE(B54,""en"",""ja"")"),"終わり")</f>
        <v>終わり</v>
      </c>
      <c r="O54" s="71" t="str">
        <f>IFERROR(__xludf.DUMMYFUNCTION("GOOGLETRANSLATE(B54,""en"",""km"")"),"រួចរាល់")</f>
        <v>រួចរាល់</v>
      </c>
      <c r="P54" s="71" t="str">
        <f>IFERROR(__xludf.DUMMYFUNCTION("GOOGLETRANSLATE(B54,""en"",""kn"")"),"ಮುಗಿದಿದೆ")</f>
        <v>ಮುಗಿದಿದೆ</v>
      </c>
      <c r="Q54" s="71" t="str">
        <f>IFERROR(__xludf.DUMMYFUNCTION("GOOGLETRANSLATE(B54,""en"",""ko"")"),"완료")</f>
        <v>완료</v>
      </c>
      <c r="R54" s="71" t="str">
        <f>IFERROR(__xludf.DUMMYFUNCTION("GOOGLETRANSLATE(B54,""en"",""lo"")"),"ສຳເລັດແລ້ວ")</f>
        <v>ສຳເລັດແລ້ວ</v>
      </c>
      <c r="S54" s="71" t="str">
        <f>IFERROR(__xludf.DUMMYFUNCTION("GOOGLETRANSLATE(B54,""en"",""lv"")"),"Gatavs")</f>
        <v>Gatavs</v>
      </c>
      <c r="T54" s="71" t="str">
        <f>IFERROR(__xludf.DUMMYFUNCTION("GOOGLETRANSLATE(B54,""en"",""ms"")"),"Selesai")</f>
        <v>Selesai</v>
      </c>
      <c r="U54" s="71" t="str">
        <f>IFERROR(__xludf.DUMMYFUNCTION("GOOGLETRANSLATE(B54,""en"",""nl"")"),"Klaar")</f>
        <v>Klaar</v>
      </c>
      <c r="V54" s="71" t="str">
        <f>IFERROR(__xludf.DUMMYFUNCTION("GOOGLETRANSLATE(B54,""en"",""pl"")"),"Zrobione")</f>
        <v>Zrobione</v>
      </c>
      <c r="W54" s="71" t="str">
        <f>IFERROR(__xludf.DUMMYFUNCTION("GOOGLETRANSLATE(B54,""en"",""pt-PT"")"),"Feito")</f>
        <v>Feito</v>
      </c>
      <c r="X54" s="71" t="str">
        <f>IFERROR(__xludf.DUMMYFUNCTION("GOOGLETRANSLATE(B54,""en"",""ru"")"),"Сделанный")</f>
        <v>Сделанный</v>
      </c>
      <c r="Y54" s="71" t="str">
        <f>IFERROR(__xludf.DUMMYFUNCTION("GOOGLETRANSLATE(B54,""en"",""th"")"),"เสร็จแล้ว")</f>
        <v>เสร็จแล้ว</v>
      </c>
      <c r="Z54" s="71" t="str">
        <f>IFERROR(__xludf.DUMMYFUNCTION("GOOGLETRANSLATE(B54,""en"",""tr"")"),"Tamamlamak")</f>
        <v>Tamamlamak</v>
      </c>
      <c r="AA54" s="71" t="str">
        <f>IFERROR(__xludf.DUMMYFUNCTION("GOOGLETRANSLATE(B54,""en"",""uk"")"),"Готово")</f>
        <v>Готово</v>
      </c>
      <c r="AB54" s="71" t="str">
        <f>IFERROR(__xludf.DUMMYFUNCTION("GOOGLETRANSLATE(B54,""en"",""zh-CN"")"),"完毕")</f>
        <v>完毕</v>
      </c>
      <c r="AC54" s="71" t="str">
        <f>IFERROR(__xludf.DUMMYFUNCTION("GOOGLETRANSLATE(B54,""en"",""vi"")"),"Xong")</f>
        <v>Xong</v>
      </c>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row>
    <row r="55">
      <c r="A55" s="73" t="s">
        <v>10249</v>
      </c>
      <c r="B55" s="73" t="s">
        <v>11650</v>
      </c>
      <c r="C55" s="71" t="str">
        <f>IFERROR(__xludf.DUMMYFUNCTION("GOOGLETRANSLATE(B55,""en"",""ar"")"),"لا يوجد اتصال بالإنترنت!")</f>
        <v>لا يوجد اتصال بالإنترنت!</v>
      </c>
      <c r="D55" s="71" t="str">
        <f>IFERROR(__xludf.DUMMYFUNCTION("GOOGLETRANSLATE(B55,""en"",""cs"")"),"Žádné připojení k internetu!")</f>
        <v>Žádné připojení k internetu!</v>
      </c>
      <c r="E55" s="71" t="str">
        <f>IFERROR(__xludf.DUMMYFUNCTION("GOOGLETRANSLATE(B55,""en"",""de"")"),"Keine Internetverbindung!")</f>
        <v>Keine Internetverbindung!</v>
      </c>
      <c r="F55" s="71" t="str">
        <f>IFERROR(__xludf.DUMMYFUNCTION("GOOGLETRANSLATE(B55,""en"",""el"")"),"Χωρίς σύνδεση στο Διαδίκτυο!")</f>
        <v>Χωρίς σύνδεση στο Διαδίκτυο!</v>
      </c>
      <c r="G55" s="71" t="str">
        <f>IFERROR(__xludf.DUMMYFUNCTION("GOOGLETRANSLATE(B55,""en"",""es"")"),"¡Sin conexión a Internet!")</f>
        <v>¡Sin conexión a Internet!</v>
      </c>
      <c r="H55" s="71" t="str">
        <f>IFERROR(__xludf.DUMMYFUNCTION("GOOGLETRANSLATE(B55,""en"",""et"")"),"Interneti-ühendus puudub!")</f>
        <v>Interneti-ühendus puudub!</v>
      </c>
      <c r="I55" s="71" t="str">
        <f>IFERROR(__xludf.DUMMYFUNCTION("GOOGLETRANSLATE(B55,""en"",""fi"")"),"Ei Internet-yhteyttä!")</f>
        <v>Ei Internet-yhteyttä!</v>
      </c>
      <c r="J55" s="71" t="str">
        <f>IFERROR(__xludf.DUMMYFUNCTION("GOOGLETRANSLATE(B55,""en"",""fr"")"),"Pas de connexion Internet !")</f>
        <v>Pas de connexion Internet !</v>
      </c>
      <c r="K55" s="71" t="str">
        <f>IFERROR(__xludf.DUMMYFUNCTION("GOOGLETRANSLATE(B55,""en"",""hi"")"),"कोई इंटरनेट कनेक्शन नहीं!")</f>
        <v>कोई इंटरनेट कनेक्शन नहीं!</v>
      </c>
      <c r="L55" s="71" t="str">
        <f>IFERROR(__xludf.DUMMYFUNCTION("GOOGLETRANSLATE(B55,""en"",""id"")"),"Tidak Ada Koneksi Internet!")</f>
        <v>Tidak Ada Koneksi Internet!</v>
      </c>
      <c r="M55" s="71" t="str">
        <f>IFERROR(__xludf.DUMMYFUNCTION("GOOGLETRANSLATE(B55,""en"",""it"")"),"Nessuna connessione Internet!")</f>
        <v>Nessuna connessione Internet!</v>
      </c>
      <c r="N55" s="71" t="str">
        <f>IFERROR(__xludf.DUMMYFUNCTION("GOOGLETRANSLATE(B55,""en"",""ja"")"),"インターネット接続がありません!")</f>
        <v>インターネット接続がありません!</v>
      </c>
      <c r="O55" s="71" t="str">
        <f>IFERROR(__xludf.DUMMYFUNCTION("GOOGLETRANSLATE(B55,""en"",""km"")"),"គ្មានការតភ្ជាប់អ៊ីនធឺណិត!")</f>
        <v>គ្មានការតភ្ជាប់អ៊ីនធឺណិត!</v>
      </c>
      <c r="P55" s="71" t="str">
        <f>IFERROR(__xludf.DUMMYFUNCTION("GOOGLETRANSLATE(B55,""en"",""kn"")"),"ಇಂಟರ್ನೆಟ್ ಸಂಪರ್ಕವಿಲ್ಲ!")</f>
        <v>ಇಂಟರ್ನೆಟ್ ಸಂಪರ್ಕವಿಲ್ಲ!</v>
      </c>
      <c r="Q55" s="71" t="str">
        <f>IFERROR(__xludf.DUMMYFUNCTION("GOOGLETRANSLATE(B55,""en"",""ko"")"),"인터넷에 연결되어 있지 않습니다!")</f>
        <v>인터넷에 연결되어 있지 않습니다!</v>
      </c>
      <c r="R55" s="71" t="str">
        <f>IFERROR(__xludf.DUMMYFUNCTION("GOOGLETRANSLATE(B55,""en"",""lo"")"),"ບໍ່ມີການເຊື່ອມຕໍ່ອິນເຕີເນັດ!")</f>
        <v>ບໍ່ມີການເຊື່ອມຕໍ່ອິນເຕີເນັດ!</v>
      </c>
      <c r="S55" s="71" t="str">
        <f>IFERROR(__xludf.DUMMYFUNCTION("GOOGLETRANSLATE(B55,""en"",""lv"")"),"Nav interneta savienojuma!")</f>
        <v>Nav interneta savienojuma!</v>
      </c>
      <c r="T55" s="71" t="str">
        <f>IFERROR(__xludf.DUMMYFUNCTION("GOOGLETRANSLATE(B55,""en"",""ms"")"),"Tiada Sambungan Internet!")</f>
        <v>Tiada Sambungan Internet!</v>
      </c>
      <c r="U55" s="71" t="str">
        <f>IFERROR(__xludf.DUMMYFUNCTION("GOOGLETRANSLATE(B55,""en"",""nl"")"),"Geen internetverbinding!")</f>
        <v>Geen internetverbinding!</v>
      </c>
      <c r="V55" s="71" t="str">
        <f>IFERROR(__xludf.DUMMYFUNCTION("GOOGLETRANSLATE(B55,""en"",""pl"")"),"Brak połączenia z Internetem!")</f>
        <v>Brak połączenia z Internetem!</v>
      </c>
      <c r="W55" s="71" t="str">
        <f>IFERROR(__xludf.DUMMYFUNCTION("GOOGLETRANSLATE(B55,""en"",""pt-PT"")"),"Sem conexão com a Internet!")</f>
        <v>Sem conexão com a Internet!</v>
      </c>
      <c r="X55" s="71" t="str">
        <f>IFERROR(__xludf.DUMMYFUNCTION("GOOGLETRANSLATE(B55,""en"",""ru"")"),"Нет подключения к Интернету!")</f>
        <v>Нет подключения к Интернету!</v>
      </c>
      <c r="Y55" s="71" t="str">
        <f>IFERROR(__xludf.DUMMYFUNCTION("GOOGLETRANSLATE(B55,""en"",""th"")"),"ไม่มีการเชื่อมต่ออินเทอร์เน็ต!")</f>
        <v>ไม่มีการเชื่อมต่ออินเทอร์เน็ต!</v>
      </c>
      <c r="Z55" s="71" t="str">
        <f>IFERROR(__xludf.DUMMYFUNCTION("GOOGLETRANSLATE(B55,""en"",""tr"")"),"İnternet Bağlantısı Yok!")</f>
        <v>İnternet Bağlantısı Yok!</v>
      </c>
      <c r="AA55" s="71" t="str">
        <f>IFERROR(__xludf.DUMMYFUNCTION("GOOGLETRANSLATE(B55,""en"",""uk"")"),"Немає підключення до Інтернету!")</f>
        <v>Немає підключення до Інтернету!</v>
      </c>
      <c r="AB55" s="71" t="str">
        <f>IFERROR(__xludf.DUMMYFUNCTION("GOOGLETRANSLATE(B55,""en"",""zh-CN"")"),"没有互联网连接！")</f>
        <v>没有互联网连接！</v>
      </c>
      <c r="AC55" s="71" t="str">
        <f>IFERROR(__xludf.DUMMYFUNCTION("GOOGLETRANSLATE(B55,""en"",""vi"")"),"Không có kết nối Internet!")</f>
        <v>Không có kết nối Internet!</v>
      </c>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row>
    <row r="56">
      <c r="A56" s="73" t="s">
        <v>9808</v>
      </c>
      <c r="B56" s="73" t="s">
        <v>11651</v>
      </c>
      <c r="C56" s="71" t="str">
        <f>IFERROR(__xludf.DUMMYFUNCTION("GOOGLETRANSLATE(B56,""en"",""ar"")"),"لا يوجد اتصال بالإنترنت.\nيُرجى التحقق من الاتصال والمحاولة مرة أخرى.")</f>
        <v>لا يوجد اتصال بالإنترنت.\nيُرجى التحقق من الاتصال والمحاولة مرة أخرى.</v>
      </c>
      <c r="D56" s="71" t="str">
        <f>IFERROR(__xludf.DUMMYFUNCTION("GOOGLETRANSLATE(B56,""en"",""cs"")"),"Žádné připojení k internetu.\nZkontrolujte připojení a zkuste to znovu.")</f>
        <v>Žádné připojení k internetu.\nZkontrolujte připojení a zkuste to znovu.</v>
      </c>
      <c r="E56" s="71" t="str">
        <f>IFERROR(__xludf.DUMMYFUNCTION("GOOGLETRANSLATE(B56,""en"",""de"")"),"Keine Internetverbindung.\nBitte überprüfen Sie die Verbindung und versuchen Sie es erneut.")</f>
        <v>Keine Internetverbindung.\nBitte überprüfen Sie die Verbindung und versuchen Sie es erneut.</v>
      </c>
      <c r="F56" s="71" t="str">
        <f>IFERROR(__xludf.DUMMYFUNCTION("GOOGLETRANSLATE(B56,""en"",""el"")"),"Δεν υπάρχει σύνδεση στο διαδίκτυο.\nΕλέγξτε τη σύνδεση και δοκιμάστε ξανά.")</f>
        <v>Δεν υπάρχει σύνδεση στο διαδίκτυο.\nΕλέγξτε τη σύνδεση και δοκιμάστε ξανά.</v>
      </c>
      <c r="G56" s="71" t="str">
        <f>IFERROR(__xludf.DUMMYFUNCTION("GOOGLETRANSLATE(B56,""en"",""es"")"),"No hay conexión a Internet.\nComprueba la conexión y vuelve a intentarlo.")</f>
        <v>No hay conexión a Internet.\nComprueba la conexión y vuelve a intentarlo.</v>
      </c>
      <c r="H56" s="71" t="str">
        <f>IFERROR(__xludf.DUMMYFUNCTION("GOOGLETRANSLATE(B56,""en"",""et"")"),"Interneti-ühendus puudub.\nKontrollige ühendust ja proovige uuesti.")</f>
        <v>Interneti-ühendus puudub.\nKontrollige ühendust ja proovige uuesti.</v>
      </c>
      <c r="I56" s="71" t="str">
        <f>IFERROR(__xludf.DUMMYFUNCTION("GOOGLETRANSLATE(B56,""en"",""fi"")"),"Ei internetyhteyttä.\nTarkista yhteys ja yritä uudelleen.")</f>
        <v>Ei internetyhteyttä.\nTarkista yhteys ja yritä uudelleen.</v>
      </c>
      <c r="J56" s="71" t="str">
        <f>IFERROR(__xludf.DUMMYFUNCTION("GOOGLETRANSLATE(B56,""en"",""fr"")"),"Pas de connexion Internet.\nVeuillez vérifier la connexion et réessayer.")</f>
        <v>Pas de connexion Internet.\nVeuillez vérifier la connexion et réessayer.</v>
      </c>
      <c r="K56" s="71" t="str">
        <f>IFERROR(__xludf.DUMMYFUNCTION("GOOGLETRANSLATE(B56,""en"",""hi"")"),"कोई इंटरनेट कनेक्शन नहीं।\nकृपया कनेक्शन जांचें और पुनः प्रयास करें।")</f>
        <v>कोई इंटरनेट कनेक्शन नहीं।\nकृपया कनेक्शन जांचें और पुनः प्रयास करें।</v>
      </c>
      <c r="L56" s="71" t="str">
        <f>IFERROR(__xludf.DUMMYFUNCTION("GOOGLETRANSLATE(B56,""en"",""id"")"),"Tidak ada koneksi internet.\nSilakan periksa koneksi dan coba lagi.")</f>
        <v>Tidak ada koneksi internet.\nSilakan periksa koneksi dan coba lagi.</v>
      </c>
      <c r="M56" s="71" t="str">
        <f>IFERROR(__xludf.DUMMYFUNCTION("GOOGLETRANSLATE(B56,""en"",""it"")"),"Nessuna connessione Internet.\nControlla la connessione e riprova.")</f>
        <v>Nessuna connessione Internet.\nControlla la connessione e riprova.</v>
      </c>
      <c r="N56" s="71" t="str">
        <f>IFERROR(__xludf.DUMMYFUNCTION("GOOGLETRANSLATE(B56,""en"",""ja"")"),"インターネット接続がありません。\n接続を確認して、もう一度試してください。")</f>
        <v>インターネット接続がありません。\n接続を確認して、もう一度試してください。</v>
      </c>
      <c r="O56" s="71" t="str">
        <f>IFERROR(__xludf.DUMMYFUNCTION("GOOGLETRANSLATE(B56,""en"",""km"")"),"មិនមានការតភ្ជាប់អ៊ីនធឺណិតទេ។\nសូមពិនិត្យការតភ្ជាប់ ហើយព្យាយាមម្តងទៀត។")</f>
        <v>មិនមានការតភ្ជាប់អ៊ីនធឺណិតទេ។\nសូមពិនិត្យការតភ្ជាប់ ហើយព្យាយាមម្តងទៀត។</v>
      </c>
      <c r="P56" s="71" t="str">
        <f>IFERROR(__xludf.DUMMYFUNCTION("GOOGLETRANSLATE(B56,""en"",""kn"")"),"ಇಂಟರ್ನೆಟ್ ಸಂಪರ್ಕವಿಲ್ಲ.\nದಯವಿಟ್ಟು ಸಂಪರ್ಕವನ್ನು ಪರಿಶೀಲಿಸಿ ಹಾಗೂ ಮತ್ತೆ ಪ್ರಯತ್ನಿಸಿ.")</f>
        <v>ಇಂಟರ್ನೆಟ್ ಸಂಪರ್ಕವಿಲ್ಲ.\nದಯವಿಟ್ಟು ಸಂಪರ್ಕವನ್ನು ಪರಿಶೀಲಿಸಿ ಹಾಗೂ ಮತ್ತೆ ಪ್ರಯತ್ನಿಸಿ.</v>
      </c>
      <c r="Q56" s="71" t="str">
        <f>IFERROR(__xludf.DUMMYFUNCTION("GOOGLETRANSLATE(B56,""en"",""ko"")"),"인터넷에 연결되어 있지 않습니다.\n연결을 확인하고 다시 시도해 주세요.")</f>
        <v>인터넷에 연결되어 있지 않습니다.\n연결을 확인하고 다시 시도해 주세요.</v>
      </c>
      <c r="R56" s="71" t="str">
        <f>IFERROR(__xludf.DUMMYFUNCTION("GOOGLETRANSLATE(B56,""en"",""lo"")"),"ບໍ່ມີການເຊື່ອມຕໍ່ອິນເຕີເນັດ.\nກະລຸນາກວດສອບການເຊື່ອມຕໍ່ແລ້ວລອງໃໝ່ອີກຄັ້ງ.")</f>
        <v>ບໍ່ມີການເຊື່ອມຕໍ່ອິນເຕີເນັດ.\nກະລຸນາກວດສອບການເຊື່ອມຕໍ່ແລ້ວລອງໃໝ່ອີກຄັ້ງ.</v>
      </c>
      <c r="S56" s="71" t="str">
        <f>IFERROR(__xludf.DUMMYFUNCTION("GOOGLETRANSLATE(B56,""en"",""lv"")"),"Nav interneta savienojuma.\nLūdzu, pārbaudiet savienojumu un mēģiniet vēlreiz.")</f>
        <v>Nav interneta savienojuma.\nLūdzu, pārbaudiet savienojumu un mēģiniet vēlreiz.</v>
      </c>
      <c r="T56" s="71" t="str">
        <f>IFERROR(__xludf.DUMMYFUNCTION("GOOGLETRANSLATE(B56,""en"",""ms"")"),"Tiada sambungan Internet.\nSila semak sambungan dan cuba lagi.")</f>
        <v>Tiada sambungan Internet.\nSila semak sambungan dan cuba lagi.</v>
      </c>
      <c r="U56" s="71" t="str">
        <f>IFERROR(__xludf.DUMMYFUNCTION("GOOGLETRANSLATE(B56,""en"",""nl"")"),"Geen internetverbinding.\nControleer de verbinding en probeer het opnieuw.")</f>
        <v>Geen internetverbinding.\nControleer de verbinding en probeer het opnieuw.</v>
      </c>
      <c r="V56" s="71" t="str">
        <f>IFERROR(__xludf.DUMMYFUNCTION("GOOGLETRANSLATE(B56,""en"",""pl"")"),"Brak połączenia z internetem.\nSprawdź połączenie i spróbuj ponownie.")</f>
        <v>Brak połączenia z internetem.\nSprawdź połączenie i spróbuj ponownie.</v>
      </c>
      <c r="W56" s="71" t="str">
        <f>IFERROR(__xludf.DUMMYFUNCTION("GOOGLETRANSLATE(B56,""en"",""pt-PT"")"),"Sem conexão com a Internet.\nVerifique a conexão e tente novamente.")</f>
        <v>Sem conexão com a Internet.\nVerifique a conexão e tente novamente.</v>
      </c>
      <c r="X56" s="71" t="str">
        <f>IFERROR(__xludf.DUMMYFUNCTION("GOOGLETRANSLATE(B56,""en"",""ru"")"),"Нет подключения к Интернету.\nПроверьте соединение и повторите попытку.")</f>
        <v>Нет подключения к Интернету.\nПроверьте соединение и повторите попытку.</v>
      </c>
      <c r="Y56" s="71" t="str">
        <f>IFERROR(__xludf.DUMMYFUNCTION("GOOGLETRANSLATE(B56,""en"",""th"")"),"ไม่มีการเชื่อมต่ออินเทอร์เน็ต\nโปรดตรวจสอบการเชื่อมต่อแล้วลองอีกครั้ง")</f>
        <v>ไม่มีการเชื่อมต่ออินเทอร์เน็ต\nโปรดตรวจสอบการเชื่อมต่อแล้วลองอีกครั้ง</v>
      </c>
      <c r="Z56" s="71" t="str">
        <f>IFERROR(__xludf.DUMMYFUNCTION("GOOGLETRANSLATE(B56,""en"",""tr"")"),"İnternet bağlantısı yok.\nLütfen bağlantıyı kontrol edip tekrar deneyin.")</f>
        <v>İnternet bağlantısı yok.\nLütfen bağlantıyı kontrol edip tekrar deneyin.</v>
      </c>
      <c r="AA56" s="71" t="str">
        <f>IFERROR(__xludf.DUMMYFUNCTION("GOOGLETRANSLATE(B56,""en"",""uk"")"),"Немає підключення до Інтернету.\nПеревірте підключення та повторіть спробу.")</f>
        <v>Немає підключення до Інтернету.\nПеревірте підключення та повторіть спробу.</v>
      </c>
      <c r="AB56" s="71" t="str">
        <f>IFERROR(__xludf.DUMMYFUNCTION("GOOGLETRANSLATE(B56,""en"",""zh-CN"")"),"没有互联网连接。\n请检查连接并重试。")</f>
        <v>没有互联网连接。\n请检查连接并重试。</v>
      </c>
      <c r="AC56" s="71" t="str">
        <f>IFERROR(__xludf.DUMMYFUNCTION("GOOGLETRANSLATE(B56,""en"",""vi"")"),"Không có kết nối Internet.\nVui lòng kiểm tra kết nối và thử lại.")</f>
        <v>Không có kết nối Internet.\nVui lòng kiểm tra kết nối và thử lại.</v>
      </c>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row>
    <row r="57">
      <c r="A57" s="73" t="s">
        <v>7234</v>
      </c>
      <c r="B57" s="73" t="s">
        <v>7235</v>
      </c>
      <c r="C57" s="71" t="str">
        <f>IFERROR(__xludf.DUMMYFUNCTION("GOOGLETRANSLATE(B57,""en"",""ar"")"),"أعد المحاولة")</f>
        <v>أعد المحاولة</v>
      </c>
      <c r="D57" s="71" t="str">
        <f>IFERROR(__xludf.DUMMYFUNCTION("GOOGLETRANSLATE(B57,""en"",""cs"")"),"Zkuste to znovu")</f>
        <v>Zkuste to znovu</v>
      </c>
      <c r="E57" s="71" t="str">
        <f>IFERROR(__xludf.DUMMYFUNCTION("GOOGLETRANSLATE(B57,""en"",""de"")"),"Wiederholen")</f>
        <v>Wiederholen</v>
      </c>
      <c r="F57" s="71" t="str">
        <f>IFERROR(__xludf.DUMMYFUNCTION("GOOGLETRANSLATE(B57,""en"",""el"")"),"Δοκιμάζω πάλι")</f>
        <v>Δοκιμάζω πάλι</v>
      </c>
      <c r="G57" s="71" t="str">
        <f>IFERROR(__xludf.DUMMYFUNCTION("GOOGLETRANSLATE(B57,""en"",""es"")"),"Rever")</f>
        <v>Rever</v>
      </c>
      <c r="H57" s="71" t="str">
        <f>IFERROR(__xludf.DUMMYFUNCTION("GOOGLETRANSLATE(B57,""en"",""et"")"),"Proovi uuesti")</f>
        <v>Proovi uuesti</v>
      </c>
      <c r="I57" s="71" t="str">
        <f>IFERROR(__xludf.DUMMYFUNCTION("GOOGLETRANSLATE(B57,""en"",""fi"")"),"Yritä uudelleen")</f>
        <v>Yritä uudelleen</v>
      </c>
      <c r="J57" s="71" t="str">
        <f>IFERROR(__xludf.DUMMYFUNCTION("GOOGLETRANSLATE(B57,""en"",""fr"")"),"Réessayer")</f>
        <v>Réessayer</v>
      </c>
      <c r="K57" s="71" t="str">
        <f>IFERROR(__xludf.DUMMYFUNCTION("GOOGLETRANSLATE(B57,""en"",""hi"")"),"पुन: प्रयास करें")</f>
        <v>पुन: प्रयास करें</v>
      </c>
      <c r="L57" s="71" t="str">
        <f>IFERROR(__xludf.DUMMYFUNCTION("GOOGLETRANSLATE(B57,""en"",""id"")"),"Mencoba kembali")</f>
        <v>Mencoba kembali</v>
      </c>
      <c r="M57" s="71" t="str">
        <f>IFERROR(__xludf.DUMMYFUNCTION("GOOGLETRANSLATE(B57,""en"",""it"")"),"Riprova")</f>
        <v>Riprova</v>
      </c>
      <c r="N57" s="71" t="str">
        <f>IFERROR(__xludf.DUMMYFUNCTION("GOOGLETRANSLATE(B57,""en"",""ja"")"),"リトライ")</f>
        <v>リトライ</v>
      </c>
      <c r="O57" s="71" t="str">
        <f>IFERROR(__xludf.DUMMYFUNCTION("GOOGLETRANSLATE(B57,""en"",""km"")"),"ព្យាយាមម្តងទៀត")</f>
        <v>ព្យាយាមម្តងទៀត</v>
      </c>
      <c r="P57" s="71" t="str">
        <f>IFERROR(__xludf.DUMMYFUNCTION("GOOGLETRANSLATE(B57,""en"",""kn"")"),"ಮರುಪ್ರಯತ್ನಿಸಿ")</f>
        <v>ಮರುಪ್ರಯತ್ನಿಸಿ</v>
      </c>
      <c r="Q57" s="71" t="str">
        <f>IFERROR(__xludf.DUMMYFUNCTION("GOOGLETRANSLATE(B57,""en"",""ko"")"),"다시 해 보다")</f>
        <v>다시 해 보다</v>
      </c>
      <c r="R57" s="71" t="str">
        <f>IFERROR(__xludf.DUMMYFUNCTION("GOOGLETRANSLATE(B57,""en"",""lo"")"),"ລອງໃໝ່")</f>
        <v>ລອງໃໝ່</v>
      </c>
      <c r="S57" s="71" t="str">
        <f>IFERROR(__xludf.DUMMYFUNCTION("GOOGLETRANSLATE(B57,""en"",""lv"")"),"Mēģiniet vēlreiz")</f>
        <v>Mēģiniet vēlreiz</v>
      </c>
      <c r="T57" s="71" t="str">
        <f>IFERROR(__xludf.DUMMYFUNCTION("GOOGLETRANSLATE(B57,""en"",""ms"")"),"Cuba semula")</f>
        <v>Cuba semula</v>
      </c>
      <c r="U57" s="71" t="str">
        <f>IFERROR(__xludf.DUMMYFUNCTION("GOOGLETRANSLATE(B57,""en"",""nl"")"),"Opnieuw proberen")</f>
        <v>Opnieuw proberen</v>
      </c>
      <c r="V57" s="71" t="str">
        <f>IFERROR(__xludf.DUMMYFUNCTION("GOOGLETRANSLATE(B57,""en"",""pl"")"),"Spróbować ponownie")</f>
        <v>Spróbować ponownie</v>
      </c>
      <c r="W57" s="71" t="str">
        <f>IFERROR(__xludf.DUMMYFUNCTION("GOOGLETRANSLATE(B57,""en"",""pt-PT"")"),"Tentar novamente")</f>
        <v>Tentar novamente</v>
      </c>
      <c r="X57" s="71" t="str">
        <f>IFERROR(__xludf.DUMMYFUNCTION("GOOGLETRANSLATE(B57,""en"",""ru"")"),"Повторить попытку")</f>
        <v>Повторить попытку</v>
      </c>
      <c r="Y57" s="71" t="str">
        <f>IFERROR(__xludf.DUMMYFUNCTION("GOOGLETRANSLATE(B57,""en"",""th"")"),"ลองอีกครั้ง")</f>
        <v>ลองอีกครั้ง</v>
      </c>
      <c r="Z57" s="71" t="str">
        <f>IFERROR(__xludf.DUMMYFUNCTION("GOOGLETRANSLATE(B57,""en"",""tr"")"),"Yeniden dene")</f>
        <v>Yeniden dene</v>
      </c>
      <c r="AA57" s="71" t="str">
        <f>IFERROR(__xludf.DUMMYFUNCTION("GOOGLETRANSLATE(B57,""en"",""uk"")"),"Повторіть спробу")</f>
        <v>Повторіть спробу</v>
      </c>
      <c r="AB57" s="71" t="str">
        <f>IFERROR(__xludf.DUMMYFUNCTION("GOOGLETRANSLATE(B57,""en"",""zh-CN"")"),"重试")</f>
        <v>重试</v>
      </c>
      <c r="AC57" s="71" t="str">
        <f>IFERROR(__xludf.DUMMYFUNCTION("GOOGLETRANSLATE(B57,""en"",""vi"")"),"Thử lại")</f>
        <v>Thử lại</v>
      </c>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row>
    <row r="58">
      <c r="A58" s="73" t="s">
        <v>10162</v>
      </c>
      <c r="B58" s="73" t="s">
        <v>10163</v>
      </c>
      <c r="C58" s="71" t="str">
        <f>IFERROR(__xludf.DUMMYFUNCTION("GOOGLETRANSLATE(B58,""en"",""ar"")"),"قد يحتوي هذا الإجراء على إعلانات")</f>
        <v>قد يحتوي هذا الإجراء على إعلانات</v>
      </c>
      <c r="D58" s="71" t="str">
        <f>IFERROR(__xludf.DUMMYFUNCTION("GOOGLETRANSLATE(B58,""en"",""cs"")"),"Tato akce může obsahovat reklamy")</f>
        <v>Tato akce může obsahovat reklamy</v>
      </c>
      <c r="E58" s="71" t="str">
        <f>IFERROR(__xludf.DUMMYFUNCTION("GOOGLETRANSLATE(B58,""en"",""de"")"),"Diese Aktion kann Werbung enthalten")</f>
        <v>Diese Aktion kann Werbung enthalten</v>
      </c>
      <c r="F58" s="71" t="str">
        <f>IFERROR(__xludf.DUMMYFUNCTION("GOOGLETRANSLATE(B58,""en"",""el"")"),"Αυτή η ενέργεια μπορεί να περιέχει διαφημίσεις")</f>
        <v>Αυτή η ενέργεια μπορεί να περιέχει διαφημίσεις</v>
      </c>
      <c r="G58" s="71" t="str">
        <f>IFERROR(__xludf.DUMMYFUNCTION("GOOGLETRANSLATE(B58,""en"",""es"")"),"Esta acción puede contener anuncios.")</f>
        <v>Esta acción puede contener anuncios.</v>
      </c>
      <c r="H58" s="71" t="str">
        <f>IFERROR(__xludf.DUMMYFUNCTION("GOOGLETRANSLATE(B58,""en"",""et"")"),"See toiming võib sisaldada reklaame")</f>
        <v>See toiming võib sisaldada reklaame</v>
      </c>
      <c r="I58" s="71" t="str">
        <f>IFERROR(__xludf.DUMMYFUNCTION("GOOGLETRANSLATE(B58,""en"",""fi"")"),"Tämä toiminto voi sisältää mainoksia")</f>
        <v>Tämä toiminto voi sisältää mainoksia</v>
      </c>
      <c r="J58" s="71" t="str">
        <f>IFERROR(__xludf.DUMMYFUNCTION("GOOGLETRANSLATE(B58,""en"",""fr"")"),"Cette action peut contenir des annonces")</f>
        <v>Cette action peut contenir des annonces</v>
      </c>
      <c r="K58" s="71" t="str">
        <f>IFERROR(__xludf.DUMMYFUNCTION("GOOGLETRANSLATE(B58,""en"",""hi"")"),"इस क्रिया में विज्ञापन शामिल हो सकते हैं")</f>
        <v>इस क्रिया में विज्ञापन शामिल हो सकते हैं</v>
      </c>
      <c r="L58" s="71" t="str">
        <f>IFERROR(__xludf.DUMMYFUNCTION("GOOGLETRANSLATE(B58,""en"",""id"")"),"Tindakan ini mungkin berisi iklan")</f>
        <v>Tindakan ini mungkin berisi iklan</v>
      </c>
      <c r="M58" s="71" t="str">
        <f>IFERROR(__xludf.DUMMYFUNCTION("GOOGLETRANSLATE(B58,""en"",""it"")"),"Questa azione può contenere annunci")</f>
        <v>Questa azione può contenere annunci</v>
      </c>
      <c r="N58" s="71" t="str">
        <f>IFERROR(__xludf.DUMMYFUNCTION("GOOGLETRANSLATE(B58,""en"",""ja"")"),"このアクションには広告が含まれる可能性があります")</f>
        <v>このアクションには広告が含まれる可能性があります</v>
      </c>
      <c r="O58" s="71" t="str">
        <f>IFERROR(__xludf.DUMMYFUNCTION("GOOGLETRANSLATE(B58,""en"",""km"")"),"សកម្មភាពនេះអាចមានការផ្សាយពាណិជ្ជកម្ម")</f>
        <v>សកម្មភាពនេះអាចមានការផ្សាយពាណិជ្ជកម្ម</v>
      </c>
      <c r="P58" s="71" t="str">
        <f>IFERROR(__xludf.DUMMYFUNCTION("GOOGLETRANSLATE(B58,""en"",""kn"")"),"ಈ ಕ್ರಿಯೆಯು ಜಾಹೀರಾತುಗಳನ್ನು ಒಳಗೊಂಡಿರಬಹುದು")</f>
        <v>ಈ ಕ್ರಿಯೆಯು ಜಾಹೀರಾತುಗಳನ್ನು ಒಳಗೊಂಡಿರಬಹುದು</v>
      </c>
      <c r="Q58" s="71" t="str">
        <f>IFERROR(__xludf.DUMMYFUNCTION("GOOGLETRANSLATE(B58,""en"",""ko"")"),"이 작업에는 광고가 포함될 수 있습니다.")</f>
        <v>이 작업에는 광고가 포함될 수 있습니다.</v>
      </c>
      <c r="R58" s="71" t="str">
        <f>IFERROR(__xludf.DUMMYFUNCTION("GOOGLETRANSLATE(B58,""en"",""lo"")"),"ຄຳສັ່ງນີ້ອາດມີໂຄສະນາ")</f>
        <v>ຄຳສັ່ງນີ້ອາດມີໂຄສະນາ</v>
      </c>
      <c r="S58" s="71" t="str">
        <f>IFERROR(__xludf.DUMMYFUNCTION("GOOGLETRANSLATE(B58,""en"",""lv"")"),"Šī darbība var ietvert reklāmas")</f>
        <v>Šī darbība var ietvert reklāmas</v>
      </c>
      <c r="T58" s="71" t="str">
        <f>IFERROR(__xludf.DUMMYFUNCTION("GOOGLETRANSLATE(B58,""en"",""ms"")"),"Tindakan ini mungkin mengandungi iklan")</f>
        <v>Tindakan ini mungkin mengandungi iklan</v>
      </c>
      <c r="U58" s="71" t="str">
        <f>IFERROR(__xludf.DUMMYFUNCTION("GOOGLETRANSLATE(B58,""en"",""nl"")"),"Deze actie kan advertenties bevatten")</f>
        <v>Deze actie kan advertenties bevatten</v>
      </c>
      <c r="V58" s="71" t="str">
        <f>IFERROR(__xludf.DUMMYFUNCTION("GOOGLETRANSLATE(B58,""en"",""pl"")"),"Ta akcja może zawierać reklamy")</f>
        <v>Ta akcja może zawierać reklamy</v>
      </c>
      <c r="W58" s="71" t="str">
        <f>IFERROR(__xludf.DUMMYFUNCTION("GOOGLETRANSLATE(B58,""en"",""pt-PT"")"),"Esta ação pode conter anúncios")</f>
        <v>Esta ação pode conter anúncios</v>
      </c>
      <c r="X58" s="71" t="str">
        <f>IFERROR(__xludf.DUMMYFUNCTION("GOOGLETRANSLATE(B58,""en"",""ru"")"),"Это действие может содержать рекламу")</f>
        <v>Это действие может содержать рекламу</v>
      </c>
      <c r="Y58" s="71" t="str">
        <f>IFERROR(__xludf.DUMMYFUNCTION("GOOGLETRANSLATE(B58,""en"",""th"")"),"การดำเนินการนี้อาจมีโฆษณา")</f>
        <v>การดำเนินการนี้อาจมีโฆษณา</v>
      </c>
      <c r="Z58" s="71" t="str">
        <f>IFERROR(__xludf.DUMMYFUNCTION("GOOGLETRANSLATE(B58,""en"",""tr"")"),"Bu işlem reklam içerebilir")</f>
        <v>Bu işlem reklam içerebilir</v>
      </c>
      <c r="AA58" s="71" t="str">
        <f>IFERROR(__xludf.DUMMYFUNCTION("GOOGLETRANSLATE(B58,""en"",""uk"")"),"Ця дія може містити рекламу")</f>
        <v>Ця дія може містити рекламу</v>
      </c>
      <c r="AB58" s="71" t="str">
        <f>IFERROR(__xludf.DUMMYFUNCTION("GOOGLETRANSLATE(B58,""en"",""zh-CN"")"),"此操作可能包含广告")</f>
        <v>此操作可能包含广告</v>
      </c>
      <c r="AC58" s="71" t="str">
        <f>IFERROR(__xludf.DUMMYFUNCTION("GOOGLETRANSLATE(B58,""en"",""vi"")"),"Hành động này có thể chứa quảng cáo")</f>
        <v>Hành động này có thể chứa quảng cáo</v>
      </c>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row>
    <row r="59">
      <c r="A59" s="73" t="s">
        <v>11652</v>
      </c>
      <c r="B59" s="73" t="s">
        <v>11653</v>
      </c>
      <c r="C59" s="71" t="str">
        <f>IFERROR(__xludf.DUMMYFUNCTION("GOOGLETRANSLATE(B59,""en"",""ar"")"),"الأحجار الكريمة")</f>
        <v>الأحجار الكريمة</v>
      </c>
      <c r="D59" s="71" t="str">
        <f>IFERROR(__xludf.DUMMYFUNCTION("GOOGLETRANSLATE(B59,""en"",""cs"")"),"Drahokamy")</f>
        <v>Drahokamy</v>
      </c>
      <c r="E59" s="71" t="str">
        <f>IFERROR(__xludf.DUMMYFUNCTION("GOOGLETRANSLATE(B59,""en"",""de"")"),"Edelsteine")</f>
        <v>Edelsteine</v>
      </c>
      <c r="F59" s="71" t="str">
        <f>IFERROR(__xludf.DUMMYFUNCTION("GOOGLETRANSLATE(B59,""en"",""el"")"),"Πολύτιμοι λίθοι")</f>
        <v>Πολύτιμοι λίθοι</v>
      </c>
      <c r="G59" s="71" t="str">
        <f>IFERROR(__xludf.DUMMYFUNCTION("GOOGLETRANSLATE(B59,""en"",""es"")"),"Gemas")</f>
        <v>Gemas</v>
      </c>
      <c r="H59" s="71" t="str">
        <f>IFERROR(__xludf.DUMMYFUNCTION("GOOGLETRANSLATE(B59,""en"",""et"")"),"Kalliskivid")</f>
        <v>Kalliskivid</v>
      </c>
      <c r="I59" s="71" t="str">
        <f>IFERROR(__xludf.DUMMYFUNCTION("GOOGLETRANSLATE(B59,""en"",""fi"")"),"Jalokivet")</f>
        <v>Jalokivet</v>
      </c>
      <c r="J59" s="71" t="str">
        <f>IFERROR(__xludf.DUMMYFUNCTION("GOOGLETRANSLATE(B59,""en"",""fr"")"),"Pierres précieuses")</f>
        <v>Pierres précieuses</v>
      </c>
      <c r="K59" s="71" t="str">
        <f>IFERROR(__xludf.DUMMYFUNCTION("GOOGLETRANSLATE(B59,""en"",""hi"")"),"रत्न")</f>
        <v>रत्न</v>
      </c>
      <c r="L59" s="71" t="str">
        <f>IFERROR(__xludf.DUMMYFUNCTION("GOOGLETRANSLATE(B59,""en"",""id"")"),"Permata")</f>
        <v>Permata</v>
      </c>
      <c r="M59" s="71" t="str">
        <f>IFERROR(__xludf.DUMMYFUNCTION("GOOGLETRANSLATE(B59,""en"",""it"")"),"Gemme")</f>
        <v>Gemme</v>
      </c>
      <c r="N59" s="71" t="str">
        <f>IFERROR(__xludf.DUMMYFUNCTION("GOOGLETRANSLATE(B59,""en"",""ja"")"),"宝石")</f>
        <v>宝石</v>
      </c>
      <c r="O59" s="71" t="str">
        <f>IFERROR(__xludf.DUMMYFUNCTION("GOOGLETRANSLATE(B59,""en"",""km"")"),"ត្បូង")</f>
        <v>ត្បូង</v>
      </c>
      <c r="P59" s="71" t="str">
        <f>IFERROR(__xludf.DUMMYFUNCTION("GOOGLETRANSLATE(B59,""en"",""kn"")"),"ರತ್ನಗಳು")</f>
        <v>ರತ್ನಗಳು</v>
      </c>
      <c r="Q59" s="71" t="str">
        <f>IFERROR(__xludf.DUMMYFUNCTION("GOOGLETRANSLATE(B59,""en"",""ko"")"),"보석")</f>
        <v>보석</v>
      </c>
      <c r="R59" s="71" t="str">
        <f>IFERROR(__xludf.DUMMYFUNCTION("GOOGLETRANSLATE(B59,""en"",""lo"")"),"ແກ້ວປະເສີດ")</f>
        <v>ແກ້ວປະເສີດ</v>
      </c>
      <c r="S59" s="71" t="str">
        <f>IFERROR(__xludf.DUMMYFUNCTION("GOOGLETRANSLATE(B59,""en"",""lv"")"),"Dārgakmeņi")</f>
        <v>Dārgakmeņi</v>
      </c>
      <c r="T59" s="71" t="str">
        <f>IFERROR(__xludf.DUMMYFUNCTION("GOOGLETRANSLATE(B59,""en"",""ms"")"),"permata")</f>
        <v>permata</v>
      </c>
      <c r="U59" s="71" t="str">
        <f>IFERROR(__xludf.DUMMYFUNCTION("GOOGLETRANSLATE(B59,""en"",""nl"")"),"Edelstenen")</f>
        <v>Edelstenen</v>
      </c>
      <c r="V59" s="71" t="str">
        <f>IFERROR(__xludf.DUMMYFUNCTION("GOOGLETRANSLATE(B59,""en"",""pl"")"),"Klejnoty")</f>
        <v>Klejnoty</v>
      </c>
      <c r="W59" s="71" t="str">
        <f>IFERROR(__xludf.DUMMYFUNCTION("GOOGLETRANSLATE(B59,""en"",""pt-PT"")"),"Gemas")</f>
        <v>Gemas</v>
      </c>
      <c r="X59" s="71" t="str">
        <f>IFERROR(__xludf.DUMMYFUNCTION("GOOGLETRANSLATE(B59,""en"",""ru"")"),"Драгоценные камни")</f>
        <v>Драгоценные камни</v>
      </c>
      <c r="Y59" s="71" t="str">
        <f>IFERROR(__xludf.DUMMYFUNCTION("GOOGLETRANSLATE(B59,""en"",""th"")"),"อัญมณี")</f>
        <v>อัญมณี</v>
      </c>
      <c r="Z59" s="71" t="str">
        <f>IFERROR(__xludf.DUMMYFUNCTION("GOOGLETRANSLATE(B59,""en"",""tr"")"),"Taşlar")</f>
        <v>Taşlar</v>
      </c>
      <c r="AA59" s="71" t="str">
        <f>IFERROR(__xludf.DUMMYFUNCTION("GOOGLETRANSLATE(B59,""en"",""uk"")"),"дорогоцінні камені")</f>
        <v>дорогоцінні камені</v>
      </c>
      <c r="AB59" s="71" t="str">
        <f>IFERROR(__xludf.DUMMYFUNCTION("GOOGLETRANSLATE(B59,""en"",""zh-CN"")"),"宝石")</f>
        <v>宝石</v>
      </c>
      <c r="AC59" s="71" t="str">
        <f>IFERROR(__xludf.DUMMYFUNCTION("GOOGLETRANSLATE(B59,""en"",""vi"")"),"đá quý")</f>
        <v>đá quý</v>
      </c>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row>
    <row r="60">
      <c r="A60" s="73" t="s">
        <v>11654</v>
      </c>
      <c r="B60" s="73" t="s">
        <v>11655</v>
      </c>
      <c r="C60" s="71" t="str">
        <f>IFERROR(__xludf.DUMMYFUNCTION("GOOGLETRANSLATE(B60,""en"",""ar"")"),"فتح القطعة مع ")</f>
        <v>فتح القطعة مع </v>
      </c>
      <c r="D60" s="71" t="str">
        <f>IFERROR(__xludf.DUMMYFUNCTION("GOOGLETRANSLATE(B60,""en"",""cs"")"),"Odemkněte widget pomocí ")</f>
        <v>Odemkněte widget pomocí </v>
      </c>
      <c r="E60" s="71" t="str">
        <f>IFERROR(__xludf.DUMMYFUNCTION("GOOGLETRANSLATE(B60,""en"",""de"")"),"Widget entsperren mit ")</f>
        <v>Widget entsperren mit </v>
      </c>
      <c r="F60" s="71" t="str">
        <f>IFERROR(__xludf.DUMMYFUNCTION("GOOGLETRANSLATE(B60,""en"",""el"")"),"Ξεκλείδωμα γραφικού στοιχείου με ")</f>
        <v>Ξεκλείδωμα γραφικού στοιχείου με </v>
      </c>
      <c r="G60" s="71" t="str">
        <f>IFERROR(__xludf.DUMMYFUNCTION("GOOGLETRANSLATE(B60,""en"",""es"")"),"Desbloquear widget con ")</f>
        <v>Desbloquear widget con </v>
      </c>
      <c r="H60" s="71" t="str">
        <f>IFERROR(__xludf.DUMMYFUNCTION("GOOGLETRANSLATE(B60,""en"",""et"")"),"Ava vidin koos ")</f>
        <v>Ava vidin koos </v>
      </c>
      <c r="I60" s="71" t="str">
        <f>IFERROR(__xludf.DUMMYFUNCTION("GOOGLETRANSLATE(B60,""en"",""fi"")"),"Avaa widget kanssa ")</f>
        <v>Avaa widget kanssa </v>
      </c>
      <c r="J60" s="71" t="str">
        <f>IFERROR(__xludf.DUMMYFUNCTION("GOOGLETRANSLATE(B60,""en"",""fr"")"),"Débloquez le widget avec ")</f>
        <v>Débloquez le widget avec </v>
      </c>
      <c r="K60" s="71" t="str">
        <f>IFERROR(__xludf.DUMMYFUNCTION("GOOGLETRANSLATE(B60,""en"",""hi"")"),"के साथ विजेट अनलॉक करें ")</f>
        <v>के साथ विजेट अनलॉक करें </v>
      </c>
      <c r="L60" s="71" t="str">
        <f>IFERROR(__xludf.DUMMYFUNCTION("GOOGLETRANSLATE(B60,""en"",""id"")"),"Buka kunci Widget dengan ")</f>
        <v>Buka kunci Widget dengan </v>
      </c>
      <c r="M60" s="71" t="str">
        <f>IFERROR(__xludf.DUMMYFUNCTION("GOOGLETRANSLATE(B60,""en"",""it"")"),"Sblocca il widget con ")</f>
        <v>Sblocca il widget con </v>
      </c>
      <c r="N60" s="71" t="str">
        <f>IFERROR(__xludf.DUMMYFUNCTION("GOOGLETRANSLATE(B60,""en"",""ja"")"),"ウィジェットのロックを解除するには ")</f>
        <v>ウィジェットのロックを解除するには </v>
      </c>
      <c r="O60" s="71" t="str">
        <f>IFERROR(__xludf.DUMMYFUNCTION("GOOGLETRANSLATE(B60,""en"",""km"")"),"ដោះសោធាតុក្រាហ្វិកជាមួយ ")</f>
        <v>ដោះសោធាតុក្រាហ្វិកជាមួយ </v>
      </c>
      <c r="P60" s="71" t="str">
        <f>IFERROR(__xludf.DUMMYFUNCTION("GOOGLETRANSLATE(B60,""en"",""kn"")"),"ಇದರೊಂದಿಗೆ ವಿಜೆಟ್ ಅನ್ನು ಅನ್ಲಾಕ್ ಮಾಡಿ ")</f>
        <v>ಇದರೊಂದಿಗೆ ವಿಜೆಟ್ ಅನ್ನು ಅನ್ಲಾಕ್ ಮಾಡಿ </v>
      </c>
      <c r="Q60" s="71" t="str">
        <f>IFERROR(__xludf.DUMMYFUNCTION("GOOGLETRANSLATE(B60,""en"",""ko"")"),"다음으로 위젯 잠금 해제 ")</f>
        <v>다음으로 위젯 잠금 해제 </v>
      </c>
      <c r="R60" s="71" t="str">
        <f>IFERROR(__xludf.DUMMYFUNCTION("GOOGLETRANSLATE(B60,""en"",""lo"")"),"ປົດລັອກ Widget ກັບ ")</f>
        <v>ປົດລັອກ Widget ກັບ </v>
      </c>
      <c r="S60" s="71" t="str">
        <f>IFERROR(__xludf.DUMMYFUNCTION("GOOGLETRANSLATE(B60,""en"",""lv"")"),"Atbloķējiet logrīku ar ")</f>
        <v>Atbloķējiet logrīku ar </v>
      </c>
      <c r="T60" s="71" t="str">
        <f>IFERROR(__xludf.DUMMYFUNCTION("GOOGLETRANSLATE(B60,""en"",""ms"")"),"Buka kunci Widget dengan ")</f>
        <v>Buka kunci Widget dengan </v>
      </c>
      <c r="U60" s="71" t="str">
        <f>IFERROR(__xludf.DUMMYFUNCTION("GOOGLETRANSLATE(B60,""en"",""nl"")"),"Ontgrendel widget met ")</f>
        <v>Ontgrendel widget met </v>
      </c>
      <c r="V60" s="71" t="str">
        <f>IFERROR(__xludf.DUMMYFUNCTION("GOOGLETRANSLATE(B60,""en"",""pl"")"),"Odblokuj widget za pomocą ")</f>
        <v>Odblokuj widget za pomocą </v>
      </c>
      <c r="W60" s="71" t="str">
        <f>IFERROR(__xludf.DUMMYFUNCTION("GOOGLETRANSLATE(B60,""en"",""pt-PT"")"),"Desbloquear widget com ")</f>
        <v>Desbloquear widget com </v>
      </c>
      <c r="X60" s="71" t="str">
        <f>IFERROR(__xludf.DUMMYFUNCTION("GOOGLETRANSLATE(B60,""en"",""ru"")"),"Разблокировать виджет с помощью ")</f>
        <v>Разблокировать виджет с помощью </v>
      </c>
      <c r="Y60" s="71" t="str">
        <f>IFERROR(__xludf.DUMMYFUNCTION("GOOGLETRANSLATE(B60,""en"",""th"")"),"ปลดล็อควิดเจ็ตด้วย ")</f>
        <v>ปลดล็อควิดเจ็ตด้วย </v>
      </c>
      <c r="Z60" s="71" t="str">
        <f>IFERROR(__xludf.DUMMYFUNCTION("GOOGLETRANSLATE(B60,""en"",""tr"")"),"Widget'ın kilidini şununla açın: ")</f>
        <v>Widget'ın kilidini şununla açın: </v>
      </c>
      <c r="AA60" s="71" t="str">
        <f>IFERROR(__xludf.DUMMYFUNCTION("GOOGLETRANSLATE(B60,""en"",""uk"")"),"Розблокувати віджет за допомогою ")</f>
        <v>Розблокувати віджет за допомогою </v>
      </c>
      <c r="AB60" s="71" t="str">
        <f>IFERROR(__xludf.DUMMYFUNCTION("GOOGLETRANSLATE(B60,""en"",""zh-CN"")"),"解锁小部件 ")</f>
        <v>解锁小部件 </v>
      </c>
      <c r="AC60" s="71" t="str">
        <f>IFERROR(__xludf.DUMMYFUNCTION("GOOGLETRANSLATE(B60,""en"",""vi"")"),"Mở khóa Widget bằng ")</f>
        <v>Mở khóa Widget bằng </v>
      </c>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row>
    <row r="61">
      <c r="A61" s="73" t="s">
        <v>11656</v>
      </c>
      <c r="B61" s="73" t="s">
        <v>11657</v>
      </c>
      <c r="C61" s="71" t="str">
        <f>IFERROR(__xludf.DUMMYFUNCTION("GOOGLETRANSLATE(B61,""en"",""ar"")"),"فتح ورق الحائط مع ")</f>
        <v>فتح ورق الحائط مع </v>
      </c>
      <c r="D61" s="71" t="str">
        <f>IFERROR(__xludf.DUMMYFUNCTION("GOOGLETRANSLATE(B61,""en"",""cs"")"),"Odemknout tapetu pomocí ")</f>
        <v>Odemknout tapetu pomocí </v>
      </c>
      <c r="E61" s="71" t="str">
        <f>IFERROR(__xludf.DUMMYFUNCTION("GOOGLETRANSLATE(B61,""en"",""de"")"),"Schalte das Hintergrundbild mit frei ")</f>
        <v>Schalte das Hintergrundbild mit frei </v>
      </c>
      <c r="F61" s="71" t="str">
        <f>IFERROR(__xludf.DUMMYFUNCTION("GOOGLETRANSLATE(B61,""en"",""el"")"),"Ξεκλείδωμα ταπετσαρίας με ")</f>
        <v>Ξεκλείδωμα ταπετσαρίας με </v>
      </c>
      <c r="G61" s="71" t="str">
        <f>IFERROR(__xludf.DUMMYFUNCTION("GOOGLETRANSLATE(B61,""en"",""es"")"),"Desbloquear fondo de pantalla con ")</f>
        <v>Desbloquear fondo de pantalla con </v>
      </c>
      <c r="H61" s="71" t="str">
        <f>IFERROR(__xludf.DUMMYFUNCTION("GOOGLETRANSLATE(B61,""en"",""et"")"),"Avage taustpilt rakendusega ")</f>
        <v>Avage taustpilt rakendusega </v>
      </c>
      <c r="I61" s="71" t="str">
        <f>IFERROR(__xludf.DUMMYFUNCTION("GOOGLETRANSLATE(B61,""en"",""fi"")"),"Avaa taustakuva ")</f>
        <v>Avaa taustakuva </v>
      </c>
      <c r="J61" s="71" t="str">
        <f>IFERROR(__xludf.DUMMYFUNCTION("GOOGLETRANSLATE(B61,""en"",""fr"")"),"Débloquez le fond d'écran avec ")</f>
        <v>Débloquez le fond d'écran avec </v>
      </c>
      <c r="K61" s="71" t="str">
        <f>IFERROR(__xludf.DUMMYFUNCTION("GOOGLETRANSLATE(B61,""en"",""hi"")"),"इसके साथ वॉलपेपर अनलॉक करें ")</f>
        <v>इसके साथ वॉलपेपर अनलॉक करें </v>
      </c>
      <c r="L61" s="71" t="str">
        <f>IFERROR(__xludf.DUMMYFUNCTION("GOOGLETRANSLATE(B61,""en"",""id"")"),"Buka kunci Wallpaper dengan ")</f>
        <v>Buka kunci Wallpaper dengan </v>
      </c>
      <c r="M61" s="71" t="str">
        <f>IFERROR(__xludf.DUMMYFUNCTION("GOOGLETRANSLATE(B61,""en"",""it"")"),"Sblocca lo sfondo con ")</f>
        <v>Sblocca lo sfondo con </v>
      </c>
      <c r="N61" s="71" t="str">
        <f>IFERROR(__xludf.DUMMYFUNCTION("GOOGLETRANSLATE(B61,""en"",""ja"")"),"壁紙のロックを解除するには ")</f>
        <v>壁紙のロックを解除するには </v>
      </c>
      <c r="O61" s="71" t="str">
        <f>IFERROR(__xludf.DUMMYFUNCTION("GOOGLETRANSLATE(B61,""en"",""km"")"),"ដោះសោផ្ទាំងរូបភាពជាមួយ ")</f>
        <v>ដោះសោផ្ទាំងរូបភាពជាមួយ </v>
      </c>
      <c r="P61" s="71" t="str">
        <f>IFERROR(__xludf.DUMMYFUNCTION("GOOGLETRANSLATE(B61,""en"",""kn"")"),"ಇದರೊಂದಿಗೆ ವಾಲ್‌ಪೇಪರ್ ಅನ್ನು ಅನ್‌ಲಾಕ್ ಮಾಡಿ ")</f>
        <v>ಇದರೊಂದಿಗೆ ವಾಲ್‌ಪೇಪರ್ ಅನ್ನು ಅನ್‌ಲಾಕ್ ಮಾಡಿ </v>
      </c>
      <c r="Q61" s="71" t="str">
        <f>IFERROR(__xludf.DUMMYFUNCTION("GOOGLETRANSLATE(B61,""en"",""ko"")"),"다음으로 배경화면 잠금 해제 ")</f>
        <v>다음으로 배경화면 잠금 해제 </v>
      </c>
      <c r="R61" s="71" t="str">
        <f>IFERROR(__xludf.DUMMYFUNCTION("GOOGLETRANSLATE(B61,""en"",""lo"")"),"ປົດລັອກ Wallpaper ກັບ ")</f>
        <v>ປົດລັອກ Wallpaper ກັບ </v>
      </c>
      <c r="S61" s="71" t="str">
        <f>IFERROR(__xludf.DUMMYFUNCTION("GOOGLETRANSLATE(B61,""en"",""lv"")"),"Atbloķējiet fona attēlu ar ")</f>
        <v>Atbloķējiet fona attēlu ar </v>
      </c>
      <c r="T61" s="71" t="str">
        <f>IFERROR(__xludf.DUMMYFUNCTION("GOOGLETRANSLATE(B61,""en"",""ms"")"),"Buka kunci Kertas Dinding dengan ")</f>
        <v>Buka kunci Kertas Dinding dengan </v>
      </c>
      <c r="U61" s="71" t="str">
        <f>IFERROR(__xludf.DUMMYFUNCTION("GOOGLETRANSLATE(B61,""en"",""nl"")"),"Ontgrendel achtergrond met ")</f>
        <v>Ontgrendel achtergrond met </v>
      </c>
      <c r="V61" s="71" t="str">
        <f>IFERROR(__xludf.DUMMYFUNCTION("GOOGLETRANSLATE(B61,""en"",""pl"")"),"Odblokuj tapetę za pomocą ")</f>
        <v>Odblokuj tapetę za pomocą </v>
      </c>
      <c r="W61" s="71" t="str">
        <f>IFERROR(__xludf.DUMMYFUNCTION("GOOGLETRANSLATE(B61,""en"",""pt-PT"")"),"Desbloquear papel de parede com ")</f>
        <v>Desbloquear papel de parede com </v>
      </c>
      <c r="X61" s="71" t="str">
        <f>IFERROR(__xludf.DUMMYFUNCTION("GOOGLETRANSLATE(B61,""en"",""ru"")"),"Разблокировать обои с помощью ")</f>
        <v>Разблокировать обои с помощью </v>
      </c>
      <c r="Y61" s="71" t="str">
        <f>IFERROR(__xludf.DUMMYFUNCTION("GOOGLETRANSLATE(B61,""en"",""th"")"),"ปลดล็อควอลเปเปอร์ด้วย ")</f>
        <v>ปลดล็อควอลเปเปอร์ด้วย </v>
      </c>
      <c r="Z61" s="71" t="str">
        <f>IFERROR(__xludf.DUMMYFUNCTION("GOOGLETRANSLATE(B61,""en"",""tr"")"),"Duvar Kağıdının Kilidini Aç ")</f>
        <v>Duvar Kağıdının Kilidini Aç </v>
      </c>
      <c r="AA61" s="71" t="str">
        <f>IFERROR(__xludf.DUMMYFUNCTION("GOOGLETRANSLATE(B61,""en"",""uk"")"),"Розблокувати шпалери за допомогою ")</f>
        <v>Розблокувати шпалери за допомогою </v>
      </c>
      <c r="AB61" s="71" t="str">
        <f>IFERROR(__xludf.DUMMYFUNCTION("GOOGLETRANSLATE(B61,""en"",""zh-CN"")"),"解锁壁纸 ")</f>
        <v>解锁壁纸 </v>
      </c>
      <c r="AC61" s="71" t="str">
        <f>IFERROR(__xludf.DUMMYFUNCTION("GOOGLETRANSLATE(B61,""en"",""vi"")"),"Mở khóa hình nền với ")</f>
        <v>Mở khóa hình nền với </v>
      </c>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row>
    <row r="62">
      <c r="A62" s="73" t="s">
        <v>11658</v>
      </c>
      <c r="B62" s="73" t="s">
        <v>11659</v>
      </c>
      <c r="C62" s="71" t="str">
        <f>IFERROR(__xludf.DUMMYFUNCTION("GOOGLETRANSLATE(B62,""en"",""ar"")"),"فتح كل أيقونة مع ")</f>
        <v>فتح كل أيقونة مع </v>
      </c>
      <c r="D62" s="71" t="str">
        <f>IFERROR(__xludf.DUMMYFUNCTION("GOOGLETRANSLATE(B62,""en"",""cs"")"),"Odemknout všechny ikony pomocí ")</f>
        <v>Odemknout všechny ikony pomocí </v>
      </c>
      <c r="E62" s="71" t="str">
        <f>IFERROR(__xludf.DUMMYFUNCTION("GOOGLETRANSLATE(B62,""en"",""de"")"),"Schalte alle Symbole frei mit ")</f>
        <v>Schalte alle Symbole frei mit </v>
      </c>
      <c r="F62" s="71" t="str">
        <f>IFERROR(__xludf.DUMMYFUNCTION("GOOGLETRANSLATE(B62,""en"",""el"")"),"Ξεκλειδώστε όλα το εικονίδιο με ")</f>
        <v>Ξεκλειδώστε όλα το εικονίδιο με </v>
      </c>
      <c r="G62" s="71" t="str">
        <f>IFERROR(__xludf.DUMMYFUNCTION("GOOGLETRANSLATE(B62,""en"",""es"")"),"Desbloquear todos los iconos con ")</f>
        <v>Desbloquear todos los iconos con </v>
      </c>
      <c r="H62" s="71" t="str">
        <f>IFERROR(__xludf.DUMMYFUNCTION("GOOGLETRANSLATE(B62,""en"",""et"")"),"Avage kõik ikoon rakendusega ")</f>
        <v>Avage kõik ikoon rakendusega </v>
      </c>
      <c r="I62" s="71" t="str">
        <f>IFERROR(__xludf.DUMMYFUNCTION("GOOGLETRANSLATE(B62,""en"",""fi"")"),"Avaa kaikki kuvakkeet ")</f>
        <v>Avaa kaikki kuvakkeet </v>
      </c>
      <c r="J62" s="71" t="str">
        <f>IFERROR(__xludf.DUMMYFUNCTION("GOOGLETRANSLATE(B62,""en"",""fr"")"),"Débloquez toutes les icônes avec ")</f>
        <v>Débloquez toutes les icônes avec </v>
      </c>
      <c r="K62" s="71" t="str">
        <f>IFERROR(__xludf.DUMMYFUNCTION("GOOGLETRANSLATE(B62,""en"",""hi"")"),"इसके साथ सभी आइकन को अनलॉक करें ")</f>
        <v>इसके साथ सभी आइकन को अनलॉक करें </v>
      </c>
      <c r="L62" s="71" t="str">
        <f>IFERROR(__xludf.DUMMYFUNCTION("GOOGLETRANSLATE(B62,""en"",""id"")"),"Buka Kunci Semua Ikon dengan ")</f>
        <v>Buka Kunci Semua Ikon dengan </v>
      </c>
      <c r="M62" s="71" t="str">
        <f>IFERROR(__xludf.DUMMYFUNCTION("GOOGLETRANSLATE(B62,""en"",""it"")"),"Sblocca tutte le icone con ")</f>
        <v>Sblocca tutte le icone con </v>
      </c>
      <c r="N62" s="71" t="str">
        <f>IFERROR(__xludf.DUMMYFUNCTION("GOOGLETRANSLATE(B62,""en"",""ja"")"),"すべてのアイコンのロックを解除するには ")</f>
        <v>すべてのアイコンのロックを解除するには </v>
      </c>
      <c r="O62" s="71" t="str">
        <f>IFERROR(__xludf.DUMMYFUNCTION("GOOGLETRANSLATE(B62,""en"",""km"")"),"ដោះសោរូបតំណាងទាំងអស់ដោយប្រើ ")</f>
        <v>ដោះសោរូបតំណាងទាំងអស់ដោយប្រើ </v>
      </c>
      <c r="P62" s="71" t="str">
        <f>IFERROR(__xludf.DUMMYFUNCTION("GOOGLETRANSLATE(B62,""en"",""kn"")"),"ಇದರೊಂದಿಗೆ ಎಲ್ಲಾ ಐಕಾನ್ ಅನ್ನು ಅನ್ಲಾಕ್ ಮಾಡಿ ")</f>
        <v>ಇದರೊಂದಿಗೆ ಎಲ್ಲಾ ಐಕಾನ್ ಅನ್ನು ಅನ್ಲಾಕ್ ಮಾಡಿ </v>
      </c>
      <c r="Q62" s="71" t="str">
        <f>IFERROR(__xludf.DUMMYFUNCTION("GOOGLETRANSLATE(B62,""en"",""ko"")"),"모든 아이콘 잠금 해제 ")</f>
        <v>모든 아이콘 잠금 해제 </v>
      </c>
      <c r="R62" s="71" t="str">
        <f>IFERROR(__xludf.DUMMYFUNCTION("GOOGLETRANSLATE(B62,""en"",""lo"")"),"ປົດລັອກໄອຄອນທັງໝົດດ້ວຍ ")</f>
        <v>ປົດລັອກໄອຄອນທັງໝົດດ້ວຍ </v>
      </c>
      <c r="S62" s="71" t="str">
        <f>IFERROR(__xludf.DUMMYFUNCTION("GOOGLETRANSLATE(B62,""en"",""lv"")"),"Atbloķēt visu ikonu ar ")</f>
        <v>Atbloķēt visu ikonu ar </v>
      </c>
      <c r="T62" s="71" t="str">
        <f>IFERROR(__xludf.DUMMYFUNCTION("GOOGLETRANSLATE(B62,""en"",""ms"")"),"Buka kunci Semua Ikon dengan ")</f>
        <v>Buka kunci Semua Ikon dengan </v>
      </c>
      <c r="U62" s="71" t="str">
        <f>IFERROR(__xludf.DUMMYFUNCTION("GOOGLETRANSLATE(B62,""en"",""nl"")"),"Ontgrendel alle pictogrammen met ")</f>
        <v>Ontgrendel alle pictogrammen met </v>
      </c>
      <c r="V62" s="71" t="str">
        <f>IFERROR(__xludf.DUMMYFUNCTION("GOOGLETRANSLATE(B62,""en"",""pl"")"),"Odblokuj wszystkie ikony za pomocą ")</f>
        <v>Odblokuj wszystkie ikony za pomocą </v>
      </c>
      <c r="W62" s="71" t="str">
        <f>IFERROR(__xludf.DUMMYFUNCTION("GOOGLETRANSLATE(B62,""en"",""pt-PT"")"),"Desbloquear todos os ícones com ")</f>
        <v>Desbloquear todos os ícones com </v>
      </c>
      <c r="X62" s="71" t="str">
        <f>IFERROR(__xludf.DUMMYFUNCTION("GOOGLETRANSLATE(B62,""en"",""ru"")"),"Разблокировать все значки с помощью ")</f>
        <v>Разблокировать все значки с помощью </v>
      </c>
      <c r="Y62" s="71" t="str">
        <f>IFERROR(__xludf.DUMMYFUNCTION("GOOGLETRANSLATE(B62,""en"",""th"")"),"ปลดล็อคไอคอนทั้งหมดด้วย ")</f>
        <v>ปลดล็อคไอคอนทั้งหมดด้วย </v>
      </c>
      <c r="Z62" s="71" t="str">
        <f>IFERROR(__xludf.DUMMYFUNCTION("GOOGLETRANSLATE(B62,""en"",""tr"")"),"Tüm Simgelerin Kilidini Aç ")</f>
        <v>Tüm Simgelerin Kilidini Aç </v>
      </c>
      <c r="AA62" s="71" t="str">
        <f>IFERROR(__xludf.DUMMYFUNCTION("GOOGLETRANSLATE(B62,""en"",""uk"")"),"Розблокувати всі значки за допомогою ")</f>
        <v>Розблокувати всі значки за допомогою </v>
      </c>
      <c r="AB62" s="71" t="str">
        <f>IFERROR(__xludf.DUMMYFUNCTION("GOOGLETRANSLATE(B62,""en"",""zh-CN"")"),"解锁所有图标 ")</f>
        <v>解锁所有图标 </v>
      </c>
      <c r="AC62" s="71" t="str">
        <f>IFERROR(__xludf.DUMMYFUNCTION("GOOGLETRANSLATE(B62,""en"",""vi"")"),"Mở khóa tất cả biểu tượng với ")</f>
        <v>Mở khóa tất cả biểu tượng với </v>
      </c>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row>
    <row r="63">
      <c r="A63" s="73" t="s">
        <v>11660</v>
      </c>
      <c r="B63" s="73" t="s">
        <v>11661</v>
      </c>
      <c r="C63" s="71" t="str">
        <f>IFERROR(__xludf.DUMMYFUNCTION("GOOGLETRANSLATE(B63,""en"",""ar"")"),"فتح أيقونة مع ")</f>
        <v>فتح أيقونة مع </v>
      </c>
      <c r="D63" s="71" t="str">
        <f>IFERROR(__xludf.DUMMYFUNCTION("GOOGLETRANSLATE(B63,""en"",""cs"")"),"Odemknout ikonu pomocí ")</f>
        <v>Odemknout ikonu pomocí </v>
      </c>
      <c r="E63" s="71" t="str">
        <f>IFERROR(__xludf.DUMMYFUNCTION("GOOGLETRANSLATE(B63,""en"",""de"")"),"Entsperren Sie das Symbol mit ")</f>
        <v>Entsperren Sie das Symbol mit </v>
      </c>
      <c r="F63" s="71" t="str">
        <f>IFERROR(__xludf.DUMMYFUNCTION("GOOGLETRANSLATE(B63,""en"",""el"")"),"Ξεκλείδωμα εικονίδιο με ")</f>
        <v>Ξεκλείδωμα εικονίδιο με </v>
      </c>
      <c r="G63" s="71" t="str">
        <f>IFERROR(__xludf.DUMMYFUNCTION("GOOGLETRANSLATE(B63,""en"",""es"")"),"Desbloquear icono con ")</f>
        <v>Desbloquear icono con </v>
      </c>
      <c r="H63" s="71" t="str">
        <f>IFERROR(__xludf.DUMMYFUNCTION("GOOGLETRANSLATE(B63,""en"",""et"")"),"Avage ikoon rakendusega ")</f>
        <v>Avage ikoon rakendusega </v>
      </c>
      <c r="I63" s="71" t="str">
        <f>IFERROR(__xludf.DUMMYFUNCTION("GOOGLETRANSLATE(B63,""en"",""fi"")"),"Avaa kuvake ")</f>
        <v>Avaa kuvake </v>
      </c>
      <c r="J63" s="71" t="str">
        <f>IFERROR(__xludf.DUMMYFUNCTION("GOOGLETRANSLATE(B63,""en"",""fr"")"),"Déverrouiller l'icône avec ")</f>
        <v>Déverrouiller l'icône avec </v>
      </c>
      <c r="K63" s="71" t="str">
        <f>IFERROR(__xludf.DUMMYFUNCTION("GOOGLETRANSLATE(B63,""en"",""hi"")"),"के साथ आइकन अनलॉक करें ")</f>
        <v>के साथ आइकन अनलॉक करें </v>
      </c>
      <c r="L63" s="71" t="str">
        <f>IFERROR(__xludf.DUMMYFUNCTION("GOOGLETRANSLATE(B63,""en"",""id"")"),"Buka Kunci Ikon dengan ")</f>
        <v>Buka Kunci Ikon dengan </v>
      </c>
      <c r="M63" s="71" t="str">
        <f>IFERROR(__xludf.DUMMYFUNCTION("GOOGLETRANSLATE(B63,""en"",""it"")"),"Sblocca l'icona con ")</f>
        <v>Sblocca l'icona con </v>
      </c>
      <c r="N63" s="71" t="str">
        <f>IFERROR(__xludf.DUMMYFUNCTION("GOOGLETRANSLATE(B63,""en"",""ja"")"),"アイコンのロックを解除する ")</f>
        <v>アイコンのロックを解除する </v>
      </c>
      <c r="O63" s="71" t="str">
        <f>IFERROR(__xludf.DUMMYFUNCTION("GOOGLETRANSLATE(B63,""en"",""km"")"),"ដោះសោរូបតំណាងជាមួយ ")</f>
        <v>ដោះសោរូបតំណាងជាមួយ </v>
      </c>
      <c r="P63" s="71" t="str">
        <f>IFERROR(__xludf.DUMMYFUNCTION("GOOGLETRANSLATE(B63,""en"",""kn"")"),"ಇದರೊಂದಿಗೆ ಅನ್‌ಲಾಕ್ ಐಕಾನ್ ")</f>
        <v>ಇದರೊಂದಿಗೆ ಅನ್‌ಲಾಕ್ ಐಕಾನ್ </v>
      </c>
      <c r="Q63" s="71" t="str">
        <f>IFERROR(__xludf.DUMMYFUNCTION("GOOGLETRANSLATE(B63,""en"",""ko"")"),"아이콘 잠금 해제 ")</f>
        <v>아이콘 잠금 해제 </v>
      </c>
      <c r="R63" s="71" t="str">
        <f>IFERROR(__xludf.DUMMYFUNCTION("GOOGLETRANSLATE(B63,""en"",""lo"")"),"ປົດລັອກໄອຄອນດ້ວຍ ")</f>
        <v>ປົດລັອກໄອຄອນດ້ວຍ </v>
      </c>
      <c r="S63" s="71" t="str">
        <f>IFERROR(__xludf.DUMMYFUNCTION("GOOGLETRANSLATE(B63,""en"",""lv"")"),"Atbloķēt ikonu ar ")</f>
        <v>Atbloķēt ikonu ar </v>
      </c>
      <c r="T63" s="71" t="str">
        <f>IFERROR(__xludf.DUMMYFUNCTION("GOOGLETRANSLATE(B63,""en"",""ms"")"),"Buka kunci Ikon dengan ")</f>
        <v>Buka kunci Ikon dengan </v>
      </c>
      <c r="U63" s="71" t="str">
        <f>IFERROR(__xludf.DUMMYFUNCTION("GOOGLETRANSLATE(B63,""en"",""nl"")"),"Ontgrendel icoon met ")</f>
        <v>Ontgrendel icoon met </v>
      </c>
      <c r="V63" s="71" t="str">
        <f>IFERROR(__xludf.DUMMYFUNCTION("GOOGLETRANSLATE(B63,""en"",""pl"")"),"Odblokuj ikonę za pomocą ")</f>
        <v>Odblokuj ikonę za pomocą </v>
      </c>
      <c r="W63" s="71" t="str">
        <f>IFERROR(__xludf.DUMMYFUNCTION("GOOGLETRANSLATE(B63,""en"",""pt-PT"")"),"Desbloquear ícone com ")</f>
        <v>Desbloquear ícone com </v>
      </c>
      <c r="X63" s="71" t="str">
        <f>IFERROR(__xludf.DUMMYFUNCTION("GOOGLETRANSLATE(B63,""en"",""ru"")"),"Разблокировать значок с помощью ")</f>
        <v>Разблокировать значок с помощью </v>
      </c>
      <c r="Y63" s="71" t="str">
        <f>IFERROR(__xludf.DUMMYFUNCTION("GOOGLETRANSLATE(B63,""en"",""th"")"),"ปลดล็อคไอคอนด้วย ")</f>
        <v>ปลดล็อคไอคอนด้วย </v>
      </c>
      <c r="Z63" s="71" t="str">
        <f>IFERROR(__xludf.DUMMYFUNCTION("GOOGLETRANSLATE(B63,""en"",""tr"")"),"Simgenin kilidini aç ")</f>
        <v>Simgenin kilidini aç </v>
      </c>
      <c r="AA63" s="71" t="str">
        <f>IFERROR(__xludf.DUMMYFUNCTION("GOOGLETRANSLATE(B63,""en"",""uk"")"),"Значок розблокування за допомогою ")</f>
        <v>Значок розблокування за допомогою </v>
      </c>
      <c r="AB63" s="71" t="str">
        <f>IFERROR(__xludf.DUMMYFUNCTION("GOOGLETRANSLATE(B63,""en"",""zh-CN"")"),"解锁图标与 ")</f>
        <v>解锁图标与 </v>
      </c>
      <c r="AC63" s="71" t="str">
        <f>IFERROR(__xludf.DUMMYFUNCTION("GOOGLETRANSLATE(B63,""en"",""vi"")"),"Biểu tượng mở khóa bằng ")</f>
        <v>Biểu tượng mở khóa bằng </v>
      </c>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row>
    <row r="64">
      <c r="A64" s="73" t="s">
        <v>9418</v>
      </c>
      <c r="B64" s="73" t="s">
        <v>11662</v>
      </c>
      <c r="C64" s="71" t="str">
        <f>IFERROR(__xludf.DUMMYFUNCTION("GOOGLETRANSLATE(B64,""en"",""ar"")"),"باستخدام السمات اللطيفة، يمكنك بسهولة تغيير سمة هاتفك وأيقونات التطبيقات والأدوات والخلفيات")</f>
        <v>باستخدام السمات اللطيفة، يمكنك بسهولة تغيير سمة هاتفك وأيقونات التطبيقات والأدوات والخلفيات</v>
      </c>
      <c r="D64" s="71" t="str">
        <f>IFERROR(__xludf.DUMMYFUNCTION("GOOGLETRANSLATE(B64,""en"",""cs"")"),"Pomocí roztomilých motivů můžete snadno změnit motiv telefonu, ikony aplikací, widgety a tapety")</f>
        <v>Pomocí roztomilých motivů můžete snadno změnit motiv telefonu, ikony aplikací, widgety a tapety</v>
      </c>
      <c r="E64" s="71" t="str">
        <f>IFERROR(__xludf.DUMMYFUNCTION("GOOGLETRANSLATE(B64,""en"",""de"")"),"Mit „Cute Themes“ können Sie das Design, die App-Symbole, Widgets und Hintergrundbilder Ihres Telefons ganz einfach ändern")</f>
        <v>Mit „Cute Themes“ können Sie das Design, die App-Symbole, Widgets und Hintergrundbilder Ihres Telefons ganz einfach ändern</v>
      </c>
      <c r="F64" s="71" t="str">
        <f>IFERROR(__xludf.DUMMYFUNCTION("GOOGLETRANSLATE(B64,""en"",""el"")"),"Με τα Cute Themes, μπορείτε εύκολα να αλλάξετε το θέμα του τηλεφώνου σας, τα εικονίδια εφαρμογών, τα γραφικά στοιχεία και τις ταπετσαρίες")</f>
        <v>Με τα Cute Themes, μπορείτε εύκολα να αλλάξετε το θέμα του τηλεφώνου σας, τα εικονίδια εφαρμογών, τα γραφικά στοιχεία και τις ταπετσαρίες</v>
      </c>
      <c r="G64" s="71" t="str">
        <f>IFERROR(__xludf.DUMMYFUNCTION("GOOGLETRANSLATE(B64,""en"",""es"")"),"Con Cute Themes, puedes cambiar fácilmente el tema, los íconos de aplicaciones, los widgets y los fondos de pantalla de tu teléfono.")</f>
        <v>Con Cute Themes, puedes cambiar fácilmente el tema, los íconos de aplicaciones, los widgets y los fondos de pantalla de tu teléfono.</v>
      </c>
      <c r="H64" s="71" t="str">
        <f>IFERROR(__xludf.DUMMYFUNCTION("GOOGLETRANSLATE(B64,""en"",""et"")"),"Armsate teemade abil saate hõlpsasti muuta oma telefoni teemat, rakenduste ikoone, vidinaid ja taustapilte")</f>
        <v>Armsate teemade abil saate hõlpsasti muuta oma telefoni teemat, rakenduste ikoone, vidinaid ja taustapilte</v>
      </c>
      <c r="I64" s="71" t="str">
        <f>IFERROR(__xludf.DUMMYFUNCTION("GOOGLETRANSLATE(B64,""en"",""fi"")"),"Söpöjen teemojen avulla voit helposti vaihtaa puhelimesi teemaa, sovelluskuvakkeita, widgetejä ja taustakuvia")</f>
        <v>Söpöjen teemojen avulla voit helposti vaihtaa puhelimesi teemaa, sovelluskuvakkeita, widgetejä ja taustakuvia</v>
      </c>
      <c r="J64" s="71" t="str">
        <f>IFERROR(__xludf.DUMMYFUNCTION("GOOGLETRANSLATE(B64,""en"",""fr"")"),"Avec Thèmes mignons, vous pouvez facilement modifier le thème, les icônes d'application, les widgets et les fonds d'écran de votre téléphone")</f>
        <v>Avec Thèmes mignons, vous pouvez facilement modifier le thème, les icônes d'application, les widgets et les fonds d'écran de votre téléphone</v>
      </c>
      <c r="K64" s="71" t="str">
        <f>IFERROR(__xludf.DUMMYFUNCTION("GOOGLETRANSLATE(B64,""en"",""hi"")"),"क्यूट थीम के साथ, आप आसानी से अपने फोन की थीम, ऐप आइकन, विजेट और वॉलपेपर बदल सकते हैं")</f>
        <v>क्यूट थीम के साथ, आप आसानी से अपने फोन की थीम, ऐप आइकन, विजेट और वॉलपेपर बदल सकते हैं</v>
      </c>
      <c r="L64" s="71" t="str">
        <f>IFERROR(__xludf.DUMMYFUNCTION("GOOGLETRANSLATE(B64,""en"",""id"")"),"Dengan Tema Lucu, Anda dapat dengan mudah mengubah tema, ikon aplikasi, widget, dan wallpaper ponsel Anda")</f>
        <v>Dengan Tema Lucu, Anda dapat dengan mudah mengubah tema, ikon aplikasi, widget, dan wallpaper ponsel Anda</v>
      </c>
      <c r="M64" s="71" t="str">
        <f>IFERROR(__xludf.DUMMYFUNCTION("GOOGLETRANSLATE(B64,""en"",""it"")"),"Con Temi carini puoi cambiare facilmente il tema del tuo telefono, le icone delle app, i widget e gli sfondi")</f>
        <v>Con Temi carini puoi cambiare facilmente il tema del tuo telefono, le icone delle app, i widget e gli sfondi</v>
      </c>
      <c r="N64" s="71" t="str">
        <f>IFERROR(__xludf.DUMMYFUNCTION("GOOGLETRANSLATE(B64,""en"",""ja"")"),"かわいいテーマを使用すると、携帯電話のテーマ、アプリアイコン、ウィジェット、壁紙を簡単に変更できます")</f>
        <v>かわいいテーマを使用すると、携帯電話のテーマ、アプリアイコン、ウィジェット、壁紙を簡単に変更できます</v>
      </c>
      <c r="O64" s="71" t="str">
        <f>IFERROR(__xludf.DUMMYFUNCTION("GOOGLETRANSLATE(B64,""en"",""km"")"),"ជាមួយនឹងរូបរាង Cute អ្នកអាចផ្លាស់ប្តូររូបរាង រូបតំណាងកម្មវិធី ធាតុក្រាហ្វិក និងផ្ទាំងរូបភាពរបស់ទូរសព្ទអ្នកបានយ៉ាងងាយស្រួល")</f>
        <v>ជាមួយនឹងរូបរាង Cute អ្នកអាចផ្លាស់ប្តូររូបរាង រូបតំណាងកម្មវិធី ធាតុក្រាហ្វិក និងផ្ទាំងរូបភាពរបស់ទូរសព្ទអ្នកបានយ៉ាងងាយស្រួល</v>
      </c>
      <c r="P64" s="71" t="str">
        <f>IFERROR(__xludf.DUMMYFUNCTION("GOOGLETRANSLATE(B64,""en"",""kn"")"),"ಮುದ್ದಾದ ಥೀಮ್‌ಗಳೊಂದಿಗೆ, ನಿಮ್ಮ ಫೋನ್‌ನ ಥೀಮ್, ಅಪ್ಲಿಕೇಶನ್ ಐಕಾನ್‌ಗಳು, ವಿಜೆಟ್‌ಗಳು ಮತ್ತು ವಾಲ್‌ಪೇಪರ್‌ಗಳನ್ನು ನೀವು ಸುಲಭವಾಗಿ ಬದಲಾಯಿಸಬಹುದು")</f>
        <v>ಮುದ್ದಾದ ಥೀಮ್‌ಗಳೊಂದಿಗೆ, ನಿಮ್ಮ ಫೋನ್‌ನ ಥೀಮ್, ಅಪ್ಲಿಕೇಶನ್ ಐಕಾನ್‌ಗಳು, ವಿಜೆಟ್‌ಗಳು ಮತ್ತು ವಾಲ್‌ಪೇಪರ್‌ಗಳನ್ನು ನೀವು ಸುಲಭವಾಗಿ ಬದಲಾಯಿಸಬಹುದು</v>
      </c>
      <c r="Q64" s="71" t="str">
        <f>IFERROR(__xludf.DUMMYFUNCTION("GOOGLETRANSLATE(B64,""en"",""ko"")"),"귀여운 테마를 사용하면 휴대전화의 테마, 앱 아이콘, 위젯, 배경화면을 쉽게 변경할 수 있습니다.")</f>
        <v>귀여운 테마를 사용하면 휴대전화의 테마, 앱 아이콘, 위젯, 배경화면을 쉽게 변경할 수 있습니다.</v>
      </c>
      <c r="R64" s="71" t="str">
        <f>IFERROR(__xludf.DUMMYFUNCTION("GOOGLETRANSLATE(B64,""en"",""lo"")"),"ດ້ວຍຮູບແບບສີສັນໜ້າຮັກ, ທ່ານສາມາດປ່ຽນຮູບແບບສີສັນຂອງໂທລະສັບ, ໄອຄອນແອັບ, ວິດເຈັດ ແລະຮູບວໍເປເປີໄດ້ຢ່າງງ່າຍດາຍ.")</f>
        <v>ດ້ວຍຮູບແບບສີສັນໜ້າຮັກ, ທ່ານສາມາດປ່ຽນຮູບແບບສີສັນຂອງໂທລະສັບ, ໄອຄອນແອັບ, ວິດເຈັດ ແລະຮູບວໍເປເປີໄດ້ຢ່າງງ່າຍດາຍ.</v>
      </c>
      <c r="S64" s="71" t="str">
        <f>IFERROR(__xludf.DUMMYFUNCTION("GOOGLETRANSLATE(B64,""en"",""lv"")"),"Izmantojot jaukus motīvus, varat viegli mainīt tālruņa motīvu, lietotņu ikonas, logrīkus un fona attēlus")</f>
        <v>Izmantojot jaukus motīvus, varat viegli mainīt tālruņa motīvu, lietotņu ikonas, logrīkus un fona attēlus</v>
      </c>
      <c r="T64" s="71" t="str">
        <f>IFERROR(__xludf.DUMMYFUNCTION("GOOGLETRANSLATE(B64,""en"",""ms"")"),"Dengan Tema Comel, anda boleh menukar tema, ikon apl, widget dan kertas dinding telefon anda dengan mudah")</f>
        <v>Dengan Tema Comel, anda boleh menukar tema, ikon apl, widget dan kertas dinding telefon anda dengan mudah</v>
      </c>
      <c r="U64" s="71" t="str">
        <f>IFERROR(__xludf.DUMMYFUNCTION("GOOGLETRANSLATE(B64,""en"",""nl"")"),"Met Leuke Thema's kunt u eenvoudig het thema, app-pictogrammen, widgets en achtergronden van uw telefoon wijzigen")</f>
        <v>Met Leuke Thema's kunt u eenvoudig het thema, app-pictogrammen, widgets en achtergronden van uw telefoon wijzigen</v>
      </c>
      <c r="V64" s="71" t="str">
        <f>IFERROR(__xludf.DUMMYFUNCTION("GOOGLETRANSLATE(B64,""en"",""pl"")"),"Dzięki Ślicznym motywom możesz łatwo zmienić motyw, ikony aplikacji, widżety i tapety swojego telefonu")</f>
        <v>Dzięki Ślicznym motywom możesz łatwo zmienić motyw, ikony aplikacji, widżety i tapety swojego telefonu</v>
      </c>
      <c r="W64" s="71" t="str">
        <f>IFERROR(__xludf.DUMMYFUNCTION("GOOGLETRANSLATE(B64,""en"",""pt-PT"")"),"Com Cute Themes, você pode alterar facilmente o tema, ícones de aplicativos, widgets e papéis de parede do seu telefone")</f>
        <v>Com Cute Themes, você pode alterar facilmente o tema, ícones de aplicativos, widgets e papéis de parede do seu telefone</v>
      </c>
      <c r="X64" s="71" t="str">
        <f>IFERROR(__xludf.DUMMYFUNCTION("GOOGLETRANSLATE(B64,""en"",""ru"")"),"С помощью Cute Themes вы можете легко изменить тему своего телефона, значки приложений, виджеты и обои.")</f>
        <v>С помощью Cute Themes вы можете легко изменить тему своего телефона, значки приложений, виджеты и обои.</v>
      </c>
      <c r="Y64" s="71" t="str">
        <f>IFERROR(__xludf.DUMMYFUNCTION("GOOGLETRANSLATE(B64,""en"",""th"")"),"ด้วยธีมน่ารัก คุณสามารถเปลี่ยนธีม ไอคอนแอป วิดเจ็ต และวอลเปเปอร์ของโทรศัพท์ได้อย่างง่ายดาย")</f>
        <v>ด้วยธีมน่ารัก คุณสามารถเปลี่ยนธีม ไอคอนแอป วิดเจ็ต และวอลเปเปอร์ของโทรศัพท์ได้อย่างง่ายดาย</v>
      </c>
      <c r="Z64" s="71" t="str">
        <f>IFERROR(__xludf.DUMMYFUNCTION("GOOGLETRANSLATE(B64,""en"",""tr"")"),"Sevimli Temalar ile telefonunuzun temasını, uygulama simgelerini, widget'larını ve duvar kağıtlarını kolayca değiştirebilirsiniz.")</f>
        <v>Sevimli Temalar ile telefonunuzun temasını, uygulama simgelerini, widget'larını ve duvar kağıtlarını kolayca değiştirebilirsiniz.</v>
      </c>
      <c r="AA64" s="71" t="str">
        <f>IFERROR(__xludf.DUMMYFUNCTION("GOOGLETRANSLATE(B64,""en"",""uk"")"),"За допомогою Cute Themes ви можете легко змінити тему свого телефону, значки програм, віджети та шпалери")</f>
        <v>За допомогою Cute Themes ви можете легко змінити тему свого телефону, значки програм, віджети та шпалери</v>
      </c>
      <c r="AB64" s="71" t="str">
        <f>IFERROR(__xludf.DUMMYFUNCTION("GOOGLETRANSLATE(B64,""en"",""zh-CN"")"),"使用可爱主题，您可以轻松更改手机的主题、应用程序图标、小部件和壁纸")</f>
        <v>使用可爱主题，您可以轻松更改手机的主题、应用程序图标、小部件和壁纸</v>
      </c>
      <c r="AC64" s="71" t="str">
        <f>IFERROR(__xludf.DUMMYFUNCTION("GOOGLETRANSLATE(B64,""en"",""vi"")"),"Với Chủ đề dễ thương, bạn có thể dễ dàng thay đổi chủ đề, biểu tượng ứng dụng, tiện ích và hình nền của điện thoại")</f>
        <v>Với Chủ đề dễ thương, bạn có thể dễ dàng thay đổi chủ đề, biểu tượng ứng dụng, tiện ích và hình nền của điện thoại</v>
      </c>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row>
    <row r="65">
      <c r="A65" s="73" t="s">
        <v>11663</v>
      </c>
      <c r="B65" s="73" t="s">
        <v>11664</v>
      </c>
      <c r="C65" s="71" t="str">
        <f>IFERROR(__xludf.DUMMYFUNCTION("GOOGLETRANSLATE(B65,""en"",""ar"")"),"مرحبا بكم في المواضيع لطيف!")</f>
        <v>مرحبا بكم في المواضيع لطيف!</v>
      </c>
      <c r="D65" s="71" t="str">
        <f>IFERROR(__xludf.DUMMYFUNCTION("GOOGLETRANSLATE(B65,""en"",""cs"")"),"Vítejte v Cute Themes!")</f>
        <v>Vítejte v Cute Themes!</v>
      </c>
      <c r="E65" s="71" t="str">
        <f>IFERROR(__xludf.DUMMYFUNCTION("GOOGLETRANSLATE(B65,""en"",""de"")"),"Willkommen bei Cute Themes!")</f>
        <v>Willkommen bei Cute Themes!</v>
      </c>
      <c r="F65" s="71" t="str">
        <f>IFERROR(__xludf.DUMMYFUNCTION("GOOGLETRANSLATE(B65,""en"",""el"")"),"Καλώς ήρθατε στο Cute Themes!")</f>
        <v>Καλώς ήρθατε στο Cute Themes!</v>
      </c>
      <c r="G65" s="71" t="str">
        <f>IFERROR(__xludf.DUMMYFUNCTION("GOOGLETRANSLATE(B65,""en"",""es"")"),"¡Bienvenido a Temas Lindos!")</f>
        <v>¡Bienvenido a Temas Lindos!</v>
      </c>
      <c r="H65" s="71" t="str">
        <f>IFERROR(__xludf.DUMMYFUNCTION("GOOGLETRANSLATE(B65,""en"",""et"")"),"Tere tulemast armsate teemade juurde!")</f>
        <v>Tere tulemast armsate teemade juurde!</v>
      </c>
      <c r="I65" s="71" t="str">
        <f>IFERROR(__xludf.DUMMYFUNCTION("GOOGLETRANSLATE(B65,""en"",""fi"")"),"Tervetuloa söpöihin teemoihin!")</f>
        <v>Tervetuloa söpöihin teemoihin!</v>
      </c>
      <c r="J65" s="71" t="str">
        <f>IFERROR(__xludf.DUMMYFUNCTION("GOOGLETRANSLATE(B65,""en"",""fr"")"),"Bienvenue sur les thèmes mignons !")</f>
        <v>Bienvenue sur les thèmes mignons !</v>
      </c>
      <c r="K65" s="71" t="str">
        <f>IFERROR(__xludf.DUMMYFUNCTION("GOOGLETRANSLATE(B65,""en"",""hi"")"),"क्यूट थीम्स में आपका स्वागत है!")</f>
        <v>क्यूट थीम्स में आपका स्वागत है!</v>
      </c>
      <c r="L65" s="71" t="str">
        <f>IFERROR(__xludf.DUMMYFUNCTION("GOOGLETRANSLATE(B65,""en"",""id"")"),"Selamat datang di Tema Lucu!")</f>
        <v>Selamat datang di Tema Lucu!</v>
      </c>
      <c r="M65" s="71" t="str">
        <f>IFERROR(__xludf.DUMMYFUNCTION("GOOGLETRANSLATE(B65,""en"",""it"")"),"Benvenuto in Temi carini!")</f>
        <v>Benvenuto in Temi carini!</v>
      </c>
      <c r="N65" s="71" t="str">
        <f>IFERROR(__xludf.DUMMYFUNCTION("GOOGLETRANSLATE(B65,""en"",""ja"")"),"かわいいテーマへようこそ!")</f>
        <v>かわいいテーマへようこそ!</v>
      </c>
      <c r="O65" s="71" t="str">
        <f>IFERROR(__xludf.DUMMYFUNCTION("GOOGLETRANSLATE(B65,""en"",""km"")"),"សូមស្វាគមន៍មកកាន់ Cute Themes!")</f>
        <v>សូមស្វាគមន៍មកកាន់ Cute Themes!</v>
      </c>
      <c r="P65" s="71" t="str">
        <f>IFERROR(__xludf.DUMMYFUNCTION("GOOGLETRANSLATE(B65,""en"",""kn"")"),"ಮುದ್ದಾದ ಥೀಮ್‌ಗಳಿಗೆ ಸುಸ್ವಾಗತ!")</f>
        <v>ಮುದ್ದಾದ ಥೀಮ್‌ಗಳಿಗೆ ಸುಸ್ವಾಗತ!</v>
      </c>
      <c r="Q65" s="71" t="str">
        <f>IFERROR(__xludf.DUMMYFUNCTION("GOOGLETRANSLATE(B65,""en"",""ko"")"),"귀여운 테마에 오신 것을 환영합니다!")</f>
        <v>귀여운 테마에 오신 것을 환영합니다!</v>
      </c>
      <c r="R65" s="71" t="str">
        <f>IFERROR(__xludf.DUMMYFUNCTION("GOOGLETRANSLATE(B65,""en"",""lo"")"),"ຍິນດີຕ້ອນຮັບສູ່ຫົວຂໍ້ໜ້າຮັກ!")</f>
        <v>ຍິນດີຕ້ອນຮັບສູ່ຫົວຂໍ້ໜ້າຮັກ!</v>
      </c>
      <c r="S65" s="71" t="str">
        <f>IFERROR(__xludf.DUMMYFUNCTION("GOOGLETRANSLATE(B65,""en"",""lv"")"),"Laipni lūdzam jaukās tēmās!")</f>
        <v>Laipni lūdzam jaukās tēmās!</v>
      </c>
      <c r="T65" s="71" t="str">
        <f>IFERROR(__xludf.DUMMYFUNCTION("GOOGLETRANSLATE(B65,""en"",""ms"")"),"Selamat datang ke Tema Comel!")</f>
        <v>Selamat datang ke Tema Comel!</v>
      </c>
      <c r="U65" s="71" t="str">
        <f>IFERROR(__xludf.DUMMYFUNCTION("GOOGLETRANSLATE(B65,""en"",""nl"")"),"Welkom bij Leuke Thema's!")</f>
        <v>Welkom bij Leuke Thema's!</v>
      </c>
      <c r="V65" s="71" t="str">
        <f>IFERROR(__xludf.DUMMYFUNCTION("GOOGLETRANSLATE(B65,""en"",""pl"")"),"Witamy w uroczych motywach!")</f>
        <v>Witamy w uroczych motywach!</v>
      </c>
      <c r="W65" s="71" t="str">
        <f>IFERROR(__xludf.DUMMYFUNCTION("GOOGLETRANSLATE(B65,""en"",""pt-PT"")"),"Bem-vindo ao Temas Fofos!")</f>
        <v>Bem-vindo ao Temas Fofos!</v>
      </c>
      <c r="X65" s="71" t="str">
        <f>IFERROR(__xludf.DUMMYFUNCTION("GOOGLETRANSLATE(B65,""en"",""ru"")"),"Добро пожаловать в Симпатичные темы!")</f>
        <v>Добро пожаловать в Симпатичные темы!</v>
      </c>
      <c r="Y65" s="71" t="str">
        <f>IFERROR(__xludf.DUMMYFUNCTION("GOOGLETRANSLATE(B65,""en"",""th"")"),"ยินดีต้อนรับสู่ธีมน่ารัก!")</f>
        <v>ยินดีต้อนรับสู่ธีมน่ารัก!</v>
      </c>
      <c r="Z65" s="71" t="str">
        <f>IFERROR(__xludf.DUMMYFUNCTION("GOOGLETRANSLATE(B65,""en"",""tr"")"),"Sevimli Temalara Hoş Geldiniz!")</f>
        <v>Sevimli Temalara Hoş Geldiniz!</v>
      </c>
      <c r="AA65" s="71" t="str">
        <f>IFERROR(__xludf.DUMMYFUNCTION("GOOGLETRANSLATE(B65,""en"",""uk"")"),"Ласкаво просимо до Cute Themes!")</f>
        <v>Ласкаво просимо до Cute Themes!</v>
      </c>
      <c r="AB65" s="71" t="str">
        <f>IFERROR(__xludf.DUMMYFUNCTION("GOOGLETRANSLATE(B65,""en"",""zh-CN"")"),"欢迎来到可爱的主题！")</f>
        <v>欢迎来到可爱的主题！</v>
      </c>
      <c r="AC65" s="71" t="str">
        <f>IFERROR(__xludf.DUMMYFUNCTION("GOOGLETRANSLATE(B65,""en"",""vi"")"),"Chào mừng đến với Chủ đề dễ thương!")</f>
        <v>Chào mừng đến với Chủ đề dễ thương!</v>
      </c>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row>
    <row r="66">
      <c r="A66" s="73" t="s">
        <v>11665</v>
      </c>
      <c r="B66" s="73" t="s">
        <v>11666</v>
      </c>
      <c r="C66" s="71" t="str">
        <f>IFERROR(__xludf.DUMMYFUNCTION("GOOGLETRANSLATE(B66,""en"",""ar"")"),"اجعل أيقونات تطبيقاتك بارزة")</f>
        <v>اجعل أيقونات تطبيقاتك بارزة</v>
      </c>
      <c r="D66" s="71" t="str">
        <f>IFERROR(__xludf.DUMMYFUNCTION("GOOGLETRANSLATE(B66,""en"",""cs"")"),"Nechte své ikony aplikací vyniknout")</f>
        <v>Nechte své ikony aplikací vyniknout</v>
      </c>
      <c r="E66" s="71" t="str">
        <f>IFERROR(__xludf.DUMMYFUNCTION("GOOGLETRANSLATE(B66,""en"",""de"")"),"Heben Sie Ihre App-Symbole hervor")</f>
        <v>Heben Sie Ihre App-Symbole hervor</v>
      </c>
      <c r="F66" s="71" t="str">
        <f>IFERROR(__xludf.DUMMYFUNCTION("GOOGLETRANSLATE(B66,""en"",""el"")"),"Κάντε τα εικονίδια της εφαρμογής σας να ξεχωρίζουν")</f>
        <v>Κάντε τα εικονίδια της εφαρμογής σας να ξεχωρίζουν</v>
      </c>
      <c r="G66" s="71" t="str">
        <f>IFERROR(__xludf.DUMMYFUNCTION("GOOGLETRANSLATE(B66,""en"",""es"")"),"Haga que los íconos de su aplicación se destaquen")</f>
        <v>Haga que los íconos de su aplicación se destaquen</v>
      </c>
      <c r="H66" s="71" t="str">
        <f>IFERROR(__xludf.DUMMYFUNCTION("GOOGLETRANSLATE(B66,""en"",""et"")"),"Muutke oma rakenduste ikoonid silmapaistvaks")</f>
        <v>Muutke oma rakenduste ikoonid silmapaistvaks</v>
      </c>
      <c r="I66" s="71" t="str">
        <f>IFERROR(__xludf.DUMMYFUNCTION("GOOGLETRANSLATE(B66,""en"",""fi"")"),"Tee sovelluskuvakkeistasi erottuvia")</f>
        <v>Tee sovelluskuvakkeistasi erottuvia</v>
      </c>
      <c r="J66" s="71" t="str">
        <f>IFERROR(__xludf.DUMMYFUNCTION("GOOGLETRANSLATE(B66,""en"",""fr"")"),"Faites ressortir les icônes de vos applications")</f>
        <v>Faites ressortir les icônes de vos applications</v>
      </c>
      <c r="K66" s="71" t="str">
        <f>IFERROR(__xludf.DUMMYFUNCTION("GOOGLETRANSLATE(B66,""en"",""hi"")"),"अपने ऐप आइकन को अलग बनाएं")</f>
        <v>अपने ऐप आइकन को अलग बनाएं</v>
      </c>
      <c r="L66" s="71" t="str">
        <f>IFERROR(__xludf.DUMMYFUNCTION("GOOGLETRANSLATE(B66,""en"",""id"")"),"Jadikan Ikon Aplikasi Anda Menonjol")</f>
        <v>Jadikan Ikon Aplikasi Anda Menonjol</v>
      </c>
      <c r="M66" s="71" t="str">
        <f>IFERROR(__xludf.DUMMYFUNCTION("GOOGLETRANSLATE(B66,""en"",""it"")"),"Fai risaltare le icone delle tue app")</f>
        <v>Fai risaltare le icone delle tue app</v>
      </c>
      <c r="N66" s="71" t="str">
        <f>IFERROR(__xludf.DUMMYFUNCTION("GOOGLETRANSLATE(B66,""en"",""ja"")"),"アプリのアイコンを目立たせる")</f>
        <v>アプリのアイコンを目立たせる</v>
      </c>
      <c r="O66" s="71" t="str">
        <f>IFERROR(__xludf.DUMMYFUNCTION("GOOGLETRANSLATE(B66,""en"",""km"")"),"ធ្វើឱ្យរូបតំណាងកម្មវិធីរបស់អ្នកលេចធ្លោ")</f>
        <v>ធ្វើឱ្យរូបតំណាងកម្មវិធីរបស់អ្នកលេចធ្លោ</v>
      </c>
      <c r="P66" s="71" t="str">
        <f>IFERROR(__xludf.DUMMYFUNCTION("GOOGLETRANSLATE(B66,""en"",""kn"")"),"ನಿಮ್ಮ ಅಪ್ಲಿಕೇಶನ್ ಐಕಾನ್‌ಗಳನ್ನು ಎದ್ದು ಕಾಣುವಂತೆ ಮಾಡಿ")</f>
        <v>ನಿಮ್ಮ ಅಪ್ಲಿಕೇಶನ್ ಐಕಾನ್‌ಗಳನ್ನು ಎದ್ದು ಕಾಣುವಂತೆ ಮಾಡಿ</v>
      </c>
      <c r="Q66" s="71" t="str">
        <f>IFERROR(__xludf.DUMMYFUNCTION("GOOGLETRANSLATE(B66,""en"",""ko"")"),"앱 아이콘을 눈에 띄게 만드세요")</f>
        <v>앱 아이콘을 눈에 띄게 만드세요</v>
      </c>
      <c r="R66" s="71" t="str">
        <f>IFERROR(__xludf.DUMMYFUNCTION("GOOGLETRANSLATE(B66,""en"",""lo"")"),"ເຮັດໃຫ້ໄອຄອນແອັບຂອງທ່ານໂດດເດັ່ນ")</f>
        <v>ເຮັດໃຫ້ໄອຄອນແອັບຂອງທ່ານໂດດເດັ່ນ</v>
      </c>
      <c r="S66" s="71" t="str">
        <f>IFERROR(__xludf.DUMMYFUNCTION("GOOGLETRANSLATE(B66,""en"",""lv"")"),"Izceliet savas lietotņu ikonas")</f>
        <v>Izceliet savas lietotņu ikonas</v>
      </c>
      <c r="T66" s="71" t="str">
        <f>IFERROR(__xludf.DUMMYFUNCTION("GOOGLETRANSLATE(B66,""en"",""ms"")"),"Jadikan Ikon Apl Anda Terserlah")</f>
        <v>Jadikan Ikon Apl Anda Terserlah</v>
      </c>
      <c r="U66" s="71" t="str">
        <f>IFERROR(__xludf.DUMMYFUNCTION("GOOGLETRANSLATE(B66,""en"",""nl"")"),"Zorg ervoor dat uw app-pictogrammen opvallen")</f>
        <v>Zorg ervoor dat uw app-pictogrammen opvallen</v>
      </c>
      <c r="V66" s="71" t="str">
        <f>IFERROR(__xludf.DUMMYFUNCTION("GOOGLETRANSLATE(B66,""en"",""pl"")"),"Spraw, aby ikony Twojej aplikacji wyróżniały się")</f>
        <v>Spraw, aby ikony Twojej aplikacji wyróżniały się</v>
      </c>
      <c r="W66" s="71" t="str">
        <f>IFERROR(__xludf.DUMMYFUNCTION("GOOGLETRANSLATE(B66,""en"",""pt-PT"")"),"Faça com que os ícones do seu aplicativo se destaquem")</f>
        <v>Faça com que os ícones do seu aplicativo se destaquem</v>
      </c>
      <c r="X66" s="71" t="str">
        <f>IFERROR(__xludf.DUMMYFUNCTION("GOOGLETRANSLATE(B66,""en"",""ru"")"),"Сделайте значки ваших приложений выделяющимися")</f>
        <v>Сделайте значки ваших приложений выделяющимися</v>
      </c>
      <c r="Y66" s="71" t="str">
        <f>IFERROR(__xludf.DUMMYFUNCTION("GOOGLETRANSLATE(B66,""en"",""th"")"),"ทำให้ไอคอนแอปของคุณโดดเด่น")</f>
        <v>ทำให้ไอคอนแอปของคุณโดดเด่น</v>
      </c>
      <c r="Z66" s="71" t="str">
        <f>IFERROR(__xludf.DUMMYFUNCTION("GOOGLETRANSLATE(B66,""en"",""tr"")"),"Uygulama Simgelerinizi Öne Çıkarın")</f>
        <v>Uygulama Simgelerinizi Öne Çıkarın</v>
      </c>
      <c r="AA66" s="71" t="str">
        <f>IFERROR(__xludf.DUMMYFUNCTION("GOOGLETRANSLATE(B66,""en"",""uk"")"),"Зробіть свої піктограми додатків виділяючими")</f>
        <v>Зробіть свої піктограми додатків виділяючими</v>
      </c>
      <c r="AB66" s="71" t="str">
        <f>IFERROR(__xludf.DUMMYFUNCTION("GOOGLETRANSLATE(B66,""en"",""zh-CN"")"),"让您的应用程序图标脱颖而出")</f>
        <v>让您的应用程序图标脱颖而出</v>
      </c>
      <c r="AC66" s="71" t="str">
        <f>IFERROR(__xludf.DUMMYFUNCTION("GOOGLETRANSLATE(B66,""en"",""vi"")"),"Làm cho biểu tượng ứng dụng của bạn nổi bật")</f>
        <v>Làm cho biểu tượng ứng dụng của bạn nổi bật</v>
      </c>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row>
    <row r="67">
      <c r="A67" s="73" t="s">
        <v>9447</v>
      </c>
      <c r="B67" s="73" t="s">
        <v>11667</v>
      </c>
      <c r="C67" s="71" t="str">
        <f>IFERROR(__xludf.DUMMYFUNCTION("GOOGLETRANSLATE(B67,""en"",""ar"")"),"تقدم Cute Themes الآلاف من أيقونات التطبيقات الجميلة والفريدة من نوعها للاختيار من بينها")</f>
        <v>تقدم Cute Themes الآلاف من أيقونات التطبيقات الجميلة والفريدة من نوعها للاختيار من بينها</v>
      </c>
      <c r="D67" s="71" t="str">
        <f>IFERROR(__xludf.DUMMYFUNCTION("GOOGLETRANSLATE(B67,""en"",""cs"")"),"Cute Themes nabízí tisíce krásných a jedinečných ikon aplikací, ze kterých si můžete vybrat")</f>
        <v>Cute Themes nabízí tisíce krásných a jedinečných ikon aplikací, ze kterých si můžete vybrat</v>
      </c>
      <c r="E67" s="71" t="str">
        <f>IFERROR(__xludf.DUMMYFUNCTION("GOOGLETRANSLATE(B67,""en"",""de"")"),"Cute Themes bietet Tausende wunderschöner und einzigartiger App-Symbole zur Auswahl")</f>
        <v>Cute Themes bietet Tausende wunderschöner und einzigartiger App-Symbole zur Auswahl</v>
      </c>
      <c r="F67" s="71" t="str">
        <f>IFERROR(__xludf.DUMMYFUNCTION("GOOGLETRANSLATE(B67,""en"",""el"")"),"Το Cute Themes προσφέρει χιλιάδες όμορφα και μοναδικά εικονίδια εφαρμογών για να διαλέξετε")</f>
        <v>Το Cute Themes προσφέρει χιλιάδες όμορφα και μοναδικά εικονίδια εφαρμογών για να διαλέξετε</v>
      </c>
      <c r="G67" s="71" t="str">
        <f>IFERROR(__xludf.DUMMYFUNCTION("GOOGLETRANSLATE(B67,""en"",""es"")"),"Cute Themes ofrece miles de íconos de aplicaciones hermosos y únicos para elegir")</f>
        <v>Cute Themes ofrece miles de íconos de aplicaciones hermosos y únicos para elegir</v>
      </c>
      <c r="H67" s="71" t="str">
        <f>IFERROR(__xludf.DUMMYFUNCTION("GOOGLETRANSLATE(B67,""en"",""et"")"),"Armsad teemad pakuvad tuhandete kaunite ja ainulaadsete rakenduste ikoone, mille vahel valida")</f>
        <v>Armsad teemad pakuvad tuhandete kaunite ja ainulaadsete rakenduste ikoone, mille vahel valida</v>
      </c>
      <c r="I67" s="71" t="str">
        <f>IFERROR(__xludf.DUMMYFUNCTION("GOOGLETRANSLATE(B67,""en"",""fi"")"),"Söpöt teemat tarjoavat tuhansia kauniita ja ainutlaatuisia sovelluskuvakkeita, joista valita")</f>
        <v>Söpöt teemat tarjoavat tuhansia kauniita ja ainutlaatuisia sovelluskuvakkeita, joista valita</v>
      </c>
      <c r="J67" s="71" t="str">
        <f>IFERROR(__xludf.DUMMYFUNCTION("GOOGLETRANSLATE(B67,""en"",""fr"")"),"Cute Themes propose des milliers d'icônes d'application magnifiques et uniques parmi lesquelles choisir")</f>
        <v>Cute Themes propose des milliers d'icônes d'application magnifiques et uniques parmi lesquelles choisir</v>
      </c>
      <c r="K67" s="71" t="str">
        <f>IFERROR(__xludf.DUMMYFUNCTION("GOOGLETRANSLATE(B67,""en"",""hi"")"),"क्यूट थीम्स चुनने के लिए हजारों सुंदर और अद्वितीय ऐप आइकन प्रदान करता है")</f>
        <v>क्यूट थीम्स चुनने के लिए हजारों सुंदर और अद्वितीय ऐप आइकन प्रदान करता है</v>
      </c>
      <c r="L67" s="71" t="str">
        <f>IFERROR(__xludf.DUMMYFUNCTION("GOOGLETRANSLATE(B67,""en"",""id"")"),"Tema Lucu menawarkan ribuan ikon aplikasi cantik dan unik untuk dipilih")</f>
        <v>Tema Lucu menawarkan ribuan ikon aplikasi cantik dan unik untuk dipilih</v>
      </c>
      <c r="M67" s="71" t="str">
        <f>IFERROR(__xludf.DUMMYFUNCTION("GOOGLETRANSLATE(B67,""en"",""it"")"),"Temi carini offre migliaia di icone di app bellissime e uniche tra cui scegliere")</f>
        <v>Temi carini offre migliaia di icone di app bellissime e uniche tra cui scegliere</v>
      </c>
      <c r="N67" s="71" t="str">
        <f>IFERROR(__xludf.DUMMYFUNCTION("GOOGLETRANSLATE(B67,""en"",""ja"")"),"Cute Themes は、何千もの美しくユニークなアプリアイコンから選択できます")</f>
        <v>Cute Themes は、何千もの美しくユニークなアプリアイコンから選択できます</v>
      </c>
      <c r="O67" s="71" t="str">
        <f>IFERROR(__xludf.DUMMYFUNCTION("GOOGLETRANSLATE(B67,""en"",""km"")"),"Cute Themes ផ្តល់ជូននូវរូបតំណាងកម្មវិធីដ៏ស្រស់ស្អាត និងប្លែកៗរាប់ពាន់ដើម្បីជ្រើសរើស")</f>
        <v>Cute Themes ផ្តល់ជូននូវរូបតំណាងកម្មវិធីដ៏ស្រស់ស្អាត និងប្លែកៗរាប់ពាន់ដើម្បីជ្រើសរើស</v>
      </c>
      <c r="P67" s="71" t="str">
        <f>IFERROR(__xludf.DUMMYFUNCTION("GOOGLETRANSLATE(B67,""en"",""kn"")"),"ಮುದ್ದಾದ ಥೀಮ್‌ಗಳು ಆಯ್ಕೆ ಮಾಡಲು ಸಾವಿರಾರು ಸುಂದರವಾದ ಮತ್ತು ಅನನ್ಯ ಅಪ್ಲಿಕೇಶನ್ ಐಕಾನ್‌ಗಳನ್ನು ನೀಡುತ್ತದೆ")</f>
        <v>ಮುದ್ದಾದ ಥೀಮ್‌ಗಳು ಆಯ್ಕೆ ಮಾಡಲು ಸಾವಿರಾರು ಸುಂದರವಾದ ಮತ್ತು ಅನನ್ಯ ಅಪ್ಲಿಕೇಶನ್ ಐಕಾನ್‌ಗಳನ್ನು ನೀಡುತ್ತದೆ</v>
      </c>
      <c r="Q67" s="71" t="str">
        <f>IFERROR(__xludf.DUMMYFUNCTION("GOOGLETRANSLATE(B67,""en"",""ko"")"),"귀여운 테마는 선택할 수 있는 수천 개의 아름답고 독특한 앱 아이콘을 제공합니다.")</f>
        <v>귀여운 테마는 선택할 수 있는 수천 개의 아름답고 독특한 앱 아이콘을 제공합니다.</v>
      </c>
      <c r="R67" s="71" t="str">
        <f>IFERROR(__xludf.DUMMYFUNCTION("GOOGLETRANSLATE(B67,""en"",""lo"")"),"ຮູບແບບສີສັນໜ້າຮັກມີໄອຄອນແອັບທີ່ສວຍງາມ ແລະ ເປັນເອກະລັກຫຼາຍພັນຮູບໃຫ້ເລືອກ")</f>
        <v>ຮູບແບບສີສັນໜ້າຮັກມີໄອຄອນແອັບທີ່ສວຍງາມ ແລະ ເປັນເອກະລັກຫຼາຍພັນຮູບໃຫ້ເລືອກ</v>
      </c>
      <c r="S67" s="71" t="str">
        <f>IFERROR(__xludf.DUMMYFUNCTION("GOOGLETRANSLATE(B67,""en"",""lv"")"),"Jauki motīvi piedāvā tūkstošiem skaistu un unikālu lietotņu ikonu, no kurām izvēlēties")</f>
        <v>Jauki motīvi piedāvā tūkstošiem skaistu un unikālu lietotņu ikonu, no kurām izvēlēties</v>
      </c>
      <c r="T67" s="71" t="str">
        <f>IFERROR(__xludf.DUMMYFUNCTION("GOOGLETRANSLATE(B67,""en"",""ms"")"),"Tema Comel menawarkan beribu-ribu ikon aplikasi yang cantik dan unik untuk dipilih")</f>
        <v>Tema Comel menawarkan beribu-ribu ikon aplikasi yang cantik dan unik untuk dipilih</v>
      </c>
      <c r="U67" s="71" t="str">
        <f>IFERROR(__xludf.DUMMYFUNCTION("GOOGLETRANSLATE(B67,""en"",""nl"")"),"Cute Themes biedt duizenden prachtige en unieke app-pictogrammen om uit te kiezen")</f>
        <v>Cute Themes biedt duizenden prachtige en unieke app-pictogrammen om uit te kiezen</v>
      </c>
      <c r="V67" s="71" t="str">
        <f>IFERROR(__xludf.DUMMYFUNCTION("GOOGLETRANSLATE(B67,""en"",""pl"")"),"Śliczne motywy oferują tysiące pięknych i unikalnych ikon aplikacji do wyboru")</f>
        <v>Śliczne motywy oferują tysiące pięknych i unikalnych ikon aplikacji do wyboru</v>
      </c>
      <c r="W67" s="71" t="str">
        <f>IFERROR(__xludf.DUMMYFUNCTION("GOOGLETRANSLATE(B67,""en"",""pt-PT"")"),"Cute Themes oferece milhares de ícones de aplicativos lindos e exclusivos para você escolher")</f>
        <v>Cute Themes oferece milhares de ícones de aplicativos lindos e exclusivos para você escolher</v>
      </c>
      <c r="X67" s="71" t="str">
        <f>IFERROR(__xludf.DUMMYFUNCTION("GOOGLETRANSLATE(B67,""en"",""ru"")"),"Cute Themes предлагает тысячи красивых и уникальных значков приложений на выбор.")</f>
        <v>Cute Themes предлагает тысячи красивых и уникальных значков приложений на выбор.</v>
      </c>
      <c r="Y67" s="71" t="str">
        <f>IFERROR(__xludf.DUMMYFUNCTION("GOOGLETRANSLATE(B67,""en"",""th"")"),"ธีมน่ารักมีไอคอนแอปที่สวยงามและเป็นเอกลักษณ์นับพันให้เลือก")</f>
        <v>ธีมน่ารักมีไอคอนแอปที่สวยงามและเป็นเอกลักษณ์นับพันให้เลือก</v>
      </c>
      <c r="Z67" s="71" t="str">
        <f>IFERROR(__xludf.DUMMYFUNCTION("GOOGLETRANSLATE(B67,""en"",""tr"")"),"Sevimli Temalar, aralarından seçim yapabileceğiniz binlerce güzel ve benzersiz uygulama simgesi sunuyor")</f>
        <v>Sevimli Temalar, aralarından seçim yapabileceğiniz binlerce güzel ve benzersiz uygulama simgesi sunuyor</v>
      </c>
      <c r="AA67" s="71" t="str">
        <f>IFERROR(__xludf.DUMMYFUNCTION("GOOGLETRANSLATE(B67,""en"",""uk"")"),"Cute Themes пропонує тисячі красивих і унікальних піктограм програм на вибір")</f>
        <v>Cute Themes пропонує тисячі красивих і унікальних піктограм програм на вибір</v>
      </c>
      <c r="AB67" s="71" t="str">
        <f>IFERROR(__xludf.DUMMYFUNCTION("GOOGLETRANSLATE(B67,""en"",""zh-CN"")"),"可爱的主题提供数以千计的美丽和独特的应用程序图标可供选择")</f>
        <v>可爱的主题提供数以千计的美丽和独特的应用程序图标可供选择</v>
      </c>
      <c r="AC67" s="71" t="str">
        <f>IFERROR(__xludf.DUMMYFUNCTION("GOOGLETRANSLATE(B67,""en"",""vi"")"),"Chủ đề dễ thương cung cấp hàng nghìn biểu tượng ứng dụng đẹp và độc đáo để bạn lựa chọn")</f>
        <v>Chủ đề dễ thương cung cấp hàng nghìn biểu tượng ứng dụng đẹp và độc đáo để bạn lựa chọn</v>
      </c>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row>
    <row r="68">
      <c r="A68" s="73" t="s">
        <v>11668</v>
      </c>
      <c r="B68" s="73" t="s">
        <v>11669</v>
      </c>
      <c r="C68" s="71" t="str">
        <f>IFERROR(__xludf.DUMMYFUNCTION("GOOGLETRANSLATE(B68,""en"",""ar"")"),"الحاجيات التي تناسب احتياجاتك")</f>
        <v>الحاجيات التي تناسب احتياجاتك</v>
      </c>
      <c r="D68" s="71" t="str">
        <f>IFERROR(__xludf.DUMMYFUNCTION("GOOGLETRANSLATE(B68,""en"",""cs"")"),"Widgety, které vyhovují vašim potřebám")</f>
        <v>Widgety, které vyhovují vašim potřebám</v>
      </c>
      <c r="E68" s="71" t="str">
        <f>IFERROR(__xludf.DUMMYFUNCTION("GOOGLETRANSLATE(B68,""en"",""de"")"),"Widgets, die Ihren Anforderungen entsprechen")</f>
        <v>Widgets, die Ihren Anforderungen entsprechen</v>
      </c>
      <c r="F68" s="71" t="str">
        <f>IFERROR(__xludf.DUMMYFUNCTION("GOOGLETRANSLATE(B68,""en"",""el"")"),"Widgets που ταιριάζουν στις ανάγκες σας")</f>
        <v>Widgets που ταιριάζουν στις ανάγκες σας</v>
      </c>
      <c r="G68" s="71" t="str">
        <f>IFERROR(__xludf.DUMMYFUNCTION("GOOGLETRANSLATE(B68,""en"",""es"")"),"Widgets que se adaptan a sus necesidades")</f>
        <v>Widgets que se adaptan a sus necesidades</v>
      </c>
      <c r="H68" s="71" t="str">
        <f>IFERROR(__xludf.DUMMYFUNCTION("GOOGLETRANSLATE(B68,""en"",""et"")"),"Teie vajadustele vastavad vidinad")</f>
        <v>Teie vajadustele vastavad vidinad</v>
      </c>
      <c r="I68" s="71" t="str">
        <f>IFERROR(__xludf.DUMMYFUNCTION("GOOGLETRANSLATE(B68,""en"",""fi"")"),"Widgetit, jotka sopivat tarpeisiisi")</f>
        <v>Widgetit, jotka sopivat tarpeisiisi</v>
      </c>
      <c r="J68" s="71" t="str">
        <f>IFERROR(__xludf.DUMMYFUNCTION("GOOGLETRANSLATE(B68,""en"",""fr"")"),"Des widgets adaptés à vos besoins")</f>
        <v>Des widgets adaptés à vos besoins</v>
      </c>
      <c r="K68" s="71" t="str">
        <f>IFERROR(__xludf.DUMMYFUNCTION("GOOGLETRANSLATE(B68,""en"",""hi"")"),"विजेट जो आपकी आवश्यकताओं के अनुरूप हों")</f>
        <v>विजेट जो आपकी आवश्यकताओं के अनुरूप हों</v>
      </c>
      <c r="L68" s="71" t="str">
        <f>IFERROR(__xludf.DUMMYFUNCTION("GOOGLETRANSLATE(B68,""en"",""id"")"),"Widget yang Sesuai Kebutuhan Anda")</f>
        <v>Widget yang Sesuai Kebutuhan Anda</v>
      </c>
      <c r="M68" s="71" t="str">
        <f>IFERROR(__xludf.DUMMYFUNCTION("GOOGLETRANSLATE(B68,""en"",""it"")"),"Widget adatti alle tue esigenze")</f>
        <v>Widget adatti alle tue esigenze</v>
      </c>
      <c r="N68" s="71" t="str">
        <f>IFERROR(__xludf.DUMMYFUNCTION("GOOGLETRANSLATE(B68,""en"",""ja"")"),"ニーズに合ったウィジェット")</f>
        <v>ニーズに合ったウィジェット</v>
      </c>
      <c r="O68" s="71" t="str">
        <f>IFERROR(__xludf.DUMMYFUNCTION("GOOGLETRANSLATE(B68,""en"",""km"")"),"ធាតុក្រាហ្វិកដែលសមនឹងតម្រូវការរបស់អ្នក។")</f>
        <v>ធាតុក្រាហ្វិកដែលសមនឹងតម្រូវការរបស់អ្នក។</v>
      </c>
      <c r="P68" s="71" t="str">
        <f>IFERROR(__xludf.DUMMYFUNCTION("GOOGLETRANSLATE(B68,""en"",""kn"")"),"ನಿಮ್ಮ ಅಗತ್ಯಗಳಿಗೆ ಸರಿಹೊಂದುವ ವಿಜೆಟ್‌ಗಳು")</f>
        <v>ನಿಮ್ಮ ಅಗತ್ಯಗಳಿಗೆ ಸರಿಹೊಂದುವ ವಿಜೆಟ್‌ಗಳು</v>
      </c>
      <c r="Q68" s="71" t="str">
        <f>IFERROR(__xludf.DUMMYFUNCTION("GOOGLETRANSLATE(B68,""en"",""ko"")"),"귀하의 요구에 맞는 위젯")</f>
        <v>귀하의 요구에 맞는 위젯</v>
      </c>
      <c r="R68" s="71" t="str">
        <f>IFERROR(__xludf.DUMMYFUNCTION("GOOGLETRANSLATE(B68,""en"",""lo"")"),"Widgets ທີ່​ເຫມາະ​ສົມ​ກັບ​ຄວາມ​ຕ້ອງ​ການ​ຂອງ​ທ່ານ​")</f>
        <v>Widgets ທີ່​ເຫມາະ​ສົມ​ກັບ​ຄວາມ​ຕ້ອງ​ການ​ຂອງ​ທ່ານ​</v>
      </c>
      <c r="S68" s="71" t="str">
        <f>IFERROR(__xludf.DUMMYFUNCTION("GOOGLETRANSLATE(B68,""en"",""lv"")"),"Logrīki, kas atbilst jūsu vajadzībām")</f>
        <v>Logrīki, kas atbilst jūsu vajadzībām</v>
      </c>
      <c r="T68" s="71" t="str">
        <f>IFERROR(__xludf.DUMMYFUNCTION("GOOGLETRANSLATE(B68,""en"",""ms"")"),"Widget Yang Sesuai dengan Keperluan Anda")</f>
        <v>Widget Yang Sesuai dengan Keperluan Anda</v>
      </c>
      <c r="U68" s="71" t="str">
        <f>IFERROR(__xludf.DUMMYFUNCTION("GOOGLETRANSLATE(B68,""en"",""nl"")"),"Widgets die aan uw behoeften voldoen")</f>
        <v>Widgets die aan uw behoeften voldoen</v>
      </c>
      <c r="V68" s="71" t="str">
        <f>IFERROR(__xludf.DUMMYFUNCTION("GOOGLETRANSLATE(B68,""en"",""pl"")"),"Widżety dopasowane do Twoich potrzeb")</f>
        <v>Widżety dopasowane do Twoich potrzeb</v>
      </c>
      <c r="W68" s="71" t="str">
        <f>IFERROR(__xludf.DUMMYFUNCTION("GOOGLETRANSLATE(B68,""en"",""pt-PT"")"),"Widgets que atendem às suas necessidades")</f>
        <v>Widgets que atendem às suas necessidades</v>
      </c>
      <c r="X68" s="71" t="str">
        <f>IFERROR(__xludf.DUMMYFUNCTION("GOOGLETRANSLATE(B68,""en"",""ru"")"),"Виджеты, которые соответствуют вашим потребностям")</f>
        <v>Виджеты, которые соответствуют вашим потребностям</v>
      </c>
      <c r="Y68" s="71" t="str">
        <f>IFERROR(__xludf.DUMMYFUNCTION("GOOGLETRANSLATE(B68,""en"",""th"")"),"วิดเจ็ตที่เหมาะกับความต้องการของคุณ")</f>
        <v>วิดเจ็ตที่เหมาะกับความต้องการของคุณ</v>
      </c>
      <c r="Z68" s="71" t="str">
        <f>IFERROR(__xludf.DUMMYFUNCTION("GOOGLETRANSLATE(B68,""en"",""tr"")"),"İhtiyaçlarınıza Uygun Widget'lar")</f>
        <v>İhtiyaçlarınıza Uygun Widget'lar</v>
      </c>
      <c r="AA68" s="71" t="str">
        <f>IFERROR(__xludf.DUMMYFUNCTION("GOOGLETRANSLATE(B68,""en"",""uk"")"),"Віджети, які відповідають вашим потребам")</f>
        <v>Віджети, які відповідають вашим потребам</v>
      </c>
      <c r="AB68" s="71" t="str">
        <f>IFERROR(__xludf.DUMMYFUNCTION("GOOGLETRANSLATE(B68,""en"",""zh-CN"")"),"满足您需求的小部件")</f>
        <v>满足您需求的小部件</v>
      </c>
      <c r="AC68" s="71" t="str">
        <f>IFERROR(__xludf.DUMMYFUNCTION("GOOGLETRANSLATE(B68,""en"",""vi"")"),"Widget phù hợp với nhu cầu của bạn")</f>
        <v>Widget phù hợp với nhu cầu của bạn</v>
      </c>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row>
    <row r="69">
      <c r="A69" s="73" t="s">
        <v>9476</v>
      </c>
      <c r="B69" s="73" t="s">
        <v>11670</v>
      </c>
      <c r="C69" s="71" t="str">
        <f>IFERROR(__xludf.DUMMYFUNCTION("GOOGLETRANSLATE(B69,""en"",""ar"")"),"توفر Cute Themes مجموعة متنوعة من الأدوات للاختيار من بينها، بدءًا من الساعات والطقس والأخبار وحتى تطبيقاتك المفضلة.")</f>
        <v>توفر Cute Themes مجموعة متنوعة من الأدوات للاختيار من بينها، بدءًا من الساعات والطقس والأخبار وحتى تطبيقاتك المفضلة.</v>
      </c>
      <c r="D69" s="71" t="str">
        <f>IFERROR(__xludf.DUMMYFUNCTION("GOOGLETRANSLATE(B69,""en"",""cs"")"),"Cute Themes nabízí řadu widgetů, ze kterých si můžete vybrat, od hodin, počasí a zpráv až po vaše oblíbené aplikace.")</f>
        <v>Cute Themes nabízí řadu widgetů, ze kterých si můžete vybrat, od hodin, počasí a zpráv až po vaše oblíbené aplikace.</v>
      </c>
      <c r="E69" s="71" t="str">
        <f>IFERROR(__xludf.DUMMYFUNCTION("GOOGLETRANSLATE(B69,""en"",""de"")"),"Cute Themes bietet eine Vielzahl von Widgets zur Auswahl, von Uhren, Wetter und Nachrichten bis hin zu Ihren Lieblings-Apps.")</f>
        <v>Cute Themes bietet eine Vielzahl von Widgets zur Auswahl, von Uhren, Wetter und Nachrichten bis hin zu Ihren Lieblings-Apps.</v>
      </c>
      <c r="F69" s="71" t="str">
        <f>IFERROR(__xludf.DUMMYFUNCTION("GOOGLETRANSLATE(B69,""en"",""el"")"),"Το Cute Themes προσφέρει μια ποικιλία γραφικών στοιχείων για να διαλέξετε, από ρολόγια, καιρός και ειδήσεις έως τις αγαπημένες σας εφαρμογές.")</f>
        <v>Το Cute Themes προσφέρει μια ποικιλία γραφικών στοιχείων για να διαλέξετε, από ρολόγια, καιρός και ειδήσεις έως τις αγαπημένες σας εφαρμογές.</v>
      </c>
      <c r="G69" s="71" t="str">
        <f>IFERROR(__xludf.DUMMYFUNCTION("GOOGLETRANSLATE(B69,""en"",""es"")"),"Cute Themes ofrece una variedad de widgets para elegir, desde relojes, clima y noticias hasta tus aplicaciones favoritas.")</f>
        <v>Cute Themes ofrece una variedad de widgets para elegir, desde relojes, clima y noticias hasta tus aplicaciones favoritas.</v>
      </c>
      <c r="H69" s="71" t="str">
        <f>IFERROR(__xludf.DUMMYFUNCTION("GOOGLETRANSLATE(B69,""en"",""et"")"),"Armsad teemad pakuvad erinevaid vidinaid kelladest, ilmateadetest ja uudistest kuni lemmikrakendusteni.")</f>
        <v>Armsad teemad pakuvad erinevaid vidinaid kelladest, ilmateadetest ja uudistest kuni lemmikrakendusteni.</v>
      </c>
      <c r="I69" s="71" t="str">
        <f>IFERROR(__xludf.DUMMYFUNCTION("GOOGLETRANSLATE(B69,""en"",""fi"")"),"Cute Themes tarjoaa erilaisia ​​widgetejä, joista valita kelloista, säästä ja uutisista suosikkisovelluksiisi.")</f>
        <v>Cute Themes tarjoaa erilaisia ​​widgetejä, joista valita kelloista, säästä ja uutisista suosikkisovelluksiisi.</v>
      </c>
      <c r="J69" s="71" t="str">
        <f>IFERROR(__xludf.DUMMYFUNCTION("GOOGLETRANSLATE(B69,""en"",""fr"")"),"Cute Themes propose une variété de widgets parmi lesquels choisir, allant des horloges, de la météo et des actualités à vos applications préférées.")</f>
        <v>Cute Themes propose une variété de widgets parmi lesquels choisir, allant des horloges, de la météo et des actualités à vos applications préférées.</v>
      </c>
      <c r="K69" s="71" t="str">
        <f>IFERROR(__xludf.DUMMYFUNCTION("GOOGLETRANSLATE(B69,""en"",""hi"")"),"क्यूट थीम्स घड़ियों, मौसम और समाचार से लेकर आपके पसंदीदा ऐप्स तक चुनने के लिए विभिन्न प्रकार के विजेट प्रदान करता है।")</f>
        <v>क्यूट थीम्स घड़ियों, मौसम और समाचार से लेकर आपके पसंदीदा ऐप्स तक चुनने के लिए विभिन्न प्रकार के विजेट प्रदान करता है।</v>
      </c>
      <c r="L69" s="71" t="str">
        <f>IFERROR(__xludf.DUMMYFUNCTION("GOOGLETRANSLATE(B69,""en"",""id"")"),"Tema Lucu menawarkan beragam widget untuk dipilih, mulai dari jam, cuaca, dan berita hingga aplikasi favorit Anda.")</f>
        <v>Tema Lucu menawarkan beragam widget untuk dipilih, mulai dari jam, cuaca, dan berita hingga aplikasi favorit Anda.</v>
      </c>
      <c r="M69" s="71" t="str">
        <f>IFERROR(__xludf.DUMMYFUNCTION("GOOGLETRANSLATE(B69,""en"",""it"")"),"Temi carini offre una varietà di widget tra cui scegliere, da orologi, meteo e notizie alle tue app preferite.")</f>
        <v>Temi carini offre una varietà di widget tra cui scegliere, da orologi, meteo e notizie alle tue app preferite.</v>
      </c>
      <c r="N69" s="71" t="str">
        <f>IFERROR(__xludf.DUMMYFUNCTION("GOOGLETRANSLATE(B69,""en"",""ja"")"),"Cute Themes では、時計、天気、ニュースからお気に入りのアプリまで、さまざまなウィジェットから選択できます。")</f>
        <v>Cute Themes では、時計、天気、ニュースからお気に入りのアプリまで、さまざまなウィジェットから選択できます。</v>
      </c>
      <c r="O69" s="71" t="str">
        <f>IFERROR(__xludf.DUMMYFUNCTION("GOOGLETRANSLATE(B69,""en"",""km"")"),"Cute Themes ផ្តល់ជូននូវធាតុក្រាហ្វិកជាច្រើនប្រភេទដើម្បីជ្រើសរើស ចាប់ពីម៉ោង អាកាសធាតុ និងព័ត៌មានទៅកាន់កម្មវិធីដែលអ្នកចូលចិត្ត។")</f>
        <v>Cute Themes ផ្តល់ជូននូវធាតុក្រាហ្វិកជាច្រើនប្រភេទដើម្បីជ្រើសរើស ចាប់ពីម៉ោង អាកាសធាតុ និងព័ត៌មានទៅកាន់កម្មវិធីដែលអ្នកចូលចិត្ត។</v>
      </c>
      <c r="P69" s="71" t="str">
        <f>IFERROR(__xludf.DUMMYFUNCTION("GOOGLETRANSLATE(B69,""en"",""kn"")"),"ಮುದ್ದಾದ ಥೀಮ್‌ಗಳು ಗಡಿಯಾರಗಳು, ಹವಾಮಾನ ಮತ್ತು ಸುದ್ದಿಗಳಿಂದ ನಿಮ್ಮ ಮೆಚ್ಚಿನ ಅಪ್ಲಿಕೇಶನ್‌ಗಳಿಗೆ ಆಯ್ಕೆ ಮಾಡಲು ವಿವಿಧ ವಿಜೆಟ್‌ಗಳನ್ನು ನೀಡುತ್ತದೆ.")</f>
        <v>ಮುದ್ದಾದ ಥೀಮ್‌ಗಳು ಗಡಿಯಾರಗಳು, ಹವಾಮಾನ ಮತ್ತು ಸುದ್ದಿಗಳಿಂದ ನಿಮ್ಮ ಮೆಚ್ಚಿನ ಅಪ್ಲಿಕೇಶನ್‌ಗಳಿಗೆ ಆಯ್ಕೆ ಮಾಡಲು ವಿವಿಧ ವಿಜೆಟ್‌ಗಳನ್ನು ನೀಡುತ್ತದೆ.</v>
      </c>
      <c r="Q69" s="71" t="str">
        <f>IFERROR(__xludf.DUMMYFUNCTION("GOOGLETRANSLATE(B69,""en"",""ko"")"),"Cute Themes는 시계, 날씨, 뉴스부터 좋아하는 앱까지 선택할 수 있는 다양한 위젯을 제공합니다.")</f>
        <v>Cute Themes는 시계, 날씨, 뉴스부터 좋아하는 앱까지 선택할 수 있는 다양한 위젯을 제공합니다.</v>
      </c>
      <c r="R69" s="71" t="str">
        <f>IFERROR(__xludf.DUMMYFUNCTION("GOOGLETRANSLATE(B69,""en"",""lo"")"),"ຮູບແບບສີສັນໜ້າຮັກມີ widget ຫຼາກຫຼາຍໃຫ້ເລືອກ, ຈາກໂມງ, ສະພາບອາກາດ, ແລະຂ່າວໄປຫາແອັບທີ່ທ່ານມັກ.")</f>
        <v>ຮູບແບບສີສັນໜ້າຮັກມີ widget ຫຼາກຫຼາຍໃຫ້ເລືອກ, ຈາກໂມງ, ສະພາບອາກາດ, ແລະຂ່າວໄປຫາແອັບທີ່ທ່ານມັກ.</v>
      </c>
      <c r="S69" s="71" t="str">
        <f>IFERROR(__xludf.DUMMYFUNCTION("GOOGLETRANSLATE(B69,""en"",""lv"")"),"Jauki motīvi piedāvā dažādus logrīkus, no kuriem izvēlēties, sākot no pulksteņiem, laikapstākļiem un ziņām līdz jūsu iecienītākajām lietotnēm.")</f>
        <v>Jauki motīvi piedāvā dažādus logrīkus, no kuriem izvēlēties, sākot no pulksteņiem, laikapstākļiem un ziņām līdz jūsu iecienītākajām lietotnēm.</v>
      </c>
      <c r="T69" s="71" t="str">
        <f>IFERROR(__xludf.DUMMYFUNCTION("GOOGLETRANSLATE(B69,""en"",""ms"")"),"Tema Comel menawarkan pelbagai widget untuk dipilih, daripada jam, cuaca dan berita kepada apl kegemaran anda.")</f>
        <v>Tema Comel menawarkan pelbagai widget untuk dipilih, daripada jam, cuaca dan berita kepada apl kegemaran anda.</v>
      </c>
      <c r="U69" s="71" t="str">
        <f>IFERROR(__xludf.DUMMYFUNCTION("GOOGLETRANSLATE(B69,""en"",""nl"")"),"Cute Themes biedt een verscheidenheid aan widgets om uit te kiezen, van klokken, weer en nieuws tot je favoriete apps.")</f>
        <v>Cute Themes biedt een verscheidenheid aan widgets om uit te kiezen, van klokken, weer en nieuws tot je favoriete apps.</v>
      </c>
      <c r="V69" s="71" t="str">
        <f>IFERROR(__xludf.DUMMYFUNCTION("GOOGLETRANSLATE(B69,""en"",""pl"")"),"Śliczne motywy oferują różnorodne widżety do wyboru, od zegarów, pogody i wiadomości po ulubione aplikacje.")</f>
        <v>Śliczne motywy oferują różnorodne widżety do wyboru, od zegarów, pogody i wiadomości po ulubione aplikacje.</v>
      </c>
      <c r="W69" s="71" t="str">
        <f>IFERROR(__xludf.DUMMYFUNCTION("GOOGLETRANSLATE(B69,""en"",""pt-PT"")"),"Cute Themes oferece uma variedade de widgets para você escolher, desde relógios, previsão do tempo e notícias até seus aplicativos favoritos.")</f>
        <v>Cute Themes oferece uma variedade de widgets para você escolher, desde relógios, previsão do tempo e notícias até seus aplicativos favoritos.</v>
      </c>
      <c r="X69" s="71" t="str">
        <f>IFERROR(__xludf.DUMMYFUNCTION("GOOGLETRANSLATE(B69,""en"",""ru"")"),"Cute Themes предлагает на выбор множество виджетов: от часов, погоды и новостей до ваших любимых приложений.")</f>
        <v>Cute Themes предлагает на выбор множество виджетов: от часов, погоды и новостей до ваших любимых приложений.</v>
      </c>
      <c r="Y69" s="71" t="str">
        <f>IFERROR(__xludf.DUMMYFUNCTION("GOOGLETRANSLATE(B69,""en"",""th"")"),"ธีมน่ารักมีวิดเจ็ตหลากหลายให้เลือก ตั้งแต่นาฬิกา สภาพอากาศ ข่าวสาร ไปจนถึงแอปโปรดของคุณ")</f>
        <v>ธีมน่ารักมีวิดเจ็ตหลากหลายให้เลือก ตั้งแต่นาฬิกา สภาพอากาศ ข่าวสาร ไปจนถึงแอปโปรดของคุณ</v>
      </c>
      <c r="Z69" s="71" t="str">
        <f>IFERROR(__xludf.DUMMYFUNCTION("GOOGLETRANSLATE(B69,""en"",""tr"")"),"Sevimli Temalar saatler, hava durumu ve haberlerden favori uygulamalarınıza kadar seçebileceğiniz çeşitli widget'lar sunar.")</f>
        <v>Sevimli Temalar saatler, hava durumu ve haberlerden favori uygulamalarınıza kadar seçebileceğiniz çeşitli widget'lar sunar.</v>
      </c>
      <c r="AA69" s="71" t="str">
        <f>IFERROR(__xludf.DUMMYFUNCTION("GOOGLETRANSLATE(B69,""en"",""uk"")"),"Cute Themes пропонує різноманітні віджети на вибір, від годинника, погоди та новин до ваших улюблених програм.")</f>
        <v>Cute Themes пропонує різноманітні віджети на вибір, від годинника, погоди та новин до ваших улюблених програм.</v>
      </c>
      <c r="AB69" s="71" t="str">
        <f>IFERROR(__xludf.DUMMYFUNCTION("GOOGLETRANSLATE(B69,""en"",""zh-CN"")"),"可爱的主题提供了多种小部件可供选择，从时钟、天气、新闻到您最喜欢的应用程序。")</f>
        <v>可爱的主题提供了多种小部件可供选择，从时钟、天气、新闻到您最喜欢的应用程序。</v>
      </c>
      <c r="AC69" s="71" t="str">
        <f>IFERROR(__xludf.DUMMYFUNCTION("GOOGLETRANSLATE(B69,""en"",""vi"")"),"Chủ đề dễ thương cung cấp nhiều tiện ích để bạn lựa chọn, từ đồng hồ, thời tiết và tin tức cho đến các ứng dụng yêu thích của bạn.")</f>
        <v>Chủ đề dễ thương cung cấp nhiều tiện ích để bạn lựa chọn, từ đồng hồ, thời tiết và tin tức cho đến các ứng dụng yêu thích của bạn.</v>
      </c>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c r="BF69" s="75"/>
      <c r="BG69" s="75"/>
      <c r="BH69" s="75"/>
      <c r="BI69" s="75"/>
      <c r="BJ69" s="75"/>
      <c r="BK69" s="75"/>
      <c r="BL69" s="75"/>
      <c r="BM69" s="75"/>
    </row>
    <row r="70">
      <c r="A70" s="73" t="s">
        <v>11671</v>
      </c>
      <c r="B70" s="73" t="s">
        <v>11672</v>
      </c>
      <c r="C70" s="71" t="str">
        <f>IFERROR(__xludf.DUMMYFUNCTION("GOOGLETRANSLATE(B70,""en"",""ar"")"),"خلفيات 4K: ارفع مستوى جهازك!")</f>
        <v>خلفيات 4K: ارفع مستوى جهازك!</v>
      </c>
      <c r="D70" s="71" t="str">
        <f>IFERROR(__xludf.DUMMYFUNCTION("GOOGLETRANSLATE(B70,""en"",""cs"")"),"4K tapety: pozvedněte své zařízení!")</f>
        <v>4K tapety: pozvedněte své zařízení!</v>
      </c>
      <c r="E70" s="71" t="str">
        <f>IFERROR(__xludf.DUMMYFUNCTION("GOOGLETRANSLATE(B70,""en"",""de"")"),"4K-Hintergründe: Werten Sie Ihr Gerät auf!")</f>
        <v>4K-Hintergründe: Werten Sie Ihr Gerät auf!</v>
      </c>
      <c r="F70" s="71" t="str">
        <f>IFERROR(__xludf.DUMMYFUNCTION("GOOGLETRANSLATE(B70,""en"",""el"")"),"Wallpapers 4K: Ανεβάστε τη συσκευή σας!")</f>
        <v>Wallpapers 4K: Ανεβάστε τη συσκευή σας!</v>
      </c>
      <c r="G70" s="71" t="str">
        <f>IFERROR(__xludf.DUMMYFUNCTION("GOOGLETRANSLATE(B70,""en"",""es"")"),"Fondos de pantalla 4K: ¡Mejora tu dispositivo!")</f>
        <v>Fondos de pantalla 4K: ¡Mejora tu dispositivo!</v>
      </c>
      <c r="H70" s="71" t="str">
        <f>IFERROR(__xludf.DUMMYFUNCTION("GOOGLETRANSLATE(B70,""en"",""et"")"),"4K taustapildid: tõstke oma seade kõrgemale!")</f>
        <v>4K taustapildid: tõstke oma seade kõrgemale!</v>
      </c>
      <c r="I70" s="71" t="str">
        <f>IFERROR(__xludf.DUMMYFUNCTION("GOOGLETRANSLATE(B70,""en"",""fi"")"),"4K-taustakuvat: nosta laitettasi!")</f>
        <v>4K-taustakuvat: nosta laitettasi!</v>
      </c>
      <c r="J70" s="71" t="str">
        <f>IFERROR(__xludf.DUMMYFUNCTION("GOOGLETRANSLATE(B70,""en"",""fr"")"),"Fonds d'écran 4K : améliorez votre appareil !")</f>
        <v>Fonds d'écran 4K : améliorez votre appareil !</v>
      </c>
      <c r="K70" s="71" t="str">
        <f>IFERROR(__xludf.DUMMYFUNCTION("GOOGLETRANSLATE(B70,""en"",""hi"")"),"4K वॉलपेपर: अपने डिवाइस को उन्नत करें!")</f>
        <v>4K वॉलपेपर: अपने डिवाइस को उन्नत करें!</v>
      </c>
      <c r="L70" s="71" t="str">
        <f>IFERROR(__xludf.DUMMYFUNCTION("GOOGLETRANSLATE(B70,""en"",""id"")"),"Wallpaper 4K: Tinggikan Perangkat Anda!")</f>
        <v>Wallpaper 4K: Tinggikan Perangkat Anda!</v>
      </c>
      <c r="M70" s="71" t="str">
        <f>IFERROR(__xludf.DUMMYFUNCTION("GOOGLETRANSLATE(B70,""en"",""it"")"),"Sfondi 4K: eleva il tuo dispositivo!")</f>
        <v>Sfondi 4K: eleva il tuo dispositivo!</v>
      </c>
      <c r="N70" s="71" t="str">
        <f>IFERROR(__xludf.DUMMYFUNCTION("GOOGLETRANSLATE(B70,""en"",""ja"")"),"4K 壁紙: デバイスを進化させましょう!")</f>
        <v>4K 壁紙: デバイスを進化させましょう!</v>
      </c>
      <c r="O70" s="71" t="str">
        <f>IFERROR(__xludf.DUMMYFUNCTION("GOOGLETRANSLATE(B70,""en"",""km"")"),"ផ្ទាំងរូបភាព 4K៖ លើកឧបករណ៍របស់អ្នក!")</f>
        <v>ផ្ទាំងរូបភាព 4K៖ លើកឧបករណ៍របស់អ្នក!</v>
      </c>
      <c r="P70" s="71" t="str">
        <f>IFERROR(__xludf.DUMMYFUNCTION("GOOGLETRANSLATE(B70,""en"",""kn"")"),"4K ವಾಲ್‌ಪೇಪರ್‌ಗಳು: ನಿಮ್ಮ ಸಾಧನವನ್ನು ಎತ್ತರಿಸಿ!")</f>
        <v>4K ವಾಲ್‌ಪೇಪರ್‌ಗಳು: ನಿಮ್ಮ ಸಾಧನವನ್ನು ಎತ್ತರಿಸಿ!</v>
      </c>
      <c r="Q70" s="71" t="str">
        <f>IFERROR(__xludf.DUMMYFUNCTION("GOOGLETRANSLATE(B70,""en"",""ko"")"),"4K 배경화면: 기기를 향상하세요!")</f>
        <v>4K 배경화면: 기기를 향상하세요!</v>
      </c>
      <c r="R70" s="71" t="str">
        <f>IFERROR(__xludf.DUMMYFUNCTION("GOOGLETRANSLATE(B70,""en"",""lo"")"),"ພາບພື້ນຫຼັງ 4K: ຍົກລະດັບອຸປະກອນຂອງທ່ານ!")</f>
        <v>ພາບພື້ນຫຼັງ 4K: ຍົກລະດັບອຸປະກອນຂອງທ່ານ!</v>
      </c>
      <c r="S70" s="71" t="str">
        <f>IFERROR(__xludf.DUMMYFUNCTION("GOOGLETRANSLATE(B70,""en"",""lv"")"),"4K fona attēli: paaugstiniet savu ierīci!")</f>
        <v>4K fona attēli: paaugstiniet savu ierīci!</v>
      </c>
      <c r="T70" s="71" t="str">
        <f>IFERROR(__xludf.DUMMYFUNCTION("GOOGLETRANSLATE(B70,""en"",""ms"")"),"Kertas Dinding 4K: Tingkatkan Peranti Anda!")</f>
        <v>Kertas Dinding 4K: Tingkatkan Peranti Anda!</v>
      </c>
      <c r="U70" s="71" t="str">
        <f>IFERROR(__xludf.DUMMYFUNCTION("GOOGLETRANSLATE(B70,""en"",""nl"")"),"4K-achtergronden: verhoog uw apparaat!")</f>
        <v>4K-achtergronden: verhoog uw apparaat!</v>
      </c>
      <c r="V70" s="71" t="str">
        <f>IFERROR(__xludf.DUMMYFUNCTION("GOOGLETRANSLATE(B70,""en"",""pl"")"),"Tapety 4K: podnieś poziom swojego urządzenia!")</f>
        <v>Tapety 4K: podnieś poziom swojego urządzenia!</v>
      </c>
      <c r="W70" s="71" t="str">
        <f>IFERROR(__xludf.DUMMYFUNCTION("GOOGLETRANSLATE(B70,""en"",""pt-PT"")"),"Papéis de parede 4K: eleve seu dispositivo!")</f>
        <v>Papéis de parede 4K: eleve seu dispositivo!</v>
      </c>
      <c r="X70" s="71" t="str">
        <f>IFERROR(__xludf.DUMMYFUNCTION("GOOGLETRANSLATE(B70,""en"",""ru"")"),"Обои 4K: усовершенствуйте свое устройство!")</f>
        <v>Обои 4K: усовершенствуйте свое устройство!</v>
      </c>
      <c r="Y70" s="71" t="str">
        <f>IFERROR(__xludf.DUMMYFUNCTION("GOOGLETRANSLATE(B70,""en"",""th"")"),"วอลเปเปอร์ 4K: ยกระดับอุปกรณ์ของคุณ!")</f>
        <v>วอลเปเปอร์ 4K: ยกระดับอุปกรณ์ของคุณ!</v>
      </c>
      <c r="Z70" s="71" t="str">
        <f>IFERROR(__xludf.DUMMYFUNCTION("GOOGLETRANSLATE(B70,""en"",""tr"")"),"4K Duvar Kağıtları: Cihazınızı Yükseltin!")</f>
        <v>4K Duvar Kağıtları: Cihazınızı Yükseltin!</v>
      </c>
      <c r="AA70" s="71" t="str">
        <f>IFERROR(__xludf.DUMMYFUNCTION("GOOGLETRANSLATE(B70,""en"",""uk"")"),"Шпалери 4K: вдосконалюйте свій пристрій!")</f>
        <v>Шпалери 4K: вдосконалюйте свій пристрій!</v>
      </c>
      <c r="AB70" s="71" t="str">
        <f>IFERROR(__xludf.DUMMYFUNCTION("GOOGLETRANSLATE(B70,""en"",""zh-CN"")"),"4K 壁纸：提升您的设备！")</f>
        <v>4K 壁纸：提升您的设备！</v>
      </c>
      <c r="AC70" s="71" t="str">
        <f>IFERROR(__xludf.DUMMYFUNCTION("GOOGLETRANSLATE(B70,""en"",""vi"")"),"Hình nền 4K: Nâng tầm thiết bị của bạn!")</f>
        <v>Hình nền 4K: Nâng tầm thiết bị của bạn!</v>
      </c>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c r="BF70" s="75"/>
      <c r="BG70" s="75"/>
      <c r="BH70" s="75"/>
      <c r="BI70" s="75"/>
      <c r="BJ70" s="75"/>
      <c r="BK70" s="75"/>
      <c r="BL70" s="75"/>
      <c r="BM70" s="75"/>
    </row>
    <row r="71">
      <c r="A71" s="73" t="s">
        <v>11673</v>
      </c>
      <c r="B71" s="73" t="s">
        <v>11674</v>
      </c>
      <c r="C71" s="71" t="str">
        <f>IFERROR(__xludf.DUMMYFUNCTION("GOOGLETRANSLATE(B71,""en"",""ar"")"),"اكتشف عالمًا من الخلفيات المذهلة ذات الدقة العالية جدًا، وستجد الصورة المثالية لك.")</f>
        <v>اكتشف عالمًا من الخلفيات المذهلة ذات الدقة العالية جدًا، وستجد الصورة المثالية لك.</v>
      </c>
      <c r="D71" s="71" t="str">
        <f>IFERROR(__xludf.DUMMYFUNCTION("GOOGLETRANSLATE(B71,""en"",""cs"")"),"Objevte svět dechberoucích tapet v ultra vysokém rozlišení, najdete dokonalý obrázek pro vás.")</f>
        <v>Objevte svět dechberoucích tapet v ultra vysokém rozlišení, najdete dokonalý obrázek pro vás.</v>
      </c>
      <c r="E71" s="71" t="str">
        <f>IFERROR(__xludf.DUMMYFUNCTION("GOOGLETRANSLATE(B71,""en"",""de"")"),"Entdecken Sie eine Welt atemberaubender Hintergrundbilder in Ultra-High-Definition, Sie werden das perfekte Bild für sich finden.")</f>
        <v>Entdecken Sie eine Welt atemberaubender Hintergrundbilder in Ultra-High-Definition, Sie werden das perfekte Bild für sich finden.</v>
      </c>
      <c r="F71" s="71" t="str">
        <f>IFERROR(__xludf.DUMMYFUNCTION("GOOGLETRANSLATE(B71,""en"",""el"")"),"Ανακαλύψτε έναν κόσμο από ταπετσαρίες που κόβουν την ανάσα σε εξαιρετικά υψηλή ευκρίνεια, θα βρείτε την τέλεια εικόνα για εσάς.")</f>
        <v>Ανακαλύψτε έναν κόσμο από ταπετσαρίες που κόβουν την ανάσα σε εξαιρετικά υψηλή ευκρίνεια, θα βρείτε την τέλεια εικόνα για εσάς.</v>
      </c>
      <c r="G71" s="71" t="str">
        <f>IFERROR(__xludf.DUMMYFUNCTION("GOOGLETRANSLATE(B71,""en"",""es"")"),"Descubre un mundo de impresionantes fondos de pantalla en ultra alta definición, encontrarás la imagen perfecta para ti.")</f>
        <v>Descubre un mundo de impresionantes fondos de pantalla en ultra alta definición, encontrarás la imagen perfecta para ti.</v>
      </c>
      <c r="H71" s="71" t="str">
        <f>IFERROR(__xludf.DUMMYFUNCTION("GOOGLETRANSLATE(B71,""en"",""et"")"),"Avastage ülikõrglahutusega hingekosutavate taustapiltide maailm ja leiate endale sobivaima pildi.")</f>
        <v>Avastage ülikõrglahutusega hingekosutavate taustapiltide maailm ja leiate endale sobivaima pildi.</v>
      </c>
      <c r="I71" s="71" t="str">
        <f>IFERROR(__xludf.DUMMYFUNCTION("GOOGLETRANSLATE(B71,""en"",""fi"")"),"Tutustu henkeäsalpaavien ultra-teräväpiirtotapettien maailmaan, löydät täydellisen kuvan sinulle.")</f>
        <v>Tutustu henkeäsalpaavien ultra-teräväpiirtotapettien maailmaan, löydät täydellisen kuvan sinulle.</v>
      </c>
      <c r="J71" s="71" t="str">
        <f>IFERROR(__xludf.DUMMYFUNCTION("GOOGLETRANSLATE(B71,""en"",""fr"")"),"Découvrez un monde de fonds d'écran à couper le souffle en ultra haute définition, vous trouverez l'image parfaite pour vous.")</f>
        <v>Découvrez un monde de fonds d'écran à couper le souffle en ultra haute définition, vous trouverez l'image parfaite pour vous.</v>
      </c>
      <c r="K71" s="71" t="str">
        <f>IFERROR(__xludf.DUMMYFUNCTION("GOOGLETRANSLATE(B71,""en"",""hi"")"),"अल्ट्रा-हाई डेफिनिशन में लुभावने वॉलपेपर की दुनिया की खोज करें, आपको अपने लिए एकदम सही छवि मिलेगी।")</f>
        <v>अल्ट्रा-हाई डेफिनिशन में लुभावने वॉलपेपर की दुनिया की खोज करें, आपको अपने लिए एकदम सही छवि मिलेगी।</v>
      </c>
      <c r="L71" s="71" t="str">
        <f>IFERROR(__xludf.DUMMYFUNCTION("GOOGLETRANSLATE(B71,""en"",""id"")"),"Temukan dunia wallpaper menakjubkan dalam definisi ultra-tinggi, Anda akan menemukan gambar yang sempurna untuk Anda.")</f>
        <v>Temukan dunia wallpaper menakjubkan dalam definisi ultra-tinggi, Anda akan menemukan gambar yang sempurna untuk Anda.</v>
      </c>
      <c r="M71" s="71" t="str">
        <f>IFERROR(__xludf.DUMMYFUNCTION("GOOGLETRANSLATE(B71,""en"",""it"")"),"Scopri un mondo di sfondi mozzafiato in altissima definizione, troverai l'immagine perfetta per te.")</f>
        <v>Scopri un mondo di sfondi mozzafiato in altissima definizione, troverai l'immagine perfetta per te.</v>
      </c>
      <c r="N71" s="71" t="str">
        <f>IFERROR(__xludf.DUMMYFUNCTION("GOOGLETRANSLATE(B71,""en"",""ja"")"),"超高解像度の息を呑むような壁紙の世界を発見すれば、あなたにぴったりの画像が見つかります。")</f>
        <v>超高解像度の息を呑むような壁紙の世界を発見すれば、あなたにぴったりの画像が見つかります。</v>
      </c>
      <c r="O71" s="71" t="str">
        <f>IFERROR(__xludf.DUMMYFUNCTION("GOOGLETRANSLATE(B71,""en"",""km"")"),"ស្វែងយល់ពីពិភពនៃផ្ទាំងរូបភាពដ៏អស្ចារ្យនៅក្នុងនិយមន័យខ្ពស់ អ្នកនឹងរកឃើញរូបភាពដ៏ល្អឥតខ្ចោះសម្រាប់អ្នក។")</f>
        <v>ស្វែងយល់ពីពិភពនៃផ្ទាំងរូបភាពដ៏អស្ចារ្យនៅក្នុងនិយមន័យខ្ពស់ អ្នកនឹងរកឃើញរូបភាពដ៏ល្អឥតខ្ចោះសម្រាប់អ្នក។</v>
      </c>
      <c r="P71" s="71" t="str">
        <f>IFERROR(__xludf.DUMMYFUNCTION("GOOGLETRANSLATE(B71,""en"",""kn"")"),"ಅಲ್ಟ್ರಾ-ಹೈ ಡೆಫಿನಿಷನ್‌ನಲ್ಲಿ ಉಸಿರುಕಟ್ಟುವ ವಾಲ್‌ಪೇಪರ್‌ಗಳ ಜಗತ್ತನ್ನು ಅನ್ವೇಷಿಸಿ, ನಿಮಗಾಗಿ ಪರಿಪೂರ್ಣ ಚಿತ್ರವನ್ನು ನೀವು ಕಂಡುಕೊಳ್ಳುತ್ತೀರಿ.")</f>
        <v>ಅಲ್ಟ್ರಾ-ಹೈ ಡೆಫಿನಿಷನ್‌ನಲ್ಲಿ ಉಸಿರುಕಟ್ಟುವ ವಾಲ್‌ಪೇಪರ್‌ಗಳ ಜಗತ್ತನ್ನು ಅನ್ವೇಷಿಸಿ, ನಿಮಗಾಗಿ ಪರಿಪೂರ್ಣ ಚಿತ್ರವನ್ನು ನೀವು ಕಂಡುಕೊಳ್ಳುತ್ತೀರಿ.</v>
      </c>
      <c r="Q71" s="71" t="str">
        <f>IFERROR(__xludf.DUMMYFUNCTION("GOOGLETRANSLATE(B71,""en"",""ko"")"),"초고해상도의 숨막히는 배경화면의 세계를 발견하고 자신에게 딱 맞는 이미지를 찾을 수 있습니다.")</f>
        <v>초고해상도의 숨막히는 배경화면의 세계를 발견하고 자신에게 딱 맞는 이미지를 찾을 수 있습니다.</v>
      </c>
      <c r="R71" s="71" t="str">
        <f>IFERROR(__xludf.DUMMYFUNCTION("GOOGLETRANSLATE(B71,""en"",""lo"")"),"ຄົ້ນພົບໂລກຂອງພາບພື້ນຫຼັງທີ່ໜ້າຕື່ນຕາຕື່ນໃຈໃນຄວາມລະອຽດສູງ, ທ່ານຈະພົບເຫັນຮູບພາບທີ່ສົມບູນແບບສໍາລັບທ່ານ.")</f>
        <v>ຄົ້ນພົບໂລກຂອງພາບພື້ນຫຼັງທີ່ໜ້າຕື່ນຕາຕື່ນໃຈໃນຄວາມລະອຽດສູງ, ທ່ານຈະພົບເຫັນຮູບພາບທີ່ສົມບູນແບບສໍາລັບທ່ານ.</v>
      </c>
      <c r="S71" s="71" t="str">
        <f>IFERROR(__xludf.DUMMYFUNCTION("GOOGLETRANSLATE(B71,""en"",""lv"")"),"Atklājiet elpu aizraujošu tapešu pasauli īpaši augstā izšķirtspējā, un jūs atradīsit sev piemērotāko attēlu.")</f>
        <v>Atklājiet elpu aizraujošu tapešu pasauli īpaši augstā izšķirtspējā, un jūs atradīsit sev piemērotāko attēlu.</v>
      </c>
      <c r="T71" s="71" t="str">
        <f>IFERROR(__xludf.DUMMYFUNCTION("GOOGLETRANSLATE(B71,""en"",""ms"")"),"Temui dunia kertas dinding yang menakjubkan dalam definisi ultra tinggi, anda akan menemui imej yang sesuai untuk anda.")</f>
        <v>Temui dunia kertas dinding yang menakjubkan dalam definisi ultra tinggi, anda akan menemui imej yang sesuai untuk anda.</v>
      </c>
      <c r="U71" s="71" t="str">
        <f>IFERROR(__xludf.DUMMYFUNCTION("GOOGLETRANSLATE(B71,""en"",""nl"")"),"Ontdek een wereld van adembenemende achtergronden in ultrahoge definitie, u zult de perfecte afbeelding voor u vinden.")</f>
        <v>Ontdek een wereld van adembenemende achtergronden in ultrahoge definitie, u zult de perfecte afbeelding voor u vinden.</v>
      </c>
      <c r="V71" s="71" t="str">
        <f>IFERROR(__xludf.DUMMYFUNCTION("GOOGLETRANSLATE(B71,""en"",""pl"")"),"Odkryj świat zapierających dech w piersiach tapet w ultrawysokiej rozdzielczości, a znajdziesz idealny obraz dla siebie.")</f>
        <v>Odkryj świat zapierających dech w piersiach tapet w ultrawysokiej rozdzielczości, a znajdziesz idealny obraz dla siebie.</v>
      </c>
      <c r="W71" s="71" t="str">
        <f>IFERROR(__xludf.DUMMYFUNCTION("GOOGLETRANSLATE(B71,""en"",""pt-PT"")"),"Descubra um mundo de papéis de parede de tirar o fôlego em ultra-alta definição e você encontrará a imagem perfeita para você.")</f>
        <v>Descubra um mundo de papéis de parede de tirar o fôlego em ultra-alta definição e você encontrará a imagem perfeita para você.</v>
      </c>
      <c r="X71" s="71" t="str">
        <f>IFERROR(__xludf.DUMMYFUNCTION("GOOGLETRANSLATE(B71,""en"",""ru"")"),"Откройте для себя мир захватывающих обоев в сверхвысоком разрешении, и вы найдете идеальное изображение для себя.")</f>
        <v>Откройте для себя мир захватывающих обоев в сверхвысоком разрешении, и вы найдете идеальное изображение для себя.</v>
      </c>
      <c r="Y71" s="71" t="str">
        <f>IFERROR(__xludf.DUMMYFUNCTION("GOOGLETRANSLATE(B71,""en"",""th"")"),"ค้นพบโลกแห่งวอลเปเปอร์ที่น่าทึ่งด้วยความคมชัดสูงเป็นพิเศษ คุณจะพบกับภาพที่สมบูรณ์แบบสำหรับคุณ")</f>
        <v>ค้นพบโลกแห่งวอลเปเปอร์ที่น่าทึ่งด้วยความคมชัดสูงเป็นพิเศษ คุณจะพบกับภาพที่สมบูรณ์แบบสำหรับคุณ</v>
      </c>
      <c r="Z71" s="71" t="str">
        <f>IFERROR(__xludf.DUMMYFUNCTION("GOOGLETRANSLATE(B71,""en"",""tr"")"),"Ultra yüksek çözünürlüklü, nefes kesen duvar kağıtlarından oluşan bir dünyayı keşfedin, sizin için mükemmel görüntüyü bulacaksınız.")</f>
        <v>Ultra yüksek çözünürlüklü, nefes kesen duvar kağıtlarından oluşan bir dünyayı keşfedin, sizin için mükemmel görüntüyü bulacaksınız.</v>
      </c>
      <c r="AA71" s="71" t="str">
        <f>IFERROR(__xludf.DUMMYFUNCTION("GOOGLETRANSLATE(B71,""en"",""uk"")"),"Відкрийте для себе світ захоплюючих шпалер у надвисокій роздільній здатності, ви знайдете ідеальне зображення для себе.")</f>
        <v>Відкрийте для себе світ захоплюючих шпалер у надвисокій роздільній здатності, ви знайдете ідеальне зображення для себе.</v>
      </c>
      <c r="AB71" s="71" t="str">
        <f>IFERROR(__xludf.DUMMYFUNCTION("GOOGLETRANSLATE(B71,""en"",""zh-CN"")"),"探索令人惊叹的超高清壁纸世界，您会找到最适合您的图像。")</f>
        <v>探索令人惊叹的超高清壁纸世界，您会找到最适合您的图像。</v>
      </c>
      <c r="AC71" s="71" t="str">
        <f>IFERROR(__xludf.DUMMYFUNCTION("GOOGLETRANSLATE(B71,""en"",""vi"")"),"Khám phá thế giới hình nền ngoạn mục với độ phân giải cực cao, bạn sẽ tìm thấy hình ảnh hoàn hảo cho mình.")</f>
        <v>Khám phá thế giới hình nền ngoạn mục với độ phân giải cực cao, bạn sẽ tìm thấy hình ảnh hoàn hảo cho mình.</v>
      </c>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c r="BF71" s="75"/>
      <c r="BG71" s="75"/>
      <c r="BH71" s="75"/>
      <c r="BI71" s="75"/>
      <c r="BJ71" s="75"/>
      <c r="BK71" s="75"/>
      <c r="BL71" s="75"/>
      <c r="BM71" s="75"/>
    </row>
    <row r="72">
      <c r="A72" s="73" t="s">
        <v>8991</v>
      </c>
      <c r="B72" s="73" t="s">
        <v>11675</v>
      </c>
      <c r="C72" s="71" t="str">
        <f>IFERROR(__xludf.DUMMYFUNCTION("GOOGLETRANSLATE(B72,""en"",""ar"")"),"لغة")</f>
        <v>لغة</v>
      </c>
      <c r="D72" s="71" t="str">
        <f>IFERROR(__xludf.DUMMYFUNCTION("GOOGLETRANSLATE(B72,""en"",""cs"")"),"Jazyk")</f>
        <v>Jazyk</v>
      </c>
      <c r="E72" s="71" t="str">
        <f>IFERROR(__xludf.DUMMYFUNCTION("GOOGLETRANSLATE(B72,""en"",""de"")"),"Sprache")</f>
        <v>Sprache</v>
      </c>
      <c r="F72" s="71" t="str">
        <f>IFERROR(__xludf.DUMMYFUNCTION("GOOGLETRANSLATE(B72,""en"",""el"")"),"Γλώσσα")</f>
        <v>Γλώσσα</v>
      </c>
      <c r="G72" s="71" t="str">
        <f>IFERROR(__xludf.DUMMYFUNCTION("GOOGLETRANSLATE(B72,""en"",""es"")"),"Idioma")</f>
        <v>Idioma</v>
      </c>
      <c r="H72" s="71" t="str">
        <f>IFERROR(__xludf.DUMMYFUNCTION("GOOGLETRANSLATE(B72,""en"",""et"")"),"Keel")</f>
        <v>Keel</v>
      </c>
      <c r="I72" s="71" t="str">
        <f>IFERROR(__xludf.DUMMYFUNCTION("GOOGLETRANSLATE(B72,""en"",""fi"")"),"Kieli")</f>
        <v>Kieli</v>
      </c>
      <c r="J72" s="71" t="str">
        <f>IFERROR(__xludf.DUMMYFUNCTION("GOOGLETRANSLATE(B72,""en"",""fr"")"),"Langue")</f>
        <v>Langue</v>
      </c>
      <c r="K72" s="71" t="str">
        <f>IFERROR(__xludf.DUMMYFUNCTION("GOOGLETRANSLATE(B72,""en"",""hi"")"),"भाषा")</f>
        <v>भाषा</v>
      </c>
      <c r="L72" s="71" t="str">
        <f>IFERROR(__xludf.DUMMYFUNCTION("GOOGLETRANSLATE(B72,""en"",""id"")"),"Bahasa")</f>
        <v>Bahasa</v>
      </c>
      <c r="M72" s="71" t="str">
        <f>IFERROR(__xludf.DUMMYFUNCTION("GOOGLETRANSLATE(B72,""en"",""it"")"),"Lingua")</f>
        <v>Lingua</v>
      </c>
      <c r="N72" s="71" t="str">
        <f>IFERROR(__xludf.DUMMYFUNCTION("GOOGLETRANSLATE(B72,""en"",""ja"")"),"言語")</f>
        <v>言語</v>
      </c>
      <c r="O72" s="71" t="str">
        <f>IFERROR(__xludf.DUMMYFUNCTION("GOOGLETRANSLATE(B72,""en"",""km"")"),"ភាសា")</f>
        <v>ភាសា</v>
      </c>
      <c r="P72" s="71" t="str">
        <f>IFERROR(__xludf.DUMMYFUNCTION("GOOGLETRANSLATE(B72,""en"",""kn"")"),"ಭಾಷೆ")</f>
        <v>ಭಾಷೆ</v>
      </c>
      <c r="Q72" s="71" t="str">
        <f>IFERROR(__xludf.DUMMYFUNCTION("GOOGLETRANSLATE(B72,""en"",""ko"")"),"언어")</f>
        <v>언어</v>
      </c>
      <c r="R72" s="71" t="str">
        <f>IFERROR(__xludf.DUMMYFUNCTION("GOOGLETRANSLATE(B72,""en"",""lo"")"),"ພາສາ")</f>
        <v>ພາສາ</v>
      </c>
      <c r="S72" s="71" t="str">
        <f>IFERROR(__xludf.DUMMYFUNCTION("GOOGLETRANSLATE(B72,""en"",""lv"")"),"Valoda")</f>
        <v>Valoda</v>
      </c>
      <c r="T72" s="71" t="str">
        <f>IFERROR(__xludf.DUMMYFUNCTION("GOOGLETRANSLATE(B72,""en"",""ms"")"),"Bahasa")</f>
        <v>Bahasa</v>
      </c>
      <c r="U72" s="71" t="str">
        <f>IFERROR(__xludf.DUMMYFUNCTION("GOOGLETRANSLATE(B72,""en"",""nl"")"),"Taal")</f>
        <v>Taal</v>
      </c>
      <c r="V72" s="71" t="str">
        <f>IFERROR(__xludf.DUMMYFUNCTION("GOOGLETRANSLATE(B72,""en"",""pl"")"),"Język")</f>
        <v>Język</v>
      </c>
      <c r="W72" s="71" t="str">
        <f>IFERROR(__xludf.DUMMYFUNCTION("GOOGLETRANSLATE(B72,""en"",""pt-PT"")"),"Linguagem")</f>
        <v>Linguagem</v>
      </c>
      <c r="X72" s="71" t="str">
        <f>IFERROR(__xludf.DUMMYFUNCTION("GOOGLETRANSLATE(B72,""en"",""ru"")"),"Язык")</f>
        <v>Язык</v>
      </c>
      <c r="Y72" s="71" t="str">
        <f>IFERROR(__xludf.DUMMYFUNCTION("GOOGLETRANSLATE(B72,""en"",""th"")"),"ภาษา")</f>
        <v>ภาษา</v>
      </c>
      <c r="Z72" s="71" t="str">
        <f>IFERROR(__xludf.DUMMYFUNCTION("GOOGLETRANSLATE(B72,""en"",""tr"")"),"Dil")</f>
        <v>Dil</v>
      </c>
      <c r="AA72" s="71" t="str">
        <f>IFERROR(__xludf.DUMMYFUNCTION("GOOGLETRANSLATE(B72,""en"",""uk"")"),"Мова")</f>
        <v>Мова</v>
      </c>
      <c r="AB72" s="71" t="str">
        <f>IFERROR(__xludf.DUMMYFUNCTION("GOOGLETRANSLATE(B72,""en"",""zh-CN"")"),"语言")</f>
        <v>语言</v>
      </c>
      <c r="AC72" s="71" t="str">
        <f>IFERROR(__xludf.DUMMYFUNCTION("GOOGLETRANSLATE(B72,""en"",""vi"")"),"Ngôn ngữ")</f>
        <v>Ngôn ngữ</v>
      </c>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c r="BF72" s="75"/>
      <c r="BG72" s="75"/>
      <c r="BH72" s="75"/>
      <c r="BI72" s="75"/>
      <c r="BJ72" s="75"/>
      <c r="BK72" s="75"/>
      <c r="BL72" s="75"/>
      <c r="BM72" s="75"/>
    </row>
    <row r="73">
      <c r="A73" s="73" t="s">
        <v>7377</v>
      </c>
      <c r="B73" s="73" t="s">
        <v>7378</v>
      </c>
      <c r="C73" s="71" t="str">
        <f>IFERROR(__xludf.DUMMYFUNCTION("GOOGLETRANSLATE(B73,""en"",""ar"")"),"عربي")</f>
        <v>عربي</v>
      </c>
      <c r="D73" s="71" t="str">
        <f>IFERROR(__xludf.DUMMYFUNCTION("GOOGLETRANSLATE(B73,""en"",""cs"")"),"arabština")</f>
        <v>arabština</v>
      </c>
      <c r="E73" s="71" t="str">
        <f>IFERROR(__xludf.DUMMYFUNCTION("GOOGLETRANSLATE(B73,""en"",""de"")"),"Arabisch")</f>
        <v>Arabisch</v>
      </c>
      <c r="F73" s="71" t="str">
        <f>IFERROR(__xludf.DUMMYFUNCTION("GOOGLETRANSLATE(B73,""en"",""el"")"),"αραβικός")</f>
        <v>αραβικός</v>
      </c>
      <c r="G73" s="71" t="str">
        <f>IFERROR(__xludf.DUMMYFUNCTION("GOOGLETRANSLATE(B73,""en"",""es"")"),"árabe")</f>
        <v>árabe</v>
      </c>
      <c r="H73" s="71" t="str">
        <f>IFERROR(__xludf.DUMMYFUNCTION("GOOGLETRANSLATE(B73,""en"",""et"")"),"araabia keel")</f>
        <v>araabia keel</v>
      </c>
      <c r="I73" s="71" t="str">
        <f>IFERROR(__xludf.DUMMYFUNCTION("GOOGLETRANSLATE(B73,""en"",""fi"")"),"arabia")</f>
        <v>arabia</v>
      </c>
      <c r="J73" s="71" t="str">
        <f>IFERROR(__xludf.DUMMYFUNCTION("GOOGLETRANSLATE(B73,""en"",""fr"")"),"arabe")</f>
        <v>arabe</v>
      </c>
      <c r="K73" s="71" t="str">
        <f>IFERROR(__xludf.DUMMYFUNCTION("GOOGLETRANSLATE(B73,""en"",""hi"")"),"अरबी")</f>
        <v>अरबी</v>
      </c>
      <c r="L73" s="71" t="str">
        <f>IFERROR(__xludf.DUMMYFUNCTION("GOOGLETRANSLATE(B73,""en"",""id"")"),"Arab")</f>
        <v>Arab</v>
      </c>
      <c r="M73" s="71" t="str">
        <f>IFERROR(__xludf.DUMMYFUNCTION("GOOGLETRANSLATE(B73,""en"",""it"")"),"arabo")</f>
        <v>arabo</v>
      </c>
      <c r="N73" s="71" t="str">
        <f>IFERROR(__xludf.DUMMYFUNCTION("GOOGLETRANSLATE(B73,""en"",""ja"")"),"アラビア語")</f>
        <v>アラビア語</v>
      </c>
      <c r="O73" s="71" t="str">
        <f>IFERROR(__xludf.DUMMYFUNCTION("GOOGLETRANSLATE(B73,""en"",""km"")"),"ភាសាអារ៉ាប់")</f>
        <v>ភាសាអារ៉ាប់</v>
      </c>
      <c r="P73" s="71" t="str">
        <f>IFERROR(__xludf.DUMMYFUNCTION("GOOGLETRANSLATE(B73,""en"",""kn"")"),"ಅರೇಬಿಕ್")</f>
        <v>ಅರೇಬಿಕ್</v>
      </c>
      <c r="Q73" s="71" t="str">
        <f>IFERROR(__xludf.DUMMYFUNCTION("GOOGLETRANSLATE(B73,""en"",""ko"")"),"아라비아 말")</f>
        <v>아라비아 말</v>
      </c>
      <c r="R73" s="71" t="str">
        <f>IFERROR(__xludf.DUMMYFUNCTION("GOOGLETRANSLATE(B73,""en"",""lo"")"),"ອາຣັບ")</f>
        <v>ອາຣັບ</v>
      </c>
      <c r="S73" s="71" t="str">
        <f>IFERROR(__xludf.DUMMYFUNCTION("GOOGLETRANSLATE(B73,""en"",""lv"")"),"arābu")</f>
        <v>arābu</v>
      </c>
      <c r="T73" s="71" t="str">
        <f>IFERROR(__xludf.DUMMYFUNCTION("GOOGLETRANSLATE(B73,""en"",""ms"")"),"bahasa arab")</f>
        <v>bahasa arab</v>
      </c>
      <c r="U73" s="71" t="str">
        <f>IFERROR(__xludf.DUMMYFUNCTION("GOOGLETRANSLATE(B73,""en"",""nl"")"),"Arabisch")</f>
        <v>Arabisch</v>
      </c>
      <c r="V73" s="71" t="str">
        <f>IFERROR(__xludf.DUMMYFUNCTION("GOOGLETRANSLATE(B73,""en"",""pl"")"),"arabski")</f>
        <v>arabski</v>
      </c>
      <c r="W73" s="71" t="str">
        <f>IFERROR(__xludf.DUMMYFUNCTION("GOOGLETRANSLATE(B73,""en"",""pt-PT"")"),"árabe")</f>
        <v>árabe</v>
      </c>
      <c r="X73" s="71" t="str">
        <f>IFERROR(__xludf.DUMMYFUNCTION("GOOGLETRANSLATE(B73,""en"",""ru"")"),"арабский")</f>
        <v>арабский</v>
      </c>
      <c r="Y73" s="71" t="str">
        <f>IFERROR(__xludf.DUMMYFUNCTION("GOOGLETRANSLATE(B73,""en"",""th"")"),"ภาษาอาหรับ")</f>
        <v>ภาษาอาหรับ</v>
      </c>
      <c r="Z73" s="71" t="str">
        <f>IFERROR(__xludf.DUMMYFUNCTION("GOOGLETRANSLATE(B73,""en"",""tr"")"),"Arapça")</f>
        <v>Arapça</v>
      </c>
      <c r="AA73" s="71" t="str">
        <f>IFERROR(__xludf.DUMMYFUNCTION("GOOGLETRANSLATE(B73,""en"",""uk"")"),"арабська")</f>
        <v>арабська</v>
      </c>
      <c r="AB73" s="71" t="str">
        <f>IFERROR(__xludf.DUMMYFUNCTION("GOOGLETRANSLATE(B73,""en"",""zh-CN"")"),"阿拉伯")</f>
        <v>阿拉伯</v>
      </c>
      <c r="AC73" s="71" t="str">
        <f>IFERROR(__xludf.DUMMYFUNCTION("GOOGLETRANSLATE(B73,""en"",""vi"")"),"tiếng Ả Rập")</f>
        <v>tiếng Ả Rập</v>
      </c>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c r="BK73" s="75"/>
      <c r="BL73" s="75"/>
      <c r="BM73" s="75"/>
    </row>
    <row r="74">
      <c r="A74" s="73" t="s">
        <v>7404</v>
      </c>
      <c r="B74" s="73" t="s">
        <v>7405</v>
      </c>
      <c r="C74" s="71" t="str">
        <f>IFERROR(__xludf.DUMMYFUNCTION("GOOGLETRANSLATE(B74,""en"",""ar"")"),"الأوكرانية")</f>
        <v>الأوكرانية</v>
      </c>
      <c r="D74" s="71" t="str">
        <f>IFERROR(__xludf.DUMMYFUNCTION("GOOGLETRANSLATE(B74,""en"",""cs"")"),"ukrajinština")</f>
        <v>ukrajinština</v>
      </c>
      <c r="E74" s="71" t="str">
        <f>IFERROR(__xludf.DUMMYFUNCTION("GOOGLETRANSLATE(B74,""en"",""de"")"),"ukrainisch")</f>
        <v>ukrainisch</v>
      </c>
      <c r="F74" s="71" t="str">
        <f>IFERROR(__xludf.DUMMYFUNCTION("GOOGLETRANSLATE(B74,""en"",""el"")"),"Ουκρανός")</f>
        <v>Ουκρανός</v>
      </c>
      <c r="G74" s="71" t="str">
        <f>IFERROR(__xludf.DUMMYFUNCTION("GOOGLETRANSLATE(B74,""en"",""es"")"),"ucranio")</f>
        <v>ucranio</v>
      </c>
      <c r="H74" s="71" t="str">
        <f>IFERROR(__xludf.DUMMYFUNCTION("GOOGLETRANSLATE(B74,""en"",""et"")"),"ukrainlane")</f>
        <v>ukrainlane</v>
      </c>
      <c r="I74" s="71" t="str">
        <f>IFERROR(__xludf.DUMMYFUNCTION("GOOGLETRANSLATE(B74,""en"",""fi"")"),"ukrainalainen")</f>
        <v>ukrainalainen</v>
      </c>
      <c r="J74" s="71" t="str">
        <f>IFERROR(__xludf.DUMMYFUNCTION("GOOGLETRANSLATE(B74,""en"",""fr"")"),"ukrainien")</f>
        <v>ukrainien</v>
      </c>
      <c r="K74" s="71" t="str">
        <f>IFERROR(__xludf.DUMMYFUNCTION("GOOGLETRANSLATE(B74,""en"",""hi"")"),"यूक्रेनी")</f>
        <v>यूक्रेनी</v>
      </c>
      <c r="L74" s="71" t="str">
        <f>IFERROR(__xludf.DUMMYFUNCTION("GOOGLETRANSLATE(B74,""en"",""id"")"),"Ukraina")</f>
        <v>Ukraina</v>
      </c>
      <c r="M74" s="71" t="str">
        <f>IFERROR(__xludf.DUMMYFUNCTION("GOOGLETRANSLATE(B74,""en"",""it"")"),"ucraino")</f>
        <v>ucraino</v>
      </c>
      <c r="N74" s="71" t="str">
        <f>IFERROR(__xludf.DUMMYFUNCTION("GOOGLETRANSLATE(B74,""en"",""ja"")"),"ウクライナ語")</f>
        <v>ウクライナ語</v>
      </c>
      <c r="O74" s="71" t="str">
        <f>IFERROR(__xludf.DUMMYFUNCTION("GOOGLETRANSLATE(B74,""en"",""km"")"),"អ៊ុយក្រែន")</f>
        <v>អ៊ុយក្រែន</v>
      </c>
      <c r="P74" s="71" t="str">
        <f>IFERROR(__xludf.DUMMYFUNCTION("GOOGLETRANSLATE(B74,""en"",""kn"")"),"ಉಕ್ರೇನಿಯನ್")</f>
        <v>ಉಕ್ರೇನಿಯನ್</v>
      </c>
      <c r="Q74" s="71" t="str">
        <f>IFERROR(__xludf.DUMMYFUNCTION("GOOGLETRANSLATE(B74,""en"",""ko"")"),"우크라이나 말")</f>
        <v>우크라이나 말</v>
      </c>
      <c r="R74" s="71" t="str">
        <f>IFERROR(__xludf.DUMMYFUNCTION("GOOGLETRANSLATE(B74,""en"",""lo"")"),"ອູແກຣນ")</f>
        <v>ອູແກຣນ</v>
      </c>
      <c r="S74" s="71" t="str">
        <f>IFERROR(__xludf.DUMMYFUNCTION("GOOGLETRANSLATE(B74,""en"",""lv"")"),"ukraiņu")</f>
        <v>ukraiņu</v>
      </c>
      <c r="T74" s="71" t="str">
        <f>IFERROR(__xludf.DUMMYFUNCTION("GOOGLETRANSLATE(B74,""en"",""ms"")"),"Ukraine")</f>
        <v>Ukraine</v>
      </c>
      <c r="U74" s="71" t="str">
        <f>IFERROR(__xludf.DUMMYFUNCTION("GOOGLETRANSLATE(B74,""en"",""nl"")"),"Oekraïens")</f>
        <v>Oekraïens</v>
      </c>
      <c r="V74" s="71" t="str">
        <f>IFERROR(__xludf.DUMMYFUNCTION("GOOGLETRANSLATE(B74,""en"",""pl"")"),"ukraiński")</f>
        <v>ukraiński</v>
      </c>
      <c r="W74" s="71" t="str">
        <f>IFERROR(__xludf.DUMMYFUNCTION("GOOGLETRANSLATE(B74,""en"",""pt-PT"")"),"ucraniano")</f>
        <v>ucraniano</v>
      </c>
      <c r="X74" s="71" t="str">
        <f>IFERROR(__xludf.DUMMYFUNCTION("GOOGLETRANSLATE(B74,""en"",""ru"")"),"Украинский")</f>
        <v>Украинский</v>
      </c>
      <c r="Y74" s="71" t="str">
        <f>IFERROR(__xludf.DUMMYFUNCTION("GOOGLETRANSLATE(B74,""en"",""th"")"),"ภาษายูเครน")</f>
        <v>ภาษายูเครน</v>
      </c>
      <c r="Z74" s="71" t="str">
        <f>IFERROR(__xludf.DUMMYFUNCTION("GOOGLETRANSLATE(B74,""en"",""tr"")"),"Ukrayna")</f>
        <v>Ukrayna</v>
      </c>
      <c r="AA74" s="71" t="str">
        <f>IFERROR(__xludf.DUMMYFUNCTION("GOOGLETRANSLATE(B74,""en"",""uk"")"),"українська")</f>
        <v>українська</v>
      </c>
      <c r="AB74" s="71" t="str">
        <f>IFERROR(__xludf.DUMMYFUNCTION("GOOGLETRANSLATE(B74,""en"",""zh-CN"")"),"乌克兰")</f>
        <v>乌克兰</v>
      </c>
      <c r="AC74" s="71" t="str">
        <f>IFERROR(__xludf.DUMMYFUNCTION("GOOGLETRANSLATE(B74,""en"",""vi"")"),"tiếng Ukraina")</f>
        <v>tiếng Ukraina</v>
      </c>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c r="BK74" s="75"/>
      <c r="BL74" s="75"/>
      <c r="BM74" s="75"/>
    </row>
    <row r="75">
      <c r="A75" s="73" t="s">
        <v>7433</v>
      </c>
      <c r="B75" s="73" t="s">
        <v>7434</v>
      </c>
      <c r="C75" s="71" t="str">
        <f>IFERROR(__xludf.DUMMYFUNCTION("GOOGLETRANSLATE(B75,""en"",""ar"")"),"تركي")</f>
        <v>تركي</v>
      </c>
      <c r="D75" s="71" t="str">
        <f>IFERROR(__xludf.DUMMYFUNCTION("GOOGLETRANSLATE(B75,""en"",""cs"")"),"turečtina")</f>
        <v>turečtina</v>
      </c>
      <c r="E75" s="71" t="str">
        <f>IFERROR(__xludf.DUMMYFUNCTION("GOOGLETRANSLATE(B75,""en"",""de"")"),"Türkisch")</f>
        <v>Türkisch</v>
      </c>
      <c r="F75" s="71" t="str">
        <f>IFERROR(__xludf.DUMMYFUNCTION("GOOGLETRANSLATE(B75,""en"",""el"")"),"τούρκικος")</f>
        <v>τούρκικος</v>
      </c>
      <c r="G75" s="71" t="str">
        <f>IFERROR(__xludf.DUMMYFUNCTION("GOOGLETRANSLATE(B75,""en"",""es"")"),"turco")</f>
        <v>turco</v>
      </c>
      <c r="H75" s="71" t="str">
        <f>IFERROR(__xludf.DUMMYFUNCTION("GOOGLETRANSLATE(B75,""en"",""et"")"),"türgi keel")</f>
        <v>türgi keel</v>
      </c>
      <c r="I75" s="71" t="str">
        <f>IFERROR(__xludf.DUMMYFUNCTION("GOOGLETRANSLATE(B75,""en"",""fi"")"),"turkkilainen")</f>
        <v>turkkilainen</v>
      </c>
      <c r="J75" s="71" t="str">
        <f>IFERROR(__xludf.DUMMYFUNCTION("GOOGLETRANSLATE(B75,""en"",""fr"")"),"turc")</f>
        <v>turc</v>
      </c>
      <c r="K75" s="71" t="str">
        <f>IFERROR(__xludf.DUMMYFUNCTION("GOOGLETRANSLATE(B75,""en"",""hi"")"),"तुर्की")</f>
        <v>तुर्की</v>
      </c>
      <c r="L75" s="71" t="str">
        <f>IFERROR(__xludf.DUMMYFUNCTION("GOOGLETRANSLATE(B75,""en"",""id"")"),"Turki")</f>
        <v>Turki</v>
      </c>
      <c r="M75" s="71" t="str">
        <f>IFERROR(__xludf.DUMMYFUNCTION("GOOGLETRANSLATE(B75,""en"",""it"")"),"turco")</f>
        <v>turco</v>
      </c>
      <c r="N75" s="71" t="str">
        <f>IFERROR(__xludf.DUMMYFUNCTION("GOOGLETRANSLATE(B75,""en"",""ja"")"),"トルコ語")</f>
        <v>トルコ語</v>
      </c>
      <c r="O75" s="71" t="str">
        <f>IFERROR(__xludf.DUMMYFUNCTION("GOOGLETRANSLATE(B75,""en"",""km"")"),"ទួរគី")</f>
        <v>ទួរគី</v>
      </c>
      <c r="P75" s="71" t="str">
        <f>IFERROR(__xludf.DUMMYFUNCTION("GOOGLETRANSLATE(B75,""en"",""kn"")"),"ಟರ್ಕಿಶ್")</f>
        <v>ಟರ್ಕಿಶ್</v>
      </c>
      <c r="Q75" s="71" t="str">
        <f>IFERROR(__xludf.DUMMYFUNCTION("GOOGLETRANSLATE(B75,""en"",""ko"")"),"터키어")</f>
        <v>터키어</v>
      </c>
      <c r="R75" s="71" t="str">
        <f>IFERROR(__xludf.DUMMYFUNCTION("GOOGLETRANSLATE(B75,""en"",""lo"")"),"ຕວກກີ")</f>
        <v>ຕວກກີ</v>
      </c>
      <c r="S75" s="71" t="str">
        <f>IFERROR(__xludf.DUMMYFUNCTION("GOOGLETRANSLATE(B75,""en"",""lv"")"),"turku")</f>
        <v>turku</v>
      </c>
      <c r="T75" s="71" t="str">
        <f>IFERROR(__xludf.DUMMYFUNCTION("GOOGLETRANSLATE(B75,""en"",""ms"")"),"bahasa Turki")</f>
        <v>bahasa Turki</v>
      </c>
      <c r="U75" s="71" t="str">
        <f>IFERROR(__xludf.DUMMYFUNCTION("GOOGLETRANSLATE(B75,""en"",""nl"")"),"Turks")</f>
        <v>Turks</v>
      </c>
      <c r="V75" s="71" t="str">
        <f>IFERROR(__xludf.DUMMYFUNCTION("GOOGLETRANSLATE(B75,""en"",""pl"")"),"turecki")</f>
        <v>turecki</v>
      </c>
      <c r="W75" s="71" t="str">
        <f>IFERROR(__xludf.DUMMYFUNCTION("GOOGLETRANSLATE(B75,""en"",""pt-PT"")"),"turco")</f>
        <v>turco</v>
      </c>
      <c r="X75" s="71" t="str">
        <f>IFERROR(__xludf.DUMMYFUNCTION("GOOGLETRANSLATE(B75,""en"",""ru"")"),"турецкий")</f>
        <v>турецкий</v>
      </c>
      <c r="Y75" s="71" t="str">
        <f>IFERROR(__xludf.DUMMYFUNCTION("GOOGLETRANSLATE(B75,""en"",""th"")"),"ภาษาตุรกี")</f>
        <v>ภาษาตุรกี</v>
      </c>
      <c r="Z75" s="71" t="str">
        <f>IFERROR(__xludf.DUMMYFUNCTION("GOOGLETRANSLATE(B75,""en"",""tr"")"),"Türkçe")</f>
        <v>Türkçe</v>
      </c>
      <c r="AA75" s="71" t="str">
        <f>IFERROR(__xludf.DUMMYFUNCTION("GOOGLETRANSLATE(B75,""en"",""uk"")"),"турецька")</f>
        <v>турецька</v>
      </c>
      <c r="AB75" s="71" t="str">
        <f>IFERROR(__xludf.DUMMYFUNCTION("GOOGLETRANSLATE(B75,""en"",""zh-CN"")"),"土耳其")</f>
        <v>土耳其</v>
      </c>
      <c r="AC75" s="71" t="str">
        <f>IFERROR(__xludf.DUMMYFUNCTION("GOOGLETRANSLATE(B75,""en"",""vi"")"),"tiếng Thổ Nhĩ Kỳ")</f>
        <v>tiếng Thổ Nhĩ Kỳ</v>
      </c>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c r="BK75" s="75"/>
      <c r="BL75" s="75"/>
      <c r="BM75" s="75"/>
    </row>
    <row r="76">
      <c r="A76" s="73" t="s">
        <v>7460</v>
      </c>
      <c r="B76" s="73" t="s">
        <v>7461</v>
      </c>
      <c r="C76" s="71" t="str">
        <f>IFERROR(__xludf.DUMMYFUNCTION("GOOGLETRANSLATE(B76,""en"",""ar"")"),"التايلاندية")</f>
        <v>التايلاندية</v>
      </c>
      <c r="D76" s="71" t="str">
        <f>IFERROR(__xludf.DUMMYFUNCTION("GOOGLETRANSLATE(B76,""en"",""cs"")"),"thajština")</f>
        <v>thajština</v>
      </c>
      <c r="E76" s="71" t="str">
        <f>IFERROR(__xludf.DUMMYFUNCTION("GOOGLETRANSLATE(B76,""en"",""de"")"),"Thailändisch")</f>
        <v>Thailändisch</v>
      </c>
      <c r="F76" s="71" t="str">
        <f>IFERROR(__xludf.DUMMYFUNCTION("GOOGLETRANSLATE(B76,""en"",""el"")"),"Ταϊλανδός")</f>
        <v>Ταϊλανδός</v>
      </c>
      <c r="G76" s="71" t="str">
        <f>IFERROR(__xludf.DUMMYFUNCTION("GOOGLETRANSLATE(B76,""en"",""es"")"),"tailandés")</f>
        <v>tailandés</v>
      </c>
      <c r="H76" s="71" t="str">
        <f>IFERROR(__xludf.DUMMYFUNCTION("GOOGLETRANSLATE(B76,""en"",""et"")"),"Tai")</f>
        <v>Tai</v>
      </c>
      <c r="I76" s="71" t="str">
        <f>IFERROR(__xludf.DUMMYFUNCTION("GOOGLETRANSLATE(B76,""en"",""fi"")"),"thaimaalainen")</f>
        <v>thaimaalainen</v>
      </c>
      <c r="J76" s="71" t="str">
        <f>IFERROR(__xludf.DUMMYFUNCTION("GOOGLETRANSLATE(B76,""en"",""fr"")"),"thaïlandais")</f>
        <v>thaïlandais</v>
      </c>
      <c r="K76" s="71" t="str">
        <f>IFERROR(__xludf.DUMMYFUNCTION("GOOGLETRANSLATE(B76,""en"",""hi"")"),"थाई")</f>
        <v>थाई</v>
      </c>
      <c r="L76" s="71" t="str">
        <f>IFERROR(__xludf.DUMMYFUNCTION("GOOGLETRANSLATE(B76,""en"",""id"")"),"Thai")</f>
        <v>Thai</v>
      </c>
      <c r="M76" s="71" t="str">
        <f>IFERROR(__xludf.DUMMYFUNCTION("GOOGLETRANSLATE(B76,""en"",""it"")"),"tailandese")</f>
        <v>tailandese</v>
      </c>
      <c r="N76" s="71" t="str">
        <f>IFERROR(__xludf.DUMMYFUNCTION("GOOGLETRANSLATE(B76,""en"",""ja"")"),"タイ語")</f>
        <v>タイ語</v>
      </c>
      <c r="O76" s="71" t="str">
        <f>IFERROR(__xludf.DUMMYFUNCTION("GOOGLETRANSLATE(B76,""en"",""km"")"),"ថៃ")</f>
        <v>ថៃ</v>
      </c>
      <c r="P76" s="71" t="str">
        <f>IFERROR(__xludf.DUMMYFUNCTION("GOOGLETRANSLATE(B76,""en"",""kn"")"),"ಥಾಯ್")</f>
        <v>ಥಾಯ್</v>
      </c>
      <c r="Q76" s="71" t="str">
        <f>IFERROR(__xludf.DUMMYFUNCTION("GOOGLETRANSLATE(B76,""en"",""ko"")"),"태국어")</f>
        <v>태국어</v>
      </c>
      <c r="R76" s="71" t="str">
        <f>IFERROR(__xludf.DUMMYFUNCTION("GOOGLETRANSLATE(B76,""en"",""lo"")"),"ໄທ")</f>
        <v>ໄທ</v>
      </c>
      <c r="S76" s="71" t="str">
        <f>IFERROR(__xludf.DUMMYFUNCTION("GOOGLETRANSLATE(B76,""en"",""lv"")"),"taju")</f>
        <v>taju</v>
      </c>
      <c r="T76" s="71" t="str">
        <f>IFERROR(__xludf.DUMMYFUNCTION("GOOGLETRANSLATE(B76,""en"",""ms"")"),"Thai")</f>
        <v>Thai</v>
      </c>
      <c r="U76" s="71" t="str">
        <f>IFERROR(__xludf.DUMMYFUNCTION("GOOGLETRANSLATE(B76,""en"",""nl"")"),"Thais")</f>
        <v>Thais</v>
      </c>
      <c r="V76" s="71" t="str">
        <f>IFERROR(__xludf.DUMMYFUNCTION("GOOGLETRANSLATE(B76,""en"",""pl"")"),"tajski")</f>
        <v>tajski</v>
      </c>
      <c r="W76" s="71" t="str">
        <f>IFERROR(__xludf.DUMMYFUNCTION("GOOGLETRANSLATE(B76,""en"",""pt-PT"")"),"Tailandês")</f>
        <v>Tailandês</v>
      </c>
      <c r="X76" s="71" t="str">
        <f>IFERROR(__xludf.DUMMYFUNCTION("GOOGLETRANSLATE(B76,""en"",""ru"")"),"тайский")</f>
        <v>тайский</v>
      </c>
      <c r="Y76" s="71" t="str">
        <f>IFERROR(__xludf.DUMMYFUNCTION("GOOGLETRANSLATE(B76,""en"",""th"")"),"แบบไทย")</f>
        <v>แบบไทย</v>
      </c>
      <c r="Z76" s="71" t="str">
        <f>IFERROR(__xludf.DUMMYFUNCTION("GOOGLETRANSLATE(B76,""en"",""tr"")"),"Tay dili")</f>
        <v>Tay dili</v>
      </c>
      <c r="AA76" s="71" t="str">
        <f>IFERROR(__xludf.DUMMYFUNCTION("GOOGLETRANSLATE(B76,""en"",""uk"")"),"тайська")</f>
        <v>тайська</v>
      </c>
      <c r="AB76" s="71" t="str">
        <f>IFERROR(__xludf.DUMMYFUNCTION("GOOGLETRANSLATE(B76,""en"",""zh-CN"")"),"泰国")</f>
        <v>泰国</v>
      </c>
      <c r="AC76" s="71" t="str">
        <f>IFERROR(__xludf.DUMMYFUNCTION("GOOGLETRANSLATE(B76,""en"",""vi"")"),"tiếng Thái")</f>
        <v>tiếng Thái</v>
      </c>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c r="BK76" s="75"/>
      <c r="BL76" s="75"/>
      <c r="BM76" s="75"/>
    </row>
    <row r="77">
      <c r="A77" s="73" t="s">
        <v>7485</v>
      </c>
      <c r="B77" s="73" t="s">
        <v>7486</v>
      </c>
      <c r="C77" s="71" t="str">
        <f>IFERROR(__xludf.DUMMYFUNCTION("GOOGLETRANSLATE(B77,""en"",""ar"")"),"الأسبانية")</f>
        <v>الأسبانية</v>
      </c>
      <c r="D77" s="71" t="str">
        <f>IFERROR(__xludf.DUMMYFUNCTION("GOOGLETRANSLATE(B77,""en"",""cs"")"),"španělština")</f>
        <v>španělština</v>
      </c>
      <c r="E77" s="71" t="str">
        <f>IFERROR(__xludf.DUMMYFUNCTION("GOOGLETRANSLATE(B77,""en"",""de"")"),"Spanisch")</f>
        <v>Spanisch</v>
      </c>
      <c r="F77" s="71" t="str">
        <f>IFERROR(__xludf.DUMMYFUNCTION("GOOGLETRANSLATE(B77,""en"",""el"")"),"ισπανικά")</f>
        <v>ισπανικά</v>
      </c>
      <c r="G77" s="71" t="str">
        <f>IFERROR(__xludf.DUMMYFUNCTION("GOOGLETRANSLATE(B77,""en"",""es"")"),"Español")</f>
        <v>Español</v>
      </c>
      <c r="H77" s="71" t="str">
        <f>IFERROR(__xludf.DUMMYFUNCTION("GOOGLETRANSLATE(B77,""en"",""et"")"),"hispaania keel")</f>
        <v>hispaania keel</v>
      </c>
      <c r="I77" s="71" t="str">
        <f>IFERROR(__xludf.DUMMYFUNCTION("GOOGLETRANSLATE(B77,""en"",""fi"")"),"espanja")</f>
        <v>espanja</v>
      </c>
      <c r="J77" s="71" t="str">
        <f>IFERROR(__xludf.DUMMYFUNCTION("GOOGLETRANSLATE(B77,""en"",""fr"")"),"Espagnol")</f>
        <v>Espagnol</v>
      </c>
      <c r="K77" s="71" t="str">
        <f>IFERROR(__xludf.DUMMYFUNCTION("GOOGLETRANSLATE(B77,""en"",""hi"")"),"स्पैनिश")</f>
        <v>स्पैनिश</v>
      </c>
      <c r="L77" s="71" t="str">
        <f>IFERROR(__xludf.DUMMYFUNCTION("GOOGLETRANSLATE(B77,""en"",""id"")"),"Spanyol")</f>
        <v>Spanyol</v>
      </c>
      <c r="M77" s="71" t="str">
        <f>IFERROR(__xludf.DUMMYFUNCTION("GOOGLETRANSLATE(B77,""en"",""it"")"),"spagnolo")</f>
        <v>spagnolo</v>
      </c>
      <c r="N77" s="71" t="str">
        <f>IFERROR(__xludf.DUMMYFUNCTION("GOOGLETRANSLATE(B77,""en"",""ja"")"),"スペイン語")</f>
        <v>スペイン語</v>
      </c>
      <c r="O77" s="71" t="str">
        <f>IFERROR(__xludf.DUMMYFUNCTION("GOOGLETRANSLATE(B77,""en"",""km"")"),"ភាសាអេស្ប៉ាញ")</f>
        <v>ភាសាអេស្ប៉ាញ</v>
      </c>
      <c r="P77" s="71" t="str">
        <f>IFERROR(__xludf.DUMMYFUNCTION("GOOGLETRANSLATE(B77,""en"",""kn"")"),"ಸ್ಪ್ಯಾನಿಷ್")</f>
        <v>ಸ್ಪ್ಯಾನಿಷ್</v>
      </c>
      <c r="Q77" s="71" t="str">
        <f>IFERROR(__xludf.DUMMYFUNCTION("GOOGLETRANSLATE(B77,""en"",""ko"")"),"스페인 사람")</f>
        <v>스페인 사람</v>
      </c>
      <c r="R77" s="71" t="str">
        <f>IFERROR(__xludf.DUMMYFUNCTION("GOOGLETRANSLATE(B77,""en"",""lo"")"),"ແອສປາໂຍນ")</f>
        <v>ແອສປາໂຍນ</v>
      </c>
      <c r="S77" s="71" t="str">
        <f>IFERROR(__xludf.DUMMYFUNCTION("GOOGLETRANSLATE(B77,""en"",""lv"")"),"spāņu valoda")</f>
        <v>spāņu valoda</v>
      </c>
      <c r="T77" s="71" t="str">
        <f>IFERROR(__xludf.DUMMYFUNCTION("GOOGLETRANSLATE(B77,""en"",""ms"")"),"bahasa Sepanyol")</f>
        <v>bahasa Sepanyol</v>
      </c>
      <c r="U77" s="71" t="str">
        <f>IFERROR(__xludf.DUMMYFUNCTION("GOOGLETRANSLATE(B77,""en"",""nl"")"),"Spaans")</f>
        <v>Spaans</v>
      </c>
      <c r="V77" s="71" t="str">
        <f>IFERROR(__xludf.DUMMYFUNCTION("GOOGLETRANSLATE(B77,""en"",""pl"")"),"hiszpański")</f>
        <v>hiszpański</v>
      </c>
      <c r="W77" s="71" t="str">
        <f>IFERROR(__xludf.DUMMYFUNCTION("GOOGLETRANSLATE(B77,""en"",""pt-PT"")"),"Espanhol")</f>
        <v>Espanhol</v>
      </c>
      <c r="X77" s="71" t="str">
        <f>IFERROR(__xludf.DUMMYFUNCTION("GOOGLETRANSLATE(B77,""en"",""ru"")"),"испанский")</f>
        <v>испанский</v>
      </c>
      <c r="Y77" s="71" t="str">
        <f>IFERROR(__xludf.DUMMYFUNCTION("GOOGLETRANSLATE(B77,""en"",""th"")"),"สเปน")</f>
        <v>สเปน</v>
      </c>
      <c r="Z77" s="71" t="str">
        <f>IFERROR(__xludf.DUMMYFUNCTION("GOOGLETRANSLATE(B77,""en"",""tr"")"),"İspanyol")</f>
        <v>İspanyol</v>
      </c>
      <c r="AA77" s="71" t="str">
        <f>IFERROR(__xludf.DUMMYFUNCTION("GOOGLETRANSLATE(B77,""en"",""uk"")"),"Іспанська")</f>
        <v>Іспанська</v>
      </c>
      <c r="AB77" s="71" t="str">
        <f>IFERROR(__xludf.DUMMYFUNCTION("GOOGLETRANSLATE(B77,""en"",""zh-CN"")"),"西班牙语")</f>
        <v>西班牙语</v>
      </c>
      <c r="AC77" s="71" t="str">
        <f>IFERROR(__xludf.DUMMYFUNCTION("GOOGLETRANSLATE(B77,""en"",""vi"")"),"tiếng Tây Ban Nha")</f>
        <v>tiếng Tây Ban Nha</v>
      </c>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c r="BK77" s="75"/>
      <c r="BL77" s="75"/>
      <c r="BM77" s="75"/>
    </row>
    <row r="78">
      <c r="A78" s="73" t="s">
        <v>7514</v>
      </c>
      <c r="B78" s="73" t="s">
        <v>7515</v>
      </c>
      <c r="C78" s="71" t="str">
        <f>IFERROR(__xludf.DUMMYFUNCTION("GOOGLETRANSLATE(B78,""en"",""ar"")"),"الروسية")</f>
        <v>الروسية</v>
      </c>
      <c r="D78" s="71" t="str">
        <f>IFERROR(__xludf.DUMMYFUNCTION("GOOGLETRANSLATE(B78,""en"",""cs"")"),"ruština")</f>
        <v>ruština</v>
      </c>
      <c r="E78" s="71" t="str">
        <f>IFERROR(__xludf.DUMMYFUNCTION("GOOGLETRANSLATE(B78,""en"",""de"")"),"Russisch")</f>
        <v>Russisch</v>
      </c>
      <c r="F78" s="71" t="str">
        <f>IFERROR(__xludf.DUMMYFUNCTION("GOOGLETRANSLATE(B78,""en"",""el"")"),"ρωσικός")</f>
        <v>ρωσικός</v>
      </c>
      <c r="G78" s="71" t="str">
        <f>IFERROR(__xludf.DUMMYFUNCTION("GOOGLETRANSLATE(B78,""en"",""es"")"),"ruso")</f>
        <v>ruso</v>
      </c>
      <c r="H78" s="71" t="str">
        <f>IFERROR(__xludf.DUMMYFUNCTION("GOOGLETRANSLATE(B78,""en"",""et"")"),"vene keel")</f>
        <v>vene keel</v>
      </c>
      <c r="I78" s="71" t="str">
        <f>IFERROR(__xludf.DUMMYFUNCTION("GOOGLETRANSLATE(B78,""en"",""fi"")"),"venäjäksi")</f>
        <v>venäjäksi</v>
      </c>
      <c r="J78" s="71" t="str">
        <f>IFERROR(__xludf.DUMMYFUNCTION("GOOGLETRANSLATE(B78,""en"",""fr"")"),"russe")</f>
        <v>russe</v>
      </c>
      <c r="K78" s="71" t="str">
        <f>IFERROR(__xludf.DUMMYFUNCTION("GOOGLETRANSLATE(B78,""en"",""hi"")"),"रूसी")</f>
        <v>रूसी</v>
      </c>
      <c r="L78" s="71" t="str">
        <f>IFERROR(__xludf.DUMMYFUNCTION("GOOGLETRANSLATE(B78,""en"",""id"")"),"Rusia")</f>
        <v>Rusia</v>
      </c>
      <c r="M78" s="71" t="str">
        <f>IFERROR(__xludf.DUMMYFUNCTION("GOOGLETRANSLATE(B78,""en"",""it"")"),"russo")</f>
        <v>russo</v>
      </c>
      <c r="N78" s="71" t="str">
        <f>IFERROR(__xludf.DUMMYFUNCTION("GOOGLETRANSLATE(B78,""en"",""ja"")"),"ロシア")</f>
        <v>ロシア</v>
      </c>
      <c r="O78" s="71" t="str">
        <f>IFERROR(__xludf.DUMMYFUNCTION("GOOGLETRANSLATE(B78,""en"",""km"")"),"រុស្សី")</f>
        <v>រុស្សី</v>
      </c>
      <c r="P78" s="71" t="str">
        <f>IFERROR(__xludf.DUMMYFUNCTION("GOOGLETRANSLATE(B78,""en"",""kn"")"),"ರಷ್ಯನ್")</f>
        <v>ರಷ್ಯನ್</v>
      </c>
      <c r="Q78" s="71" t="str">
        <f>IFERROR(__xludf.DUMMYFUNCTION("GOOGLETRANSLATE(B78,""en"",""ko"")"),"러시아인")</f>
        <v>러시아인</v>
      </c>
      <c r="R78" s="71" t="str">
        <f>IFERROR(__xludf.DUMMYFUNCTION("GOOGLETRANSLATE(B78,""en"",""lo"")"),"ພາສາລັດເຊຍ")</f>
        <v>ພາສາລັດເຊຍ</v>
      </c>
      <c r="S78" s="71" t="str">
        <f>IFERROR(__xludf.DUMMYFUNCTION("GOOGLETRANSLATE(B78,""en"",""lv"")"),"krievu valoda")</f>
        <v>krievu valoda</v>
      </c>
      <c r="T78" s="71" t="str">
        <f>IFERROR(__xludf.DUMMYFUNCTION("GOOGLETRANSLATE(B78,""en"",""ms"")"),"bahasa Rusia")</f>
        <v>bahasa Rusia</v>
      </c>
      <c r="U78" s="71" t="str">
        <f>IFERROR(__xludf.DUMMYFUNCTION("GOOGLETRANSLATE(B78,""en"",""nl"")"),"Russisch")</f>
        <v>Russisch</v>
      </c>
      <c r="V78" s="71" t="str">
        <f>IFERROR(__xludf.DUMMYFUNCTION("GOOGLETRANSLATE(B78,""en"",""pl"")"),"rosyjski")</f>
        <v>rosyjski</v>
      </c>
      <c r="W78" s="71" t="str">
        <f>IFERROR(__xludf.DUMMYFUNCTION("GOOGLETRANSLATE(B78,""en"",""pt-PT"")"),"russo")</f>
        <v>russo</v>
      </c>
      <c r="X78" s="71" t="str">
        <f>IFERROR(__xludf.DUMMYFUNCTION("GOOGLETRANSLATE(B78,""en"",""ru"")"),"Русский")</f>
        <v>Русский</v>
      </c>
      <c r="Y78" s="71" t="str">
        <f>IFERROR(__xludf.DUMMYFUNCTION("GOOGLETRANSLATE(B78,""en"",""th"")"),"ภาษารัสเซีย")</f>
        <v>ภาษารัสเซีย</v>
      </c>
      <c r="Z78" s="71" t="str">
        <f>IFERROR(__xludf.DUMMYFUNCTION("GOOGLETRANSLATE(B78,""en"",""tr"")"),"Rusça")</f>
        <v>Rusça</v>
      </c>
      <c r="AA78" s="71" t="str">
        <f>IFERROR(__xludf.DUMMYFUNCTION("GOOGLETRANSLATE(B78,""en"",""uk"")"),"російська")</f>
        <v>російська</v>
      </c>
      <c r="AB78" s="71" t="str">
        <f>IFERROR(__xludf.DUMMYFUNCTION("GOOGLETRANSLATE(B78,""en"",""zh-CN"")"),"俄语")</f>
        <v>俄语</v>
      </c>
      <c r="AC78" s="71" t="str">
        <f>IFERROR(__xludf.DUMMYFUNCTION("GOOGLETRANSLATE(B78,""en"",""vi"")"),"tiếng Nga")</f>
        <v>tiếng Nga</v>
      </c>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c r="BK78" s="75"/>
      <c r="BL78" s="75"/>
      <c r="BM78" s="75"/>
    </row>
    <row r="79">
      <c r="A79" s="73" t="s">
        <v>7540</v>
      </c>
      <c r="B79" s="73" t="s">
        <v>7541</v>
      </c>
      <c r="C79" s="71" t="str">
        <f>IFERROR(__xludf.DUMMYFUNCTION("GOOGLETRANSLATE(B79,""en"",""ar"")"),"البرتغالية")</f>
        <v>البرتغالية</v>
      </c>
      <c r="D79" s="71" t="str">
        <f>IFERROR(__xludf.DUMMYFUNCTION("GOOGLETRANSLATE(B79,""en"",""cs"")"),"portugalština")</f>
        <v>portugalština</v>
      </c>
      <c r="E79" s="71" t="str">
        <f>IFERROR(__xludf.DUMMYFUNCTION("GOOGLETRANSLATE(B79,""en"",""de"")"),"Portugiesisch")</f>
        <v>Portugiesisch</v>
      </c>
      <c r="F79" s="71" t="str">
        <f>IFERROR(__xludf.DUMMYFUNCTION("GOOGLETRANSLATE(B79,""en"",""el"")"),"Πορτογάλος")</f>
        <v>Πορτογάλος</v>
      </c>
      <c r="G79" s="71" t="str">
        <f>IFERROR(__xludf.DUMMYFUNCTION("GOOGLETRANSLATE(B79,""en"",""es"")"),"portugués")</f>
        <v>portugués</v>
      </c>
      <c r="H79" s="71" t="str">
        <f>IFERROR(__xludf.DUMMYFUNCTION("GOOGLETRANSLATE(B79,""en"",""et"")"),"portugali keel")</f>
        <v>portugali keel</v>
      </c>
      <c r="I79" s="71" t="str">
        <f>IFERROR(__xludf.DUMMYFUNCTION("GOOGLETRANSLATE(B79,""en"",""fi"")"),"portugali")</f>
        <v>portugali</v>
      </c>
      <c r="J79" s="71" t="str">
        <f>IFERROR(__xludf.DUMMYFUNCTION("GOOGLETRANSLATE(B79,""en"",""fr"")"),"portugais")</f>
        <v>portugais</v>
      </c>
      <c r="K79" s="71" t="str">
        <f>IFERROR(__xludf.DUMMYFUNCTION("GOOGLETRANSLATE(B79,""en"",""hi"")"),"पुर्तगाली")</f>
        <v>पुर्तगाली</v>
      </c>
      <c r="L79" s="71" t="str">
        <f>IFERROR(__xludf.DUMMYFUNCTION("GOOGLETRANSLATE(B79,""en"",""id"")"),"Portugis")</f>
        <v>Portugis</v>
      </c>
      <c r="M79" s="71" t="str">
        <f>IFERROR(__xludf.DUMMYFUNCTION("GOOGLETRANSLATE(B79,""en"",""it"")"),"portoghese")</f>
        <v>portoghese</v>
      </c>
      <c r="N79" s="71" t="str">
        <f>IFERROR(__xludf.DUMMYFUNCTION("GOOGLETRANSLATE(B79,""en"",""ja"")"),"ポルトガル語")</f>
        <v>ポルトガル語</v>
      </c>
      <c r="O79" s="71" t="str">
        <f>IFERROR(__xludf.DUMMYFUNCTION("GOOGLETRANSLATE(B79,""en"",""km"")"),"ព័រទុយហ្គាល់")</f>
        <v>ព័រទុយហ្គាល់</v>
      </c>
      <c r="P79" s="71" t="str">
        <f>IFERROR(__xludf.DUMMYFUNCTION("GOOGLETRANSLATE(B79,""en"",""kn"")"),"ಪೋರ್ಚುಗೀಸ್")</f>
        <v>ಪೋರ್ಚುಗೀಸ್</v>
      </c>
      <c r="Q79" s="71" t="str">
        <f>IFERROR(__xludf.DUMMYFUNCTION("GOOGLETRANSLATE(B79,""en"",""ko"")"),"포르투갈 인")</f>
        <v>포르투갈 인</v>
      </c>
      <c r="R79" s="71" t="str">
        <f>IFERROR(__xludf.DUMMYFUNCTION("GOOGLETRANSLATE(B79,""en"",""lo"")"),"ພາສາປອກຕຸຍການ")</f>
        <v>ພາສາປອກຕຸຍການ</v>
      </c>
      <c r="S79" s="71" t="str">
        <f>IFERROR(__xludf.DUMMYFUNCTION("GOOGLETRANSLATE(B79,""en"",""lv"")"),"portugāļu")</f>
        <v>portugāļu</v>
      </c>
      <c r="T79" s="71" t="str">
        <f>IFERROR(__xludf.DUMMYFUNCTION("GOOGLETRANSLATE(B79,""en"",""ms"")"),"Portugis")</f>
        <v>Portugis</v>
      </c>
      <c r="U79" s="71" t="str">
        <f>IFERROR(__xludf.DUMMYFUNCTION("GOOGLETRANSLATE(B79,""en"",""nl"")"),"Portugees")</f>
        <v>Portugees</v>
      </c>
      <c r="V79" s="71" t="str">
        <f>IFERROR(__xludf.DUMMYFUNCTION("GOOGLETRANSLATE(B79,""en"",""pl"")"),"portugalski")</f>
        <v>portugalski</v>
      </c>
      <c r="W79" s="71" t="str">
        <f>IFERROR(__xludf.DUMMYFUNCTION("GOOGLETRANSLATE(B79,""en"",""pt-PT"")"),"Português")</f>
        <v>Português</v>
      </c>
      <c r="X79" s="71" t="str">
        <f>IFERROR(__xludf.DUMMYFUNCTION("GOOGLETRANSLATE(B79,""en"",""ru"")"),"португальский")</f>
        <v>португальский</v>
      </c>
      <c r="Y79" s="71" t="str">
        <f>IFERROR(__xludf.DUMMYFUNCTION("GOOGLETRANSLATE(B79,""en"",""th"")"),"โปรตุเกส")</f>
        <v>โปรตุเกส</v>
      </c>
      <c r="Z79" s="71" t="str">
        <f>IFERROR(__xludf.DUMMYFUNCTION("GOOGLETRANSLATE(B79,""en"",""tr"")"),"Portekizce")</f>
        <v>Portekizce</v>
      </c>
      <c r="AA79" s="71" t="str">
        <f>IFERROR(__xludf.DUMMYFUNCTION("GOOGLETRANSLATE(B79,""en"",""uk"")"),"португальська")</f>
        <v>португальська</v>
      </c>
      <c r="AB79" s="71" t="str">
        <f>IFERROR(__xludf.DUMMYFUNCTION("GOOGLETRANSLATE(B79,""en"",""zh-CN"")"),"葡萄牙语")</f>
        <v>葡萄牙语</v>
      </c>
      <c r="AC79" s="71" t="str">
        <f>IFERROR(__xludf.DUMMYFUNCTION("GOOGLETRANSLATE(B79,""en"",""vi"")"),"tiếng Bồ Đào Nha")</f>
        <v>tiếng Bồ Đào Nha</v>
      </c>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c r="BK79" s="75"/>
      <c r="BL79" s="75"/>
      <c r="BM79" s="75"/>
    </row>
    <row r="80">
      <c r="A80" s="73" t="s">
        <v>7568</v>
      </c>
      <c r="B80" s="73" t="s">
        <v>7569</v>
      </c>
      <c r="C80" s="71" t="str">
        <f>IFERROR(__xludf.DUMMYFUNCTION("GOOGLETRANSLATE(B80,""en"",""ar"")"),"بولندي")</f>
        <v>بولندي</v>
      </c>
      <c r="D80" s="71" t="str">
        <f>IFERROR(__xludf.DUMMYFUNCTION("GOOGLETRANSLATE(B80,""en"",""cs"")"),"polština")</f>
        <v>polština</v>
      </c>
      <c r="E80" s="71" t="str">
        <f>IFERROR(__xludf.DUMMYFUNCTION("GOOGLETRANSLATE(B80,""en"",""de"")"),"Polieren")</f>
        <v>Polieren</v>
      </c>
      <c r="F80" s="71" t="str">
        <f>IFERROR(__xludf.DUMMYFUNCTION("GOOGLETRANSLATE(B80,""en"",""el"")"),"Στίλβωση")</f>
        <v>Στίλβωση</v>
      </c>
      <c r="G80" s="71" t="str">
        <f>IFERROR(__xludf.DUMMYFUNCTION("GOOGLETRANSLATE(B80,""en"",""es"")"),"Polaco")</f>
        <v>Polaco</v>
      </c>
      <c r="H80" s="71" t="str">
        <f>IFERROR(__xludf.DUMMYFUNCTION("GOOGLETRANSLATE(B80,""en"",""et"")"),"poola keel")</f>
        <v>poola keel</v>
      </c>
      <c r="I80" s="71" t="str">
        <f>IFERROR(__xludf.DUMMYFUNCTION("GOOGLETRANSLATE(B80,""en"",""fi"")"),"Kiillottaa")</f>
        <v>Kiillottaa</v>
      </c>
      <c r="J80" s="71" t="str">
        <f>IFERROR(__xludf.DUMMYFUNCTION("GOOGLETRANSLATE(B80,""en"",""fr"")"),"polonais")</f>
        <v>polonais</v>
      </c>
      <c r="K80" s="71" t="str">
        <f>IFERROR(__xludf.DUMMYFUNCTION("GOOGLETRANSLATE(B80,""en"",""hi"")"),"पोलिश")</f>
        <v>पोलिश</v>
      </c>
      <c r="L80" s="71" t="str">
        <f>IFERROR(__xludf.DUMMYFUNCTION("GOOGLETRANSLATE(B80,""en"",""id"")"),"Polandia")</f>
        <v>Polandia</v>
      </c>
      <c r="M80" s="71" t="str">
        <f>IFERROR(__xludf.DUMMYFUNCTION("GOOGLETRANSLATE(B80,""en"",""it"")"),"Polacco")</f>
        <v>Polacco</v>
      </c>
      <c r="N80" s="71" t="str">
        <f>IFERROR(__xludf.DUMMYFUNCTION("GOOGLETRANSLATE(B80,""en"",""ja"")"),"研磨")</f>
        <v>研磨</v>
      </c>
      <c r="O80" s="71" t="str">
        <f>IFERROR(__xludf.DUMMYFUNCTION("GOOGLETRANSLATE(B80,""en"",""km"")"),"ប៉ូឡូញ")</f>
        <v>ប៉ូឡូញ</v>
      </c>
      <c r="P80" s="71" t="str">
        <f>IFERROR(__xludf.DUMMYFUNCTION("GOOGLETRANSLATE(B80,""en"",""kn"")"),"ಪೋಲಿಷ್")</f>
        <v>ಪೋಲಿಷ್</v>
      </c>
      <c r="Q80" s="71" t="str">
        <f>IFERROR(__xludf.DUMMYFUNCTION("GOOGLETRANSLATE(B80,""en"",""ko"")"),"광택")</f>
        <v>광택</v>
      </c>
      <c r="R80" s="71" t="str">
        <f>IFERROR(__xludf.DUMMYFUNCTION("GOOGLETRANSLATE(B80,""en"",""lo"")"),"ໂປໂລຍ")</f>
        <v>ໂປໂລຍ</v>
      </c>
      <c r="S80" s="71" t="str">
        <f>IFERROR(__xludf.DUMMYFUNCTION("GOOGLETRANSLATE(B80,""en"",""lv"")"),"poļu")</f>
        <v>poļu</v>
      </c>
      <c r="T80" s="71" t="str">
        <f>IFERROR(__xludf.DUMMYFUNCTION("GOOGLETRANSLATE(B80,""en"",""ms"")"),"Poland")</f>
        <v>Poland</v>
      </c>
      <c r="U80" s="71" t="str">
        <f>IFERROR(__xludf.DUMMYFUNCTION("GOOGLETRANSLATE(B80,""en"",""nl"")"),"Pools")</f>
        <v>Pools</v>
      </c>
      <c r="V80" s="71" t="str">
        <f>IFERROR(__xludf.DUMMYFUNCTION("GOOGLETRANSLATE(B80,""en"",""pl"")"),"Polski")</f>
        <v>Polski</v>
      </c>
      <c r="W80" s="71" t="str">
        <f>IFERROR(__xludf.DUMMYFUNCTION("GOOGLETRANSLATE(B80,""en"",""pt-PT"")"),"polonês")</f>
        <v>polonês</v>
      </c>
      <c r="X80" s="71" t="str">
        <f>IFERROR(__xludf.DUMMYFUNCTION("GOOGLETRANSLATE(B80,""en"",""ru"")"),"Польский")</f>
        <v>Польский</v>
      </c>
      <c r="Y80" s="71" t="str">
        <f>IFERROR(__xludf.DUMMYFUNCTION("GOOGLETRANSLATE(B80,""en"",""th"")"),"ขัด")</f>
        <v>ขัด</v>
      </c>
      <c r="Z80" s="71" t="str">
        <f>IFERROR(__xludf.DUMMYFUNCTION("GOOGLETRANSLATE(B80,""en"",""tr"")"),"Lehçe")</f>
        <v>Lehçe</v>
      </c>
      <c r="AA80" s="71" t="str">
        <f>IFERROR(__xludf.DUMMYFUNCTION("GOOGLETRANSLATE(B80,""en"",""uk"")"),"польський")</f>
        <v>польський</v>
      </c>
      <c r="AB80" s="71" t="str">
        <f>IFERROR(__xludf.DUMMYFUNCTION("GOOGLETRANSLATE(B80,""en"",""zh-CN"")"),"抛光")</f>
        <v>抛光</v>
      </c>
      <c r="AC80" s="71" t="str">
        <f>IFERROR(__xludf.DUMMYFUNCTION("GOOGLETRANSLATE(B80,""en"",""vi"")"),"Đánh bóng")</f>
        <v>Đánh bóng</v>
      </c>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c r="BK80" s="75"/>
      <c r="BL80" s="75"/>
      <c r="BM80" s="75"/>
    </row>
    <row r="81">
      <c r="A81" s="73" t="s">
        <v>7597</v>
      </c>
      <c r="B81" s="73" t="s">
        <v>7598</v>
      </c>
      <c r="C81" s="71" t="str">
        <f>IFERROR(__xludf.DUMMYFUNCTION("GOOGLETRANSLATE(B81,""en"",""ar"")"),"لاتفيا")</f>
        <v>لاتفيا</v>
      </c>
      <c r="D81" s="71" t="str">
        <f>IFERROR(__xludf.DUMMYFUNCTION("GOOGLETRANSLATE(B81,""en"",""cs"")"),"lotyšský")</f>
        <v>lotyšský</v>
      </c>
      <c r="E81" s="71" t="str">
        <f>IFERROR(__xludf.DUMMYFUNCTION("GOOGLETRANSLATE(B81,""en"",""de"")"),"lettisch")</f>
        <v>lettisch</v>
      </c>
      <c r="F81" s="71" t="str">
        <f>IFERROR(__xludf.DUMMYFUNCTION("GOOGLETRANSLATE(B81,""en"",""el"")"),"λετονική")</f>
        <v>λετονική</v>
      </c>
      <c r="G81" s="71" t="str">
        <f>IFERROR(__xludf.DUMMYFUNCTION("GOOGLETRANSLATE(B81,""en"",""es"")"),"letón")</f>
        <v>letón</v>
      </c>
      <c r="H81" s="71" t="str">
        <f>IFERROR(__xludf.DUMMYFUNCTION("GOOGLETRANSLATE(B81,""en"",""et"")"),"lätlane")</f>
        <v>lätlane</v>
      </c>
      <c r="I81" s="71" t="str">
        <f>IFERROR(__xludf.DUMMYFUNCTION("GOOGLETRANSLATE(B81,""en"",""fi"")"),"latvialainen")</f>
        <v>latvialainen</v>
      </c>
      <c r="J81" s="71" t="str">
        <f>IFERROR(__xludf.DUMMYFUNCTION("GOOGLETRANSLATE(B81,""en"",""fr"")"),"letton")</f>
        <v>letton</v>
      </c>
      <c r="K81" s="71" t="str">
        <f>IFERROR(__xludf.DUMMYFUNCTION("GOOGLETRANSLATE(B81,""en"",""hi"")"),"लात्वीयावासी")</f>
        <v>लात्वीयावासी</v>
      </c>
      <c r="L81" s="71" t="str">
        <f>IFERROR(__xludf.DUMMYFUNCTION("GOOGLETRANSLATE(B81,""en"",""id"")"),"Latvia")</f>
        <v>Latvia</v>
      </c>
      <c r="M81" s="71" t="str">
        <f>IFERROR(__xludf.DUMMYFUNCTION("GOOGLETRANSLATE(B81,""en"",""it"")"),"lettone")</f>
        <v>lettone</v>
      </c>
      <c r="N81" s="71" t="str">
        <f>IFERROR(__xludf.DUMMYFUNCTION("GOOGLETRANSLATE(B81,""en"",""ja"")"),"ラトビア語")</f>
        <v>ラトビア語</v>
      </c>
      <c r="O81" s="71" t="str">
        <f>IFERROR(__xludf.DUMMYFUNCTION("GOOGLETRANSLATE(B81,""en"",""km"")"),"ឡាតវី")</f>
        <v>ឡាតវី</v>
      </c>
      <c r="P81" s="71" t="str">
        <f>IFERROR(__xludf.DUMMYFUNCTION("GOOGLETRANSLATE(B81,""en"",""kn"")"),"ಲಟ್ವಿಯನ್")</f>
        <v>ಲಟ್ವಿಯನ್</v>
      </c>
      <c r="Q81" s="71" t="str">
        <f>IFERROR(__xludf.DUMMYFUNCTION("GOOGLETRANSLATE(B81,""en"",""ko"")"),"라트비아 사람")</f>
        <v>라트비아 사람</v>
      </c>
      <c r="R81" s="71" t="str">
        <f>IFERROR(__xludf.DUMMYFUNCTION("GOOGLETRANSLATE(B81,""en"",""lo"")"),"ລັດເວຍ")</f>
        <v>ລັດເວຍ</v>
      </c>
      <c r="S81" s="71" t="str">
        <f>IFERROR(__xludf.DUMMYFUNCTION("GOOGLETRANSLATE(B81,""en"",""lv"")"),"latviski")</f>
        <v>latviski</v>
      </c>
      <c r="T81" s="71" t="str">
        <f>IFERROR(__xludf.DUMMYFUNCTION("GOOGLETRANSLATE(B81,""en"",""ms"")"),"bahasa Latvia")</f>
        <v>bahasa Latvia</v>
      </c>
      <c r="U81" s="71" t="str">
        <f>IFERROR(__xludf.DUMMYFUNCTION("GOOGLETRANSLATE(B81,""en"",""nl"")"),"Lets")</f>
        <v>Lets</v>
      </c>
      <c r="V81" s="71" t="str">
        <f>IFERROR(__xludf.DUMMYFUNCTION("GOOGLETRANSLATE(B81,""en"",""pl"")"),"łotewski")</f>
        <v>łotewski</v>
      </c>
      <c r="W81" s="71" t="str">
        <f>IFERROR(__xludf.DUMMYFUNCTION("GOOGLETRANSLATE(B81,""en"",""pt-PT"")"),"letão")</f>
        <v>letão</v>
      </c>
      <c r="X81" s="71" t="str">
        <f>IFERROR(__xludf.DUMMYFUNCTION("GOOGLETRANSLATE(B81,""en"",""ru"")"),"латышский")</f>
        <v>латышский</v>
      </c>
      <c r="Y81" s="71" t="str">
        <f>IFERROR(__xludf.DUMMYFUNCTION("GOOGLETRANSLATE(B81,""en"",""th"")"),"ลัตเวีย")</f>
        <v>ลัตเวีย</v>
      </c>
      <c r="Z81" s="71" t="str">
        <f>IFERROR(__xludf.DUMMYFUNCTION("GOOGLETRANSLATE(B81,""en"",""tr"")"),"Letonca")</f>
        <v>Letonca</v>
      </c>
      <c r="AA81" s="71" t="str">
        <f>IFERROR(__xludf.DUMMYFUNCTION("GOOGLETRANSLATE(B81,""en"",""uk"")"),"латиська")</f>
        <v>латиська</v>
      </c>
      <c r="AB81" s="71" t="str">
        <f>IFERROR(__xludf.DUMMYFUNCTION("GOOGLETRANSLATE(B81,""en"",""zh-CN"")"),"拉脱维亚语")</f>
        <v>拉脱维亚语</v>
      </c>
      <c r="AC81" s="71" t="str">
        <f>IFERROR(__xludf.DUMMYFUNCTION("GOOGLETRANSLATE(B81,""en"",""vi"")"),"tiếng Latvia")</f>
        <v>tiếng Latvia</v>
      </c>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c r="BK81" s="75"/>
      <c r="BL81" s="75"/>
      <c r="BM81" s="75"/>
    </row>
    <row r="82">
      <c r="A82" s="73" t="s">
        <v>7625</v>
      </c>
      <c r="B82" s="73" t="s">
        <v>7626</v>
      </c>
      <c r="C82" s="71" t="str">
        <f>IFERROR(__xludf.DUMMYFUNCTION("GOOGLETRANSLATE(B82,""en"",""ar"")"),"لاو")</f>
        <v>لاو</v>
      </c>
      <c r="D82" s="71" t="str">
        <f>IFERROR(__xludf.DUMMYFUNCTION("GOOGLETRANSLATE(B82,""en"",""cs"")"),"Lao")</f>
        <v>Lao</v>
      </c>
      <c r="E82" s="71" t="str">
        <f>IFERROR(__xludf.DUMMYFUNCTION("GOOGLETRANSLATE(B82,""en"",""de"")"),"Laotisch")</f>
        <v>Laotisch</v>
      </c>
      <c r="F82" s="71" t="str">
        <f>IFERROR(__xludf.DUMMYFUNCTION("GOOGLETRANSLATE(B82,""en"",""el"")"),"Λάος")</f>
        <v>Λάος</v>
      </c>
      <c r="G82" s="71" t="str">
        <f>IFERROR(__xludf.DUMMYFUNCTION("GOOGLETRANSLATE(B82,""en"",""es"")"),"laosiano")</f>
        <v>laosiano</v>
      </c>
      <c r="H82" s="71" t="str">
        <f>IFERROR(__xludf.DUMMYFUNCTION("GOOGLETRANSLATE(B82,""en"",""et"")"),"Lao")</f>
        <v>Lao</v>
      </c>
      <c r="I82" s="71" t="str">
        <f>IFERROR(__xludf.DUMMYFUNCTION("GOOGLETRANSLATE(B82,""en"",""fi"")"),"Lao")</f>
        <v>Lao</v>
      </c>
      <c r="J82" s="71" t="str">
        <f>IFERROR(__xludf.DUMMYFUNCTION("GOOGLETRANSLATE(B82,""en"",""fr"")"),"Laotien")</f>
        <v>Laotien</v>
      </c>
      <c r="K82" s="71" t="str">
        <f>IFERROR(__xludf.DUMMYFUNCTION("GOOGLETRANSLATE(B82,""en"",""hi"")"),"लाओ")</f>
        <v>लाओ</v>
      </c>
      <c r="L82" s="71" t="str">
        <f>IFERROR(__xludf.DUMMYFUNCTION("GOOGLETRANSLATE(B82,""en"",""id"")"),"Laos")</f>
        <v>Laos</v>
      </c>
      <c r="M82" s="71" t="str">
        <f>IFERROR(__xludf.DUMMYFUNCTION("GOOGLETRANSLATE(B82,""en"",""it"")"),"Laotiano")</f>
        <v>Laotiano</v>
      </c>
      <c r="N82" s="71" t="str">
        <f>IFERROR(__xludf.DUMMYFUNCTION("GOOGLETRANSLATE(B82,""en"",""ja"")"),"ラオ語")</f>
        <v>ラオ語</v>
      </c>
      <c r="O82" s="71" t="str">
        <f>IFERROR(__xludf.DUMMYFUNCTION("GOOGLETRANSLATE(B82,""en"",""km"")"),"ឡាវ")</f>
        <v>ឡាវ</v>
      </c>
      <c r="P82" s="71" t="str">
        <f>IFERROR(__xludf.DUMMYFUNCTION("GOOGLETRANSLATE(B82,""en"",""kn"")"),"ಲಾವೊ")</f>
        <v>ಲಾವೊ</v>
      </c>
      <c r="Q82" s="71" t="str">
        <f>IFERROR(__xludf.DUMMYFUNCTION("GOOGLETRANSLATE(B82,""en"",""ko"")"),"라오스")</f>
        <v>라오스</v>
      </c>
      <c r="R82" s="71" t="str">
        <f>IFERROR(__xludf.DUMMYFUNCTION("GOOGLETRANSLATE(B82,""en"",""lo"")"),"ພາສາລາວ")</f>
        <v>ພາສາລາວ</v>
      </c>
      <c r="S82" s="71" t="str">
        <f>IFERROR(__xludf.DUMMYFUNCTION("GOOGLETRANSLATE(B82,""en"",""lv"")"),"Laosa")</f>
        <v>Laosa</v>
      </c>
      <c r="T82" s="71" t="str">
        <f>IFERROR(__xludf.DUMMYFUNCTION("GOOGLETRANSLATE(B82,""en"",""ms"")"),"Lao")</f>
        <v>Lao</v>
      </c>
      <c r="U82" s="71" t="str">
        <f>IFERROR(__xludf.DUMMYFUNCTION("GOOGLETRANSLATE(B82,""en"",""nl"")"),"Laos")</f>
        <v>Laos</v>
      </c>
      <c r="V82" s="71" t="str">
        <f>IFERROR(__xludf.DUMMYFUNCTION("GOOGLETRANSLATE(B82,""en"",""pl"")"),"Laotański")</f>
        <v>Laotański</v>
      </c>
      <c r="W82" s="71" t="str">
        <f>IFERROR(__xludf.DUMMYFUNCTION("GOOGLETRANSLATE(B82,""en"",""pt-PT"")"),"Laos")</f>
        <v>Laos</v>
      </c>
      <c r="X82" s="71" t="str">
        <f>IFERROR(__xludf.DUMMYFUNCTION("GOOGLETRANSLATE(B82,""en"",""ru"")"),"Лаосский")</f>
        <v>Лаосский</v>
      </c>
      <c r="Y82" s="71" t="str">
        <f>IFERROR(__xludf.DUMMYFUNCTION("GOOGLETRANSLATE(B82,""en"",""th"")"),"ลาว")</f>
        <v>ลาว</v>
      </c>
      <c r="Z82" s="71" t="str">
        <f>IFERROR(__xludf.DUMMYFUNCTION("GOOGLETRANSLATE(B82,""en"",""tr"")"),"Lao")</f>
        <v>Lao</v>
      </c>
      <c r="AA82" s="71" t="str">
        <f>IFERROR(__xludf.DUMMYFUNCTION("GOOGLETRANSLATE(B82,""en"",""uk"")"),"лаоська")</f>
        <v>лаоська</v>
      </c>
      <c r="AB82" s="71" t="str">
        <f>IFERROR(__xludf.DUMMYFUNCTION("GOOGLETRANSLATE(B82,""en"",""zh-CN"")"),"老挝")</f>
        <v>老挝</v>
      </c>
      <c r="AC82" s="71" t="str">
        <f>IFERROR(__xludf.DUMMYFUNCTION("GOOGLETRANSLATE(B82,""en"",""vi"")"),"tiếng Lào")</f>
        <v>tiếng Lào</v>
      </c>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row>
    <row r="83">
      <c r="A83" s="73" t="s">
        <v>7641</v>
      </c>
      <c r="B83" s="73" t="s">
        <v>7642</v>
      </c>
      <c r="C83" s="71" t="str">
        <f>IFERROR(__xludf.DUMMYFUNCTION("GOOGLETRANSLATE(B83,""en"",""ar"")"),"لغة الملايو")</f>
        <v>لغة الملايو</v>
      </c>
      <c r="D83" s="71" t="str">
        <f>IFERROR(__xludf.DUMMYFUNCTION("GOOGLETRANSLATE(B83,""en"",""cs"")"),"malajština")</f>
        <v>malajština</v>
      </c>
      <c r="E83" s="71" t="str">
        <f>IFERROR(__xludf.DUMMYFUNCTION("GOOGLETRANSLATE(B83,""en"",""de"")"),"malaiisch")</f>
        <v>malaiisch</v>
      </c>
      <c r="F83" s="71" t="str">
        <f>IFERROR(__xludf.DUMMYFUNCTION("GOOGLETRANSLATE(B83,""en"",""el"")"),"Μαλαισίας")</f>
        <v>Μαλαισίας</v>
      </c>
      <c r="G83" s="71" t="str">
        <f>IFERROR(__xludf.DUMMYFUNCTION("GOOGLETRANSLATE(B83,""en"",""es"")"),"malayo")</f>
        <v>malayo</v>
      </c>
      <c r="H83" s="71" t="str">
        <f>IFERROR(__xludf.DUMMYFUNCTION("GOOGLETRANSLATE(B83,""en"",""et"")"),"malai")</f>
        <v>malai</v>
      </c>
      <c r="I83" s="71" t="str">
        <f>IFERROR(__xludf.DUMMYFUNCTION("GOOGLETRANSLATE(B83,""en"",""fi"")"),"malaiji")</f>
        <v>malaiji</v>
      </c>
      <c r="J83" s="71" t="str">
        <f>IFERROR(__xludf.DUMMYFUNCTION("GOOGLETRANSLATE(B83,""en"",""fr"")"),"malais")</f>
        <v>malais</v>
      </c>
      <c r="K83" s="71" t="str">
        <f>IFERROR(__xludf.DUMMYFUNCTION("GOOGLETRANSLATE(B83,""en"",""hi"")"),"मलायी")</f>
        <v>मलायी</v>
      </c>
      <c r="L83" s="71" t="str">
        <f>IFERROR(__xludf.DUMMYFUNCTION("GOOGLETRANSLATE(B83,""en"",""id"")"),"Melayu")</f>
        <v>Melayu</v>
      </c>
      <c r="M83" s="71" t="str">
        <f>IFERROR(__xludf.DUMMYFUNCTION("GOOGLETRANSLATE(B83,""en"",""it"")"),"malese")</f>
        <v>malese</v>
      </c>
      <c r="N83" s="71" t="str">
        <f>IFERROR(__xludf.DUMMYFUNCTION("GOOGLETRANSLATE(B83,""en"",""ja"")"),"マレー語")</f>
        <v>マレー語</v>
      </c>
      <c r="O83" s="71" t="str">
        <f>IFERROR(__xludf.DUMMYFUNCTION("GOOGLETRANSLATE(B83,""en"",""km"")"),"ម៉ាឡេ")</f>
        <v>ម៉ាឡេ</v>
      </c>
      <c r="P83" s="71" t="str">
        <f>IFERROR(__xludf.DUMMYFUNCTION("GOOGLETRANSLATE(B83,""en"",""kn"")"),"ಮಲಯ")</f>
        <v>ಮಲಯ</v>
      </c>
      <c r="Q83" s="71" t="str">
        <f>IFERROR(__xludf.DUMMYFUNCTION("GOOGLETRANSLATE(B83,""en"",""ko"")"),"말레이 사람")</f>
        <v>말레이 사람</v>
      </c>
      <c r="R83" s="71" t="str">
        <f>IFERROR(__xludf.DUMMYFUNCTION("GOOGLETRANSLATE(B83,""en"",""lo"")"),"ມາເລ")</f>
        <v>ມາເລ</v>
      </c>
      <c r="S83" s="71" t="str">
        <f>IFERROR(__xludf.DUMMYFUNCTION("GOOGLETRANSLATE(B83,""en"",""lv"")"),"malajiešu")</f>
        <v>malajiešu</v>
      </c>
      <c r="T83" s="71" t="str">
        <f>IFERROR(__xludf.DUMMYFUNCTION("GOOGLETRANSLATE(B83,""en"",""ms"")"),"Melayu")</f>
        <v>Melayu</v>
      </c>
      <c r="U83" s="71" t="str">
        <f>IFERROR(__xludf.DUMMYFUNCTION("GOOGLETRANSLATE(B83,""en"",""nl"")"),"Maleis")</f>
        <v>Maleis</v>
      </c>
      <c r="V83" s="71" t="str">
        <f>IFERROR(__xludf.DUMMYFUNCTION("GOOGLETRANSLATE(B83,""en"",""pl"")"),"malajski")</f>
        <v>malajski</v>
      </c>
      <c r="W83" s="71" t="str">
        <f>IFERROR(__xludf.DUMMYFUNCTION("GOOGLETRANSLATE(B83,""en"",""pt-PT"")"),"malaio")</f>
        <v>malaio</v>
      </c>
      <c r="X83" s="71" t="str">
        <f>IFERROR(__xludf.DUMMYFUNCTION("GOOGLETRANSLATE(B83,""en"",""ru"")"),"малайский")</f>
        <v>малайский</v>
      </c>
      <c r="Y83" s="71" t="str">
        <f>IFERROR(__xludf.DUMMYFUNCTION("GOOGLETRANSLATE(B83,""en"",""th"")"),"มาเลย์")</f>
        <v>มาเลย์</v>
      </c>
      <c r="Z83" s="71" t="str">
        <f>IFERROR(__xludf.DUMMYFUNCTION("GOOGLETRANSLATE(B83,""en"",""tr"")"),"Malayca")</f>
        <v>Malayca</v>
      </c>
      <c r="AA83" s="71" t="str">
        <f>IFERROR(__xludf.DUMMYFUNCTION("GOOGLETRANSLATE(B83,""en"",""uk"")"),"малайська")</f>
        <v>малайська</v>
      </c>
      <c r="AB83" s="71" t="str">
        <f>IFERROR(__xludf.DUMMYFUNCTION("GOOGLETRANSLATE(B83,""en"",""zh-CN"")"),"马来语")</f>
        <v>马来语</v>
      </c>
      <c r="AC83" s="71" t="str">
        <f>IFERROR(__xludf.DUMMYFUNCTION("GOOGLETRANSLATE(B83,""en"",""vi"")"),"Mã Lai")</f>
        <v>Mã Lai</v>
      </c>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c r="BK83" s="75"/>
      <c r="BL83" s="75"/>
      <c r="BM83" s="75"/>
    </row>
    <row r="84">
      <c r="A84" s="73" t="s">
        <v>7667</v>
      </c>
      <c r="B84" s="73" t="s">
        <v>7668</v>
      </c>
      <c r="C84" s="71" t="str">
        <f>IFERROR(__xludf.DUMMYFUNCTION("GOOGLETRANSLATE(B84,""en"",""ar"")"),"كوري")</f>
        <v>كوري</v>
      </c>
      <c r="D84" s="71" t="str">
        <f>IFERROR(__xludf.DUMMYFUNCTION("GOOGLETRANSLATE(B84,""en"",""cs"")"),"korejština")</f>
        <v>korejština</v>
      </c>
      <c r="E84" s="71" t="str">
        <f>IFERROR(__xludf.DUMMYFUNCTION("GOOGLETRANSLATE(B84,""en"",""de"")"),"Koreanisch")</f>
        <v>Koreanisch</v>
      </c>
      <c r="F84" s="71" t="str">
        <f>IFERROR(__xludf.DUMMYFUNCTION("GOOGLETRANSLATE(B84,""en"",""el"")"),"κορεάτης")</f>
        <v>κορεάτης</v>
      </c>
      <c r="G84" s="71" t="str">
        <f>IFERROR(__xludf.DUMMYFUNCTION("GOOGLETRANSLATE(B84,""en"",""es"")"),"coreano")</f>
        <v>coreano</v>
      </c>
      <c r="H84" s="71" t="str">
        <f>IFERROR(__xludf.DUMMYFUNCTION("GOOGLETRANSLATE(B84,""en"",""et"")"),"korea keel")</f>
        <v>korea keel</v>
      </c>
      <c r="I84" s="71" t="str">
        <f>IFERROR(__xludf.DUMMYFUNCTION("GOOGLETRANSLATE(B84,""en"",""fi"")"),"korealainen")</f>
        <v>korealainen</v>
      </c>
      <c r="J84" s="71" t="str">
        <f>IFERROR(__xludf.DUMMYFUNCTION("GOOGLETRANSLATE(B84,""en"",""fr"")"),"coréen")</f>
        <v>coréen</v>
      </c>
      <c r="K84" s="71" t="str">
        <f>IFERROR(__xludf.DUMMYFUNCTION("GOOGLETRANSLATE(B84,""en"",""hi"")"),"कोरियाई")</f>
        <v>कोरियाई</v>
      </c>
      <c r="L84" s="71" t="str">
        <f>IFERROR(__xludf.DUMMYFUNCTION("GOOGLETRANSLATE(B84,""en"",""id"")"),"Korea")</f>
        <v>Korea</v>
      </c>
      <c r="M84" s="71" t="str">
        <f>IFERROR(__xludf.DUMMYFUNCTION("GOOGLETRANSLATE(B84,""en"",""it"")"),"coreano")</f>
        <v>coreano</v>
      </c>
      <c r="N84" s="71" t="str">
        <f>IFERROR(__xludf.DUMMYFUNCTION("GOOGLETRANSLATE(B84,""en"",""ja"")"),"韓国語")</f>
        <v>韓国語</v>
      </c>
      <c r="O84" s="71" t="str">
        <f>IFERROR(__xludf.DUMMYFUNCTION("GOOGLETRANSLATE(B84,""en"",""km"")"),"កូរ៉េ")</f>
        <v>កូរ៉េ</v>
      </c>
      <c r="P84" s="71" t="str">
        <f>IFERROR(__xludf.DUMMYFUNCTION("GOOGLETRANSLATE(B84,""en"",""kn"")"),"ಕೊರಿಯನ್")</f>
        <v>ಕೊರಿಯನ್</v>
      </c>
      <c r="Q84" s="71" t="str">
        <f>IFERROR(__xludf.DUMMYFUNCTION("GOOGLETRANSLATE(B84,""en"",""ko"")"),"한국인")</f>
        <v>한국인</v>
      </c>
      <c r="R84" s="71" t="str">
        <f>IFERROR(__xludf.DUMMYFUNCTION("GOOGLETRANSLATE(B84,""en"",""lo"")"),"ເກົາຫຼີ")</f>
        <v>ເກົາຫຼີ</v>
      </c>
      <c r="S84" s="71" t="str">
        <f>IFERROR(__xludf.DUMMYFUNCTION("GOOGLETRANSLATE(B84,""en"",""lv"")"),"korejiešu")</f>
        <v>korejiešu</v>
      </c>
      <c r="T84" s="71" t="str">
        <f>IFERROR(__xludf.DUMMYFUNCTION("GOOGLETRANSLATE(B84,""en"",""ms"")"),"Korea")</f>
        <v>Korea</v>
      </c>
      <c r="U84" s="71" t="str">
        <f>IFERROR(__xludf.DUMMYFUNCTION("GOOGLETRANSLATE(B84,""en"",""nl"")"),"Koreaans")</f>
        <v>Koreaans</v>
      </c>
      <c r="V84" s="71" t="str">
        <f>IFERROR(__xludf.DUMMYFUNCTION("GOOGLETRANSLATE(B84,""en"",""pl"")"),"koreański")</f>
        <v>koreański</v>
      </c>
      <c r="W84" s="71" t="str">
        <f>IFERROR(__xludf.DUMMYFUNCTION("GOOGLETRANSLATE(B84,""en"",""pt-PT"")"),"coreano")</f>
        <v>coreano</v>
      </c>
      <c r="X84" s="71" t="str">
        <f>IFERROR(__xludf.DUMMYFUNCTION("GOOGLETRANSLATE(B84,""en"",""ru"")"),"корейский")</f>
        <v>корейский</v>
      </c>
      <c r="Y84" s="71" t="str">
        <f>IFERROR(__xludf.DUMMYFUNCTION("GOOGLETRANSLATE(B84,""en"",""th"")"),"เกาหลี")</f>
        <v>เกาหลี</v>
      </c>
      <c r="Z84" s="71" t="str">
        <f>IFERROR(__xludf.DUMMYFUNCTION("GOOGLETRANSLATE(B84,""en"",""tr"")"),"Korece")</f>
        <v>Korece</v>
      </c>
      <c r="AA84" s="71" t="str">
        <f>IFERROR(__xludf.DUMMYFUNCTION("GOOGLETRANSLATE(B84,""en"",""uk"")"),"корейська")</f>
        <v>корейська</v>
      </c>
      <c r="AB84" s="71" t="str">
        <f>IFERROR(__xludf.DUMMYFUNCTION("GOOGLETRANSLATE(B84,""en"",""zh-CN"")"),"韩国人")</f>
        <v>韩国人</v>
      </c>
      <c r="AC84" s="71" t="str">
        <f>IFERROR(__xludf.DUMMYFUNCTION("GOOGLETRANSLATE(B84,""en"",""vi"")"),"Tiếng Hàn")</f>
        <v>Tiếng Hàn</v>
      </c>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c r="BK84" s="75"/>
      <c r="BL84" s="75"/>
      <c r="BM84" s="75"/>
    </row>
    <row r="85">
      <c r="A85" s="73" t="s">
        <v>7692</v>
      </c>
      <c r="B85" s="73" t="s">
        <v>7693</v>
      </c>
      <c r="C85" s="71" t="str">
        <f>IFERROR(__xludf.DUMMYFUNCTION("GOOGLETRANSLATE(B85,""en"",""ar"")"),"الخمير")</f>
        <v>الخمير</v>
      </c>
      <c r="D85" s="71" t="str">
        <f>IFERROR(__xludf.DUMMYFUNCTION("GOOGLETRANSLATE(B85,""en"",""cs"")"),"khmerské")</f>
        <v>khmerské</v>
      </c>
      <c r="E85" s="71" t="str">
        <f>IFERROR(__xludf.DUMMYFUNCTION("GOOGLETRANSLATE(B85,""en"",""de"")"),"Khmer")</f>
        <v>Khmer</v>
      </c>
      <c r="F85" s="71" t="str">
        <f>IFERROR(__xludf.DUMMYFUNCTION("GOOGLETRANSLATE(B85,""en"",""el"")"),"Χμερ")</f>
        <v>Χμερ</v>
      </c>
      <c r="G85" s="71" t="str">
        <f>IFERROR(__xludf.DUMMYFUNCTION("GOOGLETRANSLATE(B85,""en"",""es"")"),"jemer")</f>
        <v>jemer</v>
      </c>
      <c r="H85" s="71" t="str">
        <f>IFERROR(__xludf.DUMMYFUNCTION("GOOGLETRANSLATE(B85,""en"",""et"")"),"khmeerid")</f>
        <v>khmeerid</v>
      </c>
      <c r="I85" s="71" t="str">
        <f>IFERROR(__xludf.DUMMYFUNCTION("GOOGLETRANSLATE(B85,""en"",""fi"")"),"khmerit")</f>
        <v>khmerit</v>
      </c>
      <c r="J85" s="71" t="str">
        <f>IFERROR(__xludf.DUMMYFUNCTION("GOOGLETRANSLATE(B85,""en"",""fr"")"),"Khmer")</f>
        <v>Khmer</v>
      </c>
      <c r="K85" s="71" t="str">
        <f>IFERROR(__xludf.DUMMYFUNCTION("GOOGLETRANSLATE(B85,""en"",""hi"")"),"खमेर")</f>
        <v>खमेर</v>
      </c>
      <c r="L85" s="71" t="str">
        <f>IFERROR(__xludf.DUMMYFUNCTION("GOOGLETRANSLATE(B85,""en"",""id"")"),"Khmer")</f>
        <v>Khmer</v>
      </c>
      <c r="M85" s="71" t="str">
        <f>IFERROR(__xludf.DUMMYFUNCTION("GOOGLETRANSLATE(B85,""en"",""it"")"),"Khmer")</f>
        <v>Khmer</v>
      </c>
      <c r="N85" s="71" t="str">
        <f>IFERROR(__xludf.DUMMYFUNCTION("GOOGLETRANSLATE(B85,""en"",""ja"")"),"クメール語")</f>
        <v>クメール語</v>
      </c>
      <c r="O85" s="71" t="str">
        <f>IFERROR(__xludf.DUMMYFUNCTION("GOOGLETRANSLATE(B85,""en"",""km"")"),"ខ្មែរ")</f>
        <v>ខ្មែរ</v>
      </c>
      <c r="P85" s="71" t="str">
        <f>IFERROR(__xludf.DUMMYFUNCTION("GOOGLETRANSLATE(B85,""en"",""kn"")"),"ಖಮೇರ್")</f>
        <v>ಖಮೇರ್</v>
      </c>
      <c r="Q85" s="71" t="str">
        <f>IFERROR(__xludf.DUMMYFUNCTION("GOOGLETRANSLATE(B85,""en"",""ko"")"),"크메르어")</f>
        <v>크메르어</v>
      </c>
      <c r="R85" s="71" t="str">
        <f>IFERROR(__xludf.DUMMYFUNCTION("GOOGLETRANSLATE(B85,""en"",""lo"")"),"ຂະເໝນ")</f>
        <v>ຂະເໝນ</v>
      </c>
      <c r="S85" s="71" t="str">
        <f>IFERROR(__xludf.DUMMYFUNCTION("GOOGLETRANSLATE(B85,""en"",""lv"")"),"khmeru")</f>
        <v>khmeru</v>
      </c>
      <c r="T85" s="71" t="str">
        <f>IFERROR(__xludf.DUMMYFUNCTION("GOOGLETRANSLATE(B85,""en"",""ms"")"),"Khmer")</f>
        <v>Khmer</v>
      </c>
      <c r="U85" s="71" t="str">
        <f>IFERROR(__xludf.DUMMYFUNCTION("GOOGLETRANSLATE(B85,""en"",""nl"")"),"Khmer")</f>
        <v>Khmer</v>
      </c>
      <c r="V85" s="71" t="str">
        <f>IFERROR(__xludf.DUMMYFUNCTION("GOOGLETRANSLATE(B85,""en"",""pl"")"),"Khmer")</f>
        <v>Khmer</v>
      </c>
      <c r="W85" s="71" t="str">
        <f>IFERROR(__xludf.DUMMYFUNCTION("GOOGLETRANSLATE(B85,""en"",""pt-PT"")"),"Khmer")</f>
        <v>Khmer</v>
      </c>
      <c r="X85" s="71" t="str">
        <f>IFERROR(__xludf.DUMMYFUNCTION("GOOGLETRANSLATE(B85,""en"",""ru"")"),"кхмерский")</f>
        <v>кхмерский</v>
      </c>
      <c r="Y85" s="71" t="str">
        <f>IFERROR(__xludf.DUMMYFUNCTION("GOOGLETRANSLATE(B85,""en"",""th"")"),"เขมร")</f>
        <v>เขมร</v>
      </c>
      <c r="Z85" s="71" t="str">
        <f>IFERROR(__xludf.DUMMYFUNCTION("GOOGLETRANSLATE(B85,""en"",""tr"")"),"Kmer")</f>
        <v>Kmer</v>
      </c>
      <c r="AA85" s="71" t="str">
        <f>IFERROR(__xludf.DUMMYFUNCTION("GOOGLETRANSLATE(B85,""en"",""uk"")"),"кхмерська")</f>
        <v>кхмерська</v>
      </c>
      <c r="AB85" s="71" t="str">
        <f>IFERROR(__xludf.DUMMYFUNCTION("GOOGLETRANSLATE(B85,""en"",""zh-CN"")"),"高棉语")</f>
        <v>高棉语</v>
      </c>
      <c r="AC85" s="71" t="str">
        <f>IFERROR(__xludf.DUMMYFUNCTION("GOOGLETRANSLATE(B85,""en"",""vi"")"),"tiếng Khmer")</f>
        <v>tiếng Khmer</v>
      </c>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c r="BK85" s="75"/>
      <c r="BL85" s="75"/>
      <c r="BM85" s="75"/>
    </row>
    <row r="86">
      <c r="A86" s="73" t="s">
        <v>7709</v>
      </c>
      <c r="B86" s="73" t="s">
        <v>7710</v>
      </c>
      <c r="C86" s="71" t="str">
        <f>IFERROR(__xludf.DUMMYFUNCTION("GOOGLETRANSLATE(B86,""en"",""ar"")"),"الكانادا")</f>
        <v>الكانادا</v>
      </c>
      <c r="D86" s="71" t="str">
        <f>IFERROR(__xludf.DUMMYFUNCTION("GOOGLETRANSLATE(B86,""en"",""cs"")"),"Kannada")</f>
        <v>Kannada</v>
      </c>
      <c r="E86" s="71" t="str">
        <f>IFERROR(__xludf.DUMMYFUNCTION("GOOGLETRANSLATE(B86,""en"",""de"")"),"Kannada")</f>
        <v>Kannada</v>
      </c>
      <c r="F86" s="71" t="str">
        <f>IFERROR(__xludf.DUMMYFUNCTION("GOOGLETRANSLATE(B86,""en"",""el"")"),"Κανάντα")</f>
        <v>Κανάντα</v>
      </c>
      <c r="G86" s="71" t="str">
        <f>IFERROR(__xludf.DUMMYFUNCTION("GOOGLETRANSLATE(B86,""en"",""es"")"),"canarés")</f>
        <v>canarés</v>
      </c>
      <c r="H86" s="71" t="str">
        <f>IFERROR(__xludf.DUMMYFUNCTION("GOOGLETRANSLATE(B86,""en"",""et"")"),"kannada")</f>
        <v>kannada</v>
      </c>
      <c r="I86" s="71" t="str">
        <f>IFERROR(__xludf.DUMMYFUNCTION("GOOGLETRANSLATE(B86,""en"",""fi"")"),"kannada")</f>
        <v>kannada</v>
      </c>
      <c r="J86" s="71" t="str">
        <f>IFERROR(__xludf.DUMMYFUNCTION("GOOGLETRANSLATE(B86,""en"",""fr"")"),"Kannada")</f>
        <v>Kannada</v>
      </c>
      <c r="K86" s="71" t="str">
        <f>IFERROR(__xludf.DUMMYFUNCTION("GOOGLETRANSLATE(B86,""en"",""hi"")"),"कन्नडा")</f>
        <v>कन्नडा</v>
      </c>
      <c r="L86" s="71" t="str">
        <f>IFERROR(__xludf.DUMMYFUNCTION("GOOGLETRANSLATE(B86,""en"",""id"")"),"Kannada")</f>
        <v>Kannada</v>
      </c>
      <c r="M86" s="71" t="str">
        <f>IFERROR(__xludf.DUMMYFUNCTION("GOOGLETRANSLATE(B86,""en"",""it"")"),"Kannada")</f>
        <v>Kannada</v>
      </c>
      <c r="N86" s="71" t="str">
        <f>IFERROR(__xludf.DUMMYFUNCTION("GOOGLETRANSLATE(B86,""en"",""ja"")"),"カンナダ語")</f>
        <v>カンナダ語</v>
      </c>
      <c r="O86" s="71" t="str">
        <f>IFERROR(__xludf.DUMMYFUNCTION("GOOGLETRANSLATE(B86,""en"",""km"")"),"កាណាដា")</f>
        <v>កាណាដា</v>
      </c>
      <c r="P86" s="71" t="str">
        <f>IFERROR(__xludf.DUMMYFUNCTION("GOOGLETRANSLATE(B86,""en"",""kn"")"),"ಕನ್ನಡ")</f>
        <v>ಕನ್ನಡ</v>
      </c>
      <c r="Q86" s="71" t="str">
        <f>IFERROR(__xludf.DUMMYFUNCTION("GOOGLETRANSLATE(B86,""en"",""ko"")"),"칸나다어")</f>
        <v>칸나다어</v>
      </c>
      <c r="R86" s="71" t="str">
        <f>IFERROR(__xludf.DUMMYFUNCTION("GOOGLETRANSLATE(B86,""en"",""lo"")"),"ແຄນນາດາ")</f>
        <v>ແຄນນາດາ</v>
      </c>
      <c r="S86" s="71" t="str">
        <f>IFERROR(__xludf.DUMMYFUNCTION("GOOGLETRANSLATE(B86,""en"",""lv"")"),"kannada")</f>
        <v>kannada</v>
      </c>
      <c r="T86" s="71" t="str">
        <f>IFERROR(__xludf.DUMMYFUNCTION("GOOGLETRANSLATE(B86,""en"",""ms"")"),"Kannada")</f>
        <v>Kannada</v>
      </c>
      <c r="U86" s="71" t="str">
        <f>IFERROR(__xludf.DUMMYFUNCTION("GOOGLETRANSLATE(B86,""en"",""nl"")"),"Kanada")</f>
        <v>Kanada</v>
      </c>
      <c r="V86" s="71" t="str">
        <f>IFERROR(__xludf.DUMMYFUNCTION("GOOGLETRANSLATE(B86,""en"",""pl"")"),"Kannada")</f>
        <v>Kannada</v>
      </c>
      <c r="W86" s="71" t="str">
        <f>IFERROR(__xludf.DUMMYFUNCTION("GOOGLETRANSLATE(B86,""en"",""pt-PT"")"),"Kannada")</f>
        <v>Kannada</v>
      </c>
      <c r="X86" s="71" t="str">
        <f>IFERROR(__xludf.DUMMYFUNCTION("GOOGLETRANSLATE(B86,""en"",""ru"")"),"Каннада")</f>
        <v>Каннада</v>
      </c>
      <c r="Y86" s="71" t="str">
        <f>IFERROR(__xludf.DUMMYFUNCTION("GOOGLETRANSLATE(B86,""en"",""th"")"),"กันนาดา")</f>
        <v>กันนาดา</v>
      </c>
      <c r="Z86" s="71" t="str">
        <f>IFERROR(__xludf.DUMMYFUNCTION("GOOGLETRANSLATE(B86,""en"",""tr"")"),"Kannadaca")</f>
        <v>Kannadaca</v>
      </c>
      <c r="AA86" s="71" t="str">
        <f>IFERROR(__xludf.DUMMYFUNCTION("GOOGLETRANSLATE(B86,""en"",""uk"")"),"каннада")</f>
        <v>каннада</v>
      </c>
      <c r="AB86" s="71" t="str">
        <f>IFERROR(__xludf.DUMMYFUNCTION("GOOGLETRANSLATE(B86,""en"",""zh-CN"")"),"卡纳达语")</f>
        <v>卡纳达语</v>
      </c>
      <c r="AC86" s="71" t="str">
        <f>IFERROR(__xludf.DUMMYFUNCTION("GOOGLETRANSLATE(B86,""en"",""vi"")"),"tiếng Kannada")</f>
        <v>tiếng Kannada</v>
      </c>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c r="BK86" s="75"/>
      <c r="BL86" s="75"/>
      <c r="BM86" s="75"/>
    </row>
    <row r="87">
      <c r="A87" s="73" t="s">
        <v>7723</v>
      </c>
      <c r="B87" s="73" t="s">
        <v>7724</v>
      </c>
      <c r="C87" s="71" t="str">
        <f>IFERROR(__xludf.DUMMYFUNCTION("GOOGLETRANSLATE(B87,""en"",""ar"")"),"اليابانية")</f>
        <v>اليابانية</v>
      </c>
      <c r="D87" s="71" t="str">
        <f>IFERROR(__xludf.DUMMYFUNCTION("GOOGLETRANSLATE(B87,""en"",""cs"")"),"japonský")</f>
        <v>japonský</v>
      </c>
      <c r="E87" s="71" t="str">
        <f>IFERROR(__xludf.DUMMYFUNCTION("GOOGLETRANSLATE(B87,""en"",""de"")"),"japanisch")</f>
        <v>japanisch</v>
      </c>
      <c r="F87" s="71" t="str">
        <f>IFERROR(__xludf.DUMMYFUNCTION("GOOGLETRANSLATE(B87,""en"",""el"")"),"Ιαπωνικά")</f>
        <v>Ιαπωνικά</v>
      </c>
      <c r="G87" s="71" t="str">
        <f>IFERROR(__xludf.DUMMYFUNCTION("GOOGLETRANSLATE(B87,""en"",""es"")"),"japonés")</f>
        <v>japonés</v>
      </c>
      <c r="H87" s="71" t="str">
        <f>IFERROR(__xludf.DUMMYFUNCTION("GOOGLETRANSLATE(B87,""en"",""et"")"),"Jaapani")</f>
        <v>Jaapani</v>
      </c>
      <c r="I87" s="71" t="str">
        <f>IFERROR(__xludf.DUMMYFUNCTION("GOOGLETRANSLATE(B87,""en"",""fi"")"),"japanilainen")</f>
        <v>japanilainen</v>
      </c>
      <c r="J87" s="71" t="str">
        <f>IFERROR(__xludf.DUMMYFUNCTION("GOOGLETRANSLATE(B87,""en"",""fr"")"),"japonais")</f>
        <v>japonais</v>
      </c>
      <c r="K87" s="71" t="str">
        <f>IFERROR(__xludf.DUMMYFUNCTION("GOOGLETRANSLATE(B87,""en"",""hi"")"),"जापानी")</f>
        <v>जापानी</v>
      </c>
      <c r="L87" s="71" t="str">
        <f>IFERROR(__xludf.DUMMYFUNCTION("GOOGLETRANSLATE(B87,""en"",""id"")"),"Jepang")</f>
        <v>Jepang</v>
      </c>
      <c r="M87" s="71" t="str">
        <f>IFERROR(__xludf.DUMMYFUNCTION("GOOGLETRANSLATE(B87,""en"",""it"")"),"giapponese")</f>
        <v>giapponese</v>
      </c>
      <c r="N87" s="71" t="str">
        <f>IFERROR(__xludf.DUMMYFUNCTION("GOOGLETRANSLATE(B87,""en"",""ja"")"),"日本語")</f>
        <v>日本語</v>
      </c>
      <c r="O87" s="71" t="str">
        <f>IFERROR(__xludf.DUMMYFUNCTION("GOOGLETRANSLATE(B87,""en"",""km"")"),"ជប៉ុន")</f>
        <v>ជប៉ុន</v>
      </c>
      <c r="P87" s="71" t="str">
        <f>IFERROR(__xludf.DUMMYFUNCTION("GOOGLETRANSLATE(B87,""en"",""kn"")"),"ಜಪಾನೀಸ್")</f>
        <v>ಜಪಾನೀಸ್</v>
      </c>
      <c r="Q87" s="71" t="str">
        <f>IFERROR(__xludf.DUMMYFUNCTION("GOOGLETRANSLATE(B87,""en"",""ko"")"),"일본어")</f>
        <v>일본어</v>
      </c>
      <c r="R87" s="71" t="str">
        <f>IFERROR(__xludf.DUMMYFUNCTION("GOOGLETRANSLATE(B87,""en"",""lo"")"),"ພາສາຍີ່ປຸ່ນ")</f>
        <v>ພາສາຍີ່ປຸ່ນ</v>
      </c>
      <c r="S87" s="71" t="str">
        <f>IFERROR(__xludf.DUMMYFUNCTION("GOOGLETRANSLATE(B87,""en"",""lv"")"),"japāņi")</f>
        <v>japāņi</v>
      </c>
      <c r="T87" s="71" t="str">
        <f>IFERROR(__xludf.DUMMYFUNCTION("GOOGLETRANSLATE(B87,""en"",""ms"")"),"Jepun")</f>
        <v>Jepun</v>
      </c>
      <c r="U87" s="71" t="str">
        <f>IFERROR(__xludf.DUMMYFUNCTION("GOOGLETRANSLATE(B87,""en"",""nl"")"),"Japanse")</f>
        <v>Japanse</v>
      </c>
      <c r="V87" s="71" t="str">
        <f>IFERROR(__xludf.DUMMYFUNCTION("GOOGLETRANSLATE(B87,""en"",""pl"")"),"japoński")</f>
        <v>japoński</v>
      </c>
      <c r="W87" s="71" t="str">
        <f>IFERROR(__xludf.DUMMYFUNCTION("GOOGLETRANSLATE(B87,""en"",""pt-PT"")"),"japonês")</f>
        <v>japonês</v>
      </c>
      <c r="X87" s="71" t="str">
        <f>IFERROR(__xludf.DUMMYFUNCTION("GOOGLETRANSLATE(B87,""en"",""ru"")"),"японский")</f>
        <v>японский</v>
      </c>
      <c r="Y87" s="71" t="str">
        <f>IFERROR(__xludf.DUMMYFUNCTION("GOOGLETRANSLATE(B87,""en"",""th"")"),"ญี่ปุ่น")</f>
        <v>ญี่ปุ่น</v>
      </c>
      <c r="Z87" s="71" t="str">
        <f>IFERROR(__xludf.DUMMYFUNCTION("GOOGLETRANSLATE(B87,""en"",""tr"")"),"Japonca")</f>
        <v>Japonca</v>
      </c>
      <c r="AA87" s="71" t="str">
        <f>IFERROR(__xludf.DUMMYFUNCTION("GOOGLETRANSLATE(B87,""en"",""uk"")"),"Японський")</f>
        <v>Японський</v>
      </c>
      <c r="AB87" s="71" t="str">
        <f>IFERROR(__xludf.DUMMYFUNCTION("GOOGLETRANSLATE(B87,""en"",""zh-CN"")"),"日本人")</f>
        <v>日本人</v>
      </c>
      <c r="AC87" s="71" t="str">
        <f>IFERROR(__xludf.DUMMYFUNCTION("GOOGLETRANSLATE(B87,""en"",""vi"")"),"tiếng Nhật")</f>
        <v>tiếng Nhật</v>
      </c>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c r="BK87" s="75"/>
      <c r="BL87" s="75"/>
      <c r="BM87" s="75"/>
    </row>
    <row r="88">
      <c r="A88" s="73" t="s">
        <v>7752</v>
      </c>
      <c r="B88" s="73" t="s">
        <v>7753</v>
      </c>
      <c r="C88" s="71" t="str">
        <f>IFERROR(__xludf.DUMMYFUNCTION("GOOGLETRANSLATE(B88,""en"",""ar"")"),"ايطالي")</f>
        <v>ايطالي</v>
      </c>
      <c r="D88" s="71" t="str">
        <f>IFERROR(__xludf.DUMMYFUNCTION("GOOGLETRANSLATE(B88,""en"",""cs"")"),"italština")</f>
        <v>italština</v>
      </c>
      <c r="E88" s="71" t="str">
        <f>IFERROR(__xludf.DUMMYFUNCTION("GOOGLETRANSLATE(B88,""en"",""de"")"),"Italienisch")</f>
        <v>Italienisch</v>
      </c>
      <c r="F88" s="71" t="str">
        <f>IFERROR(__xludf.DUMMYFUNCTION("GOOGLETRANSLATE(B88,""en"",""el"")"),"ιταλικά")</f>
        <v>ιταλικά</v>
      </c>
      <c r="G88" s="71" t="str">
        <f>IFERROR(__xludf.DUMMYFUNCTION("GOOGLETRANSLATE(B88,""en"",""es"")"),"italiano")</f>
        <v>italiano</v>
      </c>
      <c r="H88" s="71" t="str">
        <f>IFERROR(__xludf.DUMMYFUNCTION("GOOGLETRANSLATE(B88,""en"",""et"")"),"itaalia keel")</f>
        <v>itaalia keel</v>
      </c>
      <c r="I88" s="71" t="str">
        <f>IFERROR(__xludf.DUMMYFUNCTION("GOOGLETRANSLATE(B88,""en"",""fi"")"),"italialainen")</f>
        <v>italialainen</v>
      </c>
      <c r="J88" s="71" t="str">
        <f>IFERROR(__xludf.DUMMYFUNCTION("GOOGLETRANSLATE(B88,""en"",""fr"")"),"italien")</f>
        <v>italien</v>
      </c>
      <c r="K88" s="71" t="str">
        <f>IFERROR(__xludf.DUMMYFUNCTION("GOOGLETRANSLATE(B88,""en"",""hi"")"),"इतालवी")</f>
        <v>इतालवी</v>
      </c>
      <c r="L88" s="71" t="str">
        <f>IFERROR(__xludf.DUMMYFUNCTION("GOOGLETRANSLATE(B88,""en"",""id"")"),"Italia")</f>
        <v>Italia</v>
      </c>
      <c r="M88" s="71" t="str">
        <f>IFERROR(__xludf.DUMMYFUNCTION("GOOGLETRANSLATE(B88,""en"",""it"")"),"Italiano")</f>
        <v>Italiano</v>
      </c>
      <c r="N88" s="71" t="str">
        <f>IFERROR(__xludf.DUMMYFUNCTION("GOOGLETRANSLATE(B88,""en"",""ja"")"),"イタリア語")</f>
        <v>イタリア語</v>
      </c>
      <c r="O88" s="71" t="str">
        <f>IFERROR(__xludf.DUMMYFUNCTION("GOOGLETRANSLATE(B88,""en"",""km"")"),"អ៊ីតាលី")</f>
        <v>អ៊ីតាលី</v>
      </c>
      <c r="P88" s="71" t="str">
        <f>IFERROR(__xludf.DUMMYFUNCTION("GOOGLETRANSLATE(B88,""en"",""kn"")"),"ಇಟಾಲಿಯನ್")</f>
        <v>ಇಟಾಲಿಯನ್</v>
      </c>
      <c r="Q88" s="71" t="str">
        <f>IFERROR(__xludf.DUMMYFUNCTION("GOOGLETRANSLATE(B88,""en"",""ko"")"),"이탈리아 사람")</f>
        <v>이탈리아 사람</v>
      </c>
      <c r="R88" s="71" t="str">
        <f>IFERROR(__xludf.DUMMYFUNCTION("GOOGLETRANSLATE(B88,""en"",""lo"")"),"ອິຕາລຽນ")</f>
        <v>ອິຕາລຽນ</v>
      </c>
      <c r="S88" s="71" t="str">
        <f>IFERROR(__xludf.DUMMYFUNCTION("GOOGLETRANSLATE(B88,""en"",""lv"")"),"itāļu valoda")</f>
        <v>itāļu valoda</v>
      </c>
      <c r="T88" s="71" t="str">
        <f>IFERROR(__xludf.DUMMYFUNCTION("GOOGLETRANSLATE(B88,""en"",""ms"")"),"Itali")</f>
        <v>Itali</v>
      </c>
      <c r="U88" s="71" t="str">
        <f>IFERROR(__xludf.DUMMYFUNCTION("GOOGLETRANSLATE(B88,""en"",""nl"")"),"Italiaans")</f>
        <v>Italiaans</v>
      </c>
      <c r="V88" s="71" t="str">
        <f>IFERROR(__xludf.DUMMYFUNCTION("GOOGLETRANSLATE(B88,""en"",""pl"")"),"włoski")</f>
        <v>włoski</v>
      </c>
      <c r="W88" s="71" t="str">
        <f>IFERROR(__xludf.DUMMYFUNCTION("GOOGLETRANSLATE(B88,""en"",""pt-PT"")"),"italiano")</f>
        <v>italiano</v>
      </c>
      <c r="X88" s="71" t="str">
        <f>IFERROR(__xludf.DUMMYFUNCTION("GOOGLETRANSLATE(B88,""en"",""ru"")"),"итальянский")</f>
        <v>итальянский</v>
      </c>
      <c r="Y88" s="71" t="str">
        <f>IFERROR(__xludf.DUMMYFUNCTION("GOOGLETRANSLATE(B88,""en"",""th"")"),"ภาษาอิตาลี")</f>
        <v>ภาษาอิตาลี</v>
      </c>
      <c r="Z88" s="71" t="str">
        <f>IFERROR(__xludf.DUMMYFUNCTION("GOOGLETRANSLATE(B88,""en"",""tr"")"),"İtalyan")</f>
        <v>İtalyan</v>
      </c>
      <c r="AA88" s="71" t="str">
        <f>IFERROR(__xludf.DUMMYFUNCTION("GOOGLETRANSLATE(B88,""en"",""uk"")"),"італійська")</f>
        <v>італійська</v>
      </c>
      <c r="AB88" s="71" t="str">
        <f>IFERROR(__xludf.DUMMYFUNCTION("GOOGLETRANSLATE(B88,""en"",""zh-CN"")"),"意大利语")</f>
        <v>意大利语</v>
      </c>
      <c r="AC88" s="71" t="str">
        <f>IFERROR(__xludf.DUMMYFUNCTION("GOOGLETRANSLATE(B88,""en"",""vi"")"),"người Ý")</f>
        <v>người Ý</v>
      </c>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c r="BK88" s="75"/>
      <c r="BL88" s="75"/>
      <c r="BM88" s="75"/>
    </row>
    <row r="89">
      <c r="A89" s="73" t="s">
        <v>7780</v>
      </c>
      <c r="B89" s="73" t="s">
        <v>7781</v>
      </c>
      <c r="C89" s="71" t="str">
        <f>IFERROR(__xludf.DUMMYFUNCTION("GOOGLETRANSLATE(B89,""en"",""ar"")"),"الاندونيسية")</f>
        <v>الاندونيسية</v>
      </c>
      <c r="D89" s="71" t="str">
        <f>IFERROR(__xludf.DUMMYFUNCTION("GOOGLETRANSLATE(B89,""en"",""cs"")"),"indonéština")</f>
        <v>indonéština</v>
      </c>
      <c r="E89" s="71" t="str">
        <f>IFERROR(__xludf.DUMMYFUNCTION("GOOGLETRANSLATE(B89,""en"",""de"")"),"Indonesisch")</f>
        <v>Indonesisch</v>
      </c>
      <c r="F89" s="71" t="str">
        <f>IFERROR(__xludf.DUMMYFUNCTION("GOOGLETRANSLATE(B89,""en"",""el"")"),"Ινδονησιακά")</f>
        <v>Ινδονησιακά</v>
      </c>
      <c r="G89" s="71" t="str">
        <f>IFERROR(__xludf.DUMMYFUNCTION("GOOGLETRANSLATE(B89,""en"",""es"")"),"indonesio")</f>
        <v>indonesio</v>
      </c>
      <c r="H89" s="71" t="str">
        <f>IFERROR(__xludf.DUMMYFUNCTION("GOOGLETRANSLATE(B89,""en"",""et"")"),"Indoneesia")</f>
        <v>Indoneesia</v>
      </c>
      <c r="I89" s="71" t="str">
        <f>IFERROR(__xludf.DUMMYFUNCTION("GOOGLETRANSLATE(B89,""en"",""fi"")"),"Indonesialainen")</f>
        <v>Indonesialainen</v>
      </c>
      <c r="J89" s="71" t="str">
        <f>IFERROR(__xludf.DUMMYFUNCTION("GOOGLETRANSLATE(B89,""en"",""fr"")"),"indonésien")</f>
        <v>indonésien</v>
      </c>
      <c r="K89" s="71" t="str">
        <f>IFERROR(__xludf.DUMMYFUNCTION("GOOGLETRANSLATE(B89,""en"",""hi"")"),"इन्डोनेशियाई")</f>
        <v>इन्डोनेशियाई</v>
      </c>
      <c r="L89" s="71" t="str">
        <f>IFERROR(__xludf.DUMMYFUNCTION("GOOGLETRANSLATE(B89,""en"",""id"")"),"Indonesia")</f>
        <v>Indonesia</v>
      </c>
      <c r="M89" s="71" t="str">
        <f>IFERROR(__xludf.DUMMYFUNCTION("GOOGLETRANSLATE(B89,""en"",""it"")"),"indonesiano")</f>
        <v>indonesiano</v>
      </c>
      <c r="N89" s="71" t="str">
        <f>IFERROR(__xludf.DUMMYFUNCTION("GOOGLETRANSLATE(B89,""en"",""ja"")"),"インドネシア語")</f>
        <v>インドネシア語</v>
      </c>
      <c r="O89" s="71" t="str">
        <f>IFERROR(__xludf.DUMMYFUNCTION("GOOGLETRANSLATE(B89,""en"",""km"")"),"ឥណ្ឌូនេស៊ី")</f>
        <v>ឥណ្ឌូនេស៊ី</v>
      </c>
      <c r="P89" s="71" t="str">
        <f>IFERROR(__xludf.DUMMYFUNCTION("GOOGLETRANSLATE(B89,""en"",""kn"")"),"ಇಂಡೋನೇಷಿಯನ್")</f>
        <v>ಇಂಡೋನೇಷಿಯನ್</v>
      </c>
      <c r="Q89" s="71" t="str">
        <f>IFERROR(__xludf.DUMMYFUNCTION("GOOGLETRANSLATE(B89,""en"",""ko"")"),"인도네시아 인")</f>
        <v>인도네시아 인</v>
      </c>
      <c r="R89" s="71" t="str">
        <f>IFERROR(__xludf.DUMMYFUNCTION("GOOGLETRANSLATE(B89,""en"",""lo"")"),"ອິນໂດເນເຊຍ")</f>
        <v>ອິນໂດເນເຊຍ</v>
      </c>
      <c r="S89" s="71" t="str">
        <f>IFERROR(__xludf.DUMMYFUNCTION("GOOGLETRANSLATE(B89,""en"",""lv"")"),"Indonēziešu")</f>
        <v>Indonēziešu</v>
      </c>
      <c r="T89" s="71" t="str">
        <f>IFERROR(__xludf.DUMMYFUNCTION("GOOGLETRANSLATE(B89,""en"",""ms"")"),"Indonesia")</f>
        <v>Indonesia</v>
      </c>
      <c r="U89" s="71" t="str">
        <f>IFERROR(__xludf.DUMMYFUNCTION("GOOGLETRANSLATE(B89,""en"",""nl"")"),"Indonesisch")</f>
        <v>Indonesisch</v>
      </c>
      <c r="V89" s="71" t="str">
        <f>IFERROR(__xludf.DUMMYFUNCTION("GOOGLETRANSLATE(B89,""en"",""pl"")"),"indonezyjski")</f>
        <v>indonezyjski</v>
      </c>
      <c r="W89" s="71" t="str">
        <f>IFERROR(__xludf.DUMMYFUNCTION("GOOGLETRANSLATE(B89,""en"",""pt-PT"")"),"indonésio")</f>
        <v>indonésio</v>
      </c>
      <c r="X89" s="71" t="str">
        <f>IFERROR(__xludf.DUMMYFUNCTION("GOOGLETRANSLATE(B89,""en"",""ru"")"),"индонезийский")</f>
        <v>индонезийский</v>
      </c>
      <c r="Y89" s="71" t="str">
        <f>IFERROR(__xludf.DUMMYFUNCTION("GOOGLETRANSLATE(B89,""en"",""th"")"),"ชาวอินโดนีเซีย")</f>
        <v>ชาวอินโดนีเซีย</v>
      </c>
      <c r="Z89" s="71" t="str">
        <f>IFERROR(__xludf.DUMMYFUNCTION("GOOGLETRANSLATE(B89,""en"",""tr"")"),"Endonezya dili")</f>
        <v>Endonezya dili</v>
      </c>
      <c r="AA89" s="71" t="str">
        <f>IFERROR(__xludf.DUMMYFUNCTION("GOOGLETRANSLATE(B89,""en"",""uk"")"),"індонезійська")</f>
        <v>індонезійська</v>
      </c>
      <c r="AB89" s="71" t="str">
        <f>IFERROR(__xludf.DUMMYFUNCTION("GOOGLETRANSLATE(B89,""en"",""zh-CN"")"),"印度尼西亚")</f>
        <v>印度尼西亚</v>
      </c>
      <c r="AC89" s="71" t="str">
        <f>IFERROR(__xludf.DUMMYFUNCTION("GOOGLETRANSLATE(B89,""en"",""vi"")"),"tiếng Indonesia")</f>
        <v>tiếng Indonesia</v>
      </c>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c r="BK89" s="75"/>
      <c r="BL89" s="75"/>
      <c r="BM89" s="75"/>
    </row>
    <row r="90">
      <c r="A90" s="73" t="s">
        <v>7808</v>
      </c>
      <c r="B90" s="73" t="s">
        <v>7809</v>
      </c>
      <c r="C90" s="71" t="str">
        <f>IFERROR(__xludf.DUMMYFUNCTION("GOOGLETRANSLATE(B90,""en"",""ar"")"),"الهندية")</f>
        <v>الهندية</v>
      </c>
      <c r="D90" s="71" t="str">
        <f>IFERROR(__xludf.DUMMYFUNCTION("GOOGLETRANSLATE(B90,""en"",""cs"")"),"hindština")</f>
        <v>hindština</v>
      </c>
      <c r="E90" s="71" t="str">
        <f>IFERROR(__xludf.DUMMYFUNCTION("GOOGLETRANSLATE(B90,""en"",""de"")"),"Hindi")</f>
        <v>Hindi</v>
      </c>
      <c r="F90" s="71" t="str">
        <f>IFERROR(__xludf.DUMMYFUNCTION("GOOGLETRANSLATE(B90,""en"",""el"")"),"Χίντι")</f>
        <v>Χίντι</v>
      </c>
      <c r="G90" s="71" t="str">
        <f>IFERROR(__xludf.DUMMYFUNCTION("GOOGLETRANSLATE(B90,""en"",""es"")"),"hindi")</f>
        <v>hindi</v>
      </c>
      <c r="H90" s="71" t="str">
        <f>IFERROR(__xludf.DUMMYFUNCTION("GOOGLETRANSLATE(B90,""en"",""et"")"),"hindi")</f>
        <v>hindi</v>
      </c>
      <c r="I90" s="71" t="str">
        <f>IFERROR(__xludf.DUMMYFUNCTION("GOOGLETRANSLATE(B90,""en"",""fi"")"),"hindi")</f>
        <v>hindi</v>
      </c>
      <c r="J90" s="71" t="str">
        <f>IFERROR(__xludf.DUMMYFUNCTION("GOOGLETRANSLATE(B90,""en"",""fr"")"),"hindi")</f>
        <v>hindi</v>
      </c>
      <c r="K90" s="71" t="str">
        <f>IFERROR(__xludf.DUMMYFUNCTION("GOOGLETRANSLATE(B90,""en"",""hi"")"),"हिंदी")</f>
        <v>हिंदी</v>
      </c>
      <c r="L90" s="71" t="str">
        <f>IFERROR(__xludf.DUMMYFUNCTION("GOOGLETRANSLATE(B90,""en"",""id"")"),"Hindi")</f>
        <v>Hindi</v>
      </c>
      <c r="M90" s="71" t="str">
        <f>IFERROR(__xludf.DUMMYFUNCTION("GOOGLETRANSLATE(B90,""en"",""it"")"),"hindi")</f>
        <v>hindi</v>
      </c>
      <c r="N90" s="71" t="str">
        <f>IFERROR(__xludf.DUMMYFUNCTION("GOOGLETRANSLATE(B90,""en"",""ja"")"),"ヒンディー語")</f>
        <v>ヒンディー語</v>
      </c>
      <c r="O90" s="71" t="str">
        <f>IFERROR(__xludf.DUMMYFUNCTION("GOOGLETRANSLATE(B90,""en"",""km"")"),"ហិណ្ឌូ")</f>
        <v>ហិណ្ឌូ</v>
      </c>
      <c r="P90" s="71" t="str">
        <f>IFERROR(__xludf.DUMMYFUNCTION("GOOGLETRANSLATE(B90,""en"",""kn"")"),"ಹಿಂದಿ")</f>
        <v>ಹಿಂದಿ</v>
      </c>
      <c r="Q90" s="71" t="str">
        <f>IFERROR(__xludf.DUMMYFUNCTION("GOOGLETRANSLATE(B90,""en"",""ko"")"),"힌디 어")</f>
        <v>힌디 어</v>
      </c>
      <c r="R90" s="71" t="str">
        <f>IFERROR(__xludf.DUMMYFUNCTION("GOOGLETRANSLATE(B90,""en"",""lo"")"),"ຮິນດູ")</f>
        <v>ຮິນດູ</v>
      </c>
      <c r="S90" s="71" t="str">
        <f>IFERROR(__xludf.DUMMYFUNCTION("GOOGLETRANSLATE(B90,""en"",""lv"")"),"hindi")</f>
        <v>hindi</v>
      </c>
      <c r="T90" s="71" t="str">
        <f>IFERROR(__xludf.DUMMYFUNCTION("GOOGLETRANSLATE(B90,""en"",""ms"")"),"Hindi")</f>
        <v>Hindi</v>
      </c>
      <c r="U90" s="71" t="str">
        <f>IFERROR(__xludf.DUMMYFUNCTION("GOOGLETRANSLATE(B90,""en"",""nl"")"),"Hindi")</f>
        <v>Hindi</v>
      </c>
      <c r="V90" s="71" t="str">
        <f>IFERROR(__xludf.DUMMYFUNCTION("GOOGLETRANSLATE(B90,""en"",""pl"")"),"hinduski")</f>
        <v>hinduski</v>
      </c>
      <c r="W90" s="71" t="str">
        <f>IFERROR(__xludf.DUMMYFUNCTION("GOOGLETRANSLATE(B90,""en"",""pt-PT"")"),"hindi")</f>
        <v>hindi</v>
      </c>
      <c r="X90" s="71" t="str">
        <f>IFERROR(__xludf.DUMMYFUNCTION("GOOGLETRANSLATE(B90,""en"",""ru"")"),"хинди")</f>
        <v>хинди</v>
      </c>
      <c r="Y90" s="71" t="str">
        <f>IFERROR(__xludf.DUMMYFUNCTION("GOOGLETRANSLATE(B90,""en"",""th"")"),"ฮินดี")</f>
        <v>ฮินดี</v>
      </c>
      <c r="Z90" s="71" t="str">
        <f>IFERROR(__xludf.DUMMYFUNCTION("GOOGLETRANSLATE(B90,""en"",""tr"")"),"Hintçe")</f>
        <v>Hintçe</v>
      </c>
      <c r="AA90" s="71" t="str">
        <f>IFERROR(__xludf.DUMMYFUNCTION("GOOGLETRANSLATE(B90,""en"",""uk"")"),"Хінді")</f>
        <v>Хінді</v>
      </c>
      <c r="AB90" s="71" t="str">
        <f>IFERROR(__xludf.DUMMYFUNCTION("GOOGLETRANSLATE(B90,""en"",""zh-CN"")"),"印地语")</f>
        <v>印地语</v>
      </c>
      <c r="AC90" s="71" t="str">
        <f>IFERROR(__xludf.DUMMYFUNCTION("GOOGLETRANSLATE(B90,""en"",""vi"")"),"Tiếng Hindi")</f>
        <v>Tiếng Hindi</v>
      </c>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c r="BK90" s="75"/>
      <c r="BL90" s="75"/>
      <c r="BM90" s="75"/>
    </row>
    <row r="91">
      <c r="A91" s="73" t="s">
        <v>7828</v>
      </c>
      <c r="B91" s="73" t="s">
        <v>7829</v>
      </c>
      <c r="C91" s="71" t="str">
        <f>IFERROR(__xludf.DUMMYFUNCTION("GOOGLETRANSLATE(B91,""en"",""ar"")"),"اليونانية")</f>
        <v>اليونانية</v>
      </c>
      <c r="D91" s="71" t="str">
        <f>IFERROR(__xludf.DUMMYFUNCTION("GOOGLETRANSLATE(B91,""en"",""cs"")"),"řecký")</f>
        <v>řecký</v>
      </c>
      <c r="E91" s="71" t="str">
        <f>IFERROR(__xludf.DUMMYFUNCTION("GOOGLETRANSLATE(B91,""en"",""de"")"),"griechisch")</f>
        <v>griechisch</v>
      </c>
      <c r="F91" s="71" t="str">
        <f>IFERROR(__xludf.DUMMYFUNCTION("GOOGLETRANSLATE(B91,""en"",""el"")"),"ελληνικά")</f>
        <v>ελληνικά</v>
      </c>
      <c r="G91" s="71" t="str">
        <f>IFERROR(__xludf.DUMMYFUNCTION("GOOGLETRANSLATE(B91,""en"",""es"")"),"Griego")</f>
        <v>Griego</v>
      </c>
      <c r="H91" s="71" t="str">
        <f>IFERROR(__xludf.DUMMYFUNCTION("GOOGLETRANSLATE(B91,""en"",""et"")"),"kreeka keel")</f>
        <v>kreeka keel</v>
      </c>
      <c r="I91" s="71" t="str">
        <f>IFERROR(__xludf.DUMMYFUNCTION("GOOGLETRANSLATE(B91,""en"",""fi"")"),"kreikkalainen")</f>
        <v>kreikkalainen</v>
      </c>
      <c r="J91" s="71" t="str">
        <f>IFERROR(__xludf.DUMMYFUNCTION("GOOGLETRANSLATE(B91,""en"",""fr"")"),"grec")</f>
        <v>grec</v>
      </c>
      <c r="K91" s="71" t="str">
        <f>IFERROR(__xludf.DUMMYFUNCTION("GOOGLETRANSLATE(B91,""en"",""hi"")"),"यूनानी")</f>
        <v>यूनानी</v>
      </c>
      <c r="L91" s="71" t="str">
        <f>IFERROR(__xludf.DUMMYFUNCTION("GOOGLETRANSLATE(B91,""en"",""id"")"),"Orang yunani")</f>
        <v>Orang yunani</v>
      </c>
      <c r="M91" s="71" t="str">
        <f>IFERROR(__xludf.DUMMYFUNCTION("GOOGLETRANSLATE(B91,""en"",""it"")"),"greco")</f>
        <v>greco</v>
      </c>
      <c r="N91" s="71" t="str">
        <f>IFERROR(__xludf.DUMMYFUNCTION("GOOGLETRANSLATE(B91,""en"",""ja"")"),"ギリシャ語")</f>
        <v>ギリシャ語</v>
      </c>
      <c r="O91" s="71" t="str">
        <f>IFERROR(__xludf.DUMMYFUNCTION("GOOGLETRANSLATE(B91,""en"",""km"")"),"ក្រិក")</f>
        <v>ក្រិក</v>
      </c>
      <c r="P91" s="71" t="str">
        <f>IFERROR(__xludf.DUMMYFUNCTION("GOOGLETRANSLATE(B91,""en"",""kn"")"),"ಗ್ರೀಕ್")</f>
        <v>ಗ್ರೀಕ್</v>
      </c>
      <c r="Q91" s="71" t="str">
        <f>IFERROR(__xludf.DUMMYFUNCTION("GOOGLETRANSLATE(B91,""en"",""ko"")"),"그리스 사람")</f>
        <v>그리스 사람</v>
      </c>
      <c r="R91" s="71" t="str">
        <f>IFERROR(__xludf.DUMMYFUNCTION("GOOGLETRANSLATE(B91,""en"",""lo"")"),"ກຣີກ")</f>
        <v>ກຣີກ</v>
      </c>
      <c r="S91" s="71" t="str">
        <f>IFERROR(__xludf.DUMMYFUNCTION("GOOGLETRANSLATE(B91,""en"",""lv"")"),"grieķu valoda")</f>
        <v>grieķu valoda</v>
      </c>
      <c r="T91" s="71" t="str">
        <f>IFERROR(__xludf.DUMMYFUNCTION("GOOGLETRANSLATE(B91,""en"",""ms"")"),"bahasa Yunani")</f>
        <v>bahasa Yunani</v>
      </c>
      <c r="U91" s="71" t="str">
        <f>IFERROR(__xludf.DUMMYFUNCTION("GOOGLETRANSLATE(B91,""en"",""nl"")"),"Grieks")</f>
        <v>Grieks</v>
      </c>
      <c r="V91" s="71" t="str">
        <f>IFERROR(__xludf.DUMMYFUNCTION("GOOGLETRANSLATE(B91,""en"",""pl"")"),"grecki")</f>
        <v>grecki</v>
      </c>
      <c r="W91" s="71" t="str">
        <f>IFERROR(__xludf.DUMMYFUNCTION("GOOGLETRANSLATE(B91,""en"",""pt-PT"")"),"grego")</f>
        <v>grego</v>
      </c>
      <c r="X91" s="71" t="str">
        <f>IFERROR(__xludf.DUMMYFUNCTION("GOOGLETRANSLATE(B91,""en"",""ru"")"),"греческий")</f>
        <v>греческий</v>
      </c>
      <c r="Y91" s="71" t="str">
        <f>IFERROR(__xludf.DUMMYFUNCTION("GOOGLETRANSLATE(B91,""en"",""th"")"),"กรีก")</f>
        <v>กรีก</v>
      </c>
      <c r="Z91" s="71" t="str">
        <f>IFERROR(__xludf.DUMMYFUNCTION("GOOGLETRANSLATE(B91,""en"",""tr"")"),"Yunan")</f>
        <v>Yunan</v>
      </c>
      <c r="AA91" s="71" t="str">
        <f>IFERROR(__xludf.DUMMYFUNCTION("GOOGLETRANSLATE(B91,""en"",""uk"")"),"грецька")</f>
        <v>грецька</v>
      </c>
      <c r="AB91" s="71" t="str">
        <f>IFERROR(__xludf.DUMMYFUNCTION("GOOGLETRANSLATE(B91,""en"",""zh-CN"")"),"希腊语")</f>
        <v>希腊语</v>
      </c>
      <c r="AC91" s="71" t="str">
        <f>IFERROR(__xludf.DUMMYFUNCTION("GOOGLETRANSLATE(B91,""en"",""vi"")"),"tiếng Hy Lạp")</f>
        <v>tiếng Hy Lạp</v>
      </c>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c r="BK91" s="75"/>
      <c r="BL91" s="75"/>
      <c r="BM91" s="75"/>
    </row>
    <row r="92">
      <c r="A92" s="73" t="s">
        <v>7856</v>
      </c>
      <c r="B92" s="73" t="s">
        <v>7857</v>
      </c>
      <c r="C92" s="71" t="str">
        <f>IFERROR(__xludf.DUMMYFUNCTION("GOOGLETRANSLATE(B92,""en"",""ar"")"),"الألمانية")</f>
        <v>الألمانية</v>
      </c>
      <c r="D92" s="71" t="str">
        <f>IFERROR(__xludf.DUMMYFUNCTION("GOOGLETRANSLATE(B92,""en"",""cs"")"),"Němec")</f>
        <v>Němec</v>
      </c>
      <c r="E92" s="71" t="str">
        <f>IFERROR(__xludf.DUMMYFUNCTION("GOOGLETRANSLATE(B92,""en"",""de"")"),"Deutsch")</f>
        <v>Deutsch</v>
      </c>
      <c r="F92" s="71" t="str">
        <f>IFERROR(__xludf.DUMMYFUNCTION("GOOGLETRANSLATE(B92,""en"",""el"")"),"Γερμανός")</f>
        <v>Γερμανός</v>
      </c>
      <c r="G92" s="71" t="str">
        <f>IFERROR(__xludf.DUMMYFUNCTION("GOOGLETRANSLATE(B92,""en"",""es"")"),"Alemán")</f>
        <v>Alemán</v>
      </c>
      <c r="H92" s="71" t="str">
        <f>IFERROR(__xludf.DUMMYFUNCTION("GOOGLETRANSLATE(B92,""en"",""et"")"),"saksa keel")</f>
        <v>saksa keel</v>
      </c>
      <c r="I92" s="71" t="str">
        <f>IFERROR(__xludf.DUMMYFUNCTION("GOOGLETRANSLATE(B92,""en"",""fi"")"),"saksaksi")</f>
        <v>saksaksi</v>
      </c>
      <c r="J92" s="71" t="str">
        <f>IFERROR(__xludf.DUMMYFUNCTION("GOOGLETRANSLATE(B92,""en"",""fr"")"),"Allemand")</f>
        <v>Allemand</v>
      </c>
      <c r="K92" s="71" t="str">
        <f>IFERROR(__xludf.DUMMYFUNCTION("GOOGLETRANSLATE(B92,""en"",""hi"")"),"जर्मन")</f>
        <v>जर्मन</v>
      </c>
      <c r="L92" s="71" t="str">
        <f>IFERROR(__xludf.DUMMYFUNCTION("GOOGLETRANSLATE(B92,""en"",""id"")"),"Jerman")</f>
        <v>Jerman</v>
      </c>
      <c r="M92" s="71" t="str">
        <f>IFERROR(__xludf.DUMMYFUNCTION("GOOGLETRANSLATE(B92,""en"",""it"")"),"tedesco")</f>
        <v>tedesco</v>
      </c>
      <c r="N92" s="71" t="str">
        <f>IFERROR(__xludf.DUMMYFUNCTION("GOOGLETRANSLATE(B92,""en"",""ja"")"),"ドイツ語")</f>
        <v>ドイツ語</v>
      </c>
      <c r="O92" s="71" t="str">
        <f>IFERROR(__xludf.DUMMYFUNCTION("GOOGLETRANSLATE(B92,""en"",""km"")"),"អាឡឺម៉ង់")</f>
        <v>អាឡឺម៉ង់</v>
      </c>
      <c r="P92" s="71" t="str">
        <f>IFERROR(__xludf.DUMMYFUNCTION("GOOGLETRANSLATE(B92,""en"",""kn"")"),"ಜರ್ಮನ್")</f>
        <v>ಜರ್ಮನ್</v>
      </c>
      <c r="Q92" s="71" t="str">
        <f>IFERROR(__xludf.DUMMYFUNCTION("GOOGLETRANSLATE(B92,""en"",""ko"")"),"독일 사람")</f>
        <v>독일 사람</v>
      </c>
      <c r="R92" s="71" t="str">
        <f>IFERROR(__xludf.DUMMYFUNCTION("GOOGLETRANSLATE(B92,""en"",""lo"")"),"ເຢຍລະມັນ")</f>
        <v>ເຢຍລະມັນ</v>
      </c>
      <c r="S92" s="71" t="str">
        <f>IFERROR(__xludf.DUMMYFUNCTION("GOOGLETRANSLATE(B92,""en"",""lv"")"),"vācu")</f>
        <v>vācu</v>
      </c>
      <c r="T92" s="71" t="str">
        <f>IFERROR(__xludf.DUMMYFUNCTION("GOOGLETRANSLATE(B92,""en"",""ms"")"),"Jerman")</f>
        <v>Jerman</v>
      </c>
      <c r="U92" s="71" t="str">
        <f>IFERROR(__xludf.DUMMYFUNCTION("GOOGLETRANSLATE(B92,""en"",""nl"")"),"Duits")</f>
        <v>Duits</v>
      </c>
      <c r="V92" s="71" t="str">
        <f>IFERROR(__xludf.DUMMYFUNCTION("GOOGLETRANSLATE(B92,""en"",""pl"")"),"niemiecki")</f>
        <v>niemiecki</v>
      </c>
      <c r="W92" s="71" t="str">
        <f>IFERROR(__xludf.DUMMYFUNCTION("GOOGLETRANSLATE(B92,""en"",""pt-PT"")"),"Alemão")</f>
        <v>Alemão</v>
      </c>
      <c r="X92" s="71" t="str">
        <f>IFERROR(__xludf.DUMMYFUNCTION("GOOGLETRANSLATE(B92,""en"",""ru"")"),"немецкий")</f>
        <v>немецкий</v>
      </c>
      <c r="Y92" s="71" t="str">
        <f>IFERROR(__xludf.DUMMYFUNCTION("GOOGLETRANSLATE(B92,""en"",""th"")"),"เยอรมัน")</f>
        <v>เยอรมัน</v>
      </c>
      <c r="Z92" s="71" t="str">
        <f>IFERROR(__xludf.DUMMYFUNCTION("GOOGLETRANSLATE(B92,""en"",""tr"")"),"Almanca")</f>
        <v>Almanca</v>
      </c>
      <c r="AA92" s="71" t="str">
        <f>IFERROR(__xludf.DUMMYFUNCTION("GOOGLETRANSLATE(B92,""en"",""uk"")"),"Німецький")</f>
        <v>Німецький</v>
      </c>
      <c r="AB92" s="71" t="str">
        <f>IFERROR(__xludf.DUMMYFUNCTION("GOOGLETRANSLATE(B92,""en"",""zh-CN"")"),"德语")</f>
        <v>德语</v>
      </c>
      <c r="AC92" s="71" t="str">
        <f>IFERROR(__xludf.DUMMYFUNCTION("GOOGLETRANSLATE(B92,""en"",""vi"")"),"tiếng Đức")</f>
        <v>tiếng Đức</v>
      </c>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c r="BK92" s="75"/>
      <c r="BL92" s="75"/>
      <c r="BM92" s="75"/>
    </row>
    <row r="93">
      <c r="A93" s="73" t="s">
        <v>7884</v>
      </c>
      <c r="B93" s="73" t="s">
        <v>7885</v>
      </c>
      <c r="C93" s="71" t="str">
        <f>IFERROR(__xludf.DUMMYFUNCTION("GOOGLETRANSLATE(B93,""en"",""ar"")"),"فرنسي")</f>
        <v>فرنسي</v>
      </c>
      <c r="D93" s="71" t="str">
        <f>IFERROR(__xludf.DUMMYFUNCTION("GOOGLETRANSLATE(B93,""en"",""cs"")"),"francouzština")</f>
        <v>francouzština</v>
      </c>
      <c r="E93" s="71" t="str">
        <f>IFERROR(__xludf.DUMMYFUNCTION("GOOGLETRANSLATE(B93,""en"",""de"")"),"Französisch")</f>
        <v>Französisch</v>
      </c>
      <c r="F93" s="71" t="str">
        <f>IFERROR(__xludf.DUMMYFUNCTION("GOOGLETRANSLATE(B93,""en"",""el"")"),"Γάλλος")</f>
        <v>Γάλλος</v>
      </c>
      <c r="G93" s="71" t="str">
        <f>IFERROR(__xludf.DUMMYFUNCTION("GOOGLETRANSLATE(B93,""en"",""es"")"),"Francés")</f>
        <v>Francés</v>
      </c>
      <c r="H93" s="71" t="str">
        <f>IFERROR(__xludf.DUMMYFUNCTION("GOOGLETRANSLATE(B93,""en"",""et"")"),"prantsuse keel")</f>
        <v>prantsuse keel</v>
      </c>
      <c r="I93" s="71" t="str">
        <f>IFERROR(__xludf.DUMMYFUNCTION("GOOGLETRANSLATE(B93,""en"",""fi"")"),"ranskalainen")</f>
        <v>ranskalainen</v>
      </c>
      <c r="J93" s="71" t="str">
        <f>IFERROR(__xludf.DUMMYFUNCTION("GOOGLETRANSLATE(B93,""en"",""fr"")"),"Français")</f>
        <v>Français</v>
      </c>
      <c r="K93" s="71" t="str">
        <f>IFERROR(__xludf.DUMMYFUNCTION("GOOGLETRANSLATE(B93,""en"",""hi"")"),"फ़्रेंच")</f>
        <v>फ़्रेंच</v>
      </c>
      <c r="L93" s="71" t="str">
        <f>IFERROR(__xludf.DUMMYFUNCTION("GOOGLETRANSLATE(B93,""en"",""id"")"),"Perancis")</f>
        <v>Perancis</v>
      </c>
      <c r="M93" s="71" t="str">
        <f>IFERROR(__xludf.DUMMYFUNCTION("GOOGLETRANSLATE(B93,""en"",""it"")"),"francese")</f>
        <v>francese</v>
      </c>
      <c r="N93" s="71" t="str">
        <f>IFERROR(__xludf.DUMMYFUNCTION("GOOGLETRANSLATE(B93,""en"",""ja"")"),"フランス語")</f>
        <v>フランス語</v>
      </c>
      <c r="O93" s="71" t="str">
        <f>IFERROR(__xludf.DUMMYFUNCTION("GOOGLETRANSLATE(B93,""en"",""km"")"),"បារាំង")</f>
        <v>បារាំង</v>
      </c>
      <c r="P93" s="71" t="str">
        <f>IFERROR(__xludf.DUMMYFUNCTION("GOOGLETRANSLATE(B93,""en"",""kn"")"),"ಫ್ರೆಂಚ್")</f>
        <v>ಫ್ರೆಂಚ್</v>
      </c>
      <c r="Q93" s="71" t="str">
        <f>IFERROR(__xludf.DUMMYFUNCTION("GOOGLETRANSLATE(B93,""en"",""ko"")"),"프랑스 국민")</f>
        <v>프랑스 국민</v>
      </c>
      <c r="R93" s="71" t="str">
        <f>IFERROR(__xludf.DUMMYFUNCTION("GOOGLETRANSLATE(B93,""en"",""lo"")"),"ພາສາຝຣັ່ງ")</f>
        <v>ພາສາຝຣັ່ງ</v>
      </c>
      <c r="S93" s="71" t="str">
        <f>IFERROR(__xludf.DUMMYFUNCTION("GOOGLETRANSLATE(B93,""en"",""lv"")"),"franču valoda")</f>
        <v>franču valoda</v>
      </c>
      <c r="T93" s="71" t="str">
        <f>IFERROR(__xludf.DUMMYFUNCTION("GOOGLETRANSLATE(B93,""en"",""ms"")"),"Perancis")</f>
        <v>Perancis</v>
      </c>
      <c r="U93" s="71" t="str">
        <f>IFERROR(__xludf.DUMMYFUNCTION("GOOGLETRANSLATE(B93,""en"",""nl"")"),"Frans")</f>
        <v>Frans</v>
      </c>
      <c r="V93" s="71" t="str">
        <f>IFERROR(__xludf.DUMMYFUNCTION("GOOGLETRANSLATE(B93,""en"",""pl"")"),"francuski")</f>
        <v>francuski</v>
      </c>
      <c r="W93" s="71" t="str">
        <f>IFERROR(__xludf.DUMMYFUNCTION("GOOGLETRANSLATE(B93,""en"",""pt-PT"")"),"Francês")</f>
        <v>Francês</v>
      </c>
      <c r="X93" s="71" t="str">
        <f>IFERROR(__xludf.DUMMYFUNCTION("GOOGLETRANSLATE(B93,""en"",""ru"")"),"Французский")</f>
        <v>Французский</v>
      </c>
      <c r="Y93" s="71" t="str">
        <f>IFERROR(__xludf.DUMMYFUNCTION("GOOGLETRANSLATE(B93,""en"",""th"")"),"ภาษาฝรั่งเศส")</f>
        <v>ภาษาฝรั่งเศส</v>
      </c>
      <c r="Z93" s="71" t="str">
        <f>IFERROR(__xludf.DUMMYFUNCTION("GOOGLETRANSLATE(B93,""en"",""tr"")"),"Fransızca")</f>
        <v>Fransızca</v>
      </c>
      <c r="AA93" s="71" t="str">
        <f>IFERROR(__xludf.DUMMYFUNCTION("GOOGLETRANSLATE(B93,""en"",""uk"")"),"французька")</f>
        <v>французька</v>
      </c>
      <c r="AB93" s="71" t="str">
        <f>IFERROR(__xludf.DUMMYFUNCTION("GOOGLETRANSLATE(B93,""en"",""zh-CN"")"),"法语")</f>
        <v>法语</v>
      </c>
      <c r="AC93" s="71" t="str">
        <f>IFERROR(__xludf.DUMMYFUNCTION("GOOGLETRANSLATE(B93,""en"",""vi"")"),"người Pháp")</f>
        <v>người Pháp</v>
      </c>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c r="BK93" s="75"/>
      <c r="BL93" s="75"/>
      <c r="BM93" s="75"/>
    </row>
    <row r="94">
      <c r="A94" s="73" t="s">
        <v>7912</v>
      </c>
      <c r="B94" s="73" t="s">
        <v>7913</v>
      </c>
      <c r="C94" s="71" t="str">
        <f>IFERROR(__xludf.DUMMYFUNCTION("GOOGLETRANSLATE(B94,""en"",""ar"")"),"الفنلندية")</f>
        <v>الفنلندية</v>
      </c>
      <c r="D94" s="71" t="str">
        <f>IFERROR(__xludf.DUMMYFUNCTION("GOOGLETRANSLATE(B94,""en"",""cs"")"),"finština")</f>
        <v>finština</v>
      </c>
      <c r="E94" s="71" t="str">
        <f>IFERROR(__xludf.DUMMYFUNCTION("GOOGLETRANSLATE(B94,""en"",""de"")"),"finnisch")</f>
        <v>finnisch</v>
      </c>
      <c r="F94" s="71" t="str">
        <f>IFERROR(__xludf.DUMMYFUNCTION("GOOGLETRANSLATE(B94,""en"",""el"")"),"φινλανδικός")</f>
        <v>φινλανδικός</v>
      </c>
      <c r="G94" s="71" t="str">
        <f>IFERROR(__xludf.DUMMYFUNCTION("GOOGLETRANSLATE(B94,""en"",""es"")"),"finlandés")</f>
        <v>finlandés</v>
      </c>
      <c r="H94" s="71" t="str">
        <f>IFERROR(__xludf.DUMMYFUNCTION("GOOGLETRANSLATE(B94,""en"",""et"")"),"soome keel")</f>
        <v>soome keel</v>
      </c>
      <c r="I94" s="71" t="str">
        <f>IFERROR(__xludf.DUMMYFUNCTION("GOOGLETRANSLATE(B94,""en"",""fi"")"),"suomalainen")</f>
        <v>suomalainen</v>
      </c>
      <c r="J94" s="71" t="str">
        <f>IFERROR(__xludf.DUMMYFUNCTION("GOOGLETRANSLATE(B94,""en"",""fr"")"),"finlandais")</f>
        <v>finlandais</v>
      </c>
      <c r="K94" s="71" t="str">
        <f>IFERROR(__xludf.DUMMYFUNCTION("GOOGLETRANSLATE(B94,""en"",""hi"")"),"फिनिश")</f>
        <v>फिनिश</v>
      </c>
      <c r="L94" s="71" t="str">
        <f>IFERROR(__xludf.DUMMYFUNCTION("GOOGLETRANSLATE(B94,""en"",""id"")"),"Finlandia")</f>
        <v>Finlandia</v>
      </c>
      <c r="M94" s="71" t="str">
        <f>IFERROR(__xludf.DUMMYFUNCTION("GOOGLETRANSLATE(B94,""en"",""it"")"),"finlandese")</f>
        <v>finlandese</v>
      </c>
      <c r="N94" s="71" t="str">
        <f>IFERROR(__xludf.DUMMYFUNCTION("GOOGLETRANSLATE(B94,""en"",""ja"")"),"フィンランド語")</f>
        <v>フィンランド語</v>
      </c>
      <c r="O94" s="71" t="str">
        <f>IFERROR(__xludf.DUMMYFUNCTION("GOOGLETRANSLATE(B94,""en"",""km"")"),"ហ្វាំងឡង់")</f>
        <v>ហ្វាំងឡង់</v>
      </c>
      <c r="P94" s="71" t="str">
        <f>IFERROR(__xludf.DUMMYFUNCTION("GOOGLETRANSLATE(B94,""en"",""kn"")"),"ಫಿನ್ನಿಶ್")</f>
        <v>ಫಿನ್ನಿಶ್</v>
      </c>
      <c r="Q94" s="71" t="str">
        <f>IFERROR(__xludf.DUMMYFUNCTION("GOOGLETRANSLATE(B94,""en"",""ko"")"),"핀란드어")</f>
        <v>핀란드어</v>
      </c>
      <c r="R94" s="71" t="str">
        <f>IFERROR(__xludf.DUMMYFUNCTION("GOOGLETRANSLATE(B94,""en"",""lo"")"),"ຟິນແລນ")</f>
        <v>ຟິນແລນ</v>
      </c>
      <c r="S94" s="71" t="str">
        <f>IFERROR(__xludf.DUMMYFUNCTION("GOOGLETRANSLATE(B94,""en"",""lv"")"),"somu")</f>
        <v>somu</v>
      </c>
      <c r="T94" s="71" t="str">
        <f>IFERROR(__xludf.DUMMYFUNCTION("GOOGLETRANSLATE(B94,""en"",""ms"")"),"bahasa Finland")</f>
        <v>bahasa Finland</v>
      </c>
      <c r="U94" s="71" t="str">
        <f>IFERROR(__xludf.DUMMYFUNCTION("GOOGLETRANSLATE(B94,""en"",""nl"")"),"Fins")</f>
        <v>Fins</v>
      </c>
      <c r="V94" s="71" t="str">
        <f>IFERROR(__xludf.DUMMYFUNCTION("GOOGLETRANSLATE(B94,""en"",""pl"")"),"fiński")</f>
        <v>fiński</v>
      </c>
      <c r="W94" s="71" t="str">
        <f>IFERROR(__xludf.DUMMYFUNCTION("GOOGLETRANSLATE(B94,""en"",""pt-PT"")"),"finlandês")</f>
        <v>finlandês</v>
      </c>
      <c r="X94" s="71" t="str">
        <f>IFERROR(__xludf.DUMMYFUNCTION("GOOGLETRANSLATE(B94,""en"",""ru"")"),"финский")</f>
        <v>финский</v>
      </c>
      <c r="Y94" s="71" t="str">
        <f>IFERROR(__xludf.DUMMYFUNCTION("GOOGLETRANSLATE(B94,""en"",""th"")"),"ภาษาฟินแลนด์")</f>
        <v>ภาษาฟินแลนด์</v>
      </c>
      <c r="Z94" s="71" t="str">
        <f>IFERROR(__xludf.DUMMYFUNCTION("GOOGLETRANSLATE(B94,""en"",""tr"")"),"Fince")</f>
        <v>Fince</v>
      </c>
      <c r="AA94" s="71" t="str">
        <f>IFERROR(__xludf.DUMMYFUNCTION("GOOGLETRANSLATE(B94,""en"",""uk"")"),"фінська")</f>
        <v>фінська</v>
      </c>
      <c r="AB94" s="71" t="str">
        <f>IFERROR(__xludf.DUMMYFUNCTION("GOOGLETRANSLATE(B94,""en"",""zh-CN"")"),"芬兰")</f>
        <v>芬兰</v>
      </c>
      <c r="AC94" s="71" t="str">
        <f>IFERROR(__xludf.DUMMYFUNCTION("GOOGLETRANSLATE(B94,""en"",""vi"")"),"tiếng Phần Lan")</f>
        <v>tiếng Phần Lan</v>
      </c>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c r="BK94" s="75"/>
      <c r="BL94" s="75"/>
      <c r="BM94" s="75"/>
    </row>
    <row r="95">
      <c r="A95" s="73" t="s">
        <v>7941</v>
      </c>
      <c r="B95" s="73" t="s">
        <v>7942</v>
      </c>
      <c r="C95" s="71" t="str">
        <f>IFERROR(__xludf.DUMMYFUNCTION("GOOGLETRANSLATE(B95,""en"",""ar"")"),"الإستونية")</f>
        <v>الإستونية</v>
      </c>
      <c r="D95" s="71" t="str">
        <f>IFERROR(__xludf.DUMMYFUNCTION("GOOGLETRANSLATE(B95,""en"",""cs"")"),"estonština")</f>
        <v>estonština</v>
      </c>
      <c r="E95" s="71" t="str">
        <f>IFERROR(__xludf.DUMMYFUNCTION("GOOGLETRANSLATE(B95,""en"",""de"")"),"estnisch")</f>
        <v>estnisch</v>
      </c>
      <c r="F95" s="71" t="str">
        <f>IFERROR(__xludf.DUMMYFUNCTION("GOOGLETRANSLATE(B95,""en"",""el"")"),"Εσθονική")</f>
        <v>Εσθονική</v>
      </c>
      <c r="G95" s="71" t="str">
        <f>IFERROR(__xludf.DUMMYFUNCTION("GOOGLETRANSLATE(B95,""en"",""es"")"),"estonio")</f>
        <v>estonio</v>
      </c>
      <c r="H95" s="71" t="str">
        <f>IFERROR(__xludf.DUMMYFUNCTION("GOOGLETRANSLATE(B95,""en"",""et"")"),"eesti keel")</f>
        <v>eesti keel</v>
      </c>
      <c r="I95" s="71" t="str">
        <f>IFERROR(__xludf.DUMMYFUNCTION("GOOGLETRANSLATE(B95,""en"",""fi"")"),"virolainen")</f>
        <v>virolainen</v>
      </c>
      <c r="J95" s="71" t="str">
        <f>IFERROR(__xludf.DUMMYFUNCTION("GOOGLETRANSLATE(B95,""en"",""fr"")"),"estonien")</f>
        <v>estonien</v>
      </c>
      <c r="K95" s="71" t="str">
        <f>IFERROR(__xludf.DUMMYFUNCTION("GOOGLETRANSLATE(B95,""en"",""hi"")"),"एस्तोनियावासी")</f>
        <v>एस्तोनियावासी</v>
      </c>
      <c r="L95" s="71" t="str">
        <f>IFERROR(__xludf.DUMMYFUNCTION("GOOGLETRANSLATE(B95,""en"",""id"")"),"Estonia")</f>
        <v>Estonia</v>
      </c>
      <c r="M95" s="71" t="str">
        <f>IFERROR(__xludf.DUMMYFUNCTION("GOOGLETRANSLATE(B95,""en"",""it"")"),"Estone")</f>
        <v>Estone</v>
      </c>
      <c r="N95" s="71" t="str">
        <f>IFERROR(__xludf.DUMMYFUNCTION("GOOGLETRANSLATE(B95,""en"",""ja"")"),"エストニア語")</f>
        <v>エストニア語</v>
      </c>
      <c r="O95" s="71" t="str">
        <f>IFERROR(__xludf.DUMMYFUNCTION("GOOGLETRANSLATE(B95,""en"",""km"")"),"អេស្តូនី")</f>
        <v>អេស្តូនី</v>
      </c>
      <c r="P95" s="71" t="str">
        <f>IFERROR(__xludf.DUMMYFUNCTION("GOOGLETRANSLATE(B95,""en"",""kn"")"),"ಎಸ್ಟೋನಿಯನ್")</f>
        <v>ಎಸ್ಟೋನಿಯನ್</v>
      </c>
      <c r="Q95" s="71" t="str">
        <f>IFERROR(__xludf.DUMMYFUNCTION("GOOGLETRANSLATE(B95,""en"",""ko"")"),"에스토니아 사람")</f>
        <v>에스토니아 사람</v>
      </c>
      <c r="R95" s="71" t="str">
        <f>IFERROR(__xludf.DUMMYFUNCTION("GOOGLETRANSLATE(B95,""en"",""lo"")"),"ເອສໂຕເນຍ")</f>
        <v>ເອສໂຕເນຍ</v>
      </c>
      <c r="S95" s="71" t="str">
        <f>IFERROR(__xludf.DUMMYFUNCTION("GOOGLETRANSLATE(B95,""en"",""lv"")"),"igauņu")</f>
        <v>igauņu</v>
      </c>
      <c r="T95" s="71" t="str">
        <f>IFERROR(__xludf.DUMMYFUNCTION("GOOGLETRANSLATE(B95,""en"",""ms"")"),"bahasa Estonia")</f>
        <v>bahasa Estonia</v>
      </c>
      <c r="U95" s="71" t="str">
        <f>IFERROR(__xludf.DUMMYFUNCTION("GOOGLETRANSLATE(B95,""en"",""nl"")"),"Ests")</f>
        <v>Ests</v>
      </c>
      <c r="V95" s="71" t="str">
        <f>IFERROR(__xludf.DUMMYFUNCTION("GOOGLETRANSLATE(B95,""en"",""pl"")"),"estoński")</f>
        <v>estoński</v>
      </c>
      <c r="W95" s="71" t="str">
        <f>IFERROR(__xludf.DUMMYFUNCTION("GOOGLETRANSLATE(B95,""en"",""pt-PT"")"),"estoniano")</f>
        <v>estoniano</v>
      </c>
      <c r="X95" s="71" t="str">
        <f>IFERROR(__xludf.DUMMYFUNCTION("GOOGLETRANSLATE(B95,""en"",""ru"")"),"эстонский")</f>
        <v>эстонский</v>
      </c>
      <c r="Y95" s="71" t="str">
        <f>IFERROR(__xludf.DUMMYFUNCTION("GOOGLETRANSLATE(B95,""en"",""th"")"),"เอสโตเนีย")</f>
        <v>เอสโตเนีย</v>
      </c>
      <c r="Z95" s="71" t="str">
        <f>IFERROR(__xludf.DUMMYFUNCTION("GOOGLETRANSLATE(B95,""en"",""tr"")"),"Estonyalı")</f>
        <v>Estonyalı</v>
      </c>
      <c r="AA95" s="71" t="str">
        <f>IFERROR(__xludf.DUMMYFUNCTION("GOOGLETRANSLATE(B95,""en"",""uk"")"),"Естонська")</f>
        <v>Естонська</v>
      </c>
      <c r="AB95" s="71" t="str">
        <f>IFERROR(__xludf.DUMMYFUNCTION("GOOGLETRANSLATE(B95,""en"",""zh-CN"")"),"爱沙尼亚语")</f>
        <v>爱沙尼亚语</v>
      </c>
      <c r="AC95" s="71" t="str">
        <f>IFERROR(__xludf.DUMMYFUNCTION("GOOGLETRANSLATE(B95,""en"",""vi"")"),"tiếng Estonia")</f>
        <v>tiếng Estonia</v>
      </c>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row>
    <row r="96">
      <c r="A96" s="73" t="s">
        <v>7968</v>
      </c>
      <c r="B96" s="73" t="s">
        <v>7969</v>
      </c>
      <c r="C96" s="71" t="str">
        <f>IFERROR(__xludf.DUMMYFUNCTION("GOOGLETRANSLATE(B96,""en"",""ar"")"),"هولندي")</f>
        <v>هولندي</v>
      </c>
      <c r="D96" s="71" t="str">
        <f>IFERROR(__xludf.DUMMYFUNCTION("GOOGLETRANSLATE(B96,""en"",""cs"")"),"holandský")</f>
        <v>holandský</v>
      </c>
      <c r="E96" s="71" t="str">
        <f>IFERROR(__xludf.DUMMYFUNCTION("GOOGLETRANSLATE(B96,""en"",""de"")"),"Niederländisch")</f>
        <v>Niederländisch</v>
      </c>
      <c r="F96" s="71" t="str">
        <f>IFERROR(__xludf.DUMMYFUNCTION("GOOGLETRANSLATE(B96,""en"",""el"")"),"Ολλανδός")</f>
        <v>Ολλανδός</v>
      </c>
      <c r="G96" s="71" t="str">
        <f>IFERROR(__xludf.DUMMYFUNCTION("GOOGLETRANSLATE(B96,""en"",""es"")"),"Holandés")</f>
        <v>Holandés</v>
      </c>
      <c r="H96" s="71" t="str">
        <f>IFERROR(__xludf.DUMMYFUNCTION("GOOGLETRANSLATE(B96,""en"",""et"")"),"hollandi keel")</f>
        <v>hollandi keel</v>
      </c>
      <c r="I96" s="71" t="str">
        <f>IFERROR(__xludf.DUMMYFUNCTION("GOOGLETRANSLATE(B96,""en"",""fi"")"),"hollantilainen")</f>
        <v>hollantilainen</v>
      </c>
      <c r="J96" s="71" t="str">
        <f>IFERROR(__xludf.DUMMYFUNCTION("GOOGLETRANSLATE(B96,""en"",""fr"")"),"Néerlandais")</f>
        <v>Néerlandais</v>
      </c>
      <c r="K96" s="71" t="str">
        <f>IFERROR(__xludf.DUMMYFUNCTION("GOOGLETRANSLATE(B96,""en"",""hi"")"),"डच")</f>
        <v>डच</v>
      </c>
      <c r="L96" s="71" t="str">
        <f>IFERROR(__xludf.DUMMYFUNCTION("GOOGLETRANSLATE(B96,""en"",""id"")"),"Belanda")</f>
        <v>Belanda</v>
      </c>
      <c r="M96" s="71" t="str">
        <f>IFERROR(__xludf.DUMMYFUNCTION("GOOGLETRANSLATE(B96,""en"",""it"")"),"Olandese")</f>
        <v>Olandese</v>
      </c>
      <c r="N96" s="71" t="str">
        <f>IFERROR(__xludf.DUMMYFUNCTION("GOOGLETRANSLATE(B96,""en"",""ja"")"),"オランダ語")</f>
        <v>オランダ語</v>
      </c>
      <c r="O96" s="71" t="str">
        <f>IFERROR(__xludf.DUMMYFUNCTION("GOOGLETRANSLATE(B96,""en"",""km"")"),"ហូឡង់")</f>
        <v>ហូឡង់</v>
      </c>
      <c r="P96" s="71" t="str">
        <f>IFERROR(__xludf.DUMMYFUNCTION("GOOGLETRANSLATE(B96,""en"",""kn"")"),"ಡಚ್")</f>
        <v>ಡಚ್</v>
      </c>
      <c r="Q96" s="71" t="str">
        <f>IFERROR(__xludf.DUMMYFUNCTION("GOOGLETRANSLATE(B96,""en"",""ko"")"),"네덜란드 사람")</f>
        <v>네덜란드 사람</v>
      </c>
      <c r="R96" s="71" t="str">
        <f>IFERROR(__xludf.DUMMYFUNCTION("GOOGLETRANSLATE(B96,""en"",""lo"")"),"ໂຮນລັງ")</f>
        <v>ໂຮນລັງ</v>
      </c>
      <c r="S96" s="71" t="str">
        <f>IFERROR(__xludf.DUMMYFUNCTION("GOOGLETRANSLATE(B96,""en"",""lv"")"),"holandiešu valoda")</f>
        <v>holandiešu valoda</v>
      </c>
      <c r="T96" s="71" t="str">
        <f>IFERROR(__xludf.DUMMYFUNCTION("GOOGLETRANSLATE(B96,""en"",""ms"")"),"Belanda")</f>
        <v>Belanda</v>
      </c>
      <c r="U96" s="71" t="str">
        <f>IFERROR(__xludf.DUMMYFUNCTION("GOOGLETRANSLATE(B96,""en"",""nl"")"),"Nederlands")</f>
        <v>Nederlands</v>
      </c>
      <c r="V96" s="71" t="str">
        <f>IFERROR(__xludf.DUMMYFUNCTION("GOOGLETRANSLATE(B96,""en"",""pl"")"),"Holenderski")</f>
        <v>Holenderski</v>
      </c>
      <c r="W96" s="71" t="str">
        <f>IFERROR(__xludf.DUMMYFUNCTION("GOOGLETRANSLATE(B96,""en"",""pt-PT"")"),"Holandês")</f>
        <v>Holandês</v>
      </c>
      <c r="X96" s="71" t="str">
        <f>IFERROR(__xludf.DUMMYFUNCTION("GOOGLETRANSLATE(B96,""en"",""ru"")"),"Голландский")</f>
        <v>Голландский</v>
      </c>
      <c r="Y96" s="71" t="str">
        <f>IFERROR(__xludf.DUMMYFUNCTION("GOOGLETRANSLATE(B96,""en"",""th"")"),"ภาษาดัตช์")</f>
        <v>ภาษาดัตช์</v>
      </c>
      <c r="Z96" s="71" t="str">
        <f>IFERROR(__xludf.DUMMYFUNCTION("GOOGLETRANSLATE(B96,""en"",""tr"")"),"Flemenkçe")</f>
        <v>Flemenkçe</v>
      </c>
      <c r="AA96" s="71" t="str">
        <f>IFERROR(__xludf.DUMMYFUNCTION("GOOGLETRANSLATE(B96,""en"",""uk"")"),"голландська")</f>
        <v>голландська</v>
      </c>
      <c r="AB96" s="71" t="str">
        <f>IFERROR(__xludf.DUMMYFUNCTION("GOOGLETRANSLATE(B96,""en"",""zh-CN"")"),"荷兰语")</f>
        <v>荷兰语</v>
      </c>
      <c r="AC96" s="71" t="str">
        <f>IFERROR(__xludf.DUMMYFUNCTION("GOOGLETRANSLATE(B96,""en"",""vi"")"),"tiếng Hà Lan")</f>
        <v>tiếng Hà Lan</v>
      </c>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row>
    <row r="97">
      <c r="A97" s="73" t="s">
        <v>7996</v>
      </c>
      <c r="B97" s="73" t="s">
        <v>7997</v>
      </c>
      <c r="C97" s="71" t="str">
        <f>IFERROR(__xludf.DUMMYFUNCTION("GOOGLETRANSLATE(B97,""en"",""ar"")"),"التشيكية")</f>
        <v>التشيكية</v>
      </c>
      <c r="D97" s="71" t="str">
        <f>IFERROR(__xludf.DUMMYFUNCTION("GOOGLETRANSLATE(B97,""en"",""cs"")"),"čeština")</f>
        <v>čeština</v>
      </c>
      <c r="E97" s="71" t="str">
        <f>IFERROR(__xludf.DUMMYFUNCTION("GOOGLETRANSLATE(B97,""en"",""de"")"),"tschechisch")</f>
        <v>tschechisch</v>
      </c>
      <c r="F97" s="71" t="str">
        <f>IFERROR(__xludf.DUMMYFUNCTION("GOOGLETRANSLATE(B97,""en"",""el"")"),"Τσέχος")</f>
        <v>Τσέχος</v>
      </c>
      <c r="G97" s="71" t="str">
        <f>IFERROR(__xludf.DUMMYFUNCTION("GOOGLETRANSLATE(B97,""en"",""es"")"),"checo")</f>
        <v>checo</v>
      </c>
      <c r="H97" s="71" t="str">
        <f>IFERROR(__xludf.DUMMYFUNCTION("GOOGLETRANSLATE(B97,""en"",""et"")"),"tšehhi")</f>
        <v>tšehhi</v>
      </c>
      <c r="I97" s="71" t="str">
        <f>IFERROR(__xludf.DUMMYFUNCTION("GOOGLETRANSLATE(B97,""en"",""fi"")"),"Tšekki")</f>
        <v>Tšekki</v>
      </c>
      <c r="J97" s="71" t="str">
        <f>IFERROR(__xludf.DUMMYFUNCTION("GOOGLETRANSLATE(B97,""en"",""fr"")"),"tchèque")</f>
        <v>tchèque</v>
      </c>
      <c r="K97" s="71" t="str">
        <f>IFERROR(__xludf.DUMMYFUNCTION("GOOGLETRANSLATE(B97,""en"",""hi"")"),"चेक")</f>
        <v>चेक</v>
      </c>
      <c r="L97" s="71" t="str">
        <f>IFERROR(__xludf.DUMMYFUNCTION("GOOGLETRANSLATE(B97,""en"",""id"")"),"Ceko")</f>
        <v>Ceko</v>
      </c>
      <c r="M97" s="71" t="str">
        <f>IFERROR(__xludf.DUMMYFUNCTION("GOOGLETRANSLATE(B97,""en"",""it"")"),"ceco")</f>
        <v>ceco</v>
      </c>
      <c r="N97" s="71" t="str">
        <f>IFERROR(__xludf.DUMMYFUNCTION("GOOGLETRANSLATE(B97,""en"",""ja"")"),"チェコ語")</f>
        <v>チェコ語</v>
      </c>
      <c r="O97" s="71" t="str">
        <f>IFERROR(__xludf.DUMMYFUNCTION("GOOGLETRANSLATE(B97,""en"",""km"")"),"ឆេក")</f>
        <v>ឆេក</v>
      </c>
      <c r="P97" s="71" t="str">
        <f>IFERROR(__xludf.DUMMYFUNCTION("GOOGLETRANSLATE(B97,""en"",""kn"")"),"ಜೆಕ್")</f>
        <v>ಜೆಕ್</v>
      </c>
      <c r="Q97" s="71" t="str">
        <f>IFERROR(__xludf.DUMMYFUNCTION("GOOGLETRANSLATE(B97,""en"",""ko"")"),"체코 사람")</f>
        <v>체코 사람</v>
      </c>
      <c r="R97" s="71" t="str">
        <f>IFERROR(__xludf.DUMMYFUNCTION("GOOGLETRANSLATE(B97,""en"",""lo"")"),"ເຊັກ")</f>
        <v>ເຊັກ</v>
      </c>
      <c r="S97" s="71" t="str">
        <f>IFERROR(__xludf.DUMMYFUNCTION("GOOGLETRANSLATE(B97,""en"",""lv"")"),"čehu")</f>
        <v>čehu</v>
      </c>
      <c r="T97" s="71" t="str">
        <f>IFERROR(__xludf.DUMMYFUNCTION("GOOGLETRANSLATE(B97,""en"",""ms"")"),"bahasa Czech")</f>
        <v>bahasa Czech</v>
      </c>
      <c r="U97" s="71" t="str">
        <f>IFERROR(__xludf.DUMMYFUNCTION("GOOGLETRANSLATE(B97,""en"",""nl"")"),"Tsjechisch")</f>
        <v>Tsjechisch</v>
      </c>
      <c r="V97" s="71" t="str">
        <f>IFERROR(__xludf.DUMMYFUNCTION("GOOGLETRANSLATE(B97,""en"",""pl"")"),"czeski")</f>
        <v>czeski</v>
      </c>
      <c r="W97" s="71" t="str">
        <f>IFERROR(__xludf.DUMMYFUNCTION("GOOGLETRANSLATE(B97,""en"",""pt-PT"")"),"Tcheco")</f>
        <v>Tcheco</v>
      </c>
      <c r="X97" s="71" t="str">
        <f>IFERROR(__xludf.DUMMYFUNCTION("GOOGLETRANSLATE(B97,""en"",""ru"")"),"чешский")</f>
        <v>чешский</v>
      </c>
      <c r="Y97" s="71" t="str">
        <f>IFERROR(__xludf.DUMMYFUNCTION("GOOGLETRANSLATE(B97,""en"",""th"")"),"เช็ก")</f>
        <v>เช็ก</v>
      </c>
      <c r="Z97" s="71" t="str">
        <f>IFERROR(__xludf.DUMMYFUNCTION("GOOGLETRANSLATE(B97,""en"",""tr"")"),"Çek")</f>
        <v>Çek</v>
      </c>
      <c r="AA97" s="71" t="str">
        <f>IFERROR(__xludf.DUMMYFUNCTION("GOOGLETRANSLATE(B97,""en"",""uk"")"),"чеська")</f>
        <v>чеська</v>
      </c>
      <c r="AB97" s="71" t="str">
        <f>IFERROR(__xludf.DUMMYFUNCTION("GOOGLETRANSLATE(B97,""en"",""zh-CN"")"),"捷克语")</f>
        <v>捷克语</v>
      </c>
      <c r="AC97" s="71" t="str">
        <f>IFERROR(__xludf.DUMMYFUNCTION("GOOGLETRANSLATE(B97,""en"",""vi"")"),"tiếng Séc")</f>
        <v>tiếng Séc</v>
      </c>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c r="BM97" s="75"/>
    </row>
    <row r="98">
      <c r="A98" s="73" t="s">
        <v>8023</v>
      </c>
      <c r="B98" s="73" t="s">
        <v>8024</v>
      </c>
      <c r="C98" s="71" t="str">
        <f>IFERROR(__xludf.DUMMYFUNCTION("GOOGLETRANSLATE(B98,""en"",""ar"")"),"الصينية")</f>
        <v>الصينية</v>
      </c>
      <c r="D98" s="71" t="str">
        <f>IFERROR(__xludf.DUMMYFUNCTION("GOOGLETRANSLATE(B98,""en"",""cs"")"),"čínština")</f>
        <v>čínština</v>
      </c>
      <c r="E98" s="71" t="str">
        <f>IFERROR(__xludf.DUMMYFUNCTION("GOOGLETRANSLATE(B98,""en"",""de"")"),"chinesisch")</f>
        <v>chinesisch</v>
      </c>
      <c r="F98" s="71" t="str">
        <f>IFERROR(__xludf.DUMMYFUNCTION("GOOGLETRANSLATE(B98,""en"",""el"")"),"κινέζικα")</f>
        <v>κινέζικα</v>
      </c>
      <c r="G98" s="71" t="str">
        <f>IFERROR(__xludf.DUMMYFUNCTION("GOOGLETRANSLATE(B98,""en"",""es"")"),"Chino")</f>
        <v>Chino</v>
      </c>
      <c r="H98" s="71" t="str">
        <f>IFERROR(__xludf.DUMMYFUNCTION("GOOGLETRANSLATE(B98,""en"",""et"")"),"hiina keel")</f>
        <v>hiina keel</v>
      </c>
      <c r="I98" s="71" t="str">
        <f>IFERROR(__xludf.DUMMYFUNCTION("GOOGLETRANSLATE(B98,""en"",""fi"")"),"kiinalainen")</f>
        <v>kiinalainen</v>
      </c>
      <c r="J98" s="71" t="str">
        <f>IFERROR(__xludf.DUMMYFUNCTION("GOOGLETRANSLATE(B98,""en"",""fr"")"),"Chinois")</f>
        <v>Chinois</v>
      </c>
      <c r="K98" s="71" t="str">
        <f>IFERROR(__xludf.DUMMYFUNCTION("GOOGLETRANSLATE(B98,""en"",""hi"")"),"चीनी")</f>
        <v>चीनी</v>
      </c>
      <c r="L98" s="71" t="str">
        <f>IFERROR(__xludf.DUMMYFUNCTION("GOOGLETRANSLATE(B98,""en"",""id"")"),"Cina")</f>
        <v>Cina</v>
      </c>
      <c r="M98" s="71" t="str">
        <f>IFERROR(__xludf.DUMMYFUNCTION("GOOGLETRANSLATE(B98,""en"",""it"")"),"cinese")</f>
        <v>cinese</v>
      </c>
      <c r="N98" s="71" t="str">
        <f>IFERROR(__xludf.DUMMYFUNCTION("GOOGLETRANSLATE(B98,""en"",""ja"")"),"中国語")</f>
        <v>中国語</v>
      </c>
      <c r="O98" s="71" t="str">
        <f>IFERROR(__xludf.DUMMYFUNCTION("GOOGLETRANSLATE(B98,""en"",""km"")"),"ចិន")</f>
        <v>ចិន</v>
      </c>
      <c r="P98" s="71" t="str">
        <f>IFERROR(__xludf.DUMMYFUNCTION("GOOGLETRANSLATE(B98,""en"",""kn"")"),"ಚೈನೀಸ್")</f>
        <v>ಚೈನೀಸ್</v>
      </c>
      <c r="Q98" s="71" t="str">
        <f>IFERROR(__xludf.DUMMYFUNCTION("GOOGLETRANSLATE(B98,""en"",""ko"")"),"중국인")</f>
        <v>중국인</v>
      </c>
      <c r="R98" s="71" t="str">
        <f>IFERROR(__xludf.DUMMYFUNCTION("GOOGLETRANSLATE(B98,""en"",""lo"")"),"ຈີນ")</f>
        <v>ຈີນ</v>
      </c>
      <c r="S98" s="71" t="str">
        <f>IFERROR(__xludf.DUMMYFUNCTION("GOOGLETRANSLATE(B98,""en"",""lv"")"),"ķīniešu")</f>
        <v>ķīniešu</v>
      </c>
      <c r="T98" s="71" t="str">
        <f>IFERROR(__xludf.DUMMYFUNCTION("GOOGLETRANSLATE(B98,""en"",""ms"")"),"cina")</f>
        <v>cina</v>
      </c>
      <c r="U98" s="71" t="str">
        <f>IFERROR(__xludf.DUMMYFUNCTION("GOOGLETRANSLATE(B98,""en"",""nl"")"),"Chinese")</f>
        <v>Chinese</v>
      </c>
      <c r="V98" s="71" t="str">
        <f>IFERROR(__xludf.DUMMYFUNCTION("GOOGLETRANSLATE(B98,""en"",""pl"")"),"chiński")</f>
        <v>chiński</v>
      </c>
      <c r="W98" s="71" t="str">
        <f>IFERROR(__xludf.DUMMYFUNCTION("GOOGLETRANSLATE(B98,""en"",""pt-PT"")"),"chinês")</f>
        <v>chinês</v>
      </c>
      <c r="X98" s="71" t="str">
        <f>IFERROR(__xludf.DUMMYFUNCTION("GOOGLETRANSLATE(B98,""en"",""ru"")"),"китайский")</f>
        <v>китайский</v>
      </c>
      <c r="Y98" s="71" t="str">
        <f>IFERROR(__xludf.DUMMYFUNCTION("GOOGLETRANSLATE(B98,""en"",""th"")"),"ชาวจีน")</f>
        <v>ชาวจีน</v>
      </c>
      <c r="Z98" s="71" t="str">
        <f>IFERROR(__xludf.DUMMYFUNCTION("GOOGLETRANSLATE(B98,""en"",""tr"")"),"Çince")</f>
        <v>Çince</v>
      </c>
      <c r="AA98" s="71" t="str">
        <f>IFERROR(__xludf.DUMMYFUNCTION("GOOGLETRANSLATE(B98,""en"",""uk"")"),"китайський")</f>
        <v>китайський</v>
      </c>
      <c r="AB98" s="71" t="str">
        <f>IFERROR(__xludf.DUMMYFUNCTION("GOOGLETRANSLATE(B98,""en"",""zh-CN"")"),"中国人")</f>
        <v>中国人</v>
      </c>
      <c r="AC98" s="71" t="str">
        <f>IFERROR(__xludf.DUMMYFUNCTION("GOOGLETRANSLATE(B98,""en"",""vi"")"),"Tiếng Trung")</f>
        <v>Tiếng Trung</v>
      </c>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c r="BM98" s="75"/>
    </row>
    <row r="99">
      <c r="A99" s="73" t="s">
        <v>3190</v>
      </c>
      <c r="B99" s="73" t="s">
        <v>3191</v>
      </c>
      <c r="C99" s="71" t="str">
        <f>IFERROR(__xludf.DUMMYFUNCTION("GOOGLETRANSLATE(B99,""en"",""ar"")"),"إنجليزي")</f>
        <v>إنجليزي</v>
      </c>
      <c r="D99" s="71" t="str">
        <f>IFERROR(__xludf.DUMMYFUNCTION("GOOGLETRANSLATE(B99,""en"",""cs"")"),"angličtina")</f>
        <v>angličtina</v>
      </c>
      <c r="E99" s="71" t="str">
        <f>IFERROR(__xludf.DUMMYFUNCTION("GOOGLETRANSLATE(B99,""en"",""de"")"),"Englisch")</f>
        <v>Englisch</v>
      </c>
      <c r="F99" s="71" t="str">
        <f>IFERROR(__xludf.DUMMYFUNCTION("GOOGLETRANSLATE(B99,""en"",""el"")"),"αγγλικός")</f>
        <v>αγγλικός</v>
      </c>
      <c r="G99" s="71" t="str">
        <f>IFERROR(__xludf.DUMMYFUNCTION("GOOGLETRANSLATE(B99,""en"",""es"")"),"Inglés")</f>
        <v>Inglés</v>
      </c>
      <c r="H99" s="71" t="str">
        <f>IFERROR(__xludf.DUMMYFUNCTION("GOOGLETRANSLATE(B99,""en"",""et"")"),"inglise keel")</f>
        <v>inglise keel</v>
      </c>
      <c r="I99" s="71" t="str">
        <f>IFERROR(__xludf.DUMMYFUNCTION("GOOGLETRANSLATE(B99,""en"",""fi"")"),"englanti")</f>
        <v>englanti</v>
      </c>
      <c r="J99" s="71" t="str">
        <f>IFERROR(__xludf.DUMMYFUNCTION("GOOGLETRANSLATE(B99,""en"",""fr"")"),"Anglais")</f>
        <v>Anglais</v>
      </c>
      <c r="K99" s="71" t="str">
        <f>IFERROR(__xludf.DUMMYFUNCTION("GOOGLETRANSLATE(B99,""en"",""hi"")"),"अंग्रेज़ी")</f>
        <v>अंग्रेज़ी</v>
      </c>
      <c r="L99" s="71" t="str">
        <f>IFERROR(__xludf.DUMMYFUNCTION("GOOGLETRANSLATE(B99,""en"",""id"")"),"Bahasa inggris")</f>
        <v>Bahasa inggris</v>
      </c>
      <c r="M99" s="71" t="str">
        <f>IFERROR(__xludf.DUMMYFUNCTION("GOOGLETRANSLATE(B99,""en"",""it"")"),"Inglese")</f>
        <v>Inglese</v>
      </c>
      <c r="N99" s="71" t="str">
        <f>IFERROR(__xludf.DUMMYFUNCTION("GOOGLETRANSLATE(B99,""en"",""ja"")"),"英語")</f>
        <v>英語</v>
      </c>
      <c r="O99" s="71" t="str">
        <f>IFERROR(__xludf.DUMMYFUNCTION("GOOGLETRANSLATE(B99,""en"",""km"")"),"ភាសាអង់គ្លេស")</f>
        <v>ភាសាអង់គ្លេស</v>
      </c>
      <c r="P99" s="71" t="str">
        <f>IFERROR(__xludf.DUMMYFUNCTION("GOOGLETRANSLATE(B99,""en"",""kn"")"),"ಇಂಗ್ಲೀಷ್")</f>
        <v>ಇಂಗ್ಲೀಷ್</v>
      </c>
      <c r="Q99" s="71" t="str">
        <f>IFERROR(__xludf.DUMMYFUNCTION("GOOGLETRANSLATE(B99,""en"",""ko"")"),"영어")</f>
        <v>영어</v>
      </c>
      <c r="R99" s="71" t="str">
        <f>IFERROR(__xludf.DUMMYFUNCTION("GOOGLETRANSLATE(B99,""en"",""lo"")"),"ພາສາອັງກິດ")</f>
        <v>ພາສາອັງກິດ</v>
      </c>
      <c r="S99" s="71" t="str">
        <f>IFERROR(__xludf.DUMMYFUNCTION("GOOGLETRANSLATE(B99,""en"",""lv"")"),"angļu valoda")</f>
        <v>angļu valoda</v>
      </c>
      <c r="T99" s="71" t="str">
        <f>IFERROR(__xludf.DUMMYFUNCTION("GOOGLETRANSLATE(B99,""en"",""ms"")"),"Inggeris")</f>
        <v>Inggeris</v>
      </c>
      <c r="U99" s="71" t="str">
        <f>IFERROR(__xludf.DUMMYFUNCTION("GOOGLETRANSLATE(B99,""en"",""nl"")"),"Engels")</f>
        <v>Engels</v>
      </c>
      <c r="V99" s="71" t="str">
        <f>IFERROR(__xludf.DUMMYFUNCTION("GOOGLETRANSLATE(B99,""en"",""pl"")"),"angielski")</f>
        <v>angielski</v>
      </c>
      <c r="W99" s="71" t="str">
        <f>IFERROR(__xludf.DUMMYFUNCTION("GOOGLETRANSLATE(B99,""en"",""pt-PT"")"),"Inglês")</f>
        <v>Inglês</v>
      </c>
      <c r="X99" s="71" t="str">
        <f>IFERROR(__xludf.DUMMYFUNCTION("GOOGLETRANSLATE(B99,""en"",""ru"")"),"Английский")</f>
        <v>Английский</v>
      </c>
      <c r="Y99" s="71" t="str">
        <f>IFERROR(__xludf.DUMMYFUNCTION("GOOGLETRANSLATE(B99,""en"",""th"")"),"ภาษาอังกฤษ")</f>
        <v>ภาษาอังกฤษ</v>
      </c>
      <c r="Z99" s="71" t="str">
        <f>IFERROR(__xludf.DUMMYFUNCTION("GOOGLETRANSLATE(B99,""en"",""tr"")"),"İngilizce")</f>
        <v>İngilizce</v>
      </c>
      <c r="AA99" s="71" t="str">
        <f>IFERROR(__xludf.DUMMYFUNCTION("GOOGLETRANSLATE(B99,""en"",""uk"")"),"англійська")</f>
        <v>англійська</v>
      </c>
      <c r="AB99" s="71" t="str">
        <f>IFERROR(__xludf.DUMMYFUNCTION("GOOGLETRANSLATE(B99,""en"",""zh-CN"")"),"英语")</f>
        <v>英语</v>
      </c>
      <c r="AC99" s="71" t="str">
        <f>IFERROR(__xludf.DUMMYFUNCTION("GOOGLETRANSLATE(B99,""en"",""vi"")"),"Tiếng Anh")</f>
        <v>Tiếng Anh</v>
      </c>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c r="BM99" s="75"/>
    </row>
    <row r="100">
      <c r="A100" s="73" t="s">
        <v>3219</v>
      </c>
      <c r="B100" s="73" t="s">
        <v>3220</v>
      </c>
      <c r="C100" s="71" t="str">
        <f>IFERROR(__xludf.DUMMYFUNCTION("GOOGLETRANSLATE(B100,""en"",""ar"")"),"الفيتنامية")</f>
        <v>الفيتنامية</v>
      </c>
      <c r="D100" s="71" t="str">
        <f>IFERROR(__xludf.DUMMYFUNCTION("GOOGLETRANSLATE(B100,""en"",""cs"")"),"vietnamština")</f>
        <v>vietnamština</v>
      </c>
      <c r="E100" s="71" t="str">
        <f>IFERROR(__xludf.DUMMYFUNCTION("GOOGLETRANSLATE(B100,""en"",""de"")"),"Vietnamesisch")</f>
        <v>Vietnamesisch</v>
      </c>
      <c r="F100" s="71" t="str">
        <f>IFERROR(__xludf.DUMMYFUNCTION("GOOGLETRANSLATE(B100,""en"",""el"")"),"Βιετναμέζικο")</f>
        <v>Βιετναμέζικο</v>
      </c>
      <c r="G100" s="71" t="str">
        <f>IFERROR(__xludf.DUMMYFUNCTION("GOOGLETRANSLATE(B100,""en"",""es"")"),"vietnamita")</f>
        <v>vietnamita</v>
      </c>
      <c r="H100" s="71" t="str">
        <f>IFERROR(__xludf.DUMMYFUNCTION("GOOGLETRANSLATE(B100,""en"",""et"")"),"vietnamlane")</f>
        <v>vietnamlane</v>
      </c>
      <c r="I100" s="71" t="str">
        <f>IFERROR(__xludf.DUMMYFUNCTION("GOOGLETRANSLATE(B100,""en"",""fi"")"),"vietnam")</f>
        <v>vietnam</v>
      </c>
      <c r="J100" s="71" t="str">
        <f>IFERROR(__xludf.DUMMYFUNCTION("GOOGLETRANSLATE(B100,""en"",""fr"")"),"vietnamien")</f>
        <v>vietnamien</v>
      </c>
      <c r="K100" s="71" t="str">
        <f>IFERROR(__xludf.DUMMYFUNCTION("GOOGLETRANSLATE(B100,""en"",""hi"")"),"वियतनामी")</f>
        <v>वियतनामी</v>
      </c>
      <c r="L100" s="71" t="str">
        <f>IFERROR(__xludf.DUMMYFUNCTION("GOOGLETRANSLATE(B100,""en"",""id"")"),"Vietnam")</f>
        <v>Vietnam</v>
      </c>
      <c r="M100" s="71" t="str">
        <f>IFERROR(__xludf.DUMMYFUNCTION("GOOGLETRANSLATE(B100,""en"",""it"")"),"vietnamita")</f>
        <v>vietnamita</v>
      </c>
      <c r="N100" s="71" t="str">
        <f>IFERROR(__xludf.DUMMYFUNCTION("GOOGLETRANSLATE(B100,""en"",""ja"")"),"ベトナム語")</f>
        <v>ベトナム語</v>
      </c>
      <c r="O100" s="71" t="str">
        <f>IFERROR(__xludf.DUMMYFUNCTION("GOOGLETRANSLATE(B100,""en"",""km"")"),"វៀតណាម")</f>
        <v>វៀតណាម</v>
      </c>
      <c r="P100" s="71" t="str">
        <f>IFERROR(__xludf.DUMMYFUNCTION("GOOGLETRANSLATE(B100,""en"",""kn"")"),"ವಿಯೆಟ್ನಾಮೀಸ್")</f>
        <v>ವಿಯೆಟ್ನಾಮೀಸ್</v>
      </c>
      <c r="Q100" s="71" t="str">
        <f>IFERROR(__xludf.DUMMYFUNCTION("GOOGLETRANSLATE(B100,""en"",""ko"")"),"베트남 사람")</f>
        <v>베트남 사람</v>
      </c>
      <c r="R100" s="71" t="str">
        <f>IFERROR(__xludf.DUMMYFUNCTION("GOOGLETRANSLATE(B100,""en"",""lo"")"),"ຫວຽດນາມ")</f>
        <v>ຫວຽດນາມ</v>
      </c>
      <c r="S100" s="71" t="str">
        <f>IFERROR(__xludf.DUMMYFUNCTION("GOOGLETRANSLATE(B100,""en"",""lv"")"),"vjetnamietis")</f>
        <v>vjetnamietis</v>
      </c>
      <c r="T100" s="71" t="str">
        <f>IFERROR(__xludf.DUMMYFUNCTION("GOOGLETRANSLATE(B100,""en"",""ms"")"),"bahasa Vietnam")</f>
        <v>bahasa Vietnam</v>
      </c>
      <c r="U100" s="71" t="str">
        <f>IFERROR(__xludf.DUMMYFUNCTION("GOOGLETRANSLATE(B100,""en"",""nl"")"),"Vietnamees")</f>
        <v>Vietnamees</v>
      </c>
      <c r="V100" s="71" t="str">
        <f>IFERROR(__xludf.DUMMYFUNCTION("GOOGLETRANSLATE(B100,""en"",""pl"")"),"wietnamski")</f>
        <v>wietnamski</v>
      </c>
      <c r="W100" s="71" t="str">
        <f>IFERROR(__xludf.DUMMYFUNCTION("GOOGLETRANSLATE(B100,""en"",""pt-PT"")"),"vietnamita")</f>
        <v>vietnamita</v>
      </c>
      <c r="X100" s="71" t="str">
        <f>IFERROR(__xludf.DUMMYFUNCTION("GOOGLETRANSLATE(B100,""en"",""ru"")"),"вьетнамский")</f>
        <v>вьетнамский</v>
      </c>
      <c r="Y100" s="71" t="str">
        <f>IFERROR(__xludf.DUMMYFUNCTION("GOOGLETRANSLATE(B100,""en"",""th"")"),"ภาษาเวียดนาม")</f>
        <v>ภาษาเวียดนาม</v>
      </c>
      <c r="Z100" s="71" t="str">
        <f>IFERROR(__xludf.DUMMYFUNCTION("GOOGLETRANSLATE(B100,""en"",""tr"")"),"Vietnam")</f>
        <v>Vietnam</v>
      </c>
      <c r="AA100" s="71" t="str">
        <f>IFERROR(__xludf.DUMMYFUNCTION("GOOGLETRANSLATE(B100,""en"",""uk"")"),"в'єтнамська")</f>
        <v>в'єтнамська</v>
      </c>
      <c r="AB100" s="71" t="str">
        <f>IFERROR(__xludf.DUMMYFUNCTION("GOOGLETRANSLATE(B100,""en"",""zh-CN"")"),"越南语")</f>
        <v>越南语</v>
      </c>
      <c r="AC100" s="71" t="str">
        <f>IFERROR(__xludf.DUMMYFUNCTION("GOOGLETRANSLATE(B100,""en"",""vi"")"),"Tiếng Việt")</f>
        <v>Tiếng Việt</v>
      </c>
      <c r="AD100" s="75"/>
      <c r="AE100" s="75"/>
      <c r="AF100" s="75"/>
      <c r="AG100" s="75"/>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row>
    <row r="101">
      <c r="A101" s="73" t="s">
        <v>11676</v>
      </c>
      <c r="B101" s="73" t="s">
        <v>11677</v>
      </c>
      <c r="C101" s="71" t="str">
        <f>IFERROR(__xludf.DUMMYFUNCTION("GOOGLETRANSLATE(B101,""en"",""ar"")"),"ضبط الشاشة الرئيسية")</f>
        <v>ضبط الشاشة الرئيسية</v>
      </c>
      <c r="D101" s="71" t="str">
        <f>IFERROR(__xludf.DUMMYFUNCTION("GOOGLETRANSLATE(B101,""en"",""cs"")"),"Nastavení domovské obrazovky")</f>
        <v>Nastavení domovské obrazovky</v>
      </c>
      <c r="E101" s="71" t="str">
        <f>IFERROR(__xludf.DUMMYFUNCTION("GOOGLETRANSLATE(B101,""en"",""de"")"),"Startbildschirm festlegen")</f>
        <v>Startbildschirm festlegen</v>
      </c>
      <c r="F101" s="71" t="str">
        <f>IFERROR(__xludf.DUMMYFUNCTION("GOOGLETRANSLATE(B101,""en"",""el"")"),"Ρύθμιση αρχικής οθόνης")</f>
        <v>Ρύθμιση αρχικής οθόνης</v>
      </c>
      <c r="G101" s="71" t="str">
        <f>IFERROR(__xludf.DUMMYFUNCTION("GOOGLETRANSLATE(B101,""en"",""es"")"),"Establecer pantalla de inicio")</f>
        <v>Establecer pantalla de inicio</v>
      </c>
      <c r="H101" s="71" t="str">
        <f>IFERROR(__xludf.DUMMYFUNCTION("GOOGLETRANSLATE(B101,""en"",""et"")"),"Avakuva seadistamine")</f>
        <v>Avakuva seadistamine</v>
      </c>
      <c r="I101" s="71" t="str">
        <f>IFERROR(__xludf.DUMMYFUNCTION("GOOGLETRANSLATE(B101,""en"",""fi"")"),"Aseta aloitusnäyttö")</f>
        <v>Aseta aloitusnäyttö</v>
      </c>
      <c r="J101" s="71" t="str">
        <f>IFERROR(__xludf.DUMMYFUNCTION("GOOGLETRANSLATE(B101,""en"",""fr"")"),"Définir l'écran d'accueil")</f>
        <v>Définir l'écran d'accueil</v>
      </c>
      <c r="K101" s="71" t="str">
        <f>IFERROR(__xludf.DUMMYFUNCTION("GOOGLETRANSLATE(B101,""en"",""hi"")"),"होम स्क्रीन सेट करें")</f>
        <v>होम स्क्रीन सेट करें</v>
      </c>
      <c r="L101" s="71" t="str">
        <f>IFERROR(__xludf.DUMMYFUNCTION("GOOGLETRANSLATE(B101,""en"",""id"")"),"Setel Layar Beranda")</f>
        <v>Setel Layar Beranda</v>
      </c>
      <c r="M101" s="71" t="str">
        <f>IFERROR(__xludf.DUMMYFUNCTION("GOOGLETRANSLATE(B101,""en"",""it"")"),"Imposta la schermata iniziale")</f>
        <v>Imposta la schermata iniziale</v>
      </c>
      <c r="N101" s="71" t="str">
        <f>IFERROR(__xludf.DUMMYFUNCTION("GOOGLETRANSLATE(B101,""en"",""ja"")"),"ホーム画面の設定")</f>
        <v>ホーム画面の設定</v>
      </c>
      <c r="O101" s="71" t="str">
        <f>IFERROR(__xludf.DUMMYFUNCTION("GOOGLETRANSLATE(B101,""en"",""km"")"),"កំណត់អេក្រង់ដើម")</f>
        <v>កំណត់អេក្រង់ដើម</v>
      </c>
      <c r="P101" s="71" t="str">
        <f>IFERROR(__xludf.DUMMYFUNCTION("GOOGLETRANSLATE(B101,""en"",""kn"")"),"ಹೋಮ್ ಸ್ಕ್ರೀನ್ ಹೊಂದಿಸಿ")</f>
        <v>ಹೋಮ್ ಸ್ಕ್ರೀನ್ ಹೊಂದಿಸಿ</v>
      </c>
      <c r="Q101" s="71" t="str">
        <f>IFERROR(__xludf.DUMMYFUNCTION("GOOGLETRANSLATE(B101,""en"",""ko"")"),"홈 화면 설정")</f>
        <v>홈 화면 설정</v>
      </c>
      <c r="R101" s="71" t="str">
        <f>IFERROR(__xludf.DUMMYFUNCTION("GOOGLETRANSLATE(B101,""en"",""lo"")"),"ຕັ້ງໜ້າຈໍຫຼັກ")</f>
        <v>ຕັ້ງໜ້າຈໍຫຼັກ</v>
      </c>
      <c r="S101" s="71" t="str">
        <f>IFERROR(__xludf.DUMMYFUNCTION("GOOGLETRANSLATE(B101,""en"",""lv"")"),"Iestatīt sākuma ekrānu")</f>
        <v>Iestatīt sākuma ekrānu</v>
      </c>
      <c r="T101" s="71" t="str">
        <f>IFERROR(__xludf.DUMMYFUNCTION("GOOGLETRANSLATE(B101,""en"",""ms"")"),"Tetapkan Skrin Utama")</f>
        <v>Tetapkan Skrin Utama</v>
      </c>
      <c r="U101" s="71" t="str">
        <f>IFERROR(__xludf.DUMMYFUNCTION("GOOGLETRANSLATE(B101,""en"",""nl"")"),"Startscherm instellen")</f>
        <v>Startscherm instellen</v>
      </c>
      <c r="V101" s="71" t="str">
        <f>IFERROR(__xludf.DUMMYFUNCTION("GOOGLETRANSLATE(B101,""en"",""pl"")"),"Ustaw ekran główny")</f>
        <v>Ustaw ekran główny</v>
      </c>
      <c r="W101" s="71" t="str">
        <f>IFERROR(__xludf.DUMMYFUNCTION("GOOGLETRANSLATE(B101,""en"",""pt-PT"")"),"Definir tela inicial")</f>
        <v>Definir tela inicial</v>
      </c>
      <c r="X101" s="71" t="str">
        <f>IFERROR(__xludf.DUMMYFUNCTION("GOOGLETRANSLATE(B101,""en"",""ru"")"),"Установить главный экран")</f>
        <v>Установить главный экран</v>
      </c>
      <c r="Y101" s="71" t="str">
        <f>IFERROR(__xludf.DUMMYFUNCTION("GOOGLETRANSLATE(B101,""en"",""th"")"),"ตั้งค่าหน้าจอหลัก")</f>
        <v>ตั้งค่าหน้าจอหลัก</v>
      </c>
      <c r="Z101" s="71" t="str">
        <f>IFERROR(__xludf.DUMMYFUNCTION("GOOGLETRANSLATE(B101,""en"",""tr"")"),"Ana Ekranı Ayarla")</f>
        <v>Ana Ekranı Ayarla</v>
      </c>
      <c r="AA101" s="71" t="str">
        <f>IFERROR(__xludf.DUMMYFUNCTION("GOOGLETRANSLATE(B101,""en"",""uk"")"),"Налаштувати головний екран")</f>
        <v>Налаштувати головний екран</v>
      </c>
      <c r="AB101" s="71" t="str">
        <f>IFERROR(__xludf.DUMMYFUNCTION("GOOGLETRANSLATE(B101,""en"",""zh-CN"")"),"设置主屏幕")</f>
        <v>设置主屏幕</v>
      </c>
      <c r="AC101" s="71" t="str">
        <f>IFERROR(__xludf.DUMMYFUNCTION("GOOGLETRANSLATE(B101,""en"",""vi"")"),"Đặt màn hình chính")</f>
        <v>Đặt màn hình chính</v>
      </c>
      <c r="AD101" s="75"/>
      <c r="AE101" s="75"/>
      <c r="AF101" s="75"/>
      <c r="AG101" s="75"/>
      <c r="AH101" s="75"/>
      <c r="AI101" s="75"/>
      <c r="AJ101" s="75"/>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row>
    <row r="102">
      <c r="A102" s="73" t="s">
        <v>11678</v>
      </c>
      <c r="B102" s="73" t="s">
        <v>11679</v>
      </c>
      <c r="C102" s="71" t="str">
        <f>IFERROR(__xludf.DUMMYFUNCTION("GOOGLETRANSLATE(B102,""en"",""ar"")"),"تعيين قفل الشاشة")</f>
        <v>تعيين قفل الشاشة</v>
      </c>
      <c r="D102" s="71" t="str">
        <f>IFERROR(__xludf.DUMMYFUNCTION("GOOGLETRANSLATE(B102,""en"",""cs"")"),"Nastavit uzamčení obrazovky")</f>
        <v>Nastavit uzamčení obrazovky</v>
      </c>
      <c r="E102" s="71" t="str">
        <f>IFERROR(__xludf.DUMMYFUNCTION("GOOGLETRANSLATE(B102,""en"",""de"")"),"Sperrbildschirm einstellen")</f>
        <v>Sperrbildschirm einstellen</v>
      </c>
      <c r="F102" s="71" t="str">
        <f>IFERROR(__xludf.DUMMYFUNCTION("GOOGLETRANSLATE(B102,""en"",""el"")"),"Ρύθμιση οθόνης κλειδώματος")</f>
        <v>Ρύθμιση οθόνης κλειδώματος</v>
      </c>
      <c r="G102" s="71" t="str">
        <f>IFERROR(__xludf.DUMMYFUNCTION("GOOGLETRANSLATE(B102,""en"",""es"")"),"Establecer pantalla de bloqueo")</f>
        <v>Establecer pantalla de bloqueo</v>
      </c>
      <c r="H102" s="71" t="str">
        <f>IFERROR(__xludf.DUMMYFUNCTION("GOOGLETRANSLATE(B102,""en"",""et"")"),"Määrake lukustuskuva")</f>
        <v>Määrake lukustuskuva</v>
      </c>
      <c r="I102" s="71" t="str">
        <f>IFERROR(__xludf.DUMMYFUNCTION("GOOGLETRANSLATE(B102,""en"",""fi"")"),"Aseta lukitusnäyttö")</f>
        <v>Aseta lukitusnäyttö</v>
      </c>
      <c r="J102" s="71" t="str">
        <f>IFERROR(__xludf.DUMMYFUNCTION("GOOGLETRANSLATE(B102,""en"",""fr"")"),"Définir l'écran de verrouillage")</f>
        <v>Définir l'écran de verrouillage</v>
      </c>
      <c r="K102" s="71" t="str">
        <f>IFERROR(__xludf.DUMMYFUNCTION("GOOGLETRANSLATE(B102,""en"",""hi"")"),"लॉकस्क्रीन सेट करें")</f>
        <v>लॉकस्क्रीन सेट करें</v>
      </c>
      <c r="L102" s="71" t="str">
        <f>IFERROR(__xludf.DUMMYFUNCTION("GOOGLETRANSLATE(B102,""en"",""id"")"),"Setel Layar Kunci")</f>
        <v>Setel Layar Kunci</v>
      </c>
      <c r="M102" s="71" t="str">
        <f>IFERROR(__xludf.DUMMYFUNCTION("GOOGLETRANSLATE(B102,""en"",""it"")"),"Imposta schermata di blocco")</f>
        <v>Imposta schermata di blocco</v>
      </c>
      <c r="N102" s="71" t="str">
        <f>IFERROR(__xludf.DUMMYFUNCTION("GOOGLETRANSLATE(B102,""en"",""ja"")"),"ロック画面を設定する")</f>
        <v>ロック画面を設定する</v>
      </c>
      <c r="O102" s="71" t="str">
        <f>IFERROR(__xludf.DUMMYFUNCTION("GOOGLETRANSLATE(B102,""en"",""km"")"),"កំណត់អេក្រង់ចាក់សោ")</f>
        <v>កំណត់អេក្រង់ចាក់សោ</v>
      </c>
      <c r="P102" s="71" t="str">
        <f>IFERROR(__xludf.DUMMYFUNCTION("GOOGLETRANSLATE(B102,""en"",""kn"")"),"ಲಾಕ್‌ಸ್ಕ್ರೀನ್ ಹೊಂದಿಸಿ")</f>
        <v>ಲಾಕ್‌ಸ್ಕ್ರೀನ್ ಹೊಂದಿಸಿ</v>
      </c>
      <c r="Q102" s="71" t="str">
        <f>IFERROR(__xludf.DUMMYFUNCTION("GOOGLETRANSLATE(B102,""en"",""ko"")"),"잠금화면 설정")</f>
        <v>잠금화면 설정</v>
      </c>
      <c r="R102" s="71" t="str">
        <f>IFERROR(__xludf.DUMMYFUNCTION("GOOGLETRANSLATE(B102,""en"",""lo"")"),"ຕັ້ງ Lockscreen")</f>
        <v>ຕັ້ງ Lockscreen</v>
      </c>
      <c r="S102" s="71" t="str">
        <f>IFERROR(__xludf.DUMMYFUNCTION("GOOGLETRANSLATE(B102,""en"",""lv"")"),"Iestatiet bloķēšanas ekrānu")</f>
        <v>Iestatiet bloķēšanas ekrānu</v>
      </c>
      <c r="T102" s="71" t="str">
        <f>IFERROR(__xludf.DUMMYFUNCTION("GOOGLETRANSLATE(B102,""en"",""ms"")"),"Tetapkan Skrin Kunci")</f>
        <v>Tetapkan Skrin Kunci</v>
      </c>
      <c r="U102" s="71" t="str">
        <f>IFERROR(__xludf.DUMMYFUNCTION("GOOGLETRANSLATE(B102,""en"",""nl"")"),"Vergrendelscherm instellen")</f>
        <v>Vergrendelscherm instellen</v>
      </c>
      <c r="V102" s="71" t="str">
        <f>IFERROR(__xludf.DUMMYFUNCTION("GOOGLETRANSLATE(B102,""en"",""pl"")"),"Ustaw ekran blokady")</f>
        <v>Ustaw ekran blokady</v>
      </c>
      <c r="W102" s="71" t="str">
        <f>IFERROR(__xludf.DUMMYFUNCTION("GOOGLETRANSLATE(B102,""en"",""pt-PT"")"),"Definir tela de bloqueio")</f>
        <v>Definir tela de bloqueio</v>
      </c>
      <c r="X102" s="71" t="str">
        <f>IFERROR(__xludf.DUMMYFUNCTION("GOOGLETRANSLATE(B102,""en"",""ru"")"),"Установить экран блокировки")</f>
        <v>Установить экран блокировки</v>
      </c>
      <c r="Y102" s="71" t="str">
        <f>IFERROR(__xludf.DUMMYFUNCTION("GOOGLETRANSLATE(B102,""en"",""th"")"),"ตั้งค่าหน้าจอล็อค")</f>
        <v>ตั้งค่าหน้าจอล็อค</v>
      </c>
      <c r="Z102" s="71" t="str">
        <f>IFERROR(__xludf.DUMMYFUNCTION("GOOGLETRANSLATE(B102,""en"",""tr"")"),"Kilit Ekranını Ayarla")</f>
        <v>Kilit Ekranını Ayarla</v>
      </c>
      <c r="AA102" s="71" t="str">
        <f>IFERROR(__xludf.DUMMYFUNCTION("GOOGLETRANSLATE(B102,""en"",""uk"")"),"Встановити екран блокування")</f>
        <v>Встановити екран блокування</v>
      </c>
      <c r="AB102" s="71" t="str">
        <f>IFERROR(__xludf.DUMMYFUNCTION("GOOGLETRANSLATE(B102,""en"",""zh-CN"")"),"设置锁屏")</f>
        <v>设置锁屏</v>
      </c>
      <c r="AC102" s="71" t="str">
        <f>IFERROR(__xludf.DUMMYFUNCTION("GOOGLETRANSLATE(B102,""en"",""vi"")"),"Đặt màn hình khóa")</f>
        <v>Đặt màn hình khóa</v>
      </c>
      <c r="AD102" s="75"/>
      <c r="AE102" s="75"/>
      <c r="AF102" s="75"/>
      <c r="AG102" s="75"/>
      <c r="AH102" s="75"/>
      <c r="AI102" s="75"/>
      <c r="AJ102" s="75"/>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row>
    <row r="103">
      <c r="A103" s="73" t="s">
        <v>11680</v>
      </c>
      <c r="B103" s="73" t="s">
        <v>11681</v>
      </c>
      <c r="C103" s="71" t="str">
        <f>IFERROR(__xludf.DUMMYFUNCTION("GOOGLETRANSLATE(B103,""en"",""ar"")"),"تعيين كلاهما")</f>
        <v>تعيين كلاهما</v>
      </c>
      <c r="D103" s="71" t="str">
        <f>IFERROR(__xludf.DUMMYFUNCTION("GOOGLETRANSLATE(B103,""en"",""cs"")"),"Nastavte obojí")</f>
        <v>Nastavte obojí</v>
      </c>
      <c r="E103" s="71" t="str">
        <f>IFERROR(__xludf.DUMMYFUNCTION("GOOGLETRANSLATE(B103,""en"",""de"")"),"Stellen Sie „Beide“ ein")</f>
        <v>Stellen Sie „Beide“ ein</v>
      </c>
      <c r="F103" s="71" t="str">
        <f>IFERROR(__xludf.DUMMYFUNCTION("GOOGLETRANSLATE(B103,""en"",""el"")"),"Ρυθμίστε και τα δύο")</f>
        <v>Ρυθμίστε και τα δύο</v>
      </c>
      <c r="G103" s="71" t="str">
        <f>IFERROR(__xludf.DUMMYFUNCTION("GOOGLETRANSLATE(B103,""en"",""es"")"),"Establecer ambos")</f>
        <v>Establecer ambos</v>
      </c>
      <c r="H103" s="71" t="str">
        <f>IFERROR(__xludf.DUMMYFUNCTION("GOOGLETRANSLATE(B103,""en"",""et"")"),"Määra mõlemad")</f>
        <v>Määra mõlemad</v>
      </c>
      <c r="I103" s="71" t="str">
        <f>IFERROR(__xludf.DUMMYFUNCTION("GOOGLETRANSLATE(B103,""en"",""fi"")"),"Aseta molemmat")</f>
        <v>Aseta molemmat</v>
      </c>
      <c r="J103" s="71" t="str">
        <f>IFERROR(__xludf.DUMMYFUNCTION("GOOGLETRANSLATE(B103,""en"",""fr"")"),"Définir les deux")</f>
        <v>Définir les deux</v>
      </c>
      <c r="K103" s="71" t="str">
        <f>IFERROR(__xludf.DUMMYFUNCTION("GOOGLETRANSLATE(B103,""en"",""hi"")"),"दोनों सेट करें")</f>
        <v>दोनों सेट करें</v>
      </c>
      <c r="L103" s="71" t="str">
        <f>IFERROR(__xludf.DUMMYFUNCTION("GOOGLETRANSLATE(B103,""en"",""id"")"),"Atur Keduanya")</f>
        <v>Atur Keduanya</v>
      </c>
      <c r="M103" s="71" t="str">
        <f>IFERROR(__xludf.DUMMYFUNCTION("GOOGLETRANSLATE(B103,""en"",""it"")"),"Imposta entrambi")</f>
        <v>Imposta entrambi</v>
      </c>
      <c r="N103" s="71" t="str">
        <f>IFERROR(__xludf.DUMMYFUNCTION("GOOGLETRANSLATE(B103,""en"",""ja"")"),"両方を設定する")</f>
        <v>両方を設定する</v>
      </c>
      <c r="O103" s="71" t="str">
        <f>IFERROR(__xludf.DUMMYFUNCTION("GOOGLETRANSLATE(B103,""en"",""km"")"),"កំណត់ទាំងពីរ")</f>
        <v>កំណត់ទាំងពីរ</v>
      </c>
      <c r="P103" s="71" t="str">
        <f>IFERROR(__xludf.DUMMYFUNCTION("GOOGLETRANSLATE(B103,""en"",""kn"")"),"ಎರಡನ್ನೂ ಹೊಂದಿಸಿ")</f>
        <v>ಎರಡನ್ನೂ ಹೊಂದಿಸಿ</v>
      </c>
      <c r="Q103" s="71" t="str">
        <f>IFERROR(__xludf.DUMMYFUNCTION("GOOGLETRANSLATE(B103,""en"",""ko"")"),"둘 다 설정")</f>
        <v>둘 다 설정</v>
      </c>
      <c r="R103" s="71" t="str">
        <f>IFERROR(__xludf.DUMMYFUNCTION("GOOGLETRANSLATE(B103,""en"",""lo"")"),"ກໍານົດທັງສອງ")</f>
        <v>ກໍານົດທັງສອງ</v>
      </c>
      <c r="S103" s="71" t="str">
        <f>IFERROR(__xludf.DUMMYFUNCTION("GOOGLETRANSLATE(B103,""en"",""lv"")"),"Iestatiet abus")</f>
        <v>Iestatiet abus</v>
      </c>
      <c r="T103" s="71" t="str">
        <f>IFERROR(__xludf.DUMMYFUNCTION("GOOGLETRANSLATE(B103,""en"",""ms"")"),"Tetapkan Kedua-duanya")</f>
        <v>Tetapkan Kedua-duanya</v>
      </c>
      <c r="U103" s="71" t="str">
        <f>IFERROR(__xludf.DUMMYFUNCTION("GOOGLETRANSLATE(B103,""en"",""nl"")"),"Stel beide in")</f>
        <v>Stel beide in</v>
      </c>
      <c r="V103" s="71" t="str">
        <f>IFERROR(__xludf.DUMMYFUNCTION("GOOGLETRANSLATE(B103,""en"",""pl"")"),"Ustaw oba")</f>
        <v>Ustaw oba</v>
      </c>
      <c r="W103" s="71" t="str">
        <f>IFERROR(__xludf.DUMMYFUNCTION("GOOGLETRANSLATE(B103,""en"",""pt-PT"")"),"Definir ambos")</f>
        <v>Definir ambos</v>
      </c>
      <c r="X103" s="71" t="str">
        <f>IFERROR(__xludf.DUMMYFUNCTION("GOOGLETRANSLATE(B103,""en"",""ru"")"),"Установить оба")</f>
        <v>Установить оба</v>
      </c>
      <c r="Y103" s="71" t="str">
        <f>IFERROR(__xludf.DUMMYFUNCTION("GOOGLETRANSLATE(B103,""en"",""th"")"),"ตั้งทั้งสองอย่าง")</f>
        <v>ตั้งทั้งสองอย่าง</v>
      </c>
      <c r="Z103" s="71" t="str">
        <f>IFERROR(__xludf.DUMMYFUNCTION("GOOGLETRANSLATE(B103,""en"",""tr"")"),"Her İkisini de Ayarla")</f>
        <v>Her İkisini de Ayarla</v>
      </c>
      <c r="AA103" s="71" t="str">
        <f>IFERROR(__xludf.DUMMYFUNCTION("GOOGLETRANSLATE(B103,""en"",""uk"")"),"Встановити обидва")</f>
        <v>Встановити обидва</v>
      </c>
      <c r="AB103" s="71" t="str">
        <f>IFERROR(__xludf.DUMMYFUNCTION("GOOGLETRANSLATE(B103,""en"",""zh-CN"")"),"设置两者")</f>
        <v>设置两者</v>
      </c>
      <c r="AC103" s="71" t="str">
        <f>IFERROR(__xludf.DUMMYFUNCTION("GOOGLETRANSLATE(B103,""en"",""vi"")"),"Đặt cả hai")</f>
        <v>Đặt cả hai</v>
      </c>
      <c r="AD103" s="75"/>
      <c r="AE103" s="75"/>
      <c r="AF103" s="75"/>
      <c r="AG103" s="75"/>
      <c r="AH103" s="75"/>
      <c r="AI103" s="75"/>
      <c r="AJ103" s="75"/>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c r="BK103" s="75"/>
      <c r="BL103" s="75"/>
      <c r="BM103" s="75"/>
    </row>
    <row r="104">
      <c r="A104" s="73" t="s">
        <v>11682</v>
      </c>
      <c r="B104" s="73" t="s">
        <v>11683</v>
      </c>
      <c r="C104" s="71" t="str">
        <f>IFERROR(__xludf.DUMMYFUNCTION("GOOGLETRANSLATE(B104,""en"",""ar"")"),"جارٍ تحميل الخلفية…")</f>
        <v>جارٍ تحميل الخلفية…</v>
      </c>
      <c r="D104" s="71" t="str">
        <f>IFERROR(__xludf.DUMMYFUNCTION("GOOGLETRANSLATE(B104,""en"",""cs"")"),"Načítání tapety…")</f>
        <v>Načítání tapety…</v>
      </c>
      <c r="E104" s="71" t="str">
        <f>IFERROR(__xludf.DUMMYFUNCTION("GOOGLETRANSLATE(B104,""en"",""de"")"),"Hintergrundbild wird geladen…")</f>
        <v>Hintergrundbild wird geladen…</v>
      </c>
      <c r="F104" s="71" t="str">
        <f>IFERROR(__xludf.DUMMYFUNCTION("GOOGLETRANSLATE(B104,""en"",""el"")"),"Φόρτωση ταπετσαρίας…")</f>
        <v>Φόρτωση ταπετσαρίας…</v>
      </c>
      <c r="G104" s="71" t="str">
        <f>IFERROR(__xludf.DUMMYFUNCTION("GOOGLETRANSLATE(B104,""en"",""es"")"),"Cargando fondo de pantalla…")</f>
        <v>Cargando fondo de pantalla…</v>
      </c>
      <c r="H104" s="71" t="str">
        <f>IFERROR(__xludf.DUMMYFUNCTION("GOOGLETRANSLATE(B104,""en"",""et"")"),"Taustapildi laadimine…")</f>
        <v>Taustapildi laadimine…</v>
      </c>
      <c r="I104" s="71" t="str">
        <f>IFERROR(__xludf.DUMMYFUNCTION("GOOGLETRANSLATE(B104,""en"",""fi"")"),"Ladataan taustakuvaa…")</f>
        <v>Ladataan taustakuvaa…</v>
      </c>
      <c r="J104" s="71" t="str">
        <f>IFERROR(__xludf.DUMMYFUNCTION("GOOGLETRANSLATE(B104,""en"",""fr"")"),"Chargement du fond d'écran…")</f>
        <v>Chargement du fond d'écran…</v>
      </c>
      <c r="K104" s="71" t="str">
        <f>IFERROR(__xludf.DUMMYFUNCTION("GOOGLETRANSLATE(B104,""en"",""hi"")"),"वॉलपेपर लोड हो रहा है...")</f>
        <v>वॉलपेपर लोड हो रहा है...</v>
      </c>
      <c r="L104" s="71" t="str">
        <f>IFERROR(__xludf.DUMMYFUNCTION("GOOGLETRANSLATE(B104,""en"",""id"")"),"Memuat wallpaper…")</f>
        <v>Memuat wallpaper…</v>
      </c>
      <c r="M104" s="71" t="str">
        <f>IFERROR(__xludf.DUMMYFUNCTION("GOOGLETRANSLATE(B104,""en"",""it"")"),"Caricamento dello sfondo…")</f>
        <v>Caricamento dello sfondo…</v>
      </c>
      <c r="N104" s="71" t="str">
        <f>IFERROR(__xludf.DUMMYFUNCTION("GOOGLETRANSLATE(B104,""en"",""ja"")"),"壁紙を読み込んでいます…")</f>
        <v>壁紙を読み込んでいます…</v>
      </c>
      <c r="O104" s="71" t="str">
        <f>IFERROR(__xludf.DUMMYFUNCTION("GOOGLETRANSLATE(B104,""en"",""km"")"),"កំពុងផ្ទុកផ្ទាំងរូបភាព...")</f>
        <v>កំពុងផ្ទុកផ្ទាំងរូបភាព...</v>
      </c>
      <c r="P104" s="71" t="str">
        <f>IFERROR(__xludf.DUMMYFUNCTION("GOOGLETRANSLATE(B104,""en"",""kn"")"),"ವಾಲ್‌ಪೇಪರ್ ಲೋಡ್ ಆಗುತ್ತಿದೆ...")</f>
        <v>ವಾಲ್‌ಪೇಪರ್ ಲೋಡ್ ಆಗುತ್ತಿದೆ...</v>
      </c>
      <c r="Q104" s="71" t="str">
        <f>IFERROR(__xludf.DUMMYFUNCTION("GOOGLETRANSLATE(B104,""en"",""ko"")"),"배경화면 로드 중…")</f>
        <v>배경화면 로드 중…</v>
      </c>
      <c r="R104" s="71" t="str">
        <f>IFERROR(__xludf.DUMMYFUNCTION("GOOGLETRANSLATE(B104,""en"",""lo"")"),"ກຳລັງໂຫຼດຮູບວໍເປເປີ...")</f>
        <v>ກຳລັງໂຫຼດຮູບວໍເປເປີ...</v>
      </c>
      <c r="S104" s="71" t="str">
        <f>IFERROR(__xludf.DUMMYFUNCTION("GOOGLETRANSLATE(B104,""en"",""lv"")"),"Notiek fona tapetes ielāde…")</f>
        <v>Notiek fona tapetes ielāde…</v>
      </c>
      <c r="T104" s="71" t="str">
        <f>IFERROR(__xludf.DUMMYFUNCTION("GOOGLETRANSLATE(B104,""en"",""ms"")"),"Memuatkan kertas dinding…")</f>
        <v>Memuatkan kertas dinding…</v>
      </c>
      <c r="U104" s="71" t="str">
        <f>IFERROR(__xludf.DUMMYFUNCTION("GOOGLETRANSLATE(B104,""en"",""nl"")"),"Achtergrond laden...")</f>
        <v>Achtergrond laden...</v>
      </c>
      <c r="V104" s="71" t="str">
        <f>IFERROR(__xludf.DUMMYFUNCTION("GOOGLETRANSLATE(B104,""en"",""pl"")"),"Ładowanie tapety…")</f>
        <v>Ładowanie tapety…</v>
      </c>
      <c r="W104" s="71" t="str">
        <f>IFERROR(__xludf.DUMMYFUNCTION("GOOGLETRANSLATE(B104,""en"",""pt-PT"")"),"Carregando papel de parede…")</f>
        <v>Carregando papel de parede…</v>
      </c>
      <c r="X104" s="71" t="str">
        <f>IFERROR(__xludf.DUMMYFUNCTION("GOOGLETRANSLATE(B104,""en"",""ru"")"),"Загрузка обоев…")</f>
        <v>Загрузка обоев…</v>
      </c>
      <c r="Y104" s="71" t="str">
        <f>IFERROR(__xludf.DUMMYFUNCTION("GOOGLETRANSLATE(B104,""en"",""th"")"),"กำลังโหลดวอลเปเปอร์...")</f>
        <v>กำลังโหลดวอลเปเปอร์...</v>
      </c>
      <c r="Z104" s="71" t="str">
        <f>IFERROR(__xludf.DUMMYFUNCTION("GOOGLETRANSLATE(B104,""en"",""tr"")"),"Duvar kağıdı yükleniyor…")</f>
        <v>Duvar kağıdı yükleniyor…</v>
      </c>
      <c r="AA104" s="71" t="str">
        <f>IFERROR(__xludf.DUMMYFUNCTION("GOOGLETRANSLATE(B104,""en"",""uk"")"),"Завантаження шпалер…")</f>
        <v>Завантаження шпалер…</v>
      </c>
      <c r="AB104" s="71" t="str">
        <f>IFERROR(__xludf.DUMMYFUNCTION("GOOGLETRANSLATE(B104,""en"",""zh-CN"")"),"正在加载壁纸...")</f>
        <v>正在加载壁纸...</v>
      </c>
      <c r="AC104" s="71" t="str">
        <f>IFERROR(__xludf.DUMMYFUNCTION("GOOGLETRANSLATE(B104,""en"",""vi"")"),"Đang tải hình nền…")</f>
        <v>Đang tải hình nền…</v>
      </c>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row>
    <row r="105">
      <c r="A105" s="73" t="s">
        <v>7148</v>
      </c>
      <c r="B105" s="73" t="s">
        <v>11684</v>
      </c>
      <c r="C105" s="71" t="str">
        <f>IFERROR(__xludf.DUMMYFUNCTION("GOOGLETRANSLATE(B105,""en"",""ar"")"),"تحميل…")</f>
        <v>تحميل…</v>
      </c>
      <c r="D105" s="71" t="str">
        <f>IFERROR(__xludf.DUMMYFUNCTION("GOOGLETRANSLATE(B105,""en"",""cs"")"),"Načítání…")</f>
        <v>Načítání…</v>
      </c>
      <c r="E105" s="71" t="str">
        <f>IFERROR(__xludf.DUMMYFUNCTION("GOOGLETRANSLATE(B105,""en"",""de"")"),"Laden…")</f>
        <v>Laden…</v>
      </c>
      <c r="F105" s="71" t="str">
        <f>IFERROR(__xludf.DUMMYFUNCTION("GOOGLETRANSLATE(B105,""en"",""el"")"),"Φόρτωση…")</f>
        <v>Φόρτωση…</v>
      </c>
      <c r="G105" s="71" t="str">
        <f>IFERROR(__xludf.DUMMYFUNCTION("GOOGLETRANSLATE(B105,""en"",""es"")"),"Cargando…")</f>
        <v>Cargando…</v>
      </c>
      <c r="H105" s="71" t="str">
        <f>IFERROR(__xludf.DUMMYFUNCTION("GOOGLETRANSLATE(B105,""en"",""et"")"),"Laadimine…")</f>
        <v>Laadimine…</v>
      </c>
      <c r="I105" s="71" t="str">
        <f>IFERROR(__xludf.DUMMYFUNCTION("GOOGLETRANSLATE(B105,""en"",""fi"")"),"Ladataan…")</f>
        <v>Ladataan…</v>
      </c>
      <c r="J105" s="71" t="str">
        <f>IFERROR(__xludf.DUMMYFUNCTION("GOOGLETRANSLATE(B105,""en"",""fr"")"),"Chargement…")</f>
        <v>Chargement…</v>
      </c>
      <c r="K105" s="71" t="str">
        <f>IFERROR(__xludf.DUMMYFUNCTION("GOOGLETRANSLATE(B105,""en"",""hi"")"),"लोड हो रहा है...")</f>
        <v>लोड हो रहा है...</v>
      </c>
      <c r="L105" s="71" t="str">
        <f>IFERROR(__xludf.DUMMYFUNCTION("GOOGLETRANSLATE(B105,""en"",""id"")"),"Memuat…")</f>
        <v>Memuat…</v>
      </c>
      <c r="M105" s="71" t="str">
        <f>IFERROR(__xludf.DUMMYFUNCTION("GOOGLETRANSLATE(B105,""en"",""it"")"),"Caricamento…")</f>
        <v>Caricamento…</v>
      </c>
      <c r="N105" s="71" t="str">
        <f>IFERROR(__xludf.DUMMYFUNCTION("GOOGLETRANSLATE(B105,""en"",""ja"")"),"読み込み中…")</f>
        <v>読み込み中…</v>
      </c>
      <c r="O105" s="71" t="str">
        <f>IFERROR(__xludf.DUMMYFUNCTION("GOOGLETRANSLATE(B105,""en"",""km"")"),"កំពុង​ផ្ទុក...")</f>
        <v>កំពុង​ផ្ទុក...</v>
      </c>
      <c r="P105" s="71" t="str">
        <f>IFERROR(__xludf.DUMMYFUNCTION("GOOGLETRANSLATE(B105,""en"",""kn"")"),"ಲೋಡ್ ಆಗುತ್ತಿದೆ...")</f>
        <v>ಲೋಡ್ ಆಗುತ್ತಿದೆ...</v>
      </c>
      <c r="Q105" s="71" t="str">
        <f>IFERROR(__xludf.DUMMYFUNCTION("GOOGLETRANSLATE(B105,""en"",""ko"")"),"로드 중…")</f>
        <v>로드 중…</v>
      </c>
      <c r="R105" s="71" t="str">
        <f>IFERROR(__xludf.DUMMYFUNCTION("GOOGLETRANSLATE(B105,""en"",""lo"")"),"ກຳລັງໂຫລດ...")</f>
        <v>ກຳລັງໂຫລດ...</v>
      </c>
      <c r="S105" s="71" t="str">
        <f>IFERROR(__xludf.DUMMYFUNCTION("GOOGLETRANSLATE(B105,""en"",""lv"")"),"Notiek ielāde…")</f>
        <v>Notiek ielāde…</v>
      </c>
      <c r="T105" s="71" t="str">
        <f>IFERROR(__xludf.DUMMYFUNCTION("GOOGLETRANSLATE(B105,""en"",""ms"")"),"Memuatkan…")</f>
        <v>Memuatkan…</v>
      </c>
      <c r="U105" s="71" t="str">
        <f>IFERROR(__xludf.DUMMYFUNCTION("GOOGLETRANSLATE(B105,""en"",""nl"")"),"Laden…")</f>
        <v>Laden…</v>
      </c>
      <c r="V105" s="71" t="str">
        <f>IFERROR(__xludf.DUMMYFUNCTION("GOOGLETRANSLATE(B105,""en"",""pl"")"),"Załadunek…")</f>
        <v>Załadunek…</v>
      </c>
      <c r="W105" s="71" t="str">
        <f>IFERROR(__xludf.DUMMYFUNCTION("GOOGLETRANSLATE(B105,""en"",""pt-PT"")"),"Carregando…")</f>
        <v>Carregando…</v>
      </c>
      <c r="X105" s="71" t="str">
        <f>IFERROR(__xludf.DUMMYFUNCTION("GOOGLETRANSLATE(B105,""en"",""ru"")"),"Загрузка…")</f>
        <v>Загрузка…</v>
      </c>
      <c r="Y105" s="71" t="str">
        <f>IFERROR(__xludf.DUMMYFUNCTION("GOOGLETRANSLATE(B105,""en"",""th"")"),"กำลังโหลด...")</f>
        <v>กำลังโหลด...</v>
      </c>
      <c r="Z105" s="71" t="str">
        <f>IFERROR(__xludf.DUMMYFUNCTION("GOOGLETRANSLATE(B105,""en"",""tr"")"),"Yükleniyor…")</f>
        <v>Yükleniyor…</v>
      </c>
      <c r="AA105" s="71" t="str">
        <f>IFERROR(__xludf.DUMMYFUNCTION("GOOGLETRANSLATE(B105,""en"",""uk"")"),"Завантаження…")</f>
        <v>Завантаження…</v>
      </c>
      <c r="AB105" s="71" t="str">
        <f>IFERROR(__xludf.DUMMYFUNCTION("GOOGLETRANSLATE(B105,""en"",""zh-CN"")"),"加载中…")</f>
        <v>加载中…</v>
      </c>
      <c r="AC105" s="71" t="str">
        <f>IFERROR(__xludf.DUMMYFUNCTION("GOOGLETRANSLATE(B105,""en"",""vi"")"),"Đang tải…")</f>
        <v>Đang tải…</v>
      </c>
      <c r="AD105" s="75"/>
      <c r="AE105" s="75"/>
      <c r="AF105" s="75"/>
      <c r="AG105" s="75"/>
      <c r="AH105" s="75"/>
      <c r="AI105" s="75"/>
      <c r="AJ105" s="75"/>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c r="BK105" s="75"/>
      <c r="BL105" s="75"/>
      <c r="BM105" s="75"/>
    </row>
    <row r="106">
      <c r="A106" s="73" t="s">
        <v>11685</v>
      </c>
      <c r="B106" s="73" t="s">
        <v>11686</v>
      </c>
      <c r="C106" s="71" t="str">
        <f>IFERROR(__xludf.DUMMYFUNCTION("GOOGLETRANSLATE(B106,""en"",""ar"")"),"جارٍ تحميل الإعلانات، برجاء الانتظار...")</f>
        <v>جارٍ تحميل الإعلانات، برجاء الانتظار...</v>
      </c>
      <c r="D106" s="71" t="str">
        <f>IFERROR(__xludf.DUMMYFUNCTION("GOOGLETRANSLATE(B106,""en"",""cs"")"),"Načítání reklam, čekejte prosím…")</f>
        <v>Načítání reklam, čekejte prosím…</v>
      </c>
      <c r="E106" s="71" t="str">
        <f>IFERROR(__xludf.DUMMYFUNCTION("GOOGLETRANSLATE(B106,""en"",""de"")"),"Anzeigen werden geladen, bitte warten…")</f>
        <v>Anzeigen werden geladen, bitte warten…</v>
      </c>
      <c r="F106" s="71" t="str">
        <f>IFERROR(__xludf.DUMMYFUNCTION("GOOGLETRANSLATE(B106,""en"",""el"")"),"Φόρτωση διαφημίσεων, περιμένετε…")</f>
        <v>Φόρτωση διαφημίσεων, περιμένετε…</v>
      </c>
      <c r="G106" s="71" t="str">
        <f>IFERROR(__xludf.DUMMYFUNCTION("GOOGLETRANSLATE(B106,""en"",""es"")"),"Cargando anuncios, por favor espere…")</f>
        <v>Cargando anuncios, por favor espere…</v>
      </c>
      <c r="H106" s="71" t="str">
        <f>IFERROR(__xludf.DUMMYFUNCTION("GOOGLETRANSLATE(B106,""en"",""et"")"),"Reklaamide laadimine, palun oodake…")</f>
        <v>Reklaamide laadimine, palun oodake…</v>
      </c>
      <c r="I106" s="71" t="str">
        <f>IFERROR(__xludf.DUMMYFUNCTION("GOOGLETRANSLATE(B106,""en"",""fi"")"),"Ladataan mainoksia, odota…")</f>
        <v>Ladataan mainoksia, odota…</v>
      </c>
      <c r="J106" s="71" t="str">
        <f>IFERROR(__xludf.DUMMYFUNCTION("GOOGLETRANSLATE(B106,""en"",""fr"")"),"Chargement des annonces, veuillez patienter…")</f>
        <v>Chargement des annonces, veuillez patienter…</v>
      </c>
      <c r="K106" s="71" t="str">
        <f>IFERROR(__xludf.DUMMYFUNCTION("GOOGLETRANSLATE(B106,""en"",""hi"")"),"विज्ञापन लोड हो रहे हैं, कृपया प्रतीक्षा करें...")</f>
        <v>विज्ञापन लोड हो रहे हैं, कृपया प्रतीक्षा करें...</v>
      </c>
      <c r="L106" s="71" t="str">
        <f>IFERROR(__xludf.DUMMYFUNCTION("GOOGLETRANSLATE(B106,""en"",""id"")"),"Memuat iklan, harap tunggu…")</f>
        <v>Memuat iklan, harap tunggu…</v>
      </c>
      <c r="M106" s="71" t="str">
        <f>IFERROR(__xludf.DUMMYFUNCTION("GOOGLETRANSLATE(B106,""en"",""it"")"),"Caricamento annunci, attendere...")</f>
        <v>Caricamento annunci, attendere...</v>
      </c>
      <c r="N106" s="71" t="str">
        <f>IFERROR(__xludf.DUMMYFUNCTION("GOOGLETRANSLATE(B106,""en"",""ja"")"),"広告を読み込んでいます。お待ちください…")</f>
        <v>広告を読み込んでいます。お待ちください…</v>
      </c>
      <c r="O106" s="71" t="str">
        <f>IFERROR(__xludf.DUMMYFUNCTION("GOOGLETRANSLATE(B106,""en"",""km"")"),"កំពុងផ្ទុកការផ្សាយពាណិជ្ជកម្ម សូមរង់ចាំ...")</f>
        <v>កំពុងផ្ទុកការផ្សាយពាណិជ្ជកម្ម សូមរង់ចាំ...</v>
      </c>
      <c r="P106" s="71" t="str">
        <f>IFERROR(__xludf.DUMMYFUNCTION("GOOGLETRANSLATE(B106,""en"",""kn"")"),"ಜಾಹೀರಾತುಗಳನ್ನು ಲೋಡ್ ಮಾಡಲಾಗುತ್ತಿದೆ, ದಯವಿಟ್ಟು ನಿರೀಕ್ಷಿಸಿ...")</f>
        <v>ಜಾಹೀರಾತುಗಳನ್ನು ಲೋಡ್ ಮಾಡಲಾಗುತ್ತಿದೆ, ದಯವಿಟ್ಟು ನಿರೀಕ್ಷಿಸಿ...</v>
      </c>
      <c r="Q106" s="71" t="str">
        <f>IFERROR(__xludf.DUMMYFUNCTION("GOOGLETRANSLATE(B106,""en"",""ko"")"),"광고를 로드하는 중입니다. 잠시 기다려 주세요…")</f>
        <v>광고를 로드하는 중입니다. 잠시 기다려 주세요…</v>
      </c>
      <c r="R106" s="71" t="str">
        <f>IFERROR(__xludf.DUMMYFUNCTION("GOOGLETRANSLATE(B106,""en"",""lo"")"),"ກຳລັງໂຫລດໂຄສະນາ, ກະລຸນາລໍຖ້າ...")</f>
        <v>ກຳລັງໂຫລດໂຄສະນາ, ກະລຸນາລໍຖ້າ...</v>
      </c>
      <c r="S106" s="71" t="str">
        <f>IFERROR(__xludf.DUMMYFUNCTION("GOOGLETRANSLATE(B106,""en"",""lv"")"),"Notiek reklāmu ielāde, lūdzu, uzgaidiet…")</f>
        <v>Notiek reklāmu ielāde, lūdzu, uzgaidiet…</v>
      </c>
      <c r="T106" s="71" t="str">
        <f>IFERROR(__xludf.DUMMYFUNCTION("GOOGLETRANSLATE(B106,""en"",""ms"")"),"Memuatkan iklan, sila tunggu…")</f>
        <v>Memuatkan iklan, sila tunggu…</v>
      </c>
      <c r="U106" s="71" t="str">
        <f>IFERROR(__xludf.DUMMYFUNCTION("GOOGLETRANSLATE(B106,""en"",""nl"")"),"Advertenties worden geladen, een ogenblik geduld...")</f>
        <v>Advertenties worden geladen, een ogenblik geduld...</v>
      </c>
      <c r="V106" s="71" t="str">
        <f>IFERROR(__xludf.DUMMYFUNCTION("GOOGLETRANSLATE(B106,""en"",""pl"")"),"Ładowanie reklam, proszę czekać…")</f>
        <v>Ładowanie reklam, proszę czekać…</v>
      </c>
      <c r="W106" s="71" t="str">
        <f>IFERROR(__xludf.DUMMYFUNCTION("GOOGLETRANSLATE(B106,""en"",""pt-PT"")"),"Carregando anúncios, aguarde…")</f>
        <v>Carregando anúncios, aguarde…</v>
      </c>
      <c r="X106" s="71" t="str">
        <f>IFERROR(__xludf.DUMMYFUNCTION("GOOGLETRANSLATE(B106,""en"",""ru"")"),"Загружается реклама, подождите…")</f>
        <v>Загружается реклама, подождите…</v>
      </c>
      <c r="Y106" s="71" t="str">
        <f>IFERROR(__xludf.DUMMYFUNCTION("GOOGLETRANSLATE(B106,""en"",""th"")"),"กำลังโหลดโฆษณา กรุณารอสักครู่...")</f>
        <v>กำลังโหลดโฆษณา กรุณารอสักครู่...</v>
      </c>
      <c r="Z106" s="71" t="str">
        <f>IFERROR(__xludf.DUMMYFUNCTION("GOOGLETRANSLATE(B106,""en"",""tr"")"),"Reklamlar yükleniyor, lütfen bekleyin…")</f>
        <v>Reklamlar yükleniyor, lütfen bekleyin…</v>
      </c>
      <c r="AA106" s="71" t="str">
        <f>IFERROR(__xludf.DUMMYFUNCTION("GOOGLETRANSLATE(B106,""en"",""uk"")"),"Завантаження оголошень, зачекайте…")</f>
        <v>Завантаження оголошень, зачекайте…</v>
      </c>
      <c r="AB106" s="71" t="str">
        <f>IFERROR(__xludf.DUMMYFUNCTION("GOOGLETRANSLATE(B106,""en"",""zh-CN"")"),"正在加载广告，请稍候...")</f>
        <v>正在加载广告，请稍候...</v>
      </c>
      <c r="AC106" s="71" t="str">
        <f>IFERROR(__xludf.DUMMYFUNCTION("GOOGLETRANSLATE(B106,""en"",""vi"")"),"Đang tải quảng cáo, vui lòng đợi...")</f>
        <v>Đang tải quảng cáo, vui lòng đợi...</v>
      </c>
      <c r="AD106" s="75"/>
      <c r="AE106" s="75"/>
      <c r="AF106" s="75"/>
      <c r="AG106" s="75"/>
      <c r="AH106" s="75"/>
      <c r="AI106" s="75"/>
      <c r="AJ106" s="75"/>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c r="BK106" s="75"/>
      <c r="BL106" s="75"/>
      <c r="BM106" s="75"/>
    </row>
    <row r="107">
      <c r="A107" s="73" t="s">
        <v>11687</v>
      </c>
      <c r="B107" s="73" t="s">
        <v>11688</v>
      </c>
      <c r="C107" s="71" t="str">
        <f>IFERROR(__xludf.DUMMYFUNCTION("GOOGLETRANSLATE(B107,""en"",""ar"")"),"يوصى بالحفاظ على إمكانية تحديث أداة الإشعارات ______ هذه")</f>
        <v>يوصى بالحفاظ على إمكانية تحديث أداة الإشعارات ______ هذه</v>
      </c>
      <c r="D107" s="71" t="str">
        <f>IFERROR(__xludf.DUMMYFUNCTION("GOOGLETRANSLATE(B107,""en"",""cs"")"),"toto upozornění doporučujeme ponechat ______ widget lze aktualizovat")</f>
        <v>toto upozornění doporučujeme ponechat ______ widget lze aktualizovat</v>
      </c>
      <c r="E107" s="71" t="str">
        <f>IFERROR(__xludf.DUMMYFUNCTION("GOOGLETRANSLATE(B107,""en"",""de"")"),"Es wird empfohlen, diese Benachrichtigung beizubehalten. Das ______-Widget kann aktualisiert werden")</f>
        <v>Es wird empfohlen, diese Benachrichtigung beizubehalten. Das ______-Widget kann aktualisiert werden</v>
      </c>
      <c r="F107" s="71" t="str">
        <f>IFERROR(__xludf.DUMMYFUNCTION("GOOGLETRANSLATE(B107,""en"",""el"")"),"Συνιστάται να διατηρήσετε αυτήν την ειδοποίηση ______ widget μπορεί να ενημερωθεί")</f>
        <v>Συνιστάται να διατηρήσετε αυτήν την ειδοποίηση ______ widget μπορεί να ενημερωθεί</v>
      </c>
      <c r="G107" s="71" t="str">
        <f>IFERROR(__xludf.DUMMYFUNCTION("GOOGLETRANSLATE(B107,""en"",""es"")"),"Se recomienda mantener esta notificación. ______ El widget se puede actualizar.")</f>
        <v>Se recomienda mantener esta notificación. ______ El widget se puede actualizar.</v>
      </c>
      <c r="H107" s="71" t="str">
        <f>IFERROR(__xludf.DUMMYFUNCTION("GOOGLETRANSLATE(B107,""en"",""et"")"),"see märguanne on soovitatav alles jätta. ______ vidinat saab värskendada")</f>
        <v>see märguanne on soovitatav alles jätta. ______ vidinat saab värskendada</v>
      </c>
      <c r="I107" s="71" t="str">
        <f>IFERROR(__xludf.DUMMYFUNCTION("GOOGLETRANSLATE(B107,""en"",""fi"")"),"on suositeltavaa säilyttää tämä ilmoitus. ______-widget voidaan päivittää")</f>
        <v>on suositeltavaa säilyttää tämä ilmoitus. ______-widget voidaan päivittää</v>
      </c>
      <c r="J107" s="71" t="str">
        <f>IFERROR(__xludf.DUMMYFUNCTION("GOOGLETRANSLATE(B107,""en"",""fr"")"),"il est recommandé de conserver cette notification ______ le widget peut être mis à jour")</f>
        <v>il est recommandé de conserver cette notification ______ le widget peut être mis à jour</v>
      </c>
      <c r="K107" s="71" t="str">
        <f>IFERROR(__xludf.DUMMYFUNCTION("GOOGLETRANSLATE(B107,""en"",""hi"")"),"इस अधिसूचना को रखने की अनुशंसा की जाती है ______ विजेट को अपडेट किया जा सकता है")</f>
        <v>इस अधिसूचना को रखने की अनुशंसा की जाती है ______ विजेट को अपडेट किया जा सकता है</v>
      </c>
      <c r="L107" s="71" t="str">
        <f>IFERROR(__xludf.DUMMYFUNCTION("GOOGLETRANSLATE(B107,""en"",""id"")"),"disarankan agar widget ______ notifikasi ini tetap diperbarui")</f>
        <v>disarankan agar widget ______ notifikasi ini tetap diperbarui</v>
      </c>
      <c r="M107" s="71" t="str">
        <f>IFERROR(__xludf.DUMMYFUNCTION("GOOGLETRANSLATE(B107,""en"",""it"")"),"si consiglia di mantenere questa notifica. Il widget ______ può essere aggiornato")</f>
        <v>si consiglia di mantenere questa notifica. Il widget ______ può essere aggiornato</v>
      </c>
      <c r="N107" s="71" t="str">
        <f>IFERROR(__xludf.DUMMYFUNCTION("GOOGLETRANSLATE(B107,""en"",""ja"")"),"この通知を保持することをお勧めします ______ ウィジェットは更新できます")</f>
        <v>この通知を保持することをお勧めします ______ ウィジェットは更新できます</v>
      </c>
      <c r="O107" s="71" t="str">
        <f>IFERROR(__xludf.DUMMYFUNCTION("GOOGLETRANSLATE(B107,""en"",""km"")"),"វាត្រូវបានណែនាំឱ្យរក្សាការជូនដំណឹងនេះ ______ ធាតុក្រាហ្វិកអាចត្រូវបានធ្វើបច្ចុប្បន្នភាព")</f>
        <v>វាត្រូវបានណែនាំឱ្យរក្សាការជូនដំណឹងនេះ ______ ធាតុក្រាហ្វិកអាចត្រូវបានធ្វើបច្ចុប្បន្នភាព</v>
      </c>
      <c r="P107" s="71" t="str">
        <f>IFERROR(__xludf.DUMMYFUNCTION("GOOGLETRANSLATE(B107,""en"",""kn"")"),"ಈ ಅಧಿಸೂಚನೆಯನ್ನು ಇರಿಸಿಕೊಳ್ಳಲು ಇದು ಶಿಫಾರಸು ಮಾಡುತ್ತದೆ ______ ವಿಜೆಟ್ ಅನ್ನು ನವೀಕರಿಸಬಹುದು")</f>
        <v>ಈ ಅಧಿಸೂಚನೆಯನ್ನು ಇರಿಸಿಕೊಳ್ಳಲು ಇದು ಶಿಫಾರಸು ಮಾಡುತ್ತದೆ ______ ವಿಜೆಟ್ ಅನ್ನು ನವೀಕರಿಸಬಹುದು</v>
      </c>
      <c r="Q107" s="71" t="str">
        <f>IFERROR(__xludf.DUMMYFUNCTION("GOOGLETRANSLATE(B107,""en"",""ko"")"),"이 알림을 유지하는 것이 좋습니다. ______ 위젯을 업데이트할 수 있습니다.")</f>
        <v>이 알림을 유지하는 것이 좋습니다. ______ 위젯을 업데이트할 수 있습니다.</v>
      </c>
      <c r="R107" s="71" t="str">
        <f>IFERROR(__xludf.DUMMYFUNCTION("GOOGLETRANSLATE(B107,""en"",""lo"")"),"ມັນແນະນຳໃຫ້ຮັກສາການແຈ້ງເຕືອນນີ້ ______ widget ສາມາດອັບເດດໄດ້")</f>
        <v>ມັນແນະນຳໃຫ້ຮັກສາການແຈ້ງເຕືອນນີ້ ______ widget ສາມາດອັບເດດໄດ້</v>
      </c>
      <c r="S107" s="71" t="str">
        <f>IFERROR(__xludf.DUMMYFUNCTION("GOOGLETRANSLATE(B107,""en"",""lv"")"),"ieteicams paturēt šo paziņojumu. ______ logrīku var atjaunināt")</f>
        <v>ieteicams paturēt šo paziņojumu. ______ logrīku var atjaunināt</v>
      </c>
      <c r="T107" s="71" t="str">
        <f>IFERROR(__xludf.DUMMYFUNCTION("GOOGLETRANSLATE(B107,""en"",""ms"")"),"adalah disyorkan untuk menyimpan pemberitahuan ini ______ widget boleh dikemas kini")</f>
        <v>adalah disyorkan untuk menyimpan pemberitahuan ini ______ widget boleh dikemas kini</v>
      </c>
      <c r="U107" s="71" t="str">
        <f>IFERROR(__xludf.DUMMYFUNCTION("GOOGLETRANSLATE(B107,""en"",""nl"")"),"het is aan te raden deze melding te behouden. ______ widget kan worden bijgewerkt")</f>
        <v>het is aan te raden deze melding te behouden. ______ widget kan worden bijgewerkt</v>
      </c>
      <c r="V107" s="71" t="str">
        <f>IFERROR(__xludf.DUMMYFUNCTION("GOOGLETRANSLATE(B107,""en"",""pl"")"),"zaleca się zachowanie tego powiadomienia. ______ widget można aktualizować")</f>
        <v>zaleca się zachowanie tego powiadomienia. ______ widget można aktualizować</v>
      </c>
      <c r="W107" s="71" t="str">
        <f>IFERROR(__xludf.DUMMYFUNCTION("GOOGLETRANSLATE(B107,""en"",""pt-PT"")"),"é recomendável manter esta notificação ______ widget pode ser atualizado")</f>
        <v>é recomendável manter esta notificação ______ widget pode ser atualizado</v>
      </c>
      <c r="X107" s="71" t="str">
        <f>IFERROR(__xludf.DUMMYFUNCTION("GOOGLETRANSLATE(B107,""en"",""ru"")"),"рекомендуется сохранить это уведомление. ______ виджет можно обновлять.")</f>
        <v>рекомендуется сохранить это уведомление. ______ виджет можно обновлять.</v>
      </c>
      <c r="Y107" s="71" t="str">
        <f>IFERROR(__xludf.DUMMYFUNCTION("GOOGLETRANSLATE(B107,""en"",""th"")"),"ขอแนะนำให้เก็บการแจ้งเตือนนี้ไว้ ______ วิดเจ็ตสามารถอัปเดตได้")</f>
        <v>ขอแนะนำให้เก็บการแจ้งเตือนนี้ไว้ ______ วิดเจ็ตสามารถอัปเดตได้</v>
      </c>
      <c r="Z107" s="71" t="str">
        <f>IFERROR(__xludf.DUMMYFUNCTION("GOOGLETRANSLATE(B107,""en"",""tr"")"),"bu bildirimi saklamanız önerilir ______ widget güncellenebilir")</f>
        <v>bu bildirimi saklamanız önerilir ______ widget güncellenebilir</v>
      </c>
      <c r="AA107" s="71" t="str">
        <f>IFERROR(__xludf.DUMMYFUNCTION("GOOGLETRANSLATE(B107,""en"",""uk"")"),"Рекомендується зберегти це сповіщення ______ віджет можна оновити")</f>
        <v>Рекомендується зберегти це сповіщення ______ віджет можна оновити</v>
      </c>
      <c r="AB107" s="71" t="str">
        <f>IFERROR(__xludf.DUMMYFUNCTION("GOOGLETRANSLATE(B107,""en"",""zh-CN"")"),"建议保留此通知 ______ 小部件可以更新")</f>
        <v>建议保留此通知 ______ 小部件可以更新</v>
      </c>
      <c r="AC107" s="71" t="str">
        <f>IFERROR(__xludf.DUMMYFUNCTION("GOOGLETRANSLATE(B107,""en"",""vi"")"),"bạn nên giữ thông báo này. Tiện ích ______ có thể được cập nhật")</f>
        <v>bạn nên giữ thông báo này. Tiện ích ______ có thể được cập nhật</v>
      </c>
      <c r="AD107" s="75"/>
      <c r="AE107" s="75"/>
      <c r="AF107" s="75"/>
      <c r="AG107" s="75"/>
      <c r="AH107" s="75"/>
      <c r="AI107" s="75"/>
      <c r="AJ107" s="75"/>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c r="BK107" s="75"/>
      <c r="BL107" s="75"/>
      <c r="BM107" s="75"/>
    </row>
    <row r="108">
      <c r="A108" s="73" t="s">
        <v>11689</v>
      </c>
      <c r="B108" s="73" t="s">
        <v>11690</v>
      </c>
      <c r="C108" s="71" t="str">
        <f>IFERROR(__xludf.DUMMYFUNCTION("GOOGLETRANSLATE(B108,""en"",""ar"")"),"تسوق الأحجار الكريمة")</f>
        <v>تسوق الأحجار الكريمة</v>
      </c>
      <c r="D108" s="71" t="str">
        <f>IFERROR(__xludf.DUMMYFUNCTION("GOOGLETRANSLATE(B108,""en"",""cs"")"),"Nakupujte drahokamy")</f>
        <v>Nakupujte drahokamy</v>
      </c>
      <c r="E108" s="71" t="str">
        <f>IFERROR(__xludf.DUMMYFUNCTION("GOOGLETRANSLATE(B108,""en"",""de"")"),"Edelsteine ​​kaufen")</f>
        <v>Edelsteine ​​kaufen</v>
      </c>
      <c r="F108" s="71" t="str">
        <f>IFERROR(__xludf.DUMMYFUNCTION("GOOGLETRANSLATE(B108,""en"",""el"")"),"Αγοράστε πολύτιμοι λίθοι")</f>
        <v>Αγοράστε πολύτιμοι λίθοι</v>
      </c>
      <c r="G108" s="71" t="str">
        <f>IFERROR(__xludf.DUMMYFUNCTION("GOOGLETRANSLATE(B108,""en"",""es"")"),"Comprar gemas")</f>
        <v>Comprar gemas</v>
      </c>
      <c r="H108" s="71" t="str">
        <f>IFERROR(__xludf.DUMMYFUNCTION("GOOGLETRANSLATE(B108,""en"",""et"")"),"Ostke kalliskive")</f>
        <v>Ostke kalliskive</v>
      </c>
      <c r="I108" s="71" t="str">
        <f>IFERROR(__xludf.DUMMYFUNCTION("GOOGLETRANSLATE(B108,""en"",""fi"")"),"Osta helmiä")</f>
        <v>Osta helmiä</v>
      </c>
      <c r="J108" s="71" t="str">
        <f>IFERROR(__xludf.DUMMYFUNCTION("GOOGLETRANSLATE(B108,""en"",""fr"")"),"Achetez des pierres précieuses")</f>
        <v>Achetez des pierres précieuses</v>
      </c>
      <c r="K108" s="71" t="str">
        <f>IFERROR(__xludf.DUMMYFUNCTION("GOOGLETRANSLATE(B108,""en"",""hi"")"),"रत्नों की दुकान करें")</f>
        <v>रत्नों की दुकान करें</v>
      </c>
      <c r="L108" s="71" t="str">
        <f>IFERROR(__xludf.DUMMYFUNCTION("GOOGLETRANSLATE(B108,""en"",""id"")"),"Belanja Permata")</f>
        <v>Belanja Permata</v>
      </c>
      <c r="M108" s="71" t="str">
        <f>IFERROR(__xludf.DUMMYFUNCTION("GOOGLETRANSLATE(B108,""en"",""it"")"),"Acquista gemme")</f>
        <v>Acquista gemme</v>
      </c>
      <c r="N108" s="71" t="str">
        <f>IFERROR(__xludf.DUMMYFUNCTION("GOOGLETRANSLATE(B108,""en"",""ja"")"),"宝石を購入する")</f>
        <v>宝石を購入する</v>
      </c>
      <c r="O108" s="71" t="str">
        <f>IFERROR(__xludf.DUMMYFUNCTION("GOOGLETRANSLATE(B108,""en"",""km"")"),"ទិញត្បូង")</f>
        <v>ទិញត្បូង</v>
      </c>
      <c r="P108" s="71" t="str">
        <f>IFERROR(__xludf.DUMMYFUNCTION("GOOGLETRANSLATE(B108,""en"",""kn"")"),"ರತ್ನಗಳನ್ನು ಖರೀದಿಸಿ")</f>
        <v>ರತ್ನಗಳನ್ನು ಖರೀದಿಸಿ</v>
      </c>
      <c r="Q108" s="71" t="str">
        <f>IFERROR(__xludf.DUMMYFUNCTION("GOOGLETRANSLATE(B108,""en"",""ko"")"),"보석 쇼핑하기")</f>
        <v>보석 쇼핑하기</v>
      </c>
      <c r="R108" s="71" t="str">
        <f>IFERROR(__xludf.DUMMYFUNCTION("GOOGLETRANSLATE(B108,""en"",""lo"")"),"ຊື້ເຄື່ອງແກ້ວປະເສີດ")</f>
        <v>ຊື້ເຄື່ອງແກ້ວປະເສີດ</v>
      </c>
      <c r="S108" s="71" t="str">
        <f>IFERROR(__xludf.DUMMYFUNCTION("GOOGLETRANSLATE(B108,""en"",""lv"")"),"Pērciet dārgakmeņus")</f>
        <v>Pērciet dārgakmeņus</v>
      </c>
      <c r="T108" s="71" t="str">
        <f>IFERROR(__xludf.DUMMYFUNCTION("GOOGLETRANSLATE(B108,""en"",""ms"")"),"Kedai Permata")</f>
        <v>Kedai Permata</v>
      </c>
      <c r="U108" s="71" t="str">
        <f>IFERROR(__xludf.DUMMYFUNCTION("GOOGLETRANSLATE(B108,""en"",""nl"")"),"Winkel edelstenen")</f>
        <v>Winkel edelstenen</v>
      </c>
      <c r="V108" s="71" t="str">
        <f>IFERROR(__xludf.DUMMYFUNCTION("GOOGLETRANSLATE(B108,""en"",""pl"")"),"Kupuj klejnoty")</f>
        <v>Kupuj klejnoty</v>
      </c>
      <c r="W108" s="71" t="str">
        <f>IFERROR(__xludf.DUMMYFUNCTION("GOOGLETRANSLATE(B108,""en"",""pt-PT"")"),"Comprar joias")</f>
        <v>Comprar joias</v>
      </c>
      <c r="X108" s="71" t="str">
        <f>IFERROR(__xludf.DUMMYFUNCTION("GOOGLETRANSLATE(B108,""en"",""ru"")"),"Магазин драгоценных камней")</f>
        <v>Магазин драгоценных камней</v>
      </c>
      <c r="Y108" s="71" t="str">
        <f>IFERROR(__xludf.DUMMYFUNCTION("GOOGLETRANSLATE(B108,""en"",""th"")"),"ร้านอัญมณี")</f>
        <v>ร้านอัญมณี</v>
      </c>
      <c r="Z108" s="71" t="str">
        <f>IFERROR(__xludf.DUMMYFUNCTION("GOOGLETRANSLATE(B108,""en"",""tr"")"),"Mücevher Alışverişi")</f>
        <v>Mücevher Alışverişi</v>
      </c>
      <c r="AA108" s="71" t="str">
        <f>IFERROR(__xludf.DUMMYFUNCTION("GOOGLETRANSLATE(B108,""en"",""uk"")"),"Купуйте дорогоцінні камені")</f>
        <v>Купуйте дорогоцінні камені</v>
      </c>
      <c r="AB108" s="71" t="str">
        <f>IFERROR(__xludf.DUMMYFUNCTION("GOOGLETRANSLATE(B108,""en"",""zh-CN"")"),"购买宝石")</f>
        <v>购买宝石</v>
      </c>
      <c r="AC108" s="71" t="str">
        <f>IFERROR(__xludf.DUMMYFUNCTION("GOOGLETRANSLATE(B108,""en"",""vi"")"),"Mua đá quý")</f>
        <v>Mua đá quý</v>
      </c>
      <c r="AD108" s="75"/>
      <c r="AE108" s="75"/>
      <c r="AF108" s="75"/>
      <c r="AG108" s="75"/>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c r="BK108" s="75"/>
      <c r="BL108" s="75"/>
      <c r="BM108" s="75"/>
    </row>
    <row r="109">
      <c r="A109" s="73" t="s">
        <v>11691</v>
      </c>
      <c r="B109" s="73" t="s">
        <v>11692</v>
      </c>
      <c r="C109" s="71" t="str">
        <f>IFERROR(__xludf.DUMMYFUNCTION("GOOGLETRANSLATE(B109,""en"",""ar"")"),"هدية يومية")</f>
        <v>هدية يومية</v>
      </c>
      <c r="D109" s="71" t="str">
        <f>IFERROR(__xludf.DUMMYFUNCTION("GOOGLETRANSLATE(B109,""en"",""cs"")"),"Denní dárek")</f>
        <v>Denní dárek</v>
      </c>
      <c r="E109" s="71" t="str">
        <f>IFERROR(__xludf.DUMMYFUNCTION("GOOGLETRANSLATE(B109,""en"",""de"")"),"Tägliches Geschenk")</f>
        <v>Tägliches Geschenk</v>
      </c>
      <c r="F109" s="71" t="str">
        <f>IFERROR(__xludf.DUMMYFUNCTION("GOOGLETRANSLATE(B109,""en"",""el"")"),"Καθημερινό Δώρο")</f>
        <v>Καθημερινό Δώρο</v>
      </c>
      <c r="G109" s="71" t="str">
        <f>IFERROR(__xludf.DUMMYFUNCTION("GOOGLETRANSLATE(B109,""en"",""es"")"),"Regalo diario")</f>
        <v>Regalo diario</v>
      </c>
      <c r="H109" s="71" t="str">
        <f>IFERROR(__xludf.DUMMYFUNCTION("GOOGLETRANSLATE(B109,""en"",""et"")"),"Igapäevane kingitus")</f>
        <v>Igapäevane kingitus</v>
      </c>
      <c r="I109" s="71" t="str">
        <f>IFERROR(__xludf.DUMMYFUNCTION("GOOGLETRANSLATE(B109,""en"",""fi"")"),"Päivittäinen lahja")</f>
        <v>Päivittäinen lahja</v>
      </c>
      <c r="J109" s="71" t="str">
        <f>IFERROR(__xludf.DUMMYFUNCTION("GOOGLETRANSLATE(B109,""en"",""fr"")"),"Cadeau quotidien")</f>
        <v>Cadeau quotidien</v>
      </c>
      <c r="K109" s="71" t="str">
        <f>IFERROR(__xludf.DUMMYFUNCTION("GOOGLETRANSLATE(B109,""en"",""hi"")"),"दैनिक उपहार")</f>
        <v>दैनिक उपहार</v>
      </c>
      <c r="L109" s="71" t="str">
        <f>IFERROR(__xludf.DUMMYFUNCTION("GOOGLETRANSLATE(B109,""en"",""id"")"),"Hadiah Harian")</f>
        <v>Hadiah Harian</v>
      </c>
      <c r="M109" s="71" t="str">
        <f>IFERROR(__xludf.DUMMYFUNCTION("GOOGLETRANSLATE(B109,""en"",""it"")"),"Regalo quotidiano")</f>
        <v>Regalo quotidiano</v>
      </c>
      <c r="N109" s="71" t="str">
        <f>IFERROR(__xludf.DUMMYFUNCTION("GOOGLETRANSLATE(B109,""en"",""ja"")"),"デイリーギフト")</f>
        <v>デイリーギフト</v>
      </c>
      <c r="O109" s="71" t="str">
        <f>IFERROR(__xludf.DUMMYFUNCTION("GOOGLETRANSLATE(B109,""en"",""km"")"),"អំណោយប្រចាំថ្ងៃ")</f>
        <v>អំណោយប្រចាំថ្ងៃ</v>
      </c>
      <c r="P109" s="71" t="str">
        <f>IFERROR(__xludf.DUMMYFUNCTION("GOOGLETRANSLATE(B109,""en"",""kn"")"),"ದೈನಂದಿನ ಉಡುಗೊರೆ")</f>
        <v>ದೈನಂದಿನ ಉಡುಗೊರೆ</v>
      </c>
      <c r="Q109" s="71" t="str">
        <f>IFERROR(__xludf.DUMMYFUNCTION("GOOGLETRANSLATE(B109,""en"",""ko"")"),"일일 선물")</f>
        <v>일일 선물</v>
      </c>
      <c r="R109" s="71" t="str">
        <f>IFERROR(__xludf.DUMMYFUNCTION("GOOGLETRANSLATE(B109,""en"",""lo"")"),"ຂອງຂວັນປະຈໍາວັນ")</f>
        <v>ຂອງຂວັນປະຈໍາວັນ</v>
      </c>
      <c r="S109" s="71" t="str">
        <f>IFERROR(__xludf.DUMMYFUNCTION("GOOGLETRANSLATE(B109,""en"",""lv"")"),"Ikdienas dāvana")</f>
        <v>Ikdienas dāvana</v>
      </c>
      <c r="T109" s="71" t="str">
        <f>IFERROR(__xludf.DUMMYFUNCTION("GOOGLETRANSLATE(B109,""en"",""ms"")"),"Hadiah Harian")</f>
        <v>Hadiah Harian</v>
      </c>
      <c r="U109" s="71" t="str">
        <f>IFERROR(__xludf.DUMMYFUNCTION("GOOGLETRANSLATE(B109,""en"",""nl"")"),"Dagelijks geschenk")</f>
        <v>Dagelijks geschenk</v>
      </c>
      <c r="V109" s="71" t="str">
        <f>IFERROR(__xludf.DUMMYFUNCTION("GOOGLETRANSLATE(B109,""en"",""pl"")"),"Codzienny prezent")</f>
        <v>Codzienny prezent</v>
      </c>
      <c r="W109" s="71" t="str">
        <f>IFERROR(__xludf.DUMMYFUNCTION("GOOGLETRANSLATE(B109,""en"",""pt-PT"")"),"Presente Diário")</f>
        <v>Presente Diário</v>
      </c>
      <c r="X109" s="71" t="str">
        <f>IFERROR(__xludf.DUMMYFUNCTION("GOOGLETRANSLATE(B109,""en"",""ru"")"),"Ежедневный подарок")</f>
        <v>Ежедневный подарок</v>
      </c>
      <c r="Y109" s="71" t="str">
        <f>IFERROR(__xludf.DUMMYFUNCTION("GOOGLETRANSLATE(B109,""en"",""th"")"),"ของขวัญประจำวัน")</f>
        <v>ของขวัญประจำวัน</v>
      </c>
      <c r="Z109" s="71" t="str">
        <f>IFERROR(__xludf.DUMMYFUNCTION("GOOGLETRANSLATE(B109,""en"",""tr"")"),"Günlük Hediye")</f>
        <v>Günlük Hediye</v>
      </c>
      <c r="AA109" s="71" t="str">
        <f>IFERROR(__xludf.DUMMYFUNCTION("GOOGLETRANSLATE(B109,""en"",""uk"")"),"Щоденний подарунок")</f>
        <v>Щоденний подарунок</v>
      </c>
      <c r="AB109" s="71" t="str">
        <f>IFERROR(__xludf.DUMMYFUNCTION("GOOGLETRANSLATE(B109,""en"",""zh-CN"")"),"每日礼物")</f>
        <v>每日礼物</v>
      </c>
      <c r="AC109" s="71" t="str">
        <f>IFERROR(__xludf.DUMMYFUNCTION("GOOGLETRANSLATE(B109,""en"",""vi"")"),"Quà tặng hàng ngày")</f>
        <v>Quà tặng hàng ngày</v>
      </c>
      <c r="AD109" s="75"/>
      <c r="AE109" s="75"/>
      <c r="AF109" s="75"/>
      <c r="AG109" s="75"/>
      <c r="AH109" s="75"/>
      <c r="AI109" s="75"/>
      <c r="AJ109" s="75"/>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c r="BK109" s="75"/>
      <c r="BL109" s="75"/>
      <c r="BM109" s="75"/>
    </row>
    <row r="110">
      <c r="A110" s="73" t="s">
        <v>11693</v>
      </c>
      <c r="B110" s="73" t="s">
        <v>11694</v>
      </c>
      <c r="C110" s="71" t="str">
        <f>IFERROR(__xludf.DUMMYFUNCTION("GOOGLETRANSLATE(B110,""en"",""ar"")"),"قيمنا")</f>
        <v>قيمنا</v>
      </c>
      <c r="D110" s="71" t="str">
        <f>IFERROR(__xludf.DUMMYFUNCTION("GOOGLETRANSLATE(B110,""en"",""cs"")"),"Ohodnoťte nás")</f>
        <v>Ohodnoťte nás</v>
      </c>
      <c r="E110" s="71" t="str">
        <f>IFERROR(__xludf.DUMMYFUNCTION("GOOGLETRANSLATE(B110,""en"",""de"")"),"Bewerten Sie uns")</f>
        <v>Bewerten Sie uns</v>
      </c>
      <c r="F110" s="71" t="str">
        <f>IFERROR(__xludf.DUMMYFUNCTION("GOOGLETRANSLATE(B110,""en"",""el"")"),"Αξιολογήστε μας")</f>
        <v>Αξιολογήστε μας</v>
      </c>
      <c r="G110" s="71" t="str">
        <f>IFERROR(__xludf.DUMMYFUNCTION("GOOGLETRANSLATE(B110,""en"",""es"")"),"Califícanos")</f>
        <v>Califícanos</v>
      </c>
      <c r="H110" s="71" t="str">
        <f>IFERROR(__xludf.DUMMYFUNCTION("GOOGLETRANSLATE(B110,""en"",""et"")"),"Hinda meid")</f>
        <v>Hinda meid</v>
      </c>
      <c r="I110" s="71" t="str">
        <f>IFERROR(__xludf.DUMMYFUNCTION("GOOGLETRANSLATE(B110,""en"",""fi"")"),"Arvioi meidät")</f>
        <v>Arvioi meidät</v>
      </c>
      <c r="J110" s="71" t="str">
        <f>IFERROR(__xludf.DUMMYFUNCTION("GOOGLETRANSLATE(B110,""en"",""fr"")"),"Évaluez-nous")</f>
        <v>Évaluez-nous</v>
      </c>
      <c r="K110" s="71" t="str">
        <f>IFERROR(__xludf.DUMMYFUNCTION("GOOGLETRANSLATE(B110,""en"",""hi"")"),"हमें रेटिंग दें")</f>
        <v>हमें रेटिंग दें</v>
      </c>
      <c r="L110" s="71" t="str">
        <f>IFERROR(__xludf.DUMMYFUNCTION("GOOGLETRANSLATE(B110,""en"",""id"")"),"Nilai Kami")</f>
        <v>Nilai Kami</v>
      </c>
      <c r="M110" s="71" t="str">
        <f>IFERROR(__xludf.DUMMYFUNCTION("GOOGLETRANSLATE(B110,""en"",""it"")"),"Valutaci")</f>
        <v>Valutaci</v>
      </c>
      <c r="N110" s="71" t="str">
        <f>IFERROR(__xludf.DUMMYFUNCTION("GOOGLETRANSLATE(B110,""en"",""ja"")"),"評価してください")</f>
        <v>評価してください</v>
      </c>
      <c r="O110" s="71" t="str">
        <f>IFERROR(__xludf.DUMMYFUNCTION("GOOGLETRANSLATE(B110,""en"",""km"")"),"វាយតម្លៃពួកយើង")</f>
        <v>វាយតម្លៃពួកយើង</v>
      </c>
      <c r="P110" s="71" t="str">
        <f>IFERROR(__xludf.DUMMYFUNCTION("GOOGLETRANSLATE(B110,""en"",""kn"")"),"ನಮ್ಮನ್ನು ರೇಟ್ ಮಾಡಿ")</f>
        <v>ನಮ್ಮನ್ನು ರೇಟ್ ಮಾಡಿ</v>
      </c>
      <c r="Q110" s="71" t="str">
        <f>IFERROR(__xludf.DUMMYFUNCTION("GOOGLETRANSLATE(B110,""en"",""ko"")"),"우리를 평가해 주세요")</f>
        <v>우리를 평가해 주세요</v>
      </c>
      <c r="R110" s="71" t="str">
        <f>IFERROR(__xludf.DUMMYFUNCTION("GOOGLETRANSLATE(B110,""en"",""lo"")"),"ໃຫ້ຄະແນນພວກເຮົາ")</f>
        <v>ໃຫ້ຄະແນນພວກເຮົາ</v>
      </c>
      <c r="S110" s="71" t="str">
        <f>IFERROR(__xludf.DUMMYFUNCTION("GOOGLETRANSLATE(B110,""en"",""lv"")"),"Novērtējiet mūs")</f>
        <v>Novērtējiet mūs</v>
      </c>
      <c r="T110" s="71" t="str">
        <f>IFERROR(__xludf.DUMMYFUNCTION("GOOGLETRANSLATE(B110,""en"",""ms"")"),"Nilaikan Kami")</f>
        <v>Nilaikan Kami</v>
      </c>
      <c r="U110" s="71" t="str">
        <f>IFERROR(__xludf.DUMMYFUNCTION("GOOGLETRANSLATE(B110,""en"",""nl"")"),"Beoordeel ons")</f>
        <v>Beoordeel ons</v>
      </c>
      <c r="V110" s="71" t="str">
        <f>IFERROR(__xludf.DUMMYFUNCTION("GOOGLETRANSLATE(B110,""en"",""pl"")"),"Oceń nas")</f>
        <v>Oceń nas</v>
      </c>
      <c r="W110" s="71" t="str">
        <f>IFERROR(__xludf.DUMMYFUNCTION("GOOGLETRANSLATE(B110,""en"",""pt-PT"")"),"Avalie-nos")</f>
        <v>Avalie-nos</v>
      </c>
      <c r="X110" s="71" t="str">
        <f>IFERROR(__xludf.DUMMYFUNCTION("GOOGLETRANSLATE(B110,""en"",""ru"")"),"Оцените нас")</f>
        <v>Оцените нас</v>
      </c>
      <c r="Y110" s="71" t="str">
        <f>IFERROR(__xludf.DUMMYFUNCTION("GOOGLETRANSLATE(B110,""en"",""th"")"),"ให้คะแนนเรา")</f>
        <v>ให้คะแนนเรา</v>
      </c>
      <c r="Z110" s="71" t="str">
        <f>IFERROR(__xludf.DUMMYFUNCTION("GOOGLETRANSLATE(B110,""en"",""tr"")"),"Bizi Değerlendirin")</f>
        <v>Bizi Değerlendirin</v>
      </c>
      <c r="AA110" s="71" t="str">
        <f>IFERROR(__xludf.DUMMYFUNCTION("GOOGLETRANSLATE(B110,""en"",""uk"")"),"Оцініть нас")</f>
        <v>Оцініть нас</v>
      </c>
      <c r="AB110" s="71" t="str">
        <f>IFERROR(__xludf.DUMMYFUNCTION("GOOGLETRANSLATE(B110,""en"",""zh-CN"")"),"评价我们")</f>
        <v>评价我们</v>
      </c>
      <c r="AC110" s="71" t="str">
        <f>IFERROR(__xludf.DUMMYFUNCTION("GOOGLETRANSLATE(B110,""en"",""vi"")"),"Đánh giá chúng tôi")</f>
        <v>Đánh giá chúng tôi</v>
      </c>
      <c r="AD110" s="75"/>
      <c r="AE110" s="75"/>
      <c r="AF110" s="75"/>
      <c r="AG110" s="75"/>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c r="BK110" s="75"/>
      <c r="BL110" s="75"/>
      <c r="BM110" s="75"/>
    </row>
    <row r="111">
      <c r="A111" s="73" t="s">
        <v>11695</v>
      </c>
      <c r="B111" s="73" t="s">
        <v>11696</v>
      </c>
      <c r="C111" s="71" t="str">
        <f>IFERROR(__xludf.DUMMYFUNCTION("GOOGLETRANSLATE(B111,""en"",""ar"")"),"شاهد فيديو")</f>
        <v>شاهد فيديو</v>
      </c>
      <c r="D111" s="71" t="str">
        <f>IFERROR(__xludf.DUMMYFUNCTION("GOOGLETRANSLATE(B111,""en"",""cs"")"),"Podívejte se na video")</f>
        <v>Podívejte se na video</v>
      </c>
      <c r="E111" s="71" t="str">
        <f>IFERROR(__xludf.DUMMYFUNCTION("GOOGLETRANSLATE(B111,""en"",""de"")"),"Sehen Sie sich ein Video an")</f>
        <v>Sehen Sie sich ein Video an</v>
      </c>
      <c r="F111" s="71" t="str">
        <f>IFERROR(__xludf.DUMMYFUNCTION("GOOGLETRANSLATE(B111,""en"",""el"")"),"Δείτε ένα Βίντεο")</f>
        <v>Δείτε ένα Βίντεο</v>
      </c>
      <c r="G111" s="71" t="str">
        <f>IFERROR(__xludf.DUMMYFUNCTION("GOOGLETRANSLATE(B111,""en"",""es"")"),"Ver un vídeo")</f>
        <v>Ver un vídeo</v>
      </c>
      <c r="H111" s="71" t="str">
        <f>IFERROR(__xludf.DUMMYFUNCTION("GOOGLETRANSLATE(B111,""en"",""et"")"),"Vaadake videot")</f>
        <v>Vaadake videot</v>
      </c>
      <c r="I111" s="71" t="str">
        <f>IFERROR(__xludf.DUMMYFUNCTION("GOOGLETRANSLATE(B111,""en"",""fi"")"),"Katso video")</f>
        <v>Katso video</v>
      </c>
      <c r="J111" s="71" t="str">
        <f>IFERROR(__xludf.DUMMYFUNCTION("GOOGLETRANSLATE(B111,""en"",""fr"")"),"Regarder une vidéo")</f>
        <v>Regarder une vidéo</v>
      </c>
      <c r="K111" s="71" t="str">
        <f>IFERROR(__xludf.DUMMYFUNCTION("GOOGLETRANSLATE(B111,""en"",""hi"")"),"एक वीडियो देखें")</f>
        <v>एक वीडियो देखें</v>
      </c>
      <c r="L111" s="71" t="str">
        <f>IFERROR(__xludf.DUMMYFUNCTION("GOOGLETRANSLATE(B111,""en"",""id"")"),"Tonton Video")</f>
        <v>Tonton Video</v>
      </c>
      <c r="M111" s="71" t="str">
        <f>IFERROR(__xludf.DUMMYFUNCTION("GOOGLETRANSLATE(B111,""en"",""it"")"),"Guarda un video")</f>
        <v>Guarda un video</v>
      </c>
      <c r="N111" s="71" t="str">
        <f>IFERROR(__xludf.DUMMYFUNCTION("GOOGLETRANSLATE(B111,""en"",""ja"")"),"ビデオを見る")</f>
        <v>ビデオを見る</v>
      </c>
      <c r="O111" s="71" t="str">
        <f>IFERROR(__xludf.DUMMYFUNCTION("GOOGLETRANSLATE(B111,""en"",""km"")"),"មើលវីដេអូ")</f>
        <v>មើលវីដេអូ</v>
      </c>
      <c r="P111" s="71" t="str">
        <f>IFERROR(__xludf.DUMMYFUNCTION("GOOGLETRANSLATE(B111,""en"",""kn"")"),"ವೀಡಿಯೊವನ್ನು ವೀಕ್ಷಿಸಿ")</f>
        <v>ವೀಡಿಯೊವನ್ನು ವೀಕ್ಷಿಸಿ</v>
      </c>
      <c r="Q111" s="71" t="str">
        <f>IFERROR(__xludf.DUMMYFUNCTION("GOOGLETRANSLATE(B111,""en"",""ko"")"),"비디오 보기")</f>
        <v>비디오 보기</v>
      </c>
      <c r="R111" s="71" t="str">
        <f>IFERROR(__xludf.DUMMYFUNCTION("GOOGLETRANSLATE(B111,""en"",""lo"")"),"ເບິ່ງວິດີໂອ")</f>
        <v>ເບິ່ງວິດີໂອ</v>
      </c>
      <c r="S111" s="71" t="str">
        <f>IFERROR(__xludf.DUMMYFUNCTION("GOOGLETRANSLATE(B111,""en"",""lv"")"),"Skatieties video")</f>
        <v>Skatieties video</v>
      </c>
      <c r="T111" s="71" t="str">
        <f>IFERROR(__xludf.DUMMYFUNCTION("GOOGLETRANSLATE(B111,""en"",""ms"")"),"Tonton Video")</f>
        <v>Tonton Video</v>
      </c>
      <c r="U111" s="71" t="str">
        <f>IFERROR(__xludf.DUMMYFUNCTION("GOOGLETRANSLATE(B111,""en"",""nl"")"),"Bekijk een video")</f>
        <v>Bekijk een video</v>
      </c>
      <c r="V111" s="71" t="str">
        <f>IFERROR(__xludf.DUMMYFUNCTION("GOOGLETRANSLATE(B111,""en"",""pl"")"),"Obejrzyj wideo")</f>
        <v>Obejrzyj wideo</v>
      </c>
      <c r="W111" s="71" t="str">
        <f>IFERROR(__xludf.DUMMYFUNCTION("GOOGLETRANSLATE(B111,""en"",""pt-PT"")"),"Assista a um vídeo")</f>
        <v>Assista a um vídeo</v>
      </c>
      <c r="X111" s="71" t="str">
        <f>IFERROR(__xludf.DUMMYFUNCTION("GOOGLETRANSLATE(B111,""en"",""ru"")"),"Посмотреть видео")</f>
        <v>Посмотреть видео</v>
      </c>
      <c r="Y111" s="71" t="str">
        <f>IFERROR(__xludf.DUMMYFUNCTION("GOOGLETRANSLATE(B111,""en"",""th"")"),"ชมวิดีโอ")</f>
        <v>ชมวิดีโอ</v>
      </c>
      <c r="Z111" s="71" t="str">
        <f>IFERROR(__xludf.DUMMYFUNCTION("GOOGLETRANSLATE(B111,""en"",""tr"")"),"Bir Video İzle")</f>
        <v>Bir Video İzle</v>
      </c>
      <c r="AA111" s="71" t="str">
        <f>IFERROR(__xludf.DUMMYFUNCTION("GOOGLETRANSLATE(B111,""en"",""uk"")"),"Переглянути відео")</f>
        <v>Переглянути відео</v>
      </c>
      <c r="AB111" s="71" t="str">
        <f>IFERROR(__xludf.DUMMYFUNCTION("GOOGLETRANSLATE(B111,""en"",""zh-CN"")"),"观看视频")</f>
        <v>观看视频</v>
      </c>
      <c r="AC111" s="71" t="str">
        <f>IFERROR(__xludf.DUMMYFUNCTION("GOOGLETRANSLATE(B111,""en"",""vi"")"),"Xem video")</f>
        <v>Xem video</v>
      </c>
      <c r="AD111" s="75"/>
      <c r="AE111" s="75"/>
      <c r="AF111" s="75"/>
      <c r="AG111" s="75"/>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c r="BK111" s="75"/>
      <c r="BL111" s="75"/>
      <c r="BM111" s="75"/>
    </row>
    <row r="112">
      <c r="A112" s="73" t="s">
        <v>11697</v>
      </c>
      <c r="B112" s="73" t="s">
        <v>11698</v>
      </c>
      <c r="C112" s="71" t="str">
        <f>IFERROR(__xludf.DUMMYFUNCTION("GOOGLETRANSLATE(B112,""en"",""ar"")"),"شارك مع الأصدقاء")</f>
        <v>شارك مع الأصدقاء</v>
      </c>
      <c r="D112" s="71" t="str">
        <f>IFERROR(__xludf.DUMMYFUNCTION("GOOGLETRANSLATE(B112,""en"",""cs"")"),"Sdílejte s přáteli")</f>
        <v>Sdílejte s přáteli</v>
      </c>
      <c r="E112" s="71" t="str">
        <f>IFERROR(__xludf.DUMMYFUNCTION("GOOGLETRANSLATE(B112,""en"",""de"")"),"Mit Freunden teilen")</f>
        <v>Mit Freunden teilen</v>
      </c>
      <c r="F112" s="71" t="str">
        <f>IFERROR(__xludf.DUMMYFUNCTION("GOOGLETRANSLATE(B112,""en"",""el"")"),"Μοιραστείτε με φίλους")</f>
        <v>Μοιραστείτε με φίλους</v>
      </c>
      <c r="G112" s="71" t="str">
        <f>IFERROR(__xludf.DUMMYFUNCTION("GOOGLETRANSLATE(B112,""en"",""es"")"),"Compartir con amigos")</f>
        <v>Compartir con amigos</v>
      </c>
      <c r="H112" s="71" t="str">
        <f>IFERROR(__xludf.DUMMYFUNCTION("GOOGLETRANSLATE(B112,""en"",""et"")"),"Jaga sõpradega")</f>
        <v>Jaga sõpradega</v>
      </c>
      <c r="I112" s="71" t="str">
        <f>IFERROR(__xludf.DUMMYFUNCTION("GOOGLETRANSLATE(B112,""en"",""fi"")"),"Jaa ystävien kanssa")</f>
        <v>Jaa ystävien kanssa</v>
      </c>
      <c r="J112" s="71" t="str">
        <f>IFERROR(__xludf.DUMMYFUNCTION("GOOGLETRANSLATE(B112,""en"",""fr"")"),"Partager avec des amis")</f>
        <v>Partager avec des amis</v>
      </c>
      <c r="K112" s="71" t="str">
        <f>IFERROR(__xludf.DUMMYFUNCTION("GOOGLETRANSLATE(B112,""en"",""hi"")"),"दोस्तों के साथ बांटें")</f>
        <v>दोस्तों के साथ बांटें</v>
      </c>
      <c r="L112" s="71" t="str">
        <f>IFERROR(__xludf.DUMMYFUNCTION("GOOGLETRANSLATE(B112,""en"",""id"")"),"Bagikan dengan Teman")</f>
        <v>Bagikan dengan Teman</v>
      </c>
      <c r="M112" s="71" t="str">
        <f>IFERROR(__xludf.DUMMYFUNCTION("GOOGLETRANSLATE(B112,""en"",""it"")"),"Condividi con gli amici")</f>
        <v>Condividi con gli amici</v>
      </c>
      <c r="N112" s="71" t="str">
        <f>IFERROR(__xludf.DUMMYFUNCTION("GOOGLETRANSLATE(B112,""en"",""ja"")"),"友達と共有する")</f>
        <v>友達と共有する</v>
      </c>
      <c r="O112" s="71" t="str">
        <f>IFERROR(__xludf.DUMMYFUNCTION("GOOGLETRANSLATE(B112,""en"",""km"")"),"ចែករំលែកជាមួយមិត្តភក្តិ")</f>
        <v>ចែករំលែកជាមួយមិត្តភក្តិ</v>
      </c>
      <c r="P112" s="71" t="str">
        <f>IFERROR(__xludf.DUMMYFUNCTION("GOOGLETRANSLATE(B112,""en"",""kn"")"),"ಸ್ನೇಹಿತರೊಂದಿಗೆ ಹಂಚಿಕೊಳ್ಳಿ")</f>
        <v>ಸ್ನೇಹಿತರೊಂದಿಗೆ ಹಂಚಿಕೊಳ್ಳಿ</v>
      </c>
      <c r="Q112" s="71" t="str">
        <f>IFERROR(__xludf.DUMMYFUNCTION("GOOGLETRANSLATE(B112,""en"",""ko"")"),"친구와 공유")</f>
        <v>친구와 공유</v>
      </c>
      <c r="R112" s="71" t="str">
        <f>IFERROR(__xludf.DUMMYFUNCTION("GOOGLETRANSLATE(B112,""en"",""lo"")"),"ແບ່ງປັນກັບຫມູ່ເພື່ອນ")</f>
        <v>ແບ່ງປັນກັບຫມູ່ເພື່ອນ</v>
      </c>
      <c r="S112" s="71" t="str">
        <f>IFERROR(__xludf.DUMMYFUNCTION("GOOGLETRANSLATE(B112,""en"",""lv"")"),"Kopīgojiet ar draugiem")</f>
        <v>Kopīgojiet ar draugiem</v>
      </c>
      <c r="T112" s="71" t="str">
        <f>IFERROR(__xludf.DUMMYFUNCTION("GOOGLETRANSLATE(B112,""en"",""ms"")"),"Kongsi dengan Rakan")</f>
        <v>Kongsi dengan Rakan</v>
      </c>
      <c r="U112" s="71" t="str">
        <f>IFERROR(__xludf.DUMMYFUNCTION("GOOGLETRANSLATE(B112,""en"",""nl"")"),"Deel met vrienden")</f>
        <v>Deel met vrienden</v>
      </c>
      <c r="V112" s="71" t="str">
        <f>IFERROR(__xludf.DUMMYFUNCTION("GOOGLETRANSLATE(B112,""en"",""pl"")"),"Podziel się z przyjaciółmi")</f>
        <v>Podziel się z przyjaciółmi</v>
      </c>
      <c r="W112" s="71" t="str">
        <f>IFERROR(__xludf.DUMMYFUNCTION("GOOGLETRANSLATE(B112,""en"",""pt-PT"")"),"Compartilhe com amigos")</f>
        <v>Compartilhe com amigos</v>
      </c>
      <c r="X112" s="71" t="str">
        <f>IFERROR(__xludf.DUMMYFUNCTION("GOOGLETRANSLATE(B112,""en"",""ru"")"),"Поделитесь с друзьями")</f>
        <v>Поделитесь с друзьями</v>
      </c>
      <c r="Y112" s="71" t="str">
        <f>IFERROR(__xludf.DUMMYFUNCTION("GOOGLETRANSLATE(B112,""en"",""th"")"),"แบ่งปันกับเพื่อน")</f>
        <v>แบ่งปันกับเพื่อน</v>
      </c>
      <c r="Z112" s="71" t="str">
        <f>IFERROR(__xludf.DUMMYFUNCTION("GOOGLETRANSLATE(B112,""en"",""tr"")"),"Arkadaşlarınızla Paylaşın")</f>
        <v>Arkadaşlarınızla Paylaşın</v>
      </c>
      <c r="AA112" s="71" t="str">
        <f>IFERROR(__xludf.DUMMYFUNCTION("GOOGLETRANSLATE(B112,""en"",""uk"")"),"Поділіться з друзями")</f>
        <v>Поділіться з друзями</v>
      </c>
      <c r="AB112" s="71" t="str">
        <f>IFERROR(__xludf.DUMMYFUNCTION("GOOGLETRANSLATE(B112,""en"",""zh-CN"")"),"与朋友分享")</f>
        <v>与朋友分享</v>
      </c>
      <c r="AC112" s="71" t="str">
        <f>IFERROR(__xludf.DUMMYFUNCTION("GOOGLETRANSLATE(B112,""en"",""vi"")"),"Chia sẻ với bạn bè")</f>
        <v>Chia sẻ với bạn bè</v>
      </c>
      <c r="AD112" s="75"/>
      <c r="AE112" s="75"/>
      <c r="AF112" s="75"/>
      <c r="AG112" s="75"/>
      <c r="AH112" s="75"/>
      <c r="AI112" s="75"/>
      <c r="AJ112" s="75"/>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c r="BK112" s="75"/>
      <c r="BL112" s="75"/>
      <c r="BM112" s="75"/>
    </row>
    <row r="113">
      <c r="A113" s="73" t="s">
        <v>11699</v>
      </c>
      <c r="B113" s="73" t="s">
        <v>11700</v>
      </c>
      <c r="C113" s="71" t="str">
        <f>IFERROR(__xludf.DUMMYFUNCTION("GOOGLETRANSLATE(B113,""en"",""ar"")"),"نجاح المشتريات!")</f>
        <v>نجاح المشتريات!</v>
      </c>
      <c r="D113" s="71" t="str">
        <f>IFERROR(__xludf.DUMMYFUNCTION("GOOGLETRANSLATE(B113,""en"",""cs"")"),"Úspěch nákupů!")</f>
        <v>Úspěch nákupů!</v>
      </c>
      <c r="E113" s="71" t="str">
        <f>IFERROR(__xludf.DUMMYFUNCTION("GOOGLETRANSLATE(B113,""en"",""de"")"),"Kauferfolg!")</f>
        <v>Kauferfolg!</v>
      </c>
      <c r="F113" s="71" t="str">
        <f>IFERROR(__xludf.DUMMYFUNCTION("GOOGLETRANSLATE(B113,""en"",""el"")"),"Επιτυχία αγορών!")</f>
        <v>Επιτυχία αγορών!</v>
      </c>
      <c r="G113" s="71" t="str">
        <f>IFERROR(__xludf.DUMMYFUNCTION("GOOGLETRANSLATE(B113,""en"",""es"")"),"¡Éxito en compras!")</f>
        <v>¡Éxito en compras!</v>
      </c>
      <c r="H113" s="71" t="str">
        <f>IFERROR(__xludf.DUMMYFUNCTION("GOOGLETRANSLATE(B113,""en"",""et"")"),"Edukad ostud!")</f>
        <v>Edukad ostud!</v>
      </c>
      <c r="I113" s="71" t="str">
        <f>IFERROR(__xludf.DUMMYFUNCTION("GOOGLETRANSLATE(B113,""en"",""fi"")"),"Onnistuneita hankintoja!")</f>
        <v>Onnistuneita hankintoja!</v>
      </c>
      <c r="J113" s="71" t="str">
        <f>IFERROR(__xludf.DUMMYFUNCTION("GOOGLETRANSLATE(B113,""en"",""fr"")"),"Succès des achats !")</f>
        <v>Succès des achats !</v>
      </c>
      <c r="K113" s="71" t="str">
        <f>IFERROR(__xludf.DUMMYFUNCTION("GOOGLETRANSLATE(B113,""en"",""hi"")"),"खरीदारी सफल!")</f>
        <v>खरीदारी सफल!</v>
      </c>
      <c r="L113" s="71" t="str">
        <f>IFERROR(__xludf.DUMMYFUNCTION("GOOGLETRANSLATE(B113,""en"",""id"")"),"Pembelian sukses!")</f>
        <v>Pembelian sukses!</v>
      </c>
      <c r="M113" s="71" t="str">
        <f>IFERROR(__xludf.DUMMYFUNCTION("GOOGLETRANSLATE(B113,""en"",""it"")"),"Successo negli acquisti!")</f>
        <v>Successo negli acquisti!</v>
      </c>
      <c r="N113" s="71" t="str">
        <f>IFERROR(__xludf.DUMMYFUNCTION("GOOGLETRANSLATE(B113,""en"",""ja"")"),"購入成功！")</f>
        <v>購入成功！</v>
      </c>
      <c r="O113" s="71" t="str">
        <f>IFERROR(__xludf.DUMMYFUNCTION("GOOGLETRANSLATE(B113,""en"",""km"")"),"ការទិញជោគជ័យ!")</f>
        <v>ការទិញជោគជ័យ!</v>
      </c>
      <c r="P113" s="71" t="str">
        <f>IFERROR(__xludf.DUMMYFUNCTION("GOOGLETRANSLATE(B113,""en"",""kn"")"),"ಖರೀದಿಗಳು ಯಶಸ್ಸು!")</f>
        <v>ಖರೀದಿಗಳು ಯಶಸ್ಸು!</v>
      </c>
      <c r="Q113" s="71" t="str">
        <f>IFERROR(__xludf.DUMMYFUNCTION("GOOGLETRANSLATE(B113,""en"",""ko"")"),"구매 성공!")</f>
        <v>구매 성공!</v>
      </c>
      <c r="R113" s="71" t="str">
        <f>IFERROR(__xludf.DUMMYFUNCTION("GOOGLETRANSLATE(B113,""en"",""lo"")"),"ສຳເລັດການຊື້!")</f>
        <v>ສຳເລັດການຊື້!</v>
      </c>
      <c r="S113" s="71" t="str">
        <f>IFERROR(__xludf.DUMMYFUNCTION("GOOGLETRANSLATE(B113,""en"",""lv"")"),"Veiksmīgi pirkumi!")</f>
        <v>Veiksmīgi pirkumi!</v>
      </c>
      <c r="T113" s="71" t="str">
        <f>IFERROR(__xludf.DUMMYFUNCTION("GOOGLETRANSLATE(B113,""en"",""ms"")"),"Kejayaan pembelian!")</f>
        <v>Kejayaan pembelian!</v>
      </c>
      <c r="U113" s="71" t="str">
        <f>IFERROR(__xludf.DUMMYFUNCTION("GOOGLETRANSLATE(B113,""en"",""nl"")"),"Aankopen succes!")</f>
        <v>Aankopen succes!</v>
      </c>
      <c r="V113" s="71" t="str">
        <f>IFERROR(__xludf.DUMMYFUNCTION("GOOGLETRANSLATE(B113,""en"",""pl"")"),"Zakupy zakończone sukcesem!")</f>
        <v>Zakupy zakończone sukcesem!</v>
      </c>
      <c r="W113" s="71" t="str">
        <f>IFERROR(__xludf.DUMMYFUNCTION("GOOGLETRANSLATE(B113,""en"",""pt-PT"")"),"Sucesso nas compras!")</f>
        <v>Sucesso nas compras!</v>
      </c>
      <c r="X113" s="71" t="str">
        <f>IFERROR(__xludf.DUMMYFUNCTION("GOOGLETRANSLATE(B113,""en"",""ru"")"),"Покупки удачные!")</f>
        <v>Покупки удачные!</v>
      </c>
      <c r="Y113" s="71" t="str">
        <f>IFERROR(__xludf.DUMMYFUNCTION("GOOGLETRANSLATE(B113,""en"",""th"")"),"ซื้อสำเร็จ!")</f>
        <v>ซื้อสำเร็จ!</v>
      </c>
      <c r="Z113" s="71" t="str">
        <f>IFERROR(__xludf.DUMMYFUNCTION("GOOGLETRANSLATE(B113,""en"",""tr"")"),"Başarıyı satın alır!")</f>
        <v>Başarıyı satın alır!</v>
      </c>
      <c r="AA113" s="71" t="str">
        <f>IFERROR(__xludf.DUMMYFUNCTION("GOOGLETRANSLATE(B113,""en"",""uk"")"),"Успішних покупок!")</f>
        <v>Успішних покупок!</v>
      </c>
      <c r="AB113" s="71" t="str">
        <f>IFERROR(__xludf.DUMMYFUNCTION("GOOGLETRANSLATE(B113,""en"",""zh-CN"")"),"购买成功！")</f>
        <v>购买成功！</v>
      </c>
      <c r="AC113" s="71" t="str">
        <f>IFERROR(__xludf.DUMMYFUNCTION("GOOGLETRANSLATE(B113,""en"",""vi"")"),"Mua hàng thành công!")</f>
        <v>Mua hàng thành công!</v>
      </c>
      <c r="AD113" s="75"/>
      <c r="AE113" s="75"/>
      <c r="AF113" s="75"/>
      <c r="AG113" s="75"/>
      <c r="AH113" s="75"/>
      <c r="AI113" s="75"/>
      <c r="AJ113" s="75"/>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c r="BK113" s="75"/>
      <c r="BL113" s="75"/>
      <c r="BM113" s="75"/>
    </row>
    <row r="114">
      <c r="A114" s="73" t="s">
        <v>11701</v>
      </c>
      <c r="B114" s="73" t="s">
        <v>11702</v>
      </c>
      <c r="C114" s="71" t="str">
        <f>IFERROR(__xludf.DUMMYFUNCTION("GOOGLETRANSLATE(B114,""en"",""ar"")"),"معلومات عنا")</f>
        <v>معلومات عنا</v>
      </c>
      <c r="D114" s="71" t="str">
        <f>IFERROR(__xludf.DUMMYFUNCTION("GOOGLETRANSLATE(B114,""en"",""cs"")"),"O nás")</f>
        <v>O nás</v>
      </c>
      <c r="E114" s="71" t="str">
        <f>IFERROR(__xludf.DUMMYFUNCTION("GOOGLETRANSLATE(B114,""en"",""de"")"),"Über uns")</f>
        <v>Über uns</v>
      </c>
      <c r="F114" s="71" t="str">
        <f>IFERROR(__xludf.DUMMYFUNCTION("GOOGLETRANSLATE(B114,""en"",""el"")"),"Σχετικά με εμάς")</f>
        <v>Σχετικά με εμάς</v>
      </c>
      <c r="G114" s="71" t="str">
        <f>IFERROR(__xludf.DUMMYFUNCTION("GOOGLETRANSLATE(B114,""en"",""es"")"),"Sobre nosotros")</f>
        <v>Sobre nosotros</v>
      </c>
      <c r="H114" s="71" t="str">
        <f>IFERROR(__xludf.DUMMYFUNCTION("GOOGLETRANSLATE(B114,""en"",""et"")"),"Meie kohta")</f>
        <v>Meie kohta</v>
      </c>
      <c r="I114" s="71" t="str">
        <f>IFERROR(__xludf.DUMMYFUNCTION("GOOGLETRANSLATE(B114,""en"",""fi"")"),"Tietoja meistä")</f>
        <v>Tietoja meistä</v>
      </c>
      <c r="J114" s="71" t="str">
        <f>IFERROR(__xludf.DUMMYFUNCTION("GOOGLETRANSLATE(B114,""en"",""fr"")"),"À propos de nous")</f>
        <v>À propos de nous</v>
      </c>
      <c r="K114" s="71" t="str">
        <f>IFERROR(__xludf.DUMMYFUNCTION("GOOGLETRANSLATE(B114,""en"",""hi"")"),"हमारे बारे में")</f>
        <v>हमारे बारे में</v>
      </c>
      <c r="L114" s="71" t="str">
        <f>IFERROR(__xludf.DUMMYFUNCTION("GOOGLETRANSLATE(B114,""en"",""id"")"),"Tentang Kami")</f>
        <v>Tentang Kami</v>
      </c>
      <c r="M114" s="71" t="str">
        <f>IFERROR(__xludf.DUMMYFUNCTION("GOOGLETRANSLATE(B114,""en"",""it"")"),"Chi siamo")</f>
        <v>Chi siamo</v>
      </c>
      <c r="N114" s="71" t="str">
        <f>IFERROR(__xludf.DUMMYFUNCTION("GOOGLETRANSLATE(B114,""en"",""ja"")"),"私たちについて")</f>
        <v>私たちについて</v>
      </c>
      <c r="O114" s="71" t="str">
        <f>IFERROR(__xludf.DUMMYFUNCTION("GOOGLETRANSLATE(B114,""en"",""km"")"),"អំពីពួកយើង")</f>
        <v>អំពីពួកយើង</v>
      </c>
      <c r="P114" s="71" t="str">
        <f>IFERROR(__xludf.DUMMYFUNCTION("GOOGLETRANSLATE(B114,""en"",""kn"")"),"ನಮ್ಮ ಬಗ್ಗೆ")</f>
        <v>ನಮ್ಮ ಬಗ್ಗೆ</v>
      </c>
      <c r="Q114" s="71" t="str">
        <f>IFERROR(__xludf.DUMMYFUNCTION("GOOGLETRANSLATE(B114,""en"",""ko"")"),"회사 소개")</f>
        <v>회사 소개</v>
      </c>
      <c r="R114" s="71" t="str">
        <f>IFERROR(__xludf.DUMMYFUNCTION("GOOGLETRANSLATE(B114,""en"",""lo"")"),"ກ່ຽວກັບພວກເຮົາ")</f>
        <v>ກ່ຽວກັບພວກເຮົາ</v>
      </c>
      <c r="S114" s="71" t="str">
        <f>IFERROR(__xludf.DUMMYFUNCTION("GOOGLETRANSLATE(B114,""en"",""lv"")"),"Par mums")</f>
        <v>Par mums</v>
      </c>
      <c r="T114" s="71" t="str">
        <f>IFERROR(__xludf.DUMMYFUNCTION("GOOGLETRANSLATE(B114,""en"",""ms"")"),"Tentang Kami")</f>
        <v>Tentang Kami</v>
      </c>
      <c r="U114" s="71" t="str">
        <f>IFERROR(__xludf.DUMMYFUNCTION("GOOGLETRANSLATE(B114,""en"",""nl"")"),"Over ons")</f>
        <v>Over ons</v>
      </c>
      <c r="V114" s="71" t="str">
        <f>IFERROR(__xludf.DUMMYFUNCTION("GOOGLETRANSLATE(B114,""en"",""pl"")"),"O nas")</f>
        <v>O nas</v>
      </c>
      <c r="W114" s="71" t="str">
        <f>IFERROR(__xludf.DUMMYFUNCTION("GOOGLETRANSLATE(B114,""en"",""pt-PT"")"),"Sobre nós")</f>
        <v>Sobre nós</v>
      </c>
      <c r="X114" s="71" t="str">
        <f>IFERROR(__xludf.DUMMYFUNCTION("GOOGLETRANSLATE(B114,""en"",""ru"")"),"О нас")</f>
        <v>О нас</v>
      </c>
      <c r="Y114" s="71" t="str">
        <f>IFERROR(__xludf.DUMMYFUNCTION("GOOGLETRANSLATE(B114,""en"",""th"")"),"เกี่ยวกับเรา")</f>
        <v>เกี่ยวกับเรา</v>
      </c>
      <c r="Z114" s="71" t="str">
        <f>IFERROR(__xludf.DUMMYFUNCTION("GOOGLETRANSLATE(B114,""en"",""tr"")"),"Hakkımızda")</f>
        <v>Hakkımızda</v>
      </c>
      <c r="AA114" s="71" t="str">
        <f>IFERROR(__xludf.DUMMYFUNCTION("GOOGLETRANSLATE(B114,""en"",""uk"")"),"Про нас")</f>
        <v>Про нас</v>
      </c>
      <c r="AB114" s="71" t="str">
        <f>IFERROR(__xludf.DUMMYFUNCTION("GOOGLETRANSLATE(B114,""en"",""zh-CN"")"),"关于我们")</f>
        <v>关于我们</v>
      </c>
      <c r="AC114" s="71" t="str">
        <f>IFERROR(__xludf.DUMMYFUNCTION("GOOGLETRANSLATE(B114,""en"",""vi"")"),"Về chúng tôi")</f>
        <v>Về chúng tôi</v>
      </c>
      <c r="AD114" s="75"/>
      <c r="AE114" s="75"/>
      <c r="AF114" s="75"/>
      <c r="AG114" s="75"/>
      <c r="AH114" s="75"/>
      <c r="AI114" s="75"/>
      <c r="AJ114" s="75"/>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c r="BK114" s="75"/>
      <c r="BL114" s="75"/>
      <c r="BM114" s="75"/>
    </row>
    <row r="115">
      <c r="A115" s="73" t="s">
        <v>2647</v>
      </c>
      <c r="B115" s="73" t="s">
        <v>2648</v>
      </c>
      <c r="C115" s="71" t="str">
        <f>IFERROR(__xludf.DUMMYFUNCTION("GOOGLETRANSLATE(B115,""en"",""ar"")"),"تعليق")</f>
        <v>تعليق</v>
      </c>
      <c r="D115" s="71" t="str">
        <f>IFERROR(__xludf.DUMMYFUNCTION("GOOGLETRANSLATE(B115,""en"",""cs"")"),"Zpětná vazba")</f>
        <v>Zpětná vazba</v>
      </c>
      <c r="E115" s="71" t="str">
        <f>IFERROR(__xludf.DUMMYFUNCTION("GOOGLETRANSLATE(B115,""en"",""de"")"),"Rückmeldung")</f>
        <v>Rückmeldung</v>
      </c>
      <c r="F115" s="71" t="str">
        <f>IFERROR(__xludf.DUMMYFUNCTION("GOOGLETRANSLATE(B115,""en"",""el"")"),"Ανατροφοδότηση")</f>
        <v>Ανατροφοδότηση</v>
      </c>
      <c r="G115" s="71" t="str">
        <f>IFERROR(__xludf.DUMMYFUNCTION("GOOGLETRANSLATE(B115,""en"",""es"")"),"Comentario")</f>
        <v>Comentario</v>
      </c>
      <c r="H115" s="71" t="str">
        <f>IFERROR(__xludf.DUMMYFUNCTION("GOOGLETRANSLATE(B115,""en"",""et"")"),"Tagasiside")</f>
        <v>Tagasiside</v>
      </c>
      <c r="I115" s="71" t="str">
        <f>IFERROR(__xludf.DUMMYFUNCTION("GOOGLETRANSLATE(B115,""en"",""fi"")"),"Palaute")</f>
        <v>Palaute</v>
      </c>
      <c r="J115" s="71" t="str">
        <f>IFERROR(__xludf.DUMMYFUNCTION("GOOGLETRANSLATE(B115,""en"",""fr"")"),"Retour")</f>
        <v>Retour</v>
      </c>
      <c r="K115" s="71" t="str">
        <f>IFERROR(__xludf.DUMMYFUNCTION("GOOGLETRANSLATE(B115,""en"",""hi"")"),"प्रतिक्रिया")</f>
        <v>प्रतिक्रिया</v>
      </c>
      <c r="L115" s="71" t="str">
        <f>IFERROR(__xludf.DUMMYFUNCTION("GOOGLETRANSLATE(B115,""en"",""id"")"),"Masukan")</f>
        <v>Masukan</v>
      </c>
      <c r="M115" s="71" t="str">
        <f>IFERROR(__xludf.DUMMYFUNCTION("GOOGLETRANSLATE(B115,""en"",""it"")"),"Feedback")</f>
        <v>Feedback</v>
      </c>
      <c r="N115" s="71" t="str">
        <f>IFERROR(__xludf.DUMMYFUNCTION("GOOGLETRANSLATE(B115,""en"",""ja"")"),"フィードバック")</f>
        <v>フィードバック</v>
      </c>
      <c r="O115" s="71" t="str">
        <f>IFERROR(__xludf.DUMMYFUNCTION("GOOGLETRANSLATE(B115,""en"",""km"")"),"មតិកែលម្អ")</f>
        <v>មតិកែលម្អ</v>
      </c>
      <c r="P115" s="71" t="str">
        <f>IFERROR(__xludf.DUMMYFUNCTION("GOOGLETRANSLATE(B115,""en"",""kn"")"),"ಪ್ರತಿಕ್ರಿಯೆ")</f>
        <v>ಪ್ರತಿಕ್ರಿಯೆ</v>
      </c>
      <c r="Q115" s="71" t="str">
        <f>IFERROR(__xludf.DUMMYFUNCTION("GOOGLETRANSLATE(B115,""en"",""ko"")"),"피드백")</f>
        <v>피드백</v>
      </c>
      <c r="R115" s="71" t="str">
        <f>IFERROR(__xludf.DUMMYFUNCTION("GOOGLETRANSLATE(B115,""en"",""lo"")"),"ຄໍາຕິຊົມ")</f>
        <v>ຄໍາຕິຊົມ</v>
      </c>
      <c r="S115" s="71" t="str">
        <f>IFERROR(__xludf.DUMMYFUNCTION("GOOGLETRANSLATE(B115,""en"",""lv"")"),"Atsauksmes")</f>
        <v>Atsauksmes</v>
      </c>
      <c r="T115" s="71" t="str">
        <f>IFERROR(__xludf.DUMMYFUNCTION("GOOGLETRANSLATE(B115,""en"",""ms"")"),"Maklum balas")</f>
        <v>Maklum balas</v>
      </c>
      <c r="U115" s="71" t="str">
        <f>IFERROR(__xludf.DUMMYFUNCTION("GOOGLETRANSLATE(B115,""en"",""nl"")"),"Feedback")</f>
        <v>Feedback</v>
      </c>
      <c r="V115" s="71" t="str">
        <f>IFERROR(__xludf.DUMMYFUNCTION("GOOGLETRANSLATE(B115,""en"",""pl"")"),"Informacja zwrotna")</f>
        <v>Informacja zwrotna</v>
      </c>
      <c r="W115" s="71" t="str">
        <f>IFERROR(__xludf.DUMMYFUNCTION("GOOGLETRANSLATE(B115,""en"",""pt-PT"")"),"Opinião")</f>
        <v>Opinião</v>
      </c>
      <c r="X115" s="71" t="str">
        <f>IFERROR(__xludf.DUMMYFUNCTION("GOOGLETRANSLATE(B115,""en"",""ru"")"),"Обратная связь")</f>
        <v>Обратная связь</v>
      </c>
      <c r="Y115" s="71" t="str">
        <f>IFERROR(__xludf.DUMMYFUNCTION("GOOGLETRANSLATE(B115,""en"",""th"")"),"ข้อเสนอแนะ")</f>
        <v>ข้อเสนอแนะ</v>
      </c>
      <c r="Z115" s="71" t="str">
        <f>IFERROR(__xludf.DUMMYFUNCTION("GOOGLETRANSLATE(B115,""en"",""tr"")"),"Geri bildirim")</f>
        <v>Geri bildirim</v>
      </c>
      <c r="AA115" s="71" t="str">
        <f>IFERROR(__xludf.DUMMYFUNCTION("GOOGLETRANSLATE(B115,""en"",""uk"")"),"Зворотній зв'язок")</f>
        <v>Зворотній зв'язок</v>
      </c>
      <c r="AB115" s="71" t="str">
        <f>IFERROR(__xludf.DUMMYFUNCTION("GOOGLETRANSLATE(B115,""en"",""zh-CN"")"),"反馈")</f>
        <v>反馈</v>
      </c>
      <c r="AC115" s="71" t="str">
        <f>IFERROR(__xludf.DUMMYFUNCTION("GOOGLETRANSLATE(B115,""en"",""vi"")"),"Nhận xét")</f>
        <v>Nhận xét</v>
      </c>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row>
    <row r="116">
      <c r="A116" s="73" t="s">
        <v>10128</v>
      </c>
      <c r="B116" s="73" t="s">
        <v>2733</v>
      </c>
      <c r="C116" s="71" t="str">
        <f>IFERROR(__xludf.DUMMYFUNCTION("GOOGLETRANSLATE(B116,""en"",""ar"")"),"سياسة الخصوصية")</f>
        <v>سياسة الخصوصية</v>
      </c>
      <c r="D116" s="71" t="str">
        <f>IFERROR(__xludf.DUMMYFUNCTION("GOOGLETRANSLATE(B116,""en"",""cs"")"),"Zásady ochrany osobních údajů")</f>
        <v>Zásady ochrany osobních údajů</v>
      </c>
      <c r="E116" s="71" t="str">
        <f>IFERROR(__xludf.DUMMYFUNCTION("GOOGLETRANSLATE(B116,""en"",""de"")"),"Datenschutzrichtlinie")</f>
        <v>Datenschutzrichtlinie</v>
      </c>
      <c r="F116" s="71" t="str">
        <f>IFERROR(__xludf.DUMMYFUNCTION("GOOGLETRANSLATE(B116,""en"",""el"")"),"Πολιτική Απορρήτου")</f>
        <v>Πολιτική Απορρήτου</v>
      </c>
      <c r="G116" s="71" t="str">
        <f>IFERROR(__xludf.DUMMYFUNCTION("GOOGLETRANSLATE(B116,""en"",""es"")"),"política de privacidad")</f>
        <v>política de privacidad</v>
      </c>
      <c r="H116" s="71" t="str">
        <f>IFERROR(__xludf.DUMMYFUNCTION("GOOGLETRANSLATE(B116,""en"",""et"")"),"Privaatsuspoliitika")</f>
        <v>Privaatsuspoliitika</v>
      </c>
      <c r="I116" s="71" t="str">
        <f>IFERROR(__xludf.DUMMYFUNCTION("GOOGLETRANSLATE(B116,""en"",""fi"")"),"Tietosuojakäytäntö")</f>
        <v>Tietosuojakäytäntö</v>
      </c>
      <c r="J116" s="71" t="str">
        <f>IFERROR(__xludf.DUMMYFUNCTION("GOOGLETRANSLATE(B116,""en"",""fr"")"),"politique de confidentialité")</f>
        <v>politique de confidentialité</v>
      </c>
      <c r="K116" s="71" t="str">
        <f>IFERROR(__xludf.DUMMYFUNCTION("GOOGLETRANSLATE(B116,""en"",""hi"")"),"गोपनीयता नीति")</f>
        <v>गोपनीयता नीति</v>
      </c>
      <c r="L116" s="71" t="str">
        <f>IFERROR(__xludf.DUMMYFUNCTION("GOOGLETRANSLATE(B116,""en"",""id"")"),"Kebijakan Privasi")</f>
        <v>Kebijakan Privasi</v>
      </c>
      <c r="M116" s="71" t="str">
        <f>IFERROR(__xludf.DUMMYFUNCTION("GOOGLETRANSLATE(B116,""en"",""it"")"),"politica sulla riservatezza")</f>
        <v>politica sulla riservatezza</v>
      </c>
      <c r="N116" s="71" t="str">
        <f>IFERROR(__xludf.DUMMYFUNCTION("GOOGLETRANSLATE(B116,""en"",""ja"")"),"プライバシーポリシー")</f>
        <v>プライバシーポリシー</v>
      </c>
      <c r="O116" s="71" t="str">
        <f>IFERROR(__xludf.DUMMYFUNCTION("GOOGLETRANSLATE(B116,""en"",""km"")"),"គោលការណ៍ឯកជនភាព")</f>
        <v>គោលការណ៍ឯកជនភាព</v>
      </c>
      <c r="P116" s="71" t="str">
        <f>IFERROR(__xludf.DUMMYFUNCTION("GOOGLETRANSLATE(B116,""en"",""kn"")"),"ಗೌಪ್ಯತೆ ನೀತಿ")</f>
        <v>ಗೌಪ್ಯತೆ ನೀತಿ</v>
      </c>
      <c r="Q116" s="71" t="str">
        <f>IFERROR(__xludf.DUMMYFUNCTION("GOOGLETRANSLATE(B116,""en"",""ko"")"),"개인 정보 보호 정책")</f>
        <v>개인 정보 보호 정책</v>
      </c>
      <c r="R116" s="71" t="str">
        <f>IFERROR(__xludf.DUMMYFUNCTION("GOOGLETRANSLATE(B116,""en"",""lo"")"),"ນະໂຍບາຍຄວາມເປັນສ່ວນຕົວ")</f>
        <v>ນະໂຍບາຍຄວາມເປັນສ່ວນຕົວ</v>
      </c>
      <c r="S116" s="71" t="str">
        <f>IFERROR(__xludf.DUMMYFUNCTION("GOOGLETRANSLATE(B116,""en"",""lv"")"),"Privātuma politika")</f>
        <v>Privātuma politika</v>
      </c>
      <c r="T116" s="71" t="str">
        <f>IFERROR(__xludf.DUMMYFUNCTION("GOOGLETRANSLATE(B116,""en"",""ms"")"),"Dasar Privasi")</f>
        <v>Dasar Privasi</v>
      </c>
      <c r="U116" s="71" t="str">
        <f>IFERROR(__xludf.DUMMYFUNCTION("GOOGLETRANSLATE(B116,""en"",""nl"")"),"Privacybeleid")</f>
        <v>Privacybeleid</v>
      </c>
      <c r="V116" s="71" t="str">
        <f>IFERROR(__xludf.DUMMYFUNCTION("GOOGLETRANSLATE(B116,""en"",""pl"")"),"Polityka prywatności")</f>
        <v>Polityka prywatności</v>
      </c>
      <c r="W116" s="71" t="str">
        <f>IFERROR(__xludf.DUMMYFUNCTION("GOOGLETRANSLATE(B116,""en"",""pt-PT"")"),"política de Privacidade")</f>
        <v>política de Privacidade</v>
      </c>
      <c r="X116" s="71" t="str">
        <f>IFERROR(__xludf.DUMMYFUNCTION("GOOGLETRANSLATE(B116,""en"",""ru"")"),"политика конфиденциальности")</f>
        <v>политика конфиденциальности</v>
      </c>
      <c r="Y116" s="71" t="str">
        <f>IFERROR(__xludf.DUMMYFUNCTION("GOOGLETRANSLATE(B116,""en"",""th"")"),"นโยบายความเป็นส่วนตัว")</f>
        <v>นโยบายความเป็นส่วนตัว</v>
      </c>
      <c r="Z116" s="71" t="str">
        <f>IFERROR(__xludf.DUMMYFUNCTION("GOOGLETRANSLATE(B116,""en"",""tr"")"),"Gizlilik Politikası")</f>
        <v>Gizlilik Politikası</v>
      </c>
      <c r="AA116" s="71" t="str">
        <f>IFERROR(__xludf.DUMMYFUNCTION("GOOGLETRANSLATE(B116,""en"",""uk"")"),"Політика конфіденційності")</f>
        <v>Політика конфіденційності</v>
      </c>
      <c r="AB116" s="71" t="str">
        <f>IFERROR(__xludf.DUMMYFUNCTION("GOOGLETRANSLATE(B116,""en"",""zh-CN"")"),"隐私政策")</f>
        <v>隐私政策</v>
      </c>
      <c r="AC116" s="71" t="str">
        <f>IFERROR(__xludf.DUMMYFUNCTION("GOOGLETRANSLATE(B116,""en"",""vi"")"),"Chính sách bảo mật")</f>
        <v>Chính sách bảo mật</v>
      </c>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c r="BK116" s="75"/>
      <c r="BL116" s="75"/>
      <c r="BM116" s="75"/>
    </row>
    <row r="117">
      <c r="A117" s="73" t="s">
        <v>10130</v>
      </c>
      <c r="B117" s="73" t="s">
        <v>2704</v>
      </c>
      <c r="C117" s="71" t="str">
        <f>IFERROR(__xludf.DUMMYFUNCTION("GOOGLETRANSLATE(B117,""en"",""ar"")"),"الشروط والأحكام")</f>
        <v>الشروط والأحكام</v>
      </c>
      <c r="D117" s="71" t="str">
        <f>IFERROR(__xludf.DUMMYFUNCTION("GOOGLETRANSLATE(B117,""en"",""cs"")"),"Smluvní podmínky")</f>
        <v>Smluvní podmínky</v>
      </c>
      <c r="E117" s="71" t="str">
        <f>IFERROR(__xludf.DUMMYFUNCTION("GOOGLETRANSLATE(B117,""en"",""de"")"),"Geschäftsbedingungen")</f>
        <v>Geschäftsbedingungen</v>
      </c>
      <c r="F117" s="71" t="str">
        <f>IFERROR(__xludf.DUMMYFUNCTION("GOOGLETRANSLATE(B117,""en"",""el"")"),"Όροι και Προϋποθέσεις")</f>
        <v>Όροι και Προϋποθέσεις</v>
      </c>
      <c r="G117" s="71" t="str">
        <f>IFERROR(__xludf.DUMMYFUNCTION("GOOGLETRANSLATE(B117,""en"",""es"")"),"Términos y condiciones")</f>
        <v>Términos y condiciones</v>
      </c>
      <c r="H117" s="71" t="str">
        <f>IFERROR(__xludf.DUMMYFUNCTION("GOOGLETRANSLATE(B117,""en"",""et"")"),"Tingimused")</f>
        <v>Tingimused</v>
      </c>
      <c r="I117" s="71" t="str">
        <f>IFERROR(__xludf.DUMMYFUNCTION("GOOGLETRANSLATE(B117,""en"",""fi"")"),"Ehdot")</f>
        <v>Ehdot</v>
      </c>
      <c r="J117" s="71" t="str">
        <f>IFERROR(__xludf.DUMMYFUNCTION("GOOGLETRANSLATE(B117,""en"",""fr"")"),"Termes et conditions")</f>
        <v>Termes et conditions</v>
      </c>
      <c r="K117" s="71" t="str">
        <f>IFERROR(__xludf.DUMMYFUNCTION("GOOGLETRANSLATE(B117,""en"",""hi"")"),"नियम और शर्तें")</f>
        <v>नियम और शर्तें</v>
      </c>
      <c r="L117" s="71" t="str">
        <f>IFERROR(__xludf.DUMMYFUNCTION("GOOGLETRANSLATE(B117,""en"",""id"")"),"syarat dan Ketentuan")</f>
        <v>syarat dan Ketentuan</v>
      </c>
      <c r="M117" s="71" t="str">
        <f>IFERROR(__xludf.DUMMYFUNCTION("GOOGLETRANSLATE(B117,""en"",""it"")"),"Termini e Condizioni")</f>
        <v>Termini e Condizioni</v>
      </c>
      <c r="N117" s="71" t="str">
        <f>IFERROR(__xludf.DUMMYFUNCTION("GOOGLETRANSLATE(B117,""en"",""ja"")"),"利用規約")</f>
        <v>利用規約</v>
      </c>
      <c r="O117" s="71" t="str">
        <f>IFERROR(__xludf.DUMMYFUNCTION("GOOGLETRANSLATE(B117,""en"",""km"")"),"លក្ខខណ្ឌ")</f>
        <v>លក្ខខណ្ឌ</v>
      </c>
      <c r="P117" s="71" t="str">
        <f>IFERROR(__xludf.DUMMYFUNCTION("GOOGLETRANSLATE(B117,""en"",""kn"")"),"ನಿಯಮಗಳು ಮತ್ತು ಷರತ್ತುಗಳು")</f>
        <v>ನಿಯಮಗಳು ಮತ್ತು ಷರತ್ತುಗಳು</v>
      </c>
      <c r="Q117" s="71" t="str">
        <f>IFERROR(__xludf.DUMMYFUNCTION("GOOGLETRANSLATE(B117,""en"",""ko"")"),"이용약관")</f>
        <v>이용약관</v>
      </c>
      <c r="R117" s="71" t="str">
        <f>IFERROR(__xludf.DUMMYFUNCTION("GOOGLETRANSLATE(B117,""en"",""lo"")"),"ຂໍ້ກໍານົດແລະເງື່ອນໄຂ")</f>
        <v>ຂໍ້ກໍານົດແລະເງື່ອນໄຂ</v>
      </c>
      <c r="S117" s="71" t="str">
        <f>IFERROR(__xludf.DUMMYFUNCTION("GOOGLETRANSLATE(B117,""en"",""lv"")"),"Noteikumi un nosacījumi")</f>
        <v>Noteikumi un nosacījumi</v>
      </c>
      <c r="T117" s="71" t="str">
        <f>IFERROR(__xludf.DUMMYFUNCTION("GOOGLETRANSLATE(B117,""en"",""ms"")"),"Terma dan Syarat")</f>
        <v>Terma dan Syarat</v>
      </c>
      <c r="U117" s="71" t="str">
        <f>IFERROR(__xludf.DUMMYFUNCTION("GOOGLETRANSLATE(B117,""en"",""nl"")"),"Algemene voorwaarden")</f>
        <v>Algemene voorwaarden</v>
      </c>
      <c r="V117" s="71" t="str">
        <f>IFERROR(__xludf.DUMMYFUNCTION("GOOGLETRANSLATE(B117,""en"",""pl"")"),"Regulamin")</f>
        <v>Regulamin</v>
      </c>
      <c r="W117" s="71" t="str">
        <f>IFERROR(__xludf.DUMMYFUNCTION("GOOGLETRANSLATE(B117,""en"",""pt-PT"")"),"Termos e Condições")</f>
        <v>Termos e Condições</v>
      </c>
      <c r="X117" s="71" t="str">
        <f>IFERROR(__xludf.DUMMYFUNCTION("GOOGLETRANSLATE(B117,""en"",""ru"")"),"Условия и положения")</f>
        <v>Условия и положения</v>
      </c>
      <c r="Y117" s="71" t="str">
        <f>IFERROR(__xludf.DUMMYFUNCTION("GOOGLETRANSLATE(B117,""en"",""th"")"),"ข้อกำหนดและเงื่อนไข")</f>
        <v>ข้อกำหนดและเงื่อนไข</v>
      </c>
      <c r="Z117" s="71" t="str">
        <f>IFERROR(__xludf.DUMMYFUNCTION("GOOGLETRANSLATE(B117,""en"",""tr"")"),"Şartlar ve koşullar")</f>
        <v>Şartlar ve koşullar</v>
      </c>
      <c r="AA117" s="71" t="str">
        <f>IFERROR(__xludf.DUMMYFUNCTION("GOOGLETRANSLATE(B117,""en"",""uk"")"),"Правила та умови")</f>
        <v>Правила та умови</v>
      </c>
      <c r="AB117" s="71" t="str">
        <f>IFERROR(__xludf.DUMMYFUNCTION("GOOGLETRANSLATE(B117,""en"",""zh-CN"")"),"条款和条件")</f>
        <v>条款和条件</v>
      </c>
      <c r="AC117" s="71" t="str">
        <f>IFERROR(__xludf.DUMMYFUNCTION("GOOGLETRANSLATE(B117,""en"",""vi"")"),"Điều khoản và Điều kiện")</f>
        <v>Điều khoản và Điều kiện</v>
      </c>
      <c r="AD117" s="75"/>
      <c r="AE117" s="75"/>
      <c r="AF117" s="75"/>
      <c r="AG117" s="75"/>
      <c r="AH117" s="75"/>
      <c r="AI117" s="75"/>
      <c r="AJ117" s="75"/>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c r="BK117" s="75"/>
      <c r="BL117" s="75"/>
      <c r="BM117" s="75"/>
    </row>
    <row r="118">
      <c r="A118" s="73" t="s">
        <v>10320</v>
      </c>
      <c r="B118" s="73" t="s">
        <v>10321</v>
      </c>
      <c r="C118" s="71" t="str">
        <f>IFERROR(__xludf.DUMMYFUNCTION("GOOGLETRANSLATE(B118,""en"",""ar"")"),"هل تستمتع بتطبيقنا؟")</f>
        <v>هل تستمتع بتطبيقنا؟</v>
      </c>
      <c r="D118" s="71" t="str">
        <f>IFERROR(__xludf.DUMMYFUNCTION("GOOGLETRANSLATE(B118,""en"",""cs"")"),"Baví vás naše aplikace?")</f>
        <v>Baví vás naše aplikace?</v>
      </c>
      <c r="E118" s="71" t="str">
        <f>IFERROR(__xludf.DUMMYFUNCTION("GOOGLETRANSLATE(B118,""en"",""de"")"),"Gefällt Ihnen unsere App?")</f>
        <v>Gefällt Ihnen unsere App?</v>
      </c>
      <c r="F118" s="71" t="str">
        <f>IFERROR(__xludf.DUMMYFUNCTION("GOOGLETRANSLATE(B118,""en"",""el"")"),"Απολαμβάνετε την εφαρμογή μας;")</f>
        <v>Απολαμβάνετε την εφαρμογή μας;</v>
      </c>
      <c r="G118" s="71" t="str">
        <f>IFERROR(__xludf.DUMMYFUNCTION("GOOGLETRANSLATE(B118,""en"",""es"")"),"¿Estás disfrutando de nuestra aplicación?")</f>
        <v>¿Estás disfrutando de nuestra aplicación?</v>
      </c>
      <c r="H118" s="71" t="str">
        <f>IFERROR(__xludf.DUMMYFUNCTION("GOOGLETRANSLATE(B118,""en"",""et"")"),"Kas teile meeldib meie rakendus?")</f>
        <v>Kas teile meeldib meie rakendus?</v>
      </c>
      <c r="I118" s="71" t="str">
        <f>IFERROR(__xludf.DUMMYFUNCTION("GOOGLETRANSLATE(B118,""en"",""fi"")"),"Pidätkö sovelluksestamme?")</f>
        <v>Pidätkö sovelluksestamme?</v>
      </c>
      <c r="J118" s="71" t="str">
        <f>IFERROR(__xludf.DUMMYFUNCTION("GOOGLETRANSLATE(B118,""en"",""fr"")"),"Est-ce que vous appréciez notre application ?")</f>
        <v>Est-ce que vous appréciez notre application ?</v>
      </c>
      <c r="K118" s="71" t="str">
        <f>IFERROR(__xludf.DUMMYFUNCTION("GOOGLETRANSLATE(B118,""en"",""hi"")"),"क्या आप हमारे ऐप का आनंद ले रहे हैं?")</f>
        <v>क्या आप हमारे ऐप का आनंद ले रहे हैं?</v>
      </c>
      <c r="L118" s="71" t="str">
        <f>IFERROR(__xludf.DUMMYFUNCTION("GOOGLETRANSLATE(B118,""en"",""id"")"),"Apakah Anda menikmati aplikasi kami?")</f>
        <v>Apakah Anda menikmati aplikasi kami?</v>
      </c>
      <c r="M118" s="71" t="str">
        <f>IFERROR(__xludf.DUMMYFUNCTION("GOOGLETRANSLATE(B118,""en"",""it"")"),"Ti piace la nostra app?")</f>
        <v>Ti piace la nostra app?</v>
      </c>
      <c r="N118" s="71" t="str">
        <f>IFERROR(__xludf.DUMMYFUNCTION("GOOGLETRANSLATE(B118,""en"",""ja"")"),"私たちのアプリを楽しんでいますか？")</f>
        <v>私たちのアプリを楽しんでいますか？</v>
      </c>
      <c r="O118" s="71" t="str">
        <f>IFERROR(__xludf.DUMMYFUNCTION("GOOGLETRANSLATE(B118,""en"",""km"")"),"តើអ្នករីករាយនឹងកម្មវិធីរបស់យើងទេ?")</f>
        <v>តើអ្នករីករាយនឹងកម្មវិធីរបស់យើងទេ?</v>
      </c>
      <c r="P118" s="71" t="str">
        <f>IFERROR(__xludf.DUMMYFUNCTION("GOOGLETRANSLATE(B118,""en"",""kn"")"),"ನೀವು ನಮ್ಮ ಅಪ್ಲಿಕೇಶನ್ ಅನ್ನು ಆನಂದಿಸುತ್ತಿದ್ದೀರಾ?")</f>
        <v>ನೀವು ನಮ್ಮ ಅಪ್ಲಿಕೇಶನ್ ಅನ್ನು ಆನಂದಿಸುತ್ತಿದ್ದೀರಾ?</v>
      </c>
      <c r="Q118" s="71" t="str">
        <f>IFERROR(__xludf.DUMMYFUNCTION("GOOGLETRANSLATE(B118,""en"",""ko"")"),"우리 앱을 즐기고 계시나요?")</f>
        <v>우리 앱을 즐기고 계시나요?</v>
      </c>
      <c r="R118" s="71" t="str">
        <f>IFERROR(__xludf.DUMMYFUNCTION("GOOGLETRANSLATE(B118,""en"",""lo"")"),"ເຈົ້າມັກແອັບຂອງພວກເຮົາບໍ?")</f>
        <v>ເຈົ້າມັກແອັບຂອງພວກເຮົາບໍ?</v>
      </c>
      <c r="S118" s="71" t="str">
        <f>IFERROR(__xludf.DUMMYFUNCTION("GOOGLETRANSLATE(B118,""en"",""lv"")"),"Vai jums patīk mūsu lietotne?")</f>
        <v>Vai jums patīk mūsu lietotne?</v>
      </c>
      <c r="T118" s="71" t="str">
        <f>IFERROR(__xludf.DUMMYFUNCTION("GOOGLETRANSLATE(B118,""en"",""ms"")"),"Adakah anda menikmati aplikasi kami?")</f>
        <v>Adakah anda menikmati aplikasi kami?</v>
      </c>
      <c r="U118" s="71" t="str">
        <f>IFERROR(__xludf.DUMMYFUNCTION("GOOGLETRANSLATE(B118,""en"",""nl"")"),"Geniet je van onze app?")</f>
        <v>Geniet je van onze app?</v>
      </c>
      <c r="V118" s="71" t="str">
        <f>IFERROR(__xludf.DUMMYFUNCTION("GOOGLETRANSLATE(B118,""en"",""pl"")"),"Czy podoba Ci się nasza aplikacja?")</f>
        <v>Czy podoba Ci się nasza aplikacja?</v>
      </c>
      <c r="W118" s="71" t="str">
        <f>IFERROR(__xludf.DUMMYFUNCTION("GOOGLETRANSLATE(B118,""en"",""pt-PT"")"),"Você está gostando do nosso aplicativo?")</f>
        <v>Você está gostando do nosso aplicativo?</v>
      </c>
      <c r="X118" s="71" t="str">
        <f>IFERROR(__xludf.DUMMYFUNCTION("GOOGLETRANSLATE(B118,""en"",""ru"")"),"Вам нравится наше приложение?")</f>
        <v>Вам нравится наше приложение?</v>
      </c>
      <c r="Y118" s="71" t="str">
        <f>IFERROR(__xludf.DUMMYFUNCTION("GOOGLETRANSLATE(B118,""en"",""th"")"),"คุณเพลิดเพลินกับแอพของเราหรือไม่?")</f>
        <v>คุณเพลิดเพลินกับแอพของเราหรือไม่?</v>
      </c>
      <c r="Z118" s="71" t="str">
        <f>IFERROR(__xludf.DUMMYFUNCTION("GOOGLETRANSLATE(B118,""en"",""tr"")"),"Uygulamamızdan memnun musunuz?")</f>
        <v>Uygulamamızdan memnun musunuz?</v>
      </c>
      <c r="AA118" s="71" t="str">
        <f>IFERROR(__xludf.DUMMYFUNCTION("GOOGLETRANSLATE(B118,""en"",""uk"")"),"Вам подобається наш додаток?")</f>
        <v>Вам подобається наш додаток?</v>
      </c>
      <c r="AB118" s="71" t="str">
        <f>IFERROR(__xludf.DUMMYFUNCTION("GOOGLETRANSLATE(B118,""en"",""zh-CN"")"),"您喜欢我们的应用程序吗？")</f>
        <v>您喜欢我们的应用程序吗？</v>
      </c>
      <c r="AC118" s="71" t="str">
        <f>IFERROR(__xludf.DUMMYFUNCTION("GOOGLETRANSLATE(B118,""en"",""vi"")"),"Bạn có thích ứng dụng của chúng tôi không?")</f>
        <v>Bạn có thích ứng dụng của chúng tôi không?</v>
      </c>
      <c r="AD118" s="75"/>
      <c r="AE118" s="75"/>
      <c r="AF118" s="75"/>
      <c r="AG118" s="75"/>
      <c r="AH118" s="75"/>
      <c r="AI118" s="75"/>
      <c r="AJ118" s="75"/>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c r="BK118" s="75"/>
      <c r="BL118" s="75"/>
      <c r="BM118" s="75"/>
    </row>
    <row r="119">
      <c r="A119" s="73" t="s">
        <v>10349</v>
      </c>
      <c r="B119" s="73" t="s">
        <v>10350</v>
      </c>
      <c r="C119" s="71" t="str">
        <f>IFERROR(__xludf.DUMMYFUNCTION("GOOGLETRANSLATE(B119,""en"",""ar"")"),"يرجى إعطائنا 5 نجوم إذا أردت ______ أخبرنا بتعليقاتك")</f>
        <v>يرجى إعطائنا 5 نجوم إذا أردت ______ أخبرنا بتعليقاتك</v>
      </c>
      <c r="D119" s="71" t="str">
        <f>IFERROR(__xludf.DUMMYFUNCTION("GOOGLETRANSLATE(B119,""en"",""cs"")"),"Pokud se vám líbí, dejte nám 5 hvězdiček ______ dejte nám vědět svůj názor")</f>
        <v>Pokud se vám líbí, dejte nám 5 hvězdiček ______ dejte nám vědět svůj názor</v>
      </c>
      <c r="E119" s="71" t="str">
        <f>IFERROR(__xludf.DUMMYFUNCTION("GOOGLETRANSLATE(B119,""en"",""de"")"),"Bitte geben Sie uns 5 Sterne, wenn Ihnen ______ gefällt, teilen Sie uns Ihr Feedback mit")</f>
        <v>Bitte geben Sie uns 5 Sterne, wenn Ihnen ______ gefällt, teilen Sie uns Ihr Feedback mit</v>
      </c>
      <c r="F119" s="71" t="str">
        <f>IFERROR(__xludf.DUMMYFUNCTION("GOOGLETRANSLATE(B119,""en"",""el"")"),"Δώστε μας 5 αστέρια αν σας αρέσει ______ πείτε μας τα σχόλιά σας")</f>
        <v>Δώστε μας 5 αστέρια αν σας αρέσει ______ πείτε μας τα σχόλιά σας</v>
      </c>
      <c r="G119" s="71" t="str">
        <f>IFERROR(__xludf.DUMMYFUNCTION("GOOGLETRANSLATE(B119,""en"",""es"")"),"Por favor danos 5 estrellas si te gusta ______ déjanos saber tus comentarios")</f>
        <v>Por favor danos 5 estrellas si te gusta ______ déjanos saber tus comentarios</v>
      </c>
      <c r="H119" s="71" t="str">
        <f>IFERROR(__xludf.DUMMYFUNCTION("GOOGLETRANSLATE(B119,""en"",""et"")"),"Kui teile meeldib, andke meile 5 tärni ______ andke meile oma tagasisidest teada")</f>
        <v>Kui teile meeldib, andke meile 5 tärni ______ andke meile oma tagasisidest teada</v>
      </c>
      <c r="I119" s="71" t="str">
        <f>IFERROR(__xludf.DUMMYFUNCTION("GOOGLETRANSLATE(B119,""en"",""fi"")"),"Anna meille 5 tähteä, jos pidät ______ kerro meille palautteesi")</f>
        <v>Anna meille 5 tähteä, jos pidät ______ kerro meille palautteesi</v>
      </c>
      <c r="J119" s="71" t="str">
        <f>IFERROR(__xludf.DUMMYFUNCTION("GOOGLETRANSLATE(B119,""en"",""fr"")"),"Veuillez nous donner 5 étoiles si vous aimez ______ faites-nous part de vos commentaires")</f>
        <v>Veuillez nous donner 5 étoiles si vous aimez ______ faites-nous part de vos commentaires</v>
      </c>
      <c r="K119" s="71" t="str">
        <f>IFERROR(__xludf.DUMMYFUNCTION("GOOGLETRANSLATE(B119,""en"",""hi"")"),"यदि आपको ______ पसंद है तो कृपया हमें 5-स्टार दें, हमें अपनी प्रतिक्रिया बताएं")</f>
        <v>यदि आपको ______ पसंद है तो कृपया हमें 5-स्टार दें, हमें अपनी प्रतिक्रिया बताएं</v>
      </c>
      <c r="L119" s="71" t="str">
        <f>IFERROR(__xludf.DUMMYFUNCTION("GOOGLETRANSLATE(B119,""en"",""id"")"),"Tolong beri kami bintang 5 jika Anda suka ______ beri tahu kami tanggapan Anda")</f>
        <v>Tolong beri kami bintang 5 jika Anda suka ______ beri tahu kami tanggapan Anda</v>
      </c>
      <c r="M119" s="71" t="str">
        <f>IFERROR(__xludf.DUMMYFUNCTION("GOOGLETRANSLATE(B119,""en"",""it"")"),"Per favore, dacci 5 stelle se vuoi ______ facci sapere il tuo feedback")</f>
        <v>Per favore, dacci 5 stelle se vuoi ______ facci sapere il tuo feedback</v>
      </c>
      <c r="N119" s="71" t="str">
        <f>IFERROR(__xludf.DUMMYFUNCTION("GOOGLETRANSLATE(B119,""en"",""ja"")"),"______ が気に入ったら、5 つ星を付けてください。フィードバックをお聞かせください。")</f>
        <v>______ が気に入ったら、5 つ星を付けてください。フィードバックをお聞かせください。</v>
      </c>
      <c r="O119" s="71" t="str">
        <f>IFERROR(__xludf.DUMMYFUNCTION("GOOGLETRANSLATE(B119,""en"",""km"")"),"សូមផ្តល់ឱ្យយើងនូវផ្កាយ 5 ប្រសិនបើអ្នកចូលចិត្ត ______ អនុញ្ញាតឱ្យពួកយើងដឹងពីមតិកែលម្អរបស់អ្នក។")</f>
        <v>សូមផ្តល់ឱ្យយើងនូវផ្កាយ 5 ប្រសិនបើអ្នកចូលចិត្ត ______ អនុញ្ញាតឱ្យពួកយើងដឹងពីមតិកែលម្អរបស់អ្នក។</v>
      </c>
      <c r="P119" s="71" t="str">
        <f>IFERROR(__xludf.DUMMYFUNCTION("GOOGLETRANSLATE(B119,""en"",""kn"")"),"ನೀವು ______ ಬಯಸಿದರೆ ದಯವಿಟ್ಟು ನಮಗೆ 5-ಸ್ಟಾರ್‌ಗಳನ್ನು ನೀಡಿ ನಿಮ್ಮ ಪ್ರತಿಕ್ರಿಯೆಯನ್ನು ನಮಗೆ ತಿಳಿಸಿ")</f>
        <v>ನೀವು ______ ಬಯಸಿದರೆ ದಯವಿಟ್ಟು ನಮಗೆ 5-ಸ್ಟಾರ್‌ಗಳನ್ನು ನೀಡಿ ನಿಮ್ಮ ಪ್ರತಿಕ್ರಿಯೆಯನ್ನು ನಮಗೆ ತಿಳಿಸಿ</v>
      </c>
      <c r="Q119" s="71" t="str">
        <f>IFERROR(__xludf.DUMMYFUNCTION("GOOGLETRANSLATE(B119,""en"",""ko"")"),"마음에 드신다면 별 5개를 주세요. ______ 피드백을 알려주세요.")</f>
        <v>마음에 드신다면 별 5개를 주세요. ______ 피드백을 알려주세요.</v>
      </c>
      <c r="R119" s="71" t="str">
        <f>IFERROR(__xludf.DUMMYFUNCTION("GOOGLETRANSLATE(B119,""en"",""lo"")"),"ກະລຸນາໃຫ້ພວກເຮົາ 5 ດາວຖ້າທ່ານຕ້ອງການ ______ ໃຫ້ພວກເຮົາຮູ້ຄໍາຕິຊົມຂອງທ່ານ")</f>
        <v>ກະລຸນາໃຫ້ພວກເຮົາ 5 ດາວຖ້າທ່ານຕ້ອງການ ______ ໃຫ້ພວກເຮົາຮູ້ຄໍາຕິຊົມຂອງທ່ານ</v>
      </c>
      <c r="S119" s="71" t="str">
        <f>IFERROR(__xludf.DUMMYFUNCTION("GOOGLETRANSLATE(B119,""en"",""lv"")"),"Lūdzu, piešķiriet mums 5 zvaigznes, ja jums patīk ______, paziņojiet mums savas atsauksmes")</f>
        <v>Lūdzu, piešķiriet mums 5 zvaigznes, ja jums patīk ______, paziņojiet mums savas atsauksmes</v>
      </c>
      <c r="T119" s="71" t="str">
        <f>IFERROR(__xludf.DUMMYFUNCTION("GOOGLETRANSLATE(B119,""en"",""ms"")"),"Sila beri kami 5 bintang jika anda suka ______ beritahu kami maklum balas anda")</f>
        <v>Sila beri kami 5 bintang jika anda suka ______ beritahu kami maklum balas anda</v>
      </c>
      <c r="U119" s="71" t="str">
        <f>IFERROR(__xludf.DUMMYFUNCTION("GOOGLETRANSLATE(B119,""en"",""nl"")"),"Geef ons 5 sterren als je dat leuk vindt. ______ laat ons je feedback weten")</f>
        <v>Geef ons 5 sterren als je dat leuk vindt. ______ laat ons je feedback weten</v>
      </c>
      <c r="V119" s="71" t="str">
        <f>IFERROR(__xludf.DUMMYFUNCTION("GOOGLETRANSLATE(B119,""en"",""pl"")"),"Proszę dać nam 5 gwiazdek, jeśli lubisz ______ daj nam znać swoją opinię")</f>
        <v>Proszę dać nam 5 gwiazdek, jeśli lubisz ______ daj nam znać swoją opinię</v>
      </c>
      <c r="W119" s="71" t="str">
        <f>IFERROR(__xludf.DUMMYFUNCTION("GOOGLETRANSLATE(B119,""en"",""pt-PT"")"),"Por favor, dê-nos 5 estrelas se quiser ______ deixe-nos saber seu feedback")</f>
        <v>Por favor, dê-nos 5 estrelas se quiser ______ deixe-nos saber seu feedback</v>
      </c>
      <c r="X119" s="71" t="str">
        <f>IFERROR(__xludf.DUMMYFUNCTION("GOOGLETRANSLATE(B119,""en"",""ru"")"),"Пожалуйста, поставьте нам 5 звезд, если вам нравится ______, дайте нам знать ваш отзыв")</f>
        <v>Пожалуйста, поставьте нам 5 звезд, если вам нравится ______, дайте нам знать ваш отзыв</v>
      </c>
      <c r="Y119" s="71" t="str">
        <f>IFERROR(__xludf.DUMMYFUNCTION("GOOGLETRANSLATE(B119,""en"",""th"")"),"โปรดให้ 5 ดาวแก่เราหากคุณต้องการ ______ แจ้งให้เราทราบความคิดเห็นของคุณ")</f>
        <v>โปรดให้ 5 ดาวแก่เราหากคุณต้องการ ______ แจ้งให้เราทราบความคิดเห็นของคุณ</v>
      </c>
      <c r="Z119" s="71" t="str">
        <f>IFERROR(__xludf.DUMMYFUNCTION("GOOGLETRANSLATE(B119,""en"",""tr"")"),"Beğendiyseniz lütfen bize 5 yıldız verin ______ geri bildiriminizi bize bildirin")</f>
        <v>Beğendiyseniz lütfen bize 5 yıldız verin ______ geri bildiriminizi bize bildirin</v>
      </c>
      <c r="AA119" s="71" t="str">
        <f>IFERROR(__xludf.DUMMYFUNCTION("GOOGLETRANSLATE(B119,""en"",""uk"")"),"Будь ласка, дайте нам 5 зірок, якщо вам подобається ______ повідомте нам свій відгук")</f>
        <v>Будь ласка, дайте нам 5 зірок, якщо вам подобається ______ повідомте нам свій відгук</v>
      </c>
      <c r="AB119" s="71" t="str">
        <f>IFERROR(__xludf.DUMMYFUNCTION("GOOGLETRANSLATE(B119,""en"",""zh-CN"")"),"如果您喜欢 ______，请给我们 5 星，让我们知道您的反馈")</f>
        <v>如果您喜欢 ______，请给我们 5 星，让我们知道您的反馈</v>
      </c>
      <c r="AC119" s="71" t="str">
        <f>IFERROR(__xludf.DUMMYFUNCTION("GOOGLETRANSLATE(B119,""en"",""vi"")"),"Vui lòng cho chúng tôi 5 sao nếu bạn thích ______ cho chúng tôi biết phản hồi của bạn")</f>
        <v>Vui lòng cho chúng tôi 5 sao nếu bạn thích ______ cho chúng tôi biết phản hồi của bạn</v>
      </c>
      <c r="AD119" s="75"/>
      <c r="AE119" s="75"/>
      <c r="AF119" s="75"/>
      <c r="AG119" s="75"/>
      <c r="AH119" s="75"/>
      <c r="AI119" s="75"/>
      <c r="AJ119" s="75"/>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c r="BK119" s="75"/>
      <c r="BL119" s="75"/>
      <c r="BM119" s="75"/>
    </row>
    <row r="120">
      <c r="A120" s="73" t="s">
        <v>10378</v>
      </c>
      <c r="B120" s="73" t="s">
        <v>9110</v>
      </c>
      <c r="C120" s="71" t="str">
        <f>IFERROR(__xludf.DUMMYFUNCTION("GOOGLETRANSLATE(B120,""en"",""ar"")"),"معدل")</f>
        <v>معدل</v>
      </c>
      <c r="D120" s="71" t="str">
        <f>IFERROR(__xludf.DUMMYFUNCTION("GOOGLETRANSLATE(B120,""en"",""cs"")"),"Hodnotit")</f>
        <v>Hodnotit</v>
      </c>
      <c r="E120" s="71" t="str">
        <f>IFERROR(__xludf.DUMMYFUNCTION("GOOGLETRANSLATE(B120,""en"",""de"")"),"Rate")</f>
        <v>Rate</v>
      </c>
      <c r="F120" s="71" t="str">
        <f>IFERROR(__xludf.DUMMYFUNCTION("GOOGLETRANSLATE(B120,""en"",""el"")"),"Τιμή")</f>
        <v>Τιμή</v>
      </c>
      <c r="G120" s="71" t="str">
        <f>IFERROR(__xludf.DUMMYFUNCTION("GOOGLETRANSLATE(B120,""en"",""es"")"),"Tasa")</f>
        <v>Tasa</v>
      </c>
      <c r="H120" s="71" t="str">
        <f>IFERROR(__xludf.DUMMYFUNCTION("GOOGLETRANSLATE(B120,""en"",""et"")"),"Hinda")</f>
        <v>Hinda</v>
      </c>
      <c r="I120" s="71" t="str">
        <f>IFERROR(__xludf.DUMMYFUNCTION("GOOGLETRANSLATE(B120,""en"",""fi"")"),"Rate")</f>
        <v>Rate</v>
      </c>
      <c r="J120" s="71" t="str">
        <f>IFERROR(__xludf.DUMMYFUNCTION("GOOGLETRANSLATE(B120,""en"",""fr"")"),"Taux")</f>
        <v>Taux</v>
      </c>
      <c r="K120" s="71" t="str">
        <f>IFERROR(__xludf.DUMMYFUNCTION("GOOGLETRANSLATE(B120,""en"",""hi"")"),"दर")</f>
        <v>दर</v>
      </c>
      <c r="L120" s="71" t="str">
        <f>IFERROR(__xludf.DUMMYFUNCTION("GOOGLETRANSLATE(B120,""en"",""id"")"),"Kecepatan")</f>
        <v>Kecepatan</v>
      </c>
      <c r="M120" s="71" t="str">
        <f>IFERROR(__xludf.DUMMYFUNCTION("GOOGLETRANSLATE(B120,""en"",""it"")"),"Valutare")</f>
        <v>Valutare</v>
      </c>
      <c r="N120" s="71" t="str">
        <f>IFERROR(__xludf.DUMMYFUNCTION("GOOGLETRANSLATE(B120,""en"",""ja"")"),"レート")</f>
        <v>レート</v>
      </c>
      <c r="O120" s="71" t="str">
        <f>IFERROR(__xludf.DUMMYFUNCTION("GOOGLETRANSLATE(B120,""en"",""km"")"),"អត្រា")</f>
        <v>អត្រា</v>
      </c>
      <c r="P120" s="71" t="str">
        <f>IFERROR(__xludf.DUMMYFUNCTION("GOOGLETRANSLATE(B120,""en"",""kn"")"),"ದರ")</f>
        <v>ದರ</v>
      </c>
      <c r="Q120" s="71" t="str">
        <f>IFERROR(__xludf.DUMMYFUNCTION("GOOGLETRANSLATE(B120,""en"",""ko"")"),"비율")</f>
        <v>비율</v>
      </c>
      <c r="R120" s="71" t="str">
        <f>IFERROR(__xludf.DUMMYFUNCTION("GOOGLETRANSLATE(B120,""en"",""lo"")"),"ອັດຕາ")</f>
        <v>ອັດຕາ</v>
      </c>
      <c r="S120" s="71" t="str">
        <f>IFERROR(__xludf.DUMMYFUNCTION("GOOGLETRANSLATE(B120,""en"",""lv"")"),"Likme")</f>
        <v>Likme</v>
      </c>
      <c r="T120" s="71" t="str">
        <f>IFERROR(__xludf.DUMMYFUNCTION("GOOGLETRANSLATE(B120,""en"",""ms"")"),"Kadar")</f>
        <v>Kadar</v>
      </c>
      <c r="U120" s="71" t="str">
        <f>IFERROR(__xludf.DUMMYFUNCTION("GOOGLETRANSLATE(B120,""en"",""nl"")"),"Tarief")</f>
        <v>Tarief</v>
      </c>
      <c r="V120" s="71" t="str">
        <f>IFERROR(__xludf.DUMMYFUNCTION("GOOGLETRANSLATE(B120,""en"",""pl"")"),"Wskaźnik")</f>
        <v>Wskaźnik</v>
      </c>
      <c r="W120" s="71" t="str">
        <f>IFERROR(__xludf.DUMMYFUNCTION("GOOGLETRANSLATE(B120,""en"",""pt-PT"")"),"Avaliar")</f>
        <v>Avaliar</v>
      </c>
      <c r="X120" s="71" t="str">
        <f>IFERROR(__xludf.DUMMYFUNCTION("GOOGLETRANSLATE(B120,""en"",""ru"")"),"Ставка")</f>
        <v>Ставка</v>
      </c>
      <c r="Y120" s="71" t="str">
        <f>IFERROR(__xludf.DUMMYFUNCTION("GOOGLETRANSLATE(B120,""en"",""th"")"),"ประเมิน")</f>
        <v>ประเมิน</v>
      </c>
      <c r="Z120" s="71" t="str">
        <f>IFERROR(__xludf.DUMMYFUNCTION("GOOGLETRANSLATE(B120,""en"",""tr"")"),"Oran")</f>
        <v>Oran</v>
      </c>
      <c r="AA120" s="71" t="str">
        <f>IFERROR(__xludf.DUMMYFUNCTION("GOOGLETRANSLATE(B120,""en"",""uk"")"),"Оцінка")</f>
        <v>Оцінка</v>
      </c>
      <c r="AB120" s="71" t="str">
        <f>IFERROR(__xludf.DUMMYFUNCTION("GOOGLETRANSLATE(B120,""en"",""zh-CN"")"),"速度")</f>
        <v>速度</v>
      </c>
      <c r="AC120" s="71" t="str">
        <f>IFERROR(__xludf.DUMMYFUNCTION("GOOGLETRANSLATE(B120,""en"",""vi"")"),"Tỷ lệ")</f>
        <v>Tỷ lệ</v>
      </c>
      <c r="AD120" s="75"/>
      <c r="AE120" s="75"/>
      <c r="AF120" s="75"/>
      <c r="AG120" s="75"/>
      <c r="AH120" s="75"/>
      <c r="AI120" s="75"/>
      <c r="AJ120" s="75"/>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c r="BK120" s="75"/>
      <c r="BL120" s="75"/>
      <c r="BM120" s="75"/>
    </row>
    <row r="121">
      <c r="A121" s="73" t="s">
        <v>10383</v>
      </c>
      <c r="B121" s="73" t="s">
        <v>109</v>
      </c>
      <c r="C121" s="71" t="str">
        <f>IFERROR(__xludf.DUMMYFUNCTION("GOOGLETRANSLATE(B121,""en"",""ar"")"),"يلغي")</f>
        <v>يلغي</v>
      </c>
      <c r="D121" s="71" t="str">
        <f>IFERROR(__xludf.DUMMYFUNCTION("GOOGLETRANSLATE(B121,""en"",""cs"")"),"Zrušit")</f>
        <v>Zrušit</v>
      </c>
      <c r="E121" s="71" t="str">
        <f>IFERROR(__xludf.DUMMYFUNCTION("GOOGLETRANSLATE(B121,""en"",""de"")"),"Stornieren")</f>
        <v>Stornieren</v>
      </c>
      <c r="F121" s="71" t="str">
        <f>IFERROR(__xludf.DUMMYFUNCTION("GOOGLETRANSLATE(B121,""en"",""el"")"),"Ματαίωση")</f>
        <v>Ματαίωση</v>
      </c>
      <c r="G121" s="71" t="str">
        <f>IFERROR(__xludf.DUMMYFUNCTION("GOOGLETRANSLATE(B121,""en"",""es"")"),"Cancelar")</f>
        <v>Cancelar</v>
      </c>
      <c r="H121" s="71" t="str">
        <f>IFERROR(__xludf.DUMMYFUNCTION("GOOGLETRANSLATE(B121,""en"",""et"")"),"Tühista")</f>
        <v>Tühista</v>
      </c>
      <c r="I121" s="71" t="str">
        <f>IFERROR(__xludf.DUMMYFUNCTION("GOOGLETRANSLATE(B121,""en"",""fi"")"),"Peruuttaa")</f>
        <v>Peruuttaa</v>
      </c>
      <c r="J121" s="71" t="str">
        <f>IFERROR(__xludf.DUMMYFUNCTION("GOOGLETRANSLATE(B121,""en"",""fr"")"),"Annuler")</f>
        <v>Annuler</v>
      </c>
      <c r="K121" s="71" t="str">
        <f>IFERROR(__xludf.DUMMYFUNCTION("GOOGLETRANSLATE(B121,""en"",""hi"")"),"रद्द करना")</f>
        <v>रद्द करना</v>
      </c>
      <c r="L121" s="71" t="str">
        <f>IFERROR(__xludf.DUMMYFUNCTION("GOOGLETRANSLATE(B121,""en"",""id"")"),"Membatalkan")</f>
        <v>Membatalkan</v>
      </c>
      <c r="M121" s="71" t="str">
        <f>IFERROR(__xludf.DUMMYFUNCTION("GOOGLETRANSLATE(B121,""en"",""it"")"),"Cancellare")</f>
        <v>Cancellare</v>
      </c>
      <c r="N121" s="71" t="str">
        <f>IFERROR(__xludf.DUMMYFUNCTION("GOOGLETRANSLATE(B121,""en"",""ja"")"),"キャンセル")</f>
        <v>キャンセル</v>
      </c>
      <c r="O121" s="71" t="str">
        <f>IFERROR(__xludf.DUMMYFUNCTION("GOOGLETRANSLATE(B121,""en"",""km"")"),"បោះបង់")</f>
        <v>បោះបង់</v>
      </c>
      <c r="P121" s="71" t="str">
        <f>IFERROR(__xludf.DUMMYFUNCTION("GOOGLETRANSLATE(B121,""en"",""kn"")"),"ರದ್ದುಮಾಡಿ")</f>
        <v>ರದ್ದುಮಾಡಿ</v>
      </c>
      <c r="Q121" s="71" t="str">
        <f>IFERROR(__xludf.DUMMYFUNCTION("GOOGLETRANSLATE(B121,""en"",""ko"")"),"취소")</f>
        <v>취소</v>
      </c>
      <c r="R121" s="71" t="str">
        <f>IFERROR(__xludf.DUMMYFUNCTION("GOOGLETRANSLATE(B121,""en"",""lo"")"),"ຍົກເລີກ")</f>
        <v>ຍົກເລີກ</v>
      </c>
      <c r="S121" s="71" t="str">
        <f>IFERROR(__xludf.DUMMYFUNCTION("GOOGLETRANSLATE(B121,""en"",""lv"")"),"Atcelt")</f>
        <v>Atcelt</v>
      </c>
      <c r="T121" s="71" t="str">
        <f>IFERROR(__xludf.DUMMYFUNCTION("GOOGLETRANSLATE(B121,""en"",""ms"")"),"Batal")</f>
        <v>Batal</v>
      </c>
      <c r="U121" s="71" t="str">
        <f>IFERROR(__xludf.DUMMYFUNCTION("GOOGLETRANSLATE(B121,""en"",""nl"")"),"Annuleren")</f>
        <v>Annuleren</v>
      </c>
      <c r="V121" s="71" t="str">
        <f>IFERROR(__xludf.DUMMYFUNCTION("GOOGLETRANSLATE(B121,""en"",""pl"")"),"Anulować")</f>
        <v>Anulować</v>
      </c>
      <c r="W121" s="71" t="str">
        <f>IFERROR(__xludf.DUMMYFUNCTION("GOOGLETRANSLATE(B121,""en"",""pt-PT"")"),"Cancelar")</f>
        <v>Cancelar</v>
      </c>
      <c r="X121" s="71" t="str">
        <f>IFERROR(__xludf.DUMMYFUNCTION("GOOGLETRANSLATE(B121,""en"",""ru"")"),"Отмена")</f>
        <v>Отмена</v>
      </c>
      <c r="Y121" s="71" t="str">
        <f>IFERROR(__xludf.DUMMYFUNCTION("GOOGLETRANSLATE(B121,""en"",""th"")"),"ยกเลิก")</f>
        <v>ยกเลิก</v>
      </c>
      <c r="Z121" s="71" t="str">
        <f>IFERROR(__xludf.DUMMYFUNCTION("GOOGLETRANSLATE(B121,""en"",""tr"")"),"İptal etmek")</f>
        <v>İptal etmek</v>
      </c>
      <c r="AA121" s="71" t="str">
        <f>IFERROR(__xludf.DUMMYFUNCTION("GOOGLETRANSLATE(B121,""en"",""uk"")"),"Скасувати")</f>
        <v>Скасувати</v>
      </c>
      <c r="AB121" s="71" t="str">
        <f>IFERROR(__xludf.DUMMYFUNCTION("GOOGLETRANSLATE(B121,""en"",""zh-CN"")"),"取消")</f>
        <v>取消</v>
      </c>
      <c r="AC121" s="71" t="str">
        <f>IFERROR(__xludf.DUMMYFUNCTION("GOOGLETRANSLATE(B121,""en"",""vi"")"),"Hủy bỏ")</f>
        <v>Hủy bỏ</v>
      </c>
      <c r="AD121" s="75"/>
      <c r="AE121" s="75"/>
      <c r="AF121" s="75"/>
      <c r="AG121" s="75"/>
      <c r="AH121" s="75"/>
      <c r="AI121" s="75"/>
      <c r="AJ121" s="75"/>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c r="BK121" s="75"/>
      <c r="BL121" s="75"/>
      <c r="BM121" s="75"/>
    </row>
    <row r="122">
      <c r="A122" s="73" t="s">
        <v>10384</v>
      </c>
      <c r="B122" s="73" t="s">
        <v>2648</v>
      </c>
      <c r="C122" s="71" t="str">
        <f>IFERROR(__xludf.DUMMYFUNCTION("GOOGLETRANSLATE(B122,""en"",""ar"")"),"تعليق")</f>
        <v>تعليق</v>
      </c>
      <c r="D122" s="71" t="str">
        <f>IFERROR(__xludf.DUMMYFUNCTION("GOOGLETRANSLATE(B122,""en"",""cs"")"),"Zpětná vazba")</f>
        <v>Zpětná vazba</v>
      </c>
      <c r="E122" s="71" t="str">
        <f>IFERROR(__xludf.DUMMYFUNCTION("GOOGLETRANSLATE(B122,""en"",""de"")"),"Rückmeldung")</f>
        <v>Rückmeldung</v>
      </c>
      <c r="F122" s="71" t="str">
        <f>IFERROR(__xludf.DUMMYFUNCTION("GOOGLETRANSLATE(B122,""en"",""el"")"),"Ανατροφοδότηση")</f>
        <v>Ανατροφοδότηση</v>
      </c>
      <c r="G122" s="71" t="str">
        <f>IFERROR(__xludf.DUMMYFUNCTION("GOOGLETRANSLATE(B122,""en"",""es"")"),"Comentario")</f>
        <v>Comentario</v>
      </c>
      <c r="H122" s="71" t="str">
        <f>IFERROR(__xludf.DUMMYFUNCTION("GOOGLETRANSLATE(B122,""en"",""et"")"),"Tagasiside")</f>
        <v>Tagasiside</v>
      </c>
      <c r="I122" s="71" t="str">
        <f>IFERROR(__xludf.DUMMYFUNCTION("GOOGLETRANSLATE(B122,""en"",""fi"")"),"Palaute")</f>
        <v>Palaute</v>
      </c>
      <c r="J122" s="71" t="str">
        <f>IFERROR(__xludf.DUMMYFUNCTION("GOOGLETRANSLATE(B122,""en"",""fr"")"),"Retour")</f>
        <v>Retour</v>
      </c>
      <c r="K122" s="71" t="str">
        <f>IFERROR(__xludf.DUMMYFUNCTION("GOOGLETRANSLATE(B122,""en"",""hi"")"),"प्रतिक्रिया")</f>
        <v>प्रतिक्रिया</v>
      </c>
      <c r="L122" s="71" t="str">
        <f>IFERROR(__xludf.DUMMYFUNCTION("GOOGLETRANSLATE(B122,""en"",""id"")"),"Masukan")</f>
        <v>Masukan</v>
      </c>
      <c r="M122" s="71" t="str">
        <f>IFERROR(__xludf.DUMMYFUNCTION("GOOGLETRANSLATE(B122,""en"",""it"")"),"Feedback")</f>
        <v>Feedback</v>
      </c>
      <c r="N122" s="71" t="str">
        <f>IFERROR(__xludf.DUMMYFUNCTION("GOOGLETRANSLATE(B122,""en"",""ja"")"),"フィードバック")</f>
        <v>フィードバック</v>
      </c>
      <c r="O122" s="71" t="str">
        <f>IFERROR(__xludf.DUMMYFUNCTION("GOOGLETRANSLATE(B122,""en"",""km"")"),"មតិកែលម្អ")</f>
        <v>មតិកែលម្អ</v>
      </c>
      <c r="P122" s="71" t="str">
        <f>IFERROR(__xludf.DUMMYFUNCTION("GOOGLETRANSLATE(B122,""en"",""kn"")"),"ಪ್ರತಿಕ್ರಿಯೆ")</f>
        <v>ಪ್ರತಿಕ್ರಿಯೆ</v>
      </c>
      <c r="Q122" s="71" t="str">
        <f>IFERROR(__xludf.DUMMYFUNCTION("GOOGLETRANSLATE(B122,""en"",""ko"")"),"피드백")</f>
        <v>피드백</v>
      </c>
      <c r="R122" s="71" t="str">
        <f>IFERROR(__xludf.DUMMYFUNCTION("GOOGLETRANSLATE(B122,""en"",""lo"")"),"ຄໍາຕິຊົມ")</f>
        <v>ຄໍາຕິຊົມ</v>
      </c>
      <c r="S122" s="71" t="str">
        <f>IFERROR(__xludf.DUMMYFUNCTION("GOOGLETRANSLATE(B122,""en"",""lv"")"),"Atsauksmes")</f>
        <v>Atsauksmes</v>
      </c>
      <c r="T122" s="71" t="str">
        <f>IFERROR(__xludf.DUMMYFUNCTION("GOOGLETRANSLATE(B122,""en"",""ms"")"),"Maklum balas")</f>
        <v>Maklum balas</v>
      </c>
      <c r="U122" s="71" t="str">
        <f>IFERROR(__xludf.DUMMYFUNCTION("GOOGLETRANSLATE(B122,""en"",""nl"")"),"Feedback")</f>
        <v>Feedback</v>
      </c>
      <c r="V122" s="71" t="str">
        <f>IFERROR(__xludf.DUMMYFUNCTION("GOOGLETRANSLATE(B122,""en"",""pl"")"),"Informacja zwrotna")</f>
        <v>Informacja zwrotna</v>
      </c>
      <c r="W122" s="71" t="str">
        <f>IFERROR(__xludf.DUMMYFUNCTION("GOOGLETRANSLATE(B122,""en"",""pt-PT"")"),"Opinião")</f>
        <v>Opinião</v>
      </c>
      <c r="X122" s="71" t="str">
        <f>IFERROR(__xludf.DUMMYFUNCTION("GOOGLETRANSLATE(B122,""en"",""ru"")"),"Обратная связь")</f>
        <v>Обратная связь</v>
      </c>
      <c r="Y122" s="71" t="str">
        <f>IFERROR(__xludf.DUMMYFUNCTION("GOOGLETRANSLATE(B122,""en"",""th"")"),"ข้อเสนอแนะ")</f>
        <v>ข้อเสนอแนะ</v>
      </c>
      <c r="Z122" s="71" t="str">
        <f>IFERROR(__xludf.DUMMYFUNCTION("GOOGLETRANSLATE(B122,""en"",""tr"")"),"Geri bildirim")</f>
        <v>Geri bildirim</v>
      </c>
      <c r="AA122" s="71" t="str">
        <f>IFERROR(__xludf.DUMMYFUNCTION("GOOGLETRANSLATE(B122,""en"",""uk"")"),"Зворотній зв'язок")</f>
        <v>Зворотній зв'язок</v>
      </c>
      <c r="AB122" s="71" t="str">
        <f>IFERROR(__xludf.DUMMYFUNCTION("GOOGLETRANSLATE(B122,""en"",""zh-CN"")"),"反馈")</f>
        <v>反馈</v>
      </c>
      <c r="AC122" s="71" t="str">
        <f>IFERROR(__xludf.DUMMYFUNCTION("GOOGLETRANSLATE(B122,""en"",""vi"")"),"Nhận xét")</f>
        <v>Nhận xét</v>
      </c>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c r="BK122" s="75"/>
      <c r="BL122" s="75"/>
      <c r="BM122" s="75"/>
    </row>
    <row r="123">
      <c r="A123" s="73" t="s">
        <v>10387</v>
      </c>
      <c r="B123" s="73" t="s">
        <v>10388</v>
      </c>
      <c r="C123" s="71" t="str">
        <f>IFERROR(__xludf.DUMMYFUNCTION("GOOGLETRANSLATE(B123,""en"",""ar"")"),"انقر هنا للخروج")</f>
        <v>انقر هنا للخروج</v>
      </c>
      <c r="D123" s="71" t="str">
        <f>IFERROR(__xludf.DUMMYFUNCTION("GOOGLETRANSLATE(B123,""en"",""cs"")"),"Klepnutím sem odejdete")</f>
        <v>Klepnutím sem odejdete</v>
      </c>
      <c r="E123" s="71" t="str">
        <f>IFERROR(__xludf.DUMMYFUNCTION("GOOGLETRANSLATE(B123,""en"",""de"")"),"Tippen Sie hier, um den Vorgang zu beenden")</f>
        <v>Tippen Sie hier, um den Vorgang zu beenden</v>
      </c>
      <c r="F123" s="71" t="str">
        <f>IFERROR(__xludf.DUMMYFUNCTION("GOOGLETRANSLATE(B123,""en"",""el"")"),"Πατήστε εδώ για έξοδο")</f>
        <v>Πατήστε εδώ για έξοδο</v>
      </c>
      <c r="G123" s="71" t="str">
        <f>IFERROR(__xludf.DUMMYFUNCTION("GOOGLETRANSLATE(B123,""en"",""es"")"),"Toque aquí para salir")</f>
        <v>Toque aquí para salir</v>
      </c>
      <c r="H123" s="71" t="str">
        <f>IFERROR(__xludf.DUMMYFUNCTION("GOOGLETRANSLATE(B123,""en"",""et"")"),"Väljumiseks puudutage siin")</f>
        <v>Väljumiseks puudutage siin</v>
      </c>
      <c r="I123" s="71" t="str">
        <f>IFERROR(__xludf.DUMMYFUNCTION("GOOGLETRANSLATE(B123,""en"",""fi"")"),"Poistu napauttamalla tätä")</f>
        <v>Poistu napauttamalla tätä</v>
      </c>
      <c r="J123" s="71" t="str">
        <f>IFERROR(__xludf.DUMMYFUNCTION("GOOGLETRANSLATE(B123,""en"",""fr"")"),"Appuyez ici pour quitter")</f>
        <v>Appuyez ici pour quitter</v>
      </c>
      <c r="K123" s="71" t="str">
        <f>IFERROR(__xludf.DUMMYFUNCTION("GOOGLETRANSLATE(B123,""en"",""hi"")"),"बाहर निकलने के लिए यहां टैप करें")</f>
        <v>बाहर निकलने के लिए यहां टैप करें</v>
      </c>
      <c r="L123" s="71" t="str">
        <f>IFERROR(__xludf.DUMMYFUNCTION("GOOGLETRANSLATE(B123,""en"",""id"")"),"Ketuk di sini untuk keluar")</f>
        <v>Ketuk di sini untuk keluar</v>
      </c>
      <c r="M123" s="71" t="str">
        <f>IFERROR(__xludf.DUMMYFUNCTION("GOOGLETRANSLATE(B123,""en"",""it"")"),"Tocca qui per uscire")</f>
        <v>Tocca qui per uscire</v>
      </c>
      <c r="N123" s="71" t="str">
        <f>IFERROR(__xludf.DUMMYFUNCTION("GOOGLETRANSLATE(B123,""en"",""ja"")"),"ここをタップして終了します")</f>
        <v>ここをタップして終了します</v>
      </c>
      <c r="O123" s="71" t="str">
        <f>IFERROR(__xludf.DUMMYFUNCTION("GOOGLETRANSLATE(B123,""en"",""km"")"),"ចុចទីនេះដើម្បីចេញ")</f>
        <v>ចុចទីនេះដើម្បីចេញ</v>
      </c>
      <c r="P123" s="71" t="str">
        <f>IFERROR(__xludf.DUMMYFUNCTION("GOOGLETRANSLATE(B123,""en"",""kn"")"),"ನಿರ್ಗಮಿಸಲು ಇಲ್ಲಿ ಟ್ಯಾಪ್ ಮಾಡಿ")</f>
        <v>ನಿರ್ಗಮಿಸಲು ಇಲ್ಲಿ ಟ್ಯಾಪ್ ಮಾಡಿ</v>
      </c>
      <c r="Q123" s="71" t="str">
        <f>IFERROR(__xludf.DUMMYFUNCTION("GOOGLETRANSLATE(B123,""en"",""ko"")"),"종료하려면 여기를 탭하세요.")</f>
        <v>종료하려면 여기를 탭하세요.</v>
      </c>
      <c r="R123" s="71" t="str">
        <f>IFERROR(__xludf.DUMMYFUNCTION("GOOGLETRANSLATE(B123,""en"",""lo"")"),"ແຕະບ່ອນນີ້ເພື່ອອອກ")</f>
        <v>ແຕະບ່ອນນີ້ເພື່ອອອກ</v>
      </c>
      <c r="S123" s="71" t="str">
        <f>IFERROR(__xludf.DUMMYFUNCTION("GOOGLETRANSLATE(B123,""en"",""lv"")"),"Pieskarieties šeit, lai izietu")</f>
        <v>Pieskarieties šeit, lai izietu</v>
      </c>
      <c r="T123" s="71" t="str">
        <f>IFERROR(__xludf.DUMMYFUNCTION("GOOGLETRANSLATE(B123,""en"",""ms"")"),"Ketik di sini untuk keluar")</f>
        <v>Ketik di sini untuk keluar</v>
      </c>
      <c r="U123" s="71" t="str">
        <f>IFERROR(__xludf.DUMMYFUNCTION("GOOGLETRANSLATE(B123,""en"",""nl"")"),"Tik hier om af te sluiten")</f>
        <v>Tik hier om af te sluiten</v>
      </c>
      <c r="V123" s="71" t="str">
        <f>IFERROR(__xludf.DUMMYFUNCTION("GOOGLETRANSLATE(B123,""en"",""pl"")"),"Kliknij tutaj, aby wyjść")</f>
        <v>Kliknij tutaj, aby wyjść</v>
      </c>
      <c r="W123" s="71" t="str">
        <f>IFERROR(__xludf.DUMMYFUNCTION("GOOGLETRANSLATE(B123,""en"",""pt-PT"")"),"Toque aqui para sair")</f>
        <v>Toque aqui para sair</v>
      </c>
      <c r="X123" s="71" t="str">
        <f>IFERROR(__xludf.DUMMYFUNCTION("GOOGLETRANSLATE(B123,""en"",""ru"")"),"Нажмите здесь, чтобы выйти")</f>
        <v>Нажмите здесь, чтобы выйти</v>
      </c>
      <c r="Y123" s="71" t="str">
        <f>IFERROR(__xludf.DUMMYFUNCTION("GOOGLETRANSLATE(B123,""en"",""th"")"),"แตะที่นี่เพื่อออก")</f>
        <v>แตะที่นี่เพื่อออก</v>
      </c>
      <c r="Z123" s="71" t="str">
        <f>IFERROR(__xludf.DUMMYFUNCTION("GOOGLETRANSLATE(B123,""en"",""tr"")"),"Çıkmak için buraya dokunun")</f>
        <v>Çıkmak için buraya dokunun</v>
      </c>
      <c r="AA123" s="71" t="str">
        <f>IFERROR(__xludf.DUMMYFUNCTION("GOOGLETRANSLATE(B123,""en"",""uk"")"),"Натисніть тут, щоб вийти")</f>
        <v>Натисніть тут, щоб вийти</v>
      </c>
      <c r="AB123" s="71" t="str">
        <f>IFERROR(__xludf.DUMMYFUNCTION("GOOGLETRANSLATE(B123,""en"",""zh-CN"")"),"点击此处退出")</f>
        <v>点击此处退出</v>
      </c>
      <c r="AC123" s="71" t="str">
        <f>IFERROR(__xludf.DUMMYFUNCTION("GOOGLETRANSLATE(B123,""en"",""vi"")"),"Nhấn vào đây để thoát")</f>
        <v>Nhấn vào đây để thoát</v>
      </c>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c r="BK123" s="75"/>
      <c r="BL123" s="75"/>
      <c r="BM123" s="75"/>
    </row>
    <row r="124">
      <c r="A124" s="75"/>
      <c r="B124" s="75"/>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5"/>
      <c r="AE124" s="75"/>
      <c r="AF124" s="75"/>
      <c r="AG124" s="75"/>
      <c r="AH124" s="75"/>
      <c r="AI124" s="75"/>
      <c r="AJ124" s="75"/>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c r="BK124" s="75"/>
      <c r="BL124" s="75"/>
      <c r="BM124" s="75"/>
    </row>
    <row r="125">
      <c r="A125" s="75"/>
      <c r="B125" s="75"/>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1"/>
      <c r="AB125" s="71"/>
      <c r="AC125" s="71"/>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c r="BK125" s="75"/>
      <c r="BL125" s="75"/>
      <c r="BM125" s="75"/>
    </row>
    <row r="126">
      <c r="A126" s="75"/>
      <c r="B126" s="75"/>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c r="AC126" s="71"/>
      <c r="AD126" s="75"/>
      <c r="AE126" s="75"/>
      <c r="AF126" s="75"/>
      <c r="AG126" s="75"/>
      <c r="AH126" s="75"/>
      <c r="AI126" s="75"/>
      <c r="AJ126" s="75"/>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c r="BK126" s="75"/>
      <c r="BL126" s="75"/>
      <c r="BM126" s="75"/>
    </row>
    <row r="127">
      <c r="A127" s="75"/>
      <c r="B127" s="75"/>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c r="BK127" s="75"/>
      <c r="BL127" s="75"/>
      <c r="BM127" s="75"/>
    </row>
    <row r="128">
      <c r="A128" s="75"/>
      <c r="B128" s="75"/>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5"/>
      <c r="AE128" s="75"/>
      <c r="AF128" s="75"/>
      <c r="AG128" s="75"/>
      <c r="AH128" s="75"/>
      <c r="AI128" s="75"/>
      <c r="AJ128" s="75"/>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c r="BK128" s="75"/>
      <c r="BL128" s="75"/>
      <c r="BM128" s="75"/>
    </row>
    <row r="129">
      <c r="A129" s="75"/>
      <c r="B129" s="75"/>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5"/>
      <c r="AE129" s="75"/>
      <c r="AF129" s="75"/>
      <c r="AG129" s="75"/>
      <c r="AH129" s="75"/>
      <c r="AI129" s="75"/>
      <c r="AJ129" s="75"/>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c r="BK129" s="75"/>
      <c r="BL129" s="75"/>
      <c r="BM129" s="75"/>
    </row>
    <row r="130">
      <c r="A130" s="75"/>
      <c r="B130" s="7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5"/>
      <c r="AE130" s="75"/>
      <c r="AF130" s="75"/>
      <c r="AG130" s="75"/>
      <c r="AH130" s="75"/>
      <c r="AI130" s="75"/>
      <c r="AJ130" s="75"/>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c r="BK130" s="75"/>
      <c r="BL130" s="75"/>
      <c r="BM130" s="75"/>
    </row>
    <row r="131">
      <c r="A131" s="75"/>
      <c r="B131" s="75"/>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5"/>
      <c r="AE131" s="75"/>
      <c r="AF131" s="75"/>
      <c r="AG131" s="75"/>
      <c r="AH131" s="75"/>
      <c r="AI131" s="75"/>
      <c r="AJ131" s="75"/>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c r="BK131" s="75"/>
      <c r="BL131" s="75"/>
      <c r="BM131" s="75"/>
    </row>
    <row r="132">
      <c r="A132" s="75"/>
      <c r="B132" s="75"/>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5"/>
      <c r="AE132" s="75"/>
      <c r="AF132" s="75"/>
      <c r="AG132" s="75"/>
      <c r="AH132" s="75"/>
      <c r="AI132" s="75"/>
      <c r="AJ132" s="75"/>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c r="BK132" s="75"/>
      <c r="BL132" s="75"/>
      <c r="BM132" s="75"/>
    </row>
    <row r="133">
      <c r="A133" s="75"/>
      <c r="B133" s="75"/>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5"/>
      <c r="AE133" s="75"/>
      <c r="AF133" s="75"/>
      <c r="AG133" s="75"/>
      <c r="AH133" s="75"/>
      <c r="AI133" s="75"/>
      <c r="AJ133" s="75"/>
      <c r="AK133" s="75"/>
      <c r="AL133" s="75"/>
      <c r="AM133" s="75"/>
      <c r="AN133" s="75"/>
      <c r="AO133" s="75"/>
      <c r="AP133" s="75"/>
      <c r="AQ133" s="75"/>
      <c r="AR133" s="75"/>
      <c r="AS133" s="75"/>
      <c r="AT133" s="75"/>
      <c r="AU133" s="75"/>
      <c r="AV133" s="75"/>
      <c r="AW133" s="75"/>
      <c r="AX133" s="75"/>
      <c r="AY133" s="75"/>
      <c r="AZ133" s="75"/>
      <c r="BA133" s="75"/>
      <c r="BB133" s="75"/>
      <c r="BC133" s="75"/>
      <c r="BD133" s="75"/>
      <c r="BE133" s="75"/>
      <c r="BF133" s="75"/>
      <c r="BG133" s="75"/>
      <c r="BH133" s="75"/>
      <c r="BI133" s="75"/>
      <c r="BJ133" s="75"/>
      <c r="BK133" s="75"/>
      <c r="BL133" s="75"/>
      <c r="BM133" s="75"/>
    </row>
    <row r="134">
      <c r="A134" s="75"/>
      <c r="B134" s="7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5"/>
      <c r="BF134" s="75"/>
      <c r="BG134" s="75"/>
      <c r="BH134" s="75"/>
      <c r="BI134" s="75"/>
      <c r="BJ134" s="75"/>
      <c r="BK134" s="75"/>
      <c r="BL134" s="75"/>
      <c r="BM134" s="75"/>
    </row>
    <row r="135">
      <c r="A135" s="75"/>
      <c r="B135" s="75"/>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row>
    <row r="136">
      <c r="A136" s="75"/>
      <c r="B136" s="75"/>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5"/>
      <c r="AE136" s="75"/>
      <c r="AF136" s="75"/>
      <c r="AG136" s="75"/>
      <c r="AH136" s="75"/>
      <c r="AI136" s="75"/>
      <c r="AJ136" s="75"/>
      <c r="AK136" s="75"/>
      <c r="AL136" s="75"/>
      <c r="AM136" s="75"/>
      <c r="AN136" s="75"/>
      <c r="AO136" s="75"/>
      <c r="AP136" s="75"/>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row>
    <row r="137">
      <c r="A137" s="75"/>
      <c r="B137" s="75"/>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row>
    <row r="138">
      <c r="A138" s="75"/>
      <c r="B138" s="75"/>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5"/>
      <c r="AE138" s="75"/>
      <c r="AF138" s="75"/>
      <c r="AG138" s="75"/>
      <c r="AH138" s="75"/>
      <c r="AI138" s="75"/>
      <c r="AJ138" s="75"/>
      <c r="AK138" s="75"/>
      <c r="AL138" s="75"/>
      <c r="AM138" s="75"/>
      <c r="AN138" s="75"/>
      <c r="AO138" s="75"/>
      <c r="AP138" s="75"/>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row>
    <row r="139">
      <c r="A139" s="75"/>
      <c r="B139" s="7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5"/>
      <c r="AE139" s="75"/>
      <c r="AF139" s="75"/>
      <c r="AG139" s="75"/>
      <c r="AH139" s="75"/>
      <c r="AI139" s="75"/>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row>
    <row r="140">
      <c r="A140" s="75"/>
      <c r="B140" s="75"/>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5"/>
      <c r="AE140" s="75"/>
      <c r="AF140" s="75"/>
      <c r="AG140" s="75"/>
      <c r="AH140" s="75"/>
      <c r="AI140" s="75"/>
      <c r="AJ140" s="75"/>
      <c r="AK140" s="75"/>
      <c r="AL140" s="75"/>
      <c r="AM140" s="75"/>
      <c r="AN140" s="75"/>
      <c r="AO140" s="75"/>
      <c r="AP140" s="75"/>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row>
    <row r="141">
      <c r="A141" s="75"/>
      <c r="B141" s="7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5"/>
      <c r="AE141" s="75"/>
      <c r="AF141" s="75"/>
      <c r="AG141" s="75"/>
      <c r="AH141" s="75"/>
      <c r="AI141" s="75"/>
      <c r="AJ141" s="75"/>
      <c r="AK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row>
    <row r="142">
      <c r="A142" s="75"/>
      <c r="B142" s="75"/>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5"/>
      <c r="AE142" s="75"/>
      <c r="AF142" s="75"/>
      <c r="AG142" s="75"/>
      <c r="AH142" s="75"/>
      <c r="AI142" s="75"/>
      <c r="AJ142" s="75"/>
      <c r="AK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row>
    <row r="143">
      <c r="A143" s="75"/>
      <c r="B143" s="75"/>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row>
    <row r="144">
      <c r="A144" s="75"/>
      <c r="B144" s="75"/>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row>
    <row r="145">
      <c r="A145" s="75"/>
      <c r="B145" s="75"/>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row>
    <row r="146">
      <c r="A146" s="75"/>
      <c r="B146" s="75"/>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5"/>
      <c r="BF146" s="75"/>
      <c r="BG146" s="75"/>
      <c r="BH146" s="75"/>
      <c r="BI146" s="75"/>
      <c r="BJ146" s="75"/>
      <c r="BK146" s="75"/>
      <c r="BL146" s="75"/>
      <c r="BM146" s="75"/>
    </row>
    <row r="147">
      <c r="A147" s="75"/>
      <c r="B147" s="75"/>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5"/>
      <c r="BF147" s="75"/>
      <c r="BG147" s="75"/>
      <c r="BH147" s="75"/>
      <c r="BI147" s="75"/>
      <c r="BJ147" s="75"/>
      <c r="BK147" s="75"/>
      <c r="BL147" s="75"/>
      <c r="BM147" s="75"/>
    </row>
    <row r="148">
      <c r="A148" s="75"/>
      <c r="B148" s="75"/>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5"/>
      <c r="BF148" s="75"/>
      <c r="BG148" s="75"/>
      <c r="BH148" s="75"/>
      <c r="BI148" s="75"/>
      <c r="BJ148" s="75"/>
      <c r="BK148" s="75"/>
      <c r="BL148" s="75"/>
      <c r="BM148" s="75"/>
    </row>
    <row r="149">
      <c r="A149" s="75"/>
      <c r="B149" s="75"/>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5"/>
      <c r="BF149" s="75"/>
      <c r="BG149" s="75"/>
      <c r="BH149" s="75"/>
      <c r="BI149" s="75"/>
      <c r="BJ149" s="75"/>
      <c r="BK149" s="75"/>
      <c r="BL149" s="75"/>
      <c r="BM149" s="75"/>
    </row>
    <row r="150">
      <c r="A150" s="75"/>
      <c r="B150" s="75"/>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5"/>
      <c r="BF150" s="75"/>
      <c r="BG150" s="75"/>
      <c r="BH150" s="75"/>
      <c r="BI150" s="75"/>
      <c r="BJ150" s="75"/>
      <c r="BK150" s="75"/>
      <c r="BL150" s="75"/>
      <c r="BM150" s="75"/>
    </row>
    <row r="151">
      <c r="A151" s="75"/>
      <c r="B151" s="75"/>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5"/>
      <c r="AE151" s="75"/>
      <c r="AF151" s="75"/>
      <c r="AG151" s="75"/>
      <c r="AH151" s="75"/>
      <c r="AI151" s="75"/>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5"/>
      <c r="BF151" s="75"/>
      <c r="BG151" s="75"/>
      <c r="BH151" s="75"/>
      <c r="BI151" s="75"/>
      <c r="BJ151" s="75"/>
      <c r="BK151" s="75"/>
      <c r="BL151" s="75"/>
      <c r="BM151" s="75"/>
    </row>
    <row r="152">
      <c r="A152" s="75"/>
      <c r="B152" s="75"/>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5"/>
      <c r="BF152" s="75"/>
      <c r="BG152" s="75"/>
      <c r="BH152" s="75"/>
      <c r="BI152" s="75"/>
      <c r="BJ152" s="75"/>
      <c r="BK152" s="75"/>
      <c r="BL152" s="75"/>
      <c r="BM152" s="75"/>
    </row>
    <row r="153">
      <c r="A153" s="75"/>
      <c r="B153" s="75"/>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5"/>
      <c r="BF153" s="75"/>
      <c r="BG153" s="75"/>
      <c r="BH153" s="75"/>
      <c r="BI153" s="75"/>
      <c r="BJ153" s="75"/>
      <c r="BK153" s="75"/>
      <c r="BL153" s="75"/>
      <c r="BM153" s="75"/>
    </row>
    <row r="154">
      <c r="A154" s="75"/>
      <c r="B154" s="75"/>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c r="BH154" s="75"/>
      <c r="BI154" s="75"/>
      <c r="BJ154" s="75"/>
      <c r="BK154" s="75"/>
      <c r="BL154" s="75"/>
      <c r="BM154" s="75"/>
    </row>
    <row r="155">
      <c r="A155" s="75"/>
      <c r="B155" s="75"/>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5"/>
      <c r="BF155" s="75"/>
      <c r="BG155" s="75"/>
      <c r="BH155" s="75"/>
      <c r="BI155" s="75"/>
      <c r="BJ155" s="75"/>
      <c r="BK155" s="75"/>
      <c r="BL155" s="75"/>
      <c r="BM155" s="75"/>
    </row>
    <row r="156">
      <c r="A156" s="75"/>
      <c r="B156" s="75"/>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c r="BH156" s="75"/>
      <c r="BI156" s="75"/>
      <c r="BJ156" s="75"/>
      <c r="BK156" s="75"/>
      <c r="BL156" s="75"/>
      <c r="BM156" s="75"/>
    </row>
    <row r="157">
      <c r="A157" s="75"/>
      <c r="B157" s="75"/>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5"/>
      <c r="AE157" s="75"/>
      <c r="AF157" s="75"/>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c r="BG157" s="75"/>
      <c r="BH157" s="75"/>
      <c r="BI157" s="75"/>
      <c r="BJ157" s="75"/>
      <c r="BK157" s="75"/>
      <c r="BL157" s="75"/>
      <c r="BM157" s="75"/>
    </row>
    <row r="158">
      <c r="A158" s="75"/>
      <c r="B158" s="75"/>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c r="BH158" s="75"/>
      <c r="BI158" s="75"/>
      <c r="BJ158" s="75"/>
      <c r="BK158" s="75"/>
      <c r="BL158" s="75"/>
      <c r="BM158" s="75"/>
    </row>
    <row r="159">
      <c r="A159" s="75"/>
      <c r="B159" s="75"/>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5"/>
      <c r="AE159" s="75"/>
      <c r="AF159" s="75"/>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c r="BG159" s="75"/>
      <c r="BH159" s="75"/>
      <c r="BI159" s="75"/>
      <c r="BJ159" s="75"/>
      <c r="BK159" s="75"/>
      <c r="BL159" s="75"/>
      <c r="BM159" s="75"/>
    </row>
    <row r="160">
      <c r="A160" s="75"/>
      <c r="B160" s="75"/>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5"/>
      <c r="AE160" s="75"/>
      <c r="AF160" s="75"/>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c r="BG160" s="75"/>
      <c r="BH160" s="75"/>
      <c r="BI160" s="75"/>
      <c r="BJ160" s="75"/>
      <c r="BK160" s="75"/>
      <c r="BL160" s="75"/>
      <c r="BM160" s="75"/>
    </row>
    <row r="161">
      <c r="A161" s="75"/>
      <c r="B161" s="75"/>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5"/>
      <c r="AE161" s="75"/>
      <c r="AF161" s="75"/>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c r="BG161" s="75"/>
      <c r="BH161" s="75"/>
      <c r="BI161" s="75"/>
      <c r="BJ161" s="75"/>
      <c r="BK161" s="75"/>
      <c r="BL161" s="75"/>
      <c r="BM161" s="75"/>
    </row>
    <row r="162">
      <c r="A162" s="75"/>
      <c r="B162" s="75"/>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c r="BG162" s="75"/>
      <c r="BH162" s="75"/>
      <c r="BI162" s="75"/>
      <c r="BJ162" s="75"/>
      <c r="BK162" s="75"/>
      <c r="BL162" s="75"/>
      <c r="BM162" s="75"/>
    </row>
    <row r="163">
      <c r="A163" s="75"/>
      <c r="B163" s="75"/>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c r="BH163" s="75"/>
      <c r="BI163" s="75"/>
      <c r="BJ163" s="75"/>
      <c r="BK163" s="75"/>
      <c r="BL163" s="75"/>
      <c r="BM163" s="75"/>
    </row>
    <row r="164">
      <c r="A164" s="75"/>
      <c r="B164" s="75"/>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c r="BH164" s="75"/>
      <c r="BI164" s="75"/>
      <c r="BJ164" s="75"/>
      <c r="BK164" s="75"/>
      <c r="BL164" s="75"/>
      <c r="BM164" s="75"/>
    </row>
    <row r="165">
      <c r="A165" s="75"/>
      <c r="B165" s="75"/>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c r="BH165" s="75"/>
      <c r="BI165" s="75"/>
      <c r="BJ165" s="75"/>
      <c r="BK165" s="75"/>
      <c r="BL165" s="75"/>
      <c r="BM165" s="75"/>
    </row>
    <row r="166">
      <c r="A166" s="75"/>
      <c r="B166" s="75"/>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5"/>
      <c r="AE166" s="75"/>
      <c r="AF166" s="75"/>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c r="BG166" s="75"/>
      <c r="BH166" s="75"/>
      <c r="BI166" s="75"/>
      <c r="BJ166" s="75"/>
      <c r="BK166" s="75"/>
      <c r="BL166" s="75"/>
      <c r="BM166" s="75"/>
    </row>
    <row r="167">
      <c r="A167" s="75"/>
      <c r="B167" s="75"/>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5"/>
      <c r="AE167" s="75"/>
      <c r="AF167" s="75"/>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c r="BG167" s="75"/>
      <c r="BH167" s="75"/>
      <c r="BI167" s="75"/>
      <c r="BJ167" s="75"/>
      <c r="BK167" s="75"/>
      <c r="BL167" s="75"/>
      <c r="BM167" s="75"/>
    </row>
    <row r="168">
      <c r="A168" s="75"/>
      <c r="B168" s="75"/>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5"/>
      <c r="AE168" s="75"/>
      <c r="AF168" s="75"/>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c r="BG168" s="75"/>
      <c r="BH168" s="75"/>
      <c r="BI168" s="75"/>
      <c r="BJ168" s="75"/>
      <c r="BK168" s="75"/>
      <c r="BL168" s="75"/>
      <c r="BM168" s="75"/>
    </row>
    <row r="169">
      <c r="A169" s="75"/>
      <c r="B169" s="75"/>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5"/>
      <c r="AE169" s="75"/>
      <c r="AF169" s="75"/>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c r="BG169" s="75"/>
      <c r="BH169" s="75"/>
      <c r="BI169" s="75"/>
      <c r="BJ169" s="75"/>
      <c r="BK169" s="75"/>
      <c r="BL169" s="75"/>
      <c r="BM169" s="75"/>
    </row>
    <row r="170">
      <c r="A170" s="75"/>
      <c r="B170" s="7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row>
    <row r="171">
      <c r="A171" s="75"/>
      <c r="B171" s="75"/>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5"/>
      <c r="AE171" s="75"/>
      <c r="AF171" s="75"/>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c r="BG171" s="75"/>
      <c r="BH171" s="75"/>
      <c r="BI171" s="75"/>
      <c r="BJ171" s="75"/>
      <c r="BK171" s="75"/>
      <c r="BL171" s="75"/>
      <c r="BM171" s="75"/>
    </row>
    <row r="172">
      <c r="A172" s="75"/>
      <c r="B172" s="7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5"/>
      <c r="AE172" s="75"/>
      <c r="AF172" s="75"/>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c r="BG172" s="75"/>
      <c r="BH172" s="75"/>
      <c r="BI172" s="75"/>
      <c r="BJ172" s="75"/>
      <c r="BK172" s="75"/>
      <c r="BL172" s="75"/>
      <c r="BM172" s="75"/>
    </row>
    <row r="173">
      <c r="A173" s="75"/>
      <c r="B173" s="75"/>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c r="BG173" s="75"/>
      <c r="BH173" s="75"/>
      <c r="BI173" s="75"/>
      <c r="BJ173" s="75"/>
      <c r="BK173" s="75"/>
      <c r="BL173" s="75"/>
      <c r="BM173" s="75"/>
    </row>
    <row r="174">
      <c r="A174" s="75"/>
      <c r="B174" s="7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5"/>
      <c r="AE174" s="75"/>
      <c r="AF174" s="75"/>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c r="BG174" s="75"/>
      <c r="BH174" s="75"/>
      <c r="BI174" s="75"/>
      <c r="BJ174" s="75"/>
      <c r="BK174" s="75"/>
      <c r="BL174" s="75"/>
      <c r="BM174" s="75"/>
    </row>
    <row r="175">
      <c r="A175" s="75"/>
      <c r="B175" s="75"/>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5"/>
      <c r="AE175" s="75"/>
      <c r="AF175" s="75"/>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c r="BG175" s="75"/>
      <c r="BH175" s="75"/>
      <c r="BI175" s="75"/>
      <c r="BJ175" s="75"/>
      <c r="BK175" s="75"/>
      <c r="BL175" s="75"/>
      <c r="BM175" s="75"/>
    </row>
    <row r="176">
      <c r="A176" s="75"/>
      <c r="B176" s="75"/>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c r="BG176" s="75"/>
      <c r="BH176" s="75"/>
      <c r="BI176" s="75"/>
      <c r="BJ176" s="75"/>
      <c r="BK176" s="75"/>
      <c r="BL176" s="75"/>
      <c r="BM176" s="75"/>
    </row>
    <row r="177">
      <c r="A177" s="75"/>
      <c r="B177" s="75"/>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5"/>
      <c r="AE177" s="75"/>
      <c r="AF177" s="75"/>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c r="BG177" s="75"/>
      <c r="BH177" s="75"/>
      <c r="BI177" s="75"/>
      <c r="BJ177" s="75"/>
      <c r="BK177" s="75"/>
      <c r="BL177" s="75"/>
      <c r="BM177" s="75"/>
    </row>
    <row r="178">
      <c r="A178" s="75"/>
      <c r="B178" s="75"/>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5"/>
      <c r="AE178" s="75"/>
      <c r="AF178" s="75"/>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c r="BG178" s="75"/>
      <c r="BH178" s="75"/>
      <c r="BI178" s="75"/>
      <c r="BJ178" s="75"/>
      <c r="BK178" s="75"/>
      <c r="BL178" s="75"/>
      <c r="BM178" s="75"/>
    </row>
    <row r="179">
      <c r="A179" s="75"/>
      <c r="B179" s="75"/>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c r="BG179" s="75"/>
      <c r="BH179" s="75"/>
      <c r="BI179" s="75"/>
      <c r="BJ179" s="75"/>
      <c r="BK179" s="75"/>
      <c r="BL179" s="75"/>
      <c r="BM179" s="75"/>
    </row>
    <row r="180">
      <c r="A180" s="75"/>
      <c r="B180" s="75"/>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5"/>
      <c r="AE180" s="75"/>
      <c r="AF180" s="75"/>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c r="BG180" s="75"/>
      <c r="BH180" s="75"/>
      <c r="BI180" s="75"/>
      <c r="BJ180" s="75"/>
      <c r="BK180" s="75"/>
      <c r="BL180" s="75"/>
      <c r="BM180" s="75"/>
    </row>
    <row r="181">
      <c r="A181" s="75"/>
      <c r="B181" s="75"/>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c r="BG181" s="75"/>
      <c r="BH181" s="75"/>
      <c r="BI181" s="75"/>
      <c r="BJ181" s="75"/>
      <c r="BK181" s="75"/>
      <c r="BL181" s="75"/>
      <c r="BM181" s="75"/>
    </row>
    <row r="182">
      <c r="A182" s="75"/>
      <c r="B182" s="75"/>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c r="BG182" s="75"/>
      <c r="BH182" s="75"/>
      <c r="BI182" s="75"/>
      <c r="BJ182" s="75"/>
      <c r="BK182" s="75"/>
      <c r="BL182" s="75"/>
      <c r="BM182" s="75"/>
    </row>
    <row r="183">
      <c r="A183" s="75"/>
      <c r="B183" s="75"/>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5"/>
      <c r="AE183" s="75"/>
      <c r="AF183" s="75"/>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c r="BG183" s="75"/>
      <c r="BH183" s="75"/>
      <c r="BI183" s="75"/>
      <c r="BJ183" s="75"/>
      <c r="BK183" s="75"/>
      <c r="BL183" s="75"/>
      <c r="BM183" s="75"/>
    </row>
    <row r="184">
      <c r="A184" s="75"/>
      <c r="B184" s="75"/>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c r="BG184" s="75"/>
      <c r="BH184" s="75"/>
      <c r="BI184" s="75"/>
      <c r="BJ184" s="75"/>
      <c r="BK184" s="75"/>
      <c r="BL184" s="75"/>
      <c r="BM184" s="75"/>
    </row>
    <row r="185">
      <c r="A185" s="75"/>
      <c r="B185" s="75"/>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c r="BG185" s="75"/>
      <c r="BH185" s="75"/>
      <c r="BI185" s="75"/>
      <c r="BJ185" s="75"/>
      <c r="BK185" s="75"/>
      <c r="BL185" s="75"/>
      <c r="BM185" s="75"/>
    </row>
    <row r="186">
      <c r="A186" s="75"/>
      <c r="B186" s="75"/>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c r="BG186" s="75"/>
      <c r="BH186" s="75"/>
      <c r="BI186" s="75"/>
      <c r="BJ186" s="75"/>
      <c r="BK186" s="75"/>
      <c r="BL186" s="75"/>
      <c r="BM186" s="75"/>
    </row>
    <row r="187">
      <c r="A187" s="75"/>
      <c r="B187" s="75"/>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c r="BG187" s="75"/>
      <c r="BH187" s="75"/>
      <c r="BI187" s="75"/>
      <c r="BJ187" s="75"/>
      <c r="BK187" s="75"/>
      <c r="BL187" s="75"/>
      <c r="BM187" s="75"/>
    </row>
    <row r="188">
      <c r="A188" s="75"/>
      <c r="B188" s="75"/>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c r="BG188" s="75"/>
      <c r="BH188" s="75"/>
      <c r="BI188" s="75"/>
      <c r="BJ188" s="75"/>
      <c r="BK188" s="75"/>
      <c r="BL188" s="75"/>
      <c r="BM188" s="75"/>
    </row>
    <row r="189">
      <c r="A189" s="75"/>
      <c r="B189" s="75"/>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c r="BG189" s="75"/>
      <c r="BH189" s="75"/>
      <c r="BI189" s="75"/>
      <c r="BJ189" s="75"/>
      <c r="BK189" s="75"/>
      <c r="BL189" s="75"/>
      <c r="BM189" s="75"/>
    </row>
    <row r="190">
      <c r="A190" s="75"/>
      <c r="B190" s="75"/>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c r="BG190" s="75"/>
      <c r="BH190" s="75"/>
      <c r="BI190" s="75"/>
      <c r="BJ190" s="75"/>
      <c r="BK190" s="75"/>
      <c r="BL190" s="75"/>
      <c r="BM190" s="75"/>
    </row>
    <row r="191">
      <c r="A191" s="75"/>
      <c r="B191" s="75"/>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c r="BG191" s="75"/>
      <c r="BH191" s="75"/>
      <c r="BI191" s="75"/>
      <c r="BJ191" s="75"/>
      <c r="BK191" s="75"/>
      <c r="BL191" s="75"/>
      <c r="BM191" s="75"/>
    </row>
    <row r="192">
      <c r="A192" s="75"/>
      <c r="B192" s="7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5"/>
      <c r="AE192" s="75"/>
      <c r="AF192" s="75"/>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c r="BG192" s="75"/>
      <c r="BH192" s="75"/>
      <c r="BI192" s="75"/>
      <c r="BJ192" s="75"/>
      <c r="BK192" s="75"/>
      <c r="BL192" s="75"/>
      <c r="BM192" s="75"/>
    </row>
    <row r="193">
      <c r="A193" s="75"/>
      <c r="B193" s="75"/>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c r="BG193" s="75"/>
      <c r="BH193" s="75"/>
      <c r="BI193" s="75"/>
      <c r="BJ193" s="75"/>
      <c r="BK193" s="75"/>
      <c r="BL193" s="75"/>
      <c r="BM193" s="75"/>
    </row>
    <row r="194">
      <c r="A194" s="75"/>
      <c r="B194" s="75"/>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5"/>
      <c r="AE194" s="75"/>
      <c r="AF194" s="75"/>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c r="BG194" s="75"/>
      <c r="BH194" s="75"/>
      <c r="BI194" s="75"/>
      <c r="BJ194" s="75"/>
      <c r="BK194" s="75"/>
      <c r="BL194" s="75"/>
      <c r="BM194" s="75"/>
    </row>
    <row r="195">
      <c r="A195" s="75"/>
      <c r="B195" s="75"/>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5"/>
      <c r="AE195" s="75"/>
      <c r="AF195" s="75"/>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c r="BG195" s="75"/>
      <c r="BH195" s="75"/>
      <c r="BI195" s="75"/>
      <c r="BJ195" s="75"/>
      <c r="BK195" s="75"/>
      <c r="BL195" s="75"/>
      <c r="BM195" s="75"/>
    </row>
    <row r="196">
      <c r="A196" s="75"/>
      <c r="B196" s="75"/>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5"/>
      <c r="AE196" s="75"/>
      <c r="AF196" s="75"/>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c r="BG196" s="75"/>
      <c r="BH196" s="75"/>
      <c r="BI196" s="75"/>
      <c r="BJ196" s="75"/>
      <c r="BK196" s="75"/>
      <c r="BL196" s="75"/>
      <c r="BM196" s="75"/>
    </row>
    <row r="197">
      <c r="A197" s="75"/>
      <c r="B197" s="75"/>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c r="BG197" s="75"/>
      <c r="BH197" s="75"/>
      <c r="BI197" s="75"/>
      <c r="BJ197" s="75"/>
      <c r="BK197" s="75"/>
      <c r="BL197" s="75"/>
      <c r="BM197" s="75"/>
    </row>
    <row r="198">
      <c r="A198" s="75"/>
      <c r="B198" s="75"/>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5"/>
      <c r="AE198" s="75"/>
      <c r="AF198" s="75"/>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c r="BG198" s="75"/>
      <c r="BH198" s="75"/>
      <c r="BI198" s="75"/>
      <c r="BJ198" s="75"/>
      <c r="BK198" s="75"/>
      <c r="BL198" s="75"/>
      <c r="BM198" s="75"/>
    </row>
    <row r="199">
      <c r="A199" s="75"/>
      <c r="B199" s="75"/>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5"/>
      <c r="AE199" s="75"/>
      <c r="AF199" s="75"/>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c r="BG199" s="75"/>
      <c r="BH199" s="75"/>
      <c r="BI199" s="75"/>
      <c r="BJ199" s="75"/>
      <c r="BK199" s="75"/>
      <c r="BL199" s="75"/>
      <c r="BM199" s="75"/>
    </row>
    <row r="200">
      <c r="A200" s="75"/>
      <c r="B200" s="75"/>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c r="BG200" s="75"/>
      <c r="BH200" s="75"/>
      <c r="BI200" s="75"/>
      <c r="BJ200" s="75"/>
      <c r="BK200" s="75"/>
      <c r="BL200" s="75"/>
      <c r="BM200" s="75"/>
    </row>
    <row r="201">
      <c r="A201" s="75"/>
      <c r="B201" s="75"/>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5"/>
      <c r="AE201" s="75"/>
      <c r="AF201" s="75"/>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c r="BG201" s="75"/>
      <c r="BH201" s="75"/>
      <c r="BI201" s="75"/>
      <c r="BJ201" s="75"/>
      <c r="BK201" s="75"/>
      <c r="BL201" s="75"/>
      <c r="BM201" s="75"/>
    </row>
    <row r="202">
      <c r="A202" s="75"/>
      <c r="B202" s="75"/>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5"/>
      <c r="AE202" s="75"/>
      <c r="AF202" s="75"/>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c r="BG202" s="75"/>
      <c r="BH202" s="75"/>
      <c r="BI202" s="75"/>
      <c r="BJ202" s="75"/>
      <c r="BK202" s="75"/>
      <c r="BL202" s="75"/>
      <c r="BM202" s="75"/>
    </row>
    <row r="203">
      <c r="A203" s="75"/>
      <c r="B203" s="75"/>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c r="BG203" s="75"/>
      <c r="BH203" s="75"/>
      <c r="BI203" s="75"/>
      <c r="BJ203" s="75"/>
      <c r="BK203" s="75"/>
      <c r="BL203" s="75"/>
      <c r="BM203" s="75"/>
    </row>
    <row r="204">
      <c r="A204" s="75"/>
      <c r="B204" s="75"/>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c r="BG204" s="75"/>
      <c r="BH204" s="75"/>
      <c r="BI204" s="75"/>
      <c r="BJ204" s="75"/>
      <c r="BK204" s="75"/>
      <c r="BL204" s="75"/>
      <c r="BM204" s="75"/>
    </row>
    <row r="205">
      <c r="A205" s="75"/>
      <c r="B205" s="75"/>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5"/>
      <c r="AE205" s="75"/>
      <c r="AF205" s="75"/>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c r="BG205" s="75"/>
      <c r="BH205" s="75"/>
      <c r="BI205" s="75"/>
      <c r="BJ205" s="75"/>
      <c r="BK205" s="75"/>
      <c r="BL205" s="75"/>
      <c r="BM205" s="75"/>
    </row>
    <row r="206">
      <c r="A206" s="75"/>
      <c r="B206" s="75"/>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5"/>
      <c r="AE206" s="75"/>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c r="BG206" s="75"/>
      <c r="BH206" s="75"/>
      <c r="BI206" s="75"/>
      <c r="BJ206" s="75"/>
      <c r="BK206" s="75"/>
      <c r="BL206" s="75"/>
      <c r="BM206" s="75"/>
    </row>
    <row r="207">
      <c r="A207" s="75"/>
      <c r="B207" s="75"/>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5"/>
      <c r="AE207" s="75"/>
      <c r="AF207" s="75"/>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c r="BG207" s="75"/>
      <c r="BH207" s="75"/>
      <c r="BI207" s="75"/>
      <c r="BJ207" s="75"/>
      <c r="BK207" s="75"/>
      <c r="BL207" s="75"/>
      <c r="BM207" s="75"/>
    </row>
    <row r="208">
      <c r="A208" s="75"/>
      <c r="B208" s="7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c r="BG208" s="75"/>
      <c r="BH208" s="75"/>
      <c r="BI208" s="75"/>
      <c r="BJ208" s="75"/>
      <c r="BK208" s="75"/>
      <c r="BL208" s="75"/>
      <c r="BM208" s="75"/>
    </row>
    <row r="209">
      <c r="A209" s="75"/>
      <c r="B209" s="75"/>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5"/>
      <c r="AE209" s="75"/>
      <c r="AF209" s="75"/>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row>
    <row r="210">
      <c r="A210" s="75"/>
      <c r="B210" s="7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5"/>
      <c r="AE210" s="75"/>
      <c r="AF210" s="75"/>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c r="BG210" s="75"/>
      <c r="BH210" s="75"/>
      <c r="BI210" s="75"/>
      <c r="BJ210" s="75"/>
      <c r="BK210" s="75"/>
      <c r="BL210" s="75"/>
      <c r="BM210" s="75"/>
    </row>
    <row r="211">
      <c r="A211" s="75"/>
      <c r="B211" s="75"/>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c r="BG211" s="75"/>
      <c r="BH211" s="75"/>
      <c r="BI211" s="75"/>
      <c r="BJ211" s="75"/>
      <c r="BK211" s="75"/>
      <c r="BL211" s="75"/>
      <c r="BM211" s="75"/>
    </row>
    <row r="212">
      <c r="A212" s="75"/>
      <c r="B212" s="75"/>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5"/>
      <c r="AE212" s="75"/>
      <c r="AF212" s="75"/>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c r="BG212" s="75"/>
      <c r="BH212" s="75"/>
      <c r="BI212" s="75"/>
      <c r="BJ212" s="75"/>
      <c r="BK212" s="75"/>
      <c r="BL212" s="75"/>
      <c r="BM212" s="75"/>
    </row>
    <row r="213">
      <c r="A213" s="75"/>
      <c r="B213" s="75"/>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c r="BG213" s="75"/>
      <c r="BH213" s="75"/>
      <c r="BI213" s="75"/>
      <c r="BJ213" s="75"/>
      <c r="BK213" s="75"/>
      <c r="BL213" s="75"/>
      <c r="BM213" s="75"/>
    </row>
    <row r="214">
      <c r="A214" s="75"/>
      <c r="B214" s="75"/>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c r="BG214" s="75"/>
      <c r="BH214" s="75"/>
      <c r="BI214" s="75"/>
      <c r="BJ214" s="75"/>
      <c r="BK214" s="75"/>
      <c r="BL214" s="75"/>
      <c r="BM214" s="75"/>
    </row>
    <row r="215">
      <c r="A215" s="75"/>
      <c r="B215" s="75"/>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5"/>
      <c r="AE215" s="75"/>
      <c r="AF215" s="75"/>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c r="BG215" s="75"/>
      <c r="BH215" s="75"/>
      <c r="BI215" s="75"/>
      <c r="BJ215" s="75"/>
      <c r="BK215" s="75"/>
      <c r="BL215" s="75"/>
      <c r="BM215" s="75"/>
    </row>
    <row r="216">
      <c r="A216" s="75"/>
      <c r="B216" s="75"/>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c r="BG216" s="75"/>
      <c r="BH216" s="75"/>
      <c r="BI216" s="75"/>
      <c r="BJ216" s="75"/>
      <c r="BK216" s="75"/>
      <c r="BL216" s="75"/>
      <c r="BM216" s="75"/>
    </row>
    <row r="217">
      <c r="A217" s="75"/>
      <c r="B217" s="75"/>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5"/>
      <c r="AE217" s="75"/>
      <c r="AF217" s="75"/>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c r="BG217" s="75"/>
      <c r="BH217" s="75"/>
      <c r="BI217" s="75"/>
      <c r="BJ217" s="75"/>
      <c r="BK217" s="75"/>
      <c r="BL217" s="75"/>
      <c r="BM217" s="75"/>
    </row>
    <row r="218">
      <c r="A218" s="75"/>
      <c r="B218" s="75"/>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5"/>
      <c r="AE218" s="75"/>
      <c r="AF218" s="75"/>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c r="BG218" s="75"/>
      <c r="BH218" s="75"/>
      <c r="BI218" s="75"/>
      <c r="BJ218" s="75"/>
      <c r="BK218" s="75"/>
      <c r="BL218" s="75"/>
      <c r="BM218" s="75"/>
    </row>
    <row r="219">
      <c r="A219" s="75"/>
      <c r="B219" s="75"/>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5"/>
      <c r="AE219" s="75"/>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c r="BG219" s="75"/>
      <c r="BH219" s="75"/>
      <c r="BI219" s="75"/>
      <c r="BJ219" s="75"/>
      <c r="BK219" s="75"/>
      <c r="BL219" s="75"/>
      <c r="BM219" s="75"/>
    </row>
    <row r="220">
      <c r="A220" s="75"/>
      <c r="B220" s="75"/>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c r="BG220" s="75"/>
      <c r="BH220" s="75"/>
      <c r="BI220" s="75"/>
      <c r="BJ220" s="75"/>
      <c r="BK220" s="75"/>
      <c r="BL220" s="75"/>
      <c r="BM220" s="75"/>
    </row>
    <row r="221">
      <c r="A221" s="75"/>
      <c r="B221" s="75"/>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5"/>
      <c r="AE221" s="75"/>
      <c r="AF221" s="75"/>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c r="BG221" s="75"/>
      <c r="BH221" s="75"/>
      <c r="BI221" s="75"/>
      <c r="BJ221" s="75"/>
      <c r="BK221" s="75"/>
      <c r="BL221" s="75"/>
      <c r="BM221" s="75"/>
    </row>
    <row r="222">
      <c r="A222" s="75"/>
      <c r="B222" s="75"/>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5"/>
      <c r="AE222" s="75"/>
      <c r="AF222" s="75"/>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c r="BG222" s="75"/>
      <c r="BH222" s="75"/>
      <c r="BI222" s="75"/>
      <c r="BJ222" s="75"/>
      <c r="BK222" s="75"/>
      <c r="BL222" s="75"/>
      <c r="BM222" s="75"/>
    </row>
    <row r="223">
      <c r="A223" s="75"/>
      <c r="B223" s="75"/>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5"/>
      <c r="AE223" s="75"/>
      <c r="AF223" s="75"/>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c r="BG223" s="75"/>
      <c r="BH223" s="75"/>
      <c r="BI223" s="75"/>
      <c r="BJ223" s="75"/>
      <c r="BK223" s="75"/>
      <c r="BL223" s="75"/>
      <c r="BM223" s="75"/>
    </row>
    <row r="224">
      <c r="A224" s="75"/>
      <c r="B224" s="75"/>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5"/>
      <c r="AE224" s="75"/>
      <c r="AF224" s="75"/>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c r="BG224" s="75"/>
      <c r="BH224" s="75"/>
      <c r="BI224" s="75"/>
      <c r="BJ224" s="75"/>
      <c r="BK224" s="75"/>
      <c r="BL224" s="75"/>
      <c r="BM224" s="75"/>
    </row>
    <row r="225">
      <c r="A225" s="75"/>
      <c r="B225" s="75"/>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5"/>
      <c r="AE225" s="75"/>
      <c r="AF225" s="75"/>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c r="BG225" s="75"/>
      <c r="BH225" s="75"/>
      <c r="BI225" s="75"/>
      <c r="BJ225" s="75"/>
      <c r="BK225" s="75"/>
      <c r="BL225" s="75"/>
      <c r="BM225" s="75"/>
    </row>
    <row r="226">
      <c r="A226" s="75"/>
      <c r="B226" s="75"/>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5"/>
      <c r="AE226" s="75"/>
      <c r="AF226" s="75"/>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c r="BG226" s="75"/>
      <c r="BH226" s="75"/>
      <c r="BI226" s="75"/>
      <c r="BJ226" s="75"/>
      <c r="BK226" s="75"/>
      <c r="BL226" s="75"/>
      <c r="BM226" s="75"/>
    </row>
    <row r="227">
      <c r="A227" s="75"/>
      <c r="B227" s="75"/>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c r="BG227" s="75"/>
      <c r="BH227" s="75"/>
      <c r="BI227" s="75"/>
      <c r="BJ227" s="75"/>
      <c r="BK227" s="75"/>
      <c r="BL227" s="75"/>
      <c r="BM227" s="75"/>
    </row>
    <row r="228">
      <c r="A228" s="75"/>
      <c r="B228" s="7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5"/>
      <c r="AE228" s="75"/>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row>
    <row r="229">
      <c r="A229" s="75"/>
      <c r="B229" s="75"/>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5"/>
      <c r="AE229" s="75"/>
      <c r="AF229" s="75"/>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c r="BG229" s="75"/>
      <c r="BH229" s="75"/>
      <c r="BI229" s="75"/>
      <c r="BJ229" s="75"/>
      <c r="BK229" s="75"/>
      <c r="BL229" s="75"/>
      <c r="BM229" s="75"/>
    </row>
    <row r="230">
      <c r="A230" s="75"/>
      <c r="B230" s="75"/>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5"/>
      <c r="AE230" s="75"/>
      <c r="AF230" s="75"/>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c r="BG230" s="75"/>
      <c r="BH230" s="75"/>
      <c r="BI230" s="75"/>
      <c r="BJ230" s="75"/>
      <c r="BK230" s="75"/>
      <c r="BL230" s="75"/>
      <c r="BM230" s="75"/>
    </row>
    <row r="231">
      <c r="A231" s="75"/>
      <c r="B231" s="75"/>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5"/>
      <c r="AE231" s="75"/>
      <c r="AF231" s="75"/>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c r="BG231" s="75"/>
      <c r="BH231" s="75"/>
      <c r="BI231" s="75"/>
      <c r="BJ231" s="75"/>
      <c r="BK231" s="75"/>
      <c r="BL231" s="75"/>
      <c r="BM231" s="75"/>
    </row>
    <row r="232">
      <c r="A232" s="75"/>
      <c r="B232" s="75"/>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5"/>
      <c r="AE232" s="75"/>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c r="BG232" s="75"/>
      <c r="BH232" s="75"/>
      <c r="BI232" s="75"/>
      <c r="BJ232" s="75"/>
      <c r="BK232" s="75"/>
      <c r="BL232" s="75"/>
      <c r="BM232" s="75"/>
    </row>
    <row r="233">
      <c r="A233" s="75"/>
      <c r="B233" s="75"/>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5"/>
      <c r="AE233" s="75"/>
      <c r="AF233" s="75"/>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c r="BG233" s="75"/>
      <c r="BH233" s="75"/>
      <c r="BI233" s="75"/>
      <c r="BJ233" s="75"/>
      <c r="BK233" s="75"/>
      <c r="BL233" s="75"/>
      <c r="BM233" s="75"/>
    </row>
    <row r="234">
      <c r="A234" s="75"/>
      <c r="B234" s="75"/>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5"/>
      <c r="AE234" s="75"/>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c r="BG234" s="75"/>
      <c r="BH234" s="75"/>
      <c r="BI234" s="75"/>
      <c r="BJ234" s="75"/>
      <c r="BK234" s="75"/>
      <c r="BL234" s="75"/>
      <c r="BM234" s="75"/>
    </row>
    <row r="235">
      <c r="A235" s="75"/>
      <c r="B235" s="75"/>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5"/>
      <c r="AE235" s="75"/>
      <c r="AF235" s="75"/>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c r="BG235" s="75"/>
      <c r="BH235" s="75"/>
      <c r="BI235" s="75"/>
      <c r="BJ235" s="75"/>
      <c r="BK235" s="75"/>
      <c r="BL235" s="75"/>
      <c r="BM235" s="75"/>
    </row>
    <row r="236">
      <c r="A236" s="75"/>
      <c r="B236" s="75"/>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5"/>
      <c r="AE236" s="75"/>
      <c r="AF236" s="75"/>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c r="BG236" s="75"/>
      <c r="BH236" s="75"/>
      <c r="BI236" s="75"/>
      <c r="BJ236" s="75"/>
      <c r="BK236" s="75"/>
      <c r="BL236" s="75"/>
      <c r="BM236" s="75"/>
    </row>
    <row r="237">
      <c r="A237" s="75"/>
      <c r="B237" s="75"/>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c r="BG237" s="75"/>
      <c r="BH237" s="75"/>
      <c r="BI237" s="75"/>
      <c r="BJ237" s="75"/>
      <c r="BK237" s="75"/>
      <c r="BL237" s="75"/>
      <c r="BM237" s="75"/>
    </row>
    <row r="238">
      <c r="A238" s="75"/>
      <c r="B238" s="75"/>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5"/>
      <c r="AE238" s="75"/>
      <c r="AF238" s="75"/>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c r="BG238" s="75"/>
      <c r="BH238" s="75"/>
      <c r="BI238" s="75"/>
      <c r="BJ238" s="75"/>
      <c r="BK238" s="75"/>
      <c r="BL238" s="75"/>
      <c r="BM238" s="75"/>
    </row>
    <row r="239">
      <c r="A239" s="75"/>
      <c r="B239" s="75"/>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5"/>
      <c r="AE239" s="75"/>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c r="BG239" s="75"/>
      <c r="BH239" s="75"/>
      <c r="BI239" s="75"/>
      <c r="BJ239" s="75"/>
      <c r="BK239" s="75"/>
      <c r="BL239" s="75"/>
      <c r="BM239" s="75"/>
    </row>
    <row r="240">
      <c r="A240" s="75"/>
      <c r="B240" s="75"/>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5"/>
      <c r="AE240" s="75"/>
      <c r="AF240" s="75"/>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c r="BG240" s="75"/>
      <c r="BH240" s="75"/>
      <c r="BI240" s="75"/>
      <c r="BJ240" s="75"/>
      <c r="BK240" s="75"/>
      <c r="BL240" s="75"/>
      <c r="BM240" s="75"/>
    </row>
    <row r="241">
      <c r="A241" s="75"/>
      <c r="B241" s="75"/>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5"/>
      <c r="AE241" s="75"/>
      <c r="AF241" s="75"/>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c r="BG241" s="75"/>
      <c r="BH241" s="75"/>
      <c r="BI241" s="75"/>
      <c r="BJ241" s="75"/>
      <c r="BK241" s="75"/>
      <c r="BL241" s="75"/>
      <c r="BM241" s="75"/>
    </row>
    <row r="242">
      <c r="A242" s="75"/>
      <c r="B242" s="75"/>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5"/>
      <c r="AE242" s="75"/>
      <c r="AF242" s="75"/>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c r="BG242" s="75"/>
      <c r="BH242" s="75"/>
      <c r="BI242" s="75"/>
      <c r="BJ242" s="75"/>
      <c r="BK242" s="75"/>
      <c r="BL242" s="75"/>
      <c r="BM242" s="75"/>
    </row>
    <row r="243">
      <c r="A243" s="75"/>
      <c r="B243" s="75"/>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5"/>
      <c r="AE243" s="75"/>
      <c r="AF243" s="75"/>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c r="BG243" s="75"/>
      <c r="BH243" s="75"/>
      <c r="BI243" s="75"/>
      <c r="BJ243" s="75"/>
      <c r="BK243" s="75"/>
      <c r="BL243" s="75"/>
      <c r="BM243" s="75"/>
    </row>
    <row r="244">
      <c r="A244" s="75"/>
      <c r="B244" s="7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5"/>
      <c r="AE244" s="75"/>
      <c r="AF244" s="75"/>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c r="BG244" s="75"/>
      <c r="BH244" s="75"/>
      <c r="BI244" s="75"/>
      <c r="BJ244" s="75"/>
      <c r="BK244" s="75"/>
      <c r="BL244" s="75"/>
      <c r="BM244" s="75"/>
    </row>
    <row r="245">
      <c r="A245" s="75"/>
      <c r="B245" s="7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5"/>
      <c r="AE245" s="75"/>
      <c r="AF245" s="75"/>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c r="BG245" s="75"/>
      <c r="BH245" s="75"/>
      <c r="BI245" s="75"/>
      <c r="BJ245" s="75"/>
      <c r="BK245" s="75"/>
      <c r="BL245" s="75"/>
      <c r="BM245" s="75"/>
    </row>
    <row r="246">
      <c r="A246" s="75"/>
      <c r="B246" s="7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5"/>
      <c r="AE246" s="75"/>
      <c r="AF246" s="75"/>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c r="BG246" s="75"/>
      <c r="BH246" s="75"/>
      <c r="BI246" s="75"/>
      <c r="BJ246" s="75"/>
      <c r="BK246" s="75"/>
      <c r="BL246" s="75"/>
      <c r="BM246" s="75"/>
    </row>
    <row r="247">
      <c r="A247" s="75"/>
      <c r="B247" s="75"/>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5"/>
      <c r="AE247" s="75"/>
      <c r="AF247" s="75"/>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c r="BG247" s="75"/>
      <c r="BH247" s="75"/>
      <c r="BI247" s="75"/>
      <c r="BJ247" s="75"/>
      <c r="BK247" s="75"/>
      <c r="BL247" s="75"/>
      <c r="BM247" s="75"/>
    </row>
    <row r="248">
      <c r="A248" s="75"/>
      <c r="B248" s="75"/>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c r="BG248" s="75"/>
      <c r="BH248" s="75"/>
      <c r="BI248" s="75"/>
      <c r="BJ248" s="75"/>
      <c r="BK248" s="75"/>
      <c r="BL248" s="75"/>
      <c r="BM248" s="75"/>
    </row>
    <row r="249">
      <c r="A249" s="75"/>
      <c r="B249" s="75"/>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c r="BG249" s="75"/>
      <c r="BH249" s="75"/>
      <c r="BI249" s="75"/>
      <c r="BJ249" s="75"/>
      <c r="BK249" s="75"/>
      <c r="BL249" s="75"/>
      <c r="BM249" s="75"/>
    </row>
    <row r="250">
      <c r="A250" s="75"/>
      <c r="B250" s="75"/>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5"/>
      <c r="AE250" s="75"/>
      <c r="AF250" s="75"/>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c r="BG250" s="75"/>
      <c r="BH250" s="75"/>
      <c r="BI250" s="75"/>
      <c r="BJ250" s="75"/>
      <c r="BK250" s="75"/>
      <c r="BL250" s="75"/>
      <c r="BM250" s="75"/>
    </row>
    <row r="251">
      <c r="A251" s="75"/>
      <c r="B251" s="75"/>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5"/>
      <c r="AE251" s="75"/>
      <c r="AF251" s="75"/>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c r="BG251" s="75"/>
      <c r="BH251" s="75"/>
      <c r="BI251" s="75"/>
      <c r="BJ251" s="75"/>
      <c r="BK251" s="75"/>
      <c r="BL251" s="75"/>
      <c r="BM251" s="75"/>
    </row>
    <row r="252">
      <c r="A252" s="75"/>
      <c r="B252" s="75"/>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5"/>
      <c r="AE252" s="75"/>
      <c r="AF252" s="75"/>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c r="BG252" s="75"/>
      <c r="BH252" s="75"/>
      <c r="BI252" s="75"/>
      <c r="BJ252" s="75"/>
      <c r="BK252" s="75"/>
      <c r="BL252" s="75"/>
      <c r="BM252" s="75"/>
    </row>
    <row r="253">
      <c r="A253" s="75"/>
      <c r="B253" s="75"/>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5"/>
      <c r="AE253" s="75"/>
      <c r="AF253" s="75"/>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c r="BG253" s="75"/>
      <c r="BH253" s="75"/>
      <c r="BI253" s="75"/>
      <c r="BJ253" s="75"/>
      <c r="BK253" s="75"/>
      <c r="BL253" s="75"/>
      <c r="BM253" s="75"/>
    </row>
    <row r="254">
      <c r="A254" s="75"/>
      <c r="B254" s="75"/>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5"/>
      <c r="AE254" s="75"/>
      <c r="AF254" s="75"/>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c r="BG254" s="75"/>
      <c r="BH254" s="75"/>
      <c r="BI254" s="75"/>
      <c r="BJ254" s="75"/>
      <c r="BK254" s="75"/>
      <c r="BL254" s="75"/>
      <c r="BM254" s="75"/>
    </row>
    <row r="255">
      <c r="A255" s="75"/>
      <c r="B255" s="7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5"/>
      <c r="AE255" s="75"/>
      <c r="AF255" s="75"/>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c r="BG255" s="75"/>
      <c r="BH255" s="75"/>
      <c r="BI255" s="75"/>
      <c r="BJ255" s="75"/>
      <c r="BK255" s="75"/>
      <c r="BL255" s="75"/>
      <c r="BM255" s="75"/>
    </row>
    <row r="256">
      <c r="A256" s="75"/>
      <c r="B256" s="75"/>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5"/>
      <c r="AE256" s="75"/>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c r="BG256" s="75"/>
      <c r="BH256" s="75"/>
      <c r="BI256" s="75"/>
      <c r="BJ256" s="75"/>
      <c r="BK256" s="75"/>
      <c r="BL256" s="75"/>
      <c r="BM256" s="75"/>
    </row>
    <row r="257">
      <c r="A257" s="75"/>
      <c r="B257" s="75"/>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5"/>
      <c r="AE257" s="75"/>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c r="BG257" s="75"/>
      <c r="BH257" s="75"/>
      <c r="BI257" s="75"/>
      <c r="BJ257" s="75"/>
      <c r="BK257" s="75"/>
      <c r="BL257" s="75"/>
      <c r="BM257" s="75"/>
    </row>
    <row r="258">
      <c r="A258" s="75"/>
      <c r="B258" s="75"/>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5"/>
      <c r="AE258" s="75"/>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c r="BG258" s="75"/>
      <c r="BH258" s="75"/>
      <c r="BI258" s="75"/>
      <c r="BJ258" s="75"/>
      <c r="BK258" s="75"/>
      <c r="BL258" s="75"/>
      <c r="BM258" s="75"/>
    </row>
    <row r="259">
      <c r="A259" s="75"/>
      <c r="B259" s="75"/>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5"/>
      <c r="AE259" s="75"/>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c r="BG259" s="75"/>
      <c r="BH259" s="75"/>
      <c r="BI259" s="75"/>
      <c r="BJ259" s="75"/>
      <c r="BK259" s="75"/>
      <c r="BL259" s="75"/>
      <c r="BM259" s="75"/>
    </row>
    <row r="260">
      <c r="A260" s="75"/>
      <c r="B260" s="75"/>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5"/>
      <c r="AE260" s="75"/>
      <c r="AF260" s="75"/>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c r="BG260" s="75"/>
      <c r="BH260" s="75"/>
      <c r="BI260" s="75"/>
      <c r="BJ260" s="75"/>
      <c r="BK260" s="75"/>
      <c r="BL260" s="75"/>
      <c r="BM260" s="75"/>
    </row>
    <row r="261">
      <c r="A261" s="75"/>
      <c r="B261" s="75"/>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5"/>
      <c r="AE261" s="75"/>
      <c r="AF261" s="75"/>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c r="BG261" s="75"/>
      <c r="BH261" s="75"/>
      <c r="BI261" s="75"/>
      <c r="BJ261" s="75"/>
      <c r="BK261" s="75"/>
      <c r="BL261" s="75"/>
      <c r="BM261" s="75"/>
    </row>
    <row r="262">
      <c r="A262" s="75"/>
      <c r="B262" s="75"/>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5"/>
      <c r="AE262" s="75"/>
      <c r="AF262" s="75"/>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c r="BG262" s="75"/>
      <c r="BH262" s="75"/>
      <c r="BI262" s="75"/>
      <c r="BJ262" s="75"/>
      <c r="BK262" s="75"/>
      <c r="BL262" s="75"/>
      <c r="BM262" s="75"/>
    </row>
    <row r="263">
      <c r="A263" s="75"/>
      <c r="B263" s="75"/>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5"/>
      <c r="AE263" s="75"/>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c r="BG263" s="75"/>
      <c r="BH263" s="75"/>
      <c r="BI263" s="75"/>
      <c r="BJ263" s="75"/>
      <c r="BK263" s="75"/>
      <c r="BL263" s="75"/>
      <c r="BM263" s="75"/>
    </row>
    <row r="264">
      <c r="A264" s="75"/>
      <c r="B264" s="7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5"/>
      <c r="AE264" s="75"/>
      <c r="AF264" s="75"/>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c r="BG264" s="75"/>
      <c r="BH264" s="75"/>
      <c r="BI264" s="75"/>
      <c r="BJ264" s="75"/>
      <c r="BK264" s="75"/>
      <c r="BL264" s="75"/>
      <c r="BM264" s="75"/>
    </row>
    <row r="265">
      <c r="A265" s="75"/>
      <c r="B265" s="75"/>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5"/>
      <c r="AE265" s="75"/>
      <c r="AF265" s="75"/>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c r="BG265" s="75"/>
      <c r="BH265" s="75"/>
      <c r="BI265" s="75"/>
      <c r="BJ265" s="75"/>
      <c r="BK265" s="75"/>
      <c r="BL265" s="75"/>
      <c r="BM265" s="75"/>
    </row>
    <row r="266">
      <c r="A266" s="75"/>
      <c r="B266" s="75"/>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5"/>
      <c r="AE266" s="75"/>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c r="BG266" s="75"/>
      <c r="BH266" s="75"/>
      <c r="BI266" s="75"/>
      <c r="BJ266" s="75"/>
      <c r="BK266" s="75"/>
      <c r="BL266" s="75"/>
      <c r="BM266" s="75"/>
    </row>
    <row r="267">
      <c r="A267" s="75"/>
      <c r="B267" s="75"/>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5"/>
      <c r="AE267" s="75"/>
      <c r="AF267" s="75"/>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c r="BG267" s="75"/>
      <c r="BH267" s="75"/>
      <c r="BI267" s="75"/>
      <c r="BJ267" s="75"/>
      <c r="BK267" s="75"/>
      <c r="BL267" s="75"/>
      <c r="BM267" s="75"/>
    </row>
    <row r="268">
      <c r="A268" s="75"/>
      <c r="B268" s="75"/>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5"/>
      <c r="AE268" s="75"/>
      <c r="AF268" s="75"/>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c r="BG268" s="75"/>
      <c r="BH268" s="75"/>
      <c r="BI268" s="75"/>
      <c r="BJ268" s="75"/>
      <c r="BK268" s="75"/>
      <c r="BL268" s="75"/>
      <c r="BM268" s="75"/>
    </row>
    <row r="269">
      <c r="A269" s="75"/>
      <c r="B269" s="75"/>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5"/>
      <c r="AE269" s="75"/>
      <c r="AF269" s="75"/>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c r="BG269" s="75"/>
      <c r="BH269" s="75"/>
      <c r="BI269" s="75"/>
      <c r="BJ269" s="75"/>
      <c r="BK269" s="75"/>
      <c r="BL269" s="75"/>
      <c r="BM269" s="75"/>
    </row>
    <row r="270">
      <c r="A270" s="75"/>
      <c r="B270" s="75"/>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5"/>
      <c r="AE270" s="75"/>
      <c r="AF270" s="75"/>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c r="BG270" s="75"/>
      <c r="BH270" s="75"/>
      <c r="BI270" s="75"/>
      <c r="BJ270" s="75"/>
      <c r="BK270" s="75"/>
      <c r="BL270" s="75"/>
      <c r="BM270" s="75"/>
    </row>
    <row r="271">
      <c r="A271" s="75"/>
      <c r="B271" s="75"/>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5"/>
      <c r="AE271" s="75"/>
      <c r="AF271" s="75"/>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c r="BG271" s="75"/>
      <c r="BH271" s="75"/>
      <c r="BI271" s="75"/>
      <c r="BJ271" s="75"/>
      <c r="BK271" s="75"/>
      <c r="BL271" s="75"/>
      <c r="BM271" s="75"/>
    </row>
    <row r="272">
      <c r="A272" s="75"/>
      <c r="B272" s="75"/>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5"/>
      <c r="AE272" s="75"/>
      <c r="AF272" s="75"/>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c r="BG272" s="75"/>
      <c r="BH272" s="75"/>
      <c r="BI272" s="75"/>
      <c r="BJ272" s="75"/>
      <c r="BK272" s="75"/>
      <c r="BL272" s="75"/>
      <c r="BM272" s="75"/>
    </row>
    <row r="273">
      <c r="A273" s="75"/>
      <c r="B273" s="75"/>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5"/>
      <c r="AE273" s="75"/>
      <c r="AF273" s="75"/>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c r="BG273" s="75"/>
      <c r="BH273" s="75"/>
      <c r="BI273" s="75"/>
      <c r="BJ273" s="75"/>
      <c r="BK273" s="75"/>
      <c r="BL273" s="75"/>
      <c r="BM273" s="75"/>
    </row>
    <row r="274">
      <c r="A274" s="75"/>
      <c r="B274" s="75"/>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5"/>
      <c r="AE274" s="75"/>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c r="BG274" s="75"/>
      <c r="BH274" s="75"/>
      <c r="BI274" s="75"/>
      <c r="BJ274" s="75"/>
      <c r="BK274" s="75"/>
      <c r="BL274" s="75"/>
      <c r="BM274" s="75"/>
    </row>
    <row r="275">
      <c r="A275" s="75"/>
      <c r="B275" s="75"/>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c r="BG275" s="75"/>
      <c r="BH275" s="75"/>
      <c r="BI275" s="75"/>
      <c r="BJ275" s="75"/>
      <c r="BK275" s="75"/>
      <c r="BL275" s="75"/>
      <c r="BM275" s="75"/>
    </row>
    <row r="276">
      <c r="A276" s="75"/>
      <c r="B276" s="75"/>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5"/>
      <c r="AE276" s="75"/>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c r="BG276" s="75"/>
      <c r="BH276" s="75"/>
      <c r="BI276" s="75"/>
      <c r="BJ276" s="75"/>
      <c r="BK276" s="75"/>
      <c r="BL276" s="75"/>
      <c r="BM276" s="75"/>
    </row>
    <row r="277">
      <c r="A277" s="75"/>
      <c r="B277" s="75"/>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5"/>
      <c r="AE277" s="75"/>
      <c r="AF277" s="75"/>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c r="BG277" s="75"/>
      <c r="BH277" s="75"/>
      <c r="BI277" s="75"/>
      <c r="BJ277" s="75"/>
      <c r="BK277" s="75"/>
      <c r="BL277" s="75"/>
      <c r="BM277" s="75"/>
    </row>
    <row r="278">
      <c r="A278" s="75"/>
      <c r="B278" s="75"/>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5"/>
      <c r="AE278" s="75"/>
      <c r="AF278" s="75"/>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c r="BG278" s="75"/>
      <c r="BH278" s="75"/>
      <c r="BI278" s="75"/>
      <c r="BJ278" s="75"/>
      <c r="BK278" s="75"/>
      <c r="BL278" s="75"/>
      <c r="BM278" s="75"/>
    </row>
    <row r="279">
      <c r="A279" s="75"/>
      <c r="B279" s="75"/>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5"/>
      <c r="AE279" s="75"/>
      <c r="AF279" s="75"/>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c r="BG279" s="75"/>
      <c r="BH279" s="75"/>
      <c r="BI279" s="75"/>
      <c r="BJ279" s="75"/>
      <c r="BK279" s="75"/>
      <c r="BL279" s="75"/>
      <c r="BM279" s="75"/>
    </row>
    <row r="280">
      <c r="A280" s="75"/>
      <c r="B280" s="75"/>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5"/>
      <c r="AE280" s="75"/>
      <c r="AF280" s="75"/>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c r="BG280" s="75"/>
      <c r="BH280" s="75"/>
      <c r="BI280" s="75"/>
      <c r="BJ280" s="75"/>
      <c r="BK280" s="75"/>
      <c r="BL280" s="75"/>
      <c r="BM280" s="75"/>
    </row>
    <row r="281">
      <c r="A281" s="75"/>
      <c r="B281" s="75"/>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5"/>
      <c r="AE281" s="75"/>
      <c r="AF281" s="75"/>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c r="BG281" s="75"/>
      <c r="BH281" s="75"/>
      <c r="BI281" s="75"/>
      <c r="BJ281" s="75"/>
      <c r="BK281" s="75"/>
      <c r="BL281" s="75"/>
      <c r="BM281" s="75"/>
    </row>
    <row r="282">
      <c r="A282" s="75"/>
      <c r="B282" s="7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5"/>
      <c r="AE282" s="75"/>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c r="BG282" s="75"/>
      <c r="BH282" s="75"/>
      <c r="BI282" s="75"/>
      <c r="BJ282" s="75"/>
      <c r="BK282" s="75"/>
      <c r="BL282" s="75"/>
      <c r="BM282" s="75"/>
    </row>
    <row r="283">
      <c r="A283" s="75"/>
      <c r="B283" s="75"/>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5"/>
      <c r="AE283" s="75"/>
      <c r="AF283" s="75"/>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c r="BG283" s="75"/>
      <c r="BH283" s="75"/>
      <c r="BI283" s="75"/>
      <c r="BJ283" s="75"/>
      <c r="BK283" s="75"/>
      <c r="BL283" s="75"/>
      <c r="BM283" s="75"/>
    </row>
    <row r="284">
      <c r="A284" s="75"/>
      <c r="B284" s="75"/>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5"/>
      <c r="AE284" s="75"/>
      <c r="AF284" s="75"/>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c r="BG284" s="75"/>
      <c r="BH284" s="75"/>
      <c r="BI284" s="75"/>
      <c r="BJ284" s="75"/>
      <c r="BK284" s="75"/>
      <c r="BL284" s="75"/>
      <c r="BM284" s="75"/>
    </row>
    <row r="285">
      <c r="A285" s="75"/>
      <c r="B285" s="75"/>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5"/>
      <c r="AE285" s="75"/>
      <c r="AF285" s="75"/>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c r="BG285" s="75"/>
      <c r="BH285" s="75"/>
      <c r="BI285" s="75"/>
      <c r="BJ285" s="75"/>
      <c r="BK285" s="75"/>
      <c r="BL285" s="75"/>
      <c r="BM285" s="75"/>
    </row>
    <row r="286">
      <c r="A286" s="75"/>
      <c r="B286" s="75"/>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5"/>
      <c r="AE286" s="75"/>
      <c r="AF286" s="75"/>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c r="BG286" s="75"/>
      <c r="BH286" s="75"/>
      <c r="BI286" s="75"/>
      <c r="BJ286" s="75"/>
      <c r="BK286" s="75"/>
      <c r="BL286" s="75"/>
      <c r="BM286" s="75"/>
    </row>
    <row r="287">
      <c r="A287" s="75"/>
      <c r="B287" s="75"/>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5"/>
      <c r="AE287" s="75"/>
      <c r="AF287" s="75"/>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c r="BG287" s="75"/>
      <c r="BH287" s="75"/>
      <c r="BI287" s="75"/>
      <c r="BJ287" s="75"/>
      <c r="BK287" s="75"/>
      <c r="BL287" s="75"/>
      <c r="BM287" s="75"/>
    </row>
    <row r="288">
      <c r="A288" s="75"/>
      <c r="B288" s="75"/>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5"/>
      <c r="AE288" s="75"/>
      <c r="AF288" s="75"/>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c r="BG288" s="75"/>
      <c r="BH288" s="75"/>
      <c r="BI288" s="75"/>
      <c r="BJ288" s="75"/>
      <c r="BK288" s="75"/>
      <c r="BL288" s="75"/>
      <c r="BM288" s="75"/>
    </row>
    <row r="289">
      <c r="A289" s="75"/>
      <c r="B289" s="75"/>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5"/>
      <c r="AE289" s="75"/>
      <c r="AF289" s="75"/>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c r="BG289" s="75"/>
      <c r="BH289" s="75"/>
      <c r="BI289" s="75"/>
      <c r="BJ289" s="75"/>
      <c r="BK289" s="75"/>
      <c r="BL289" s="75"/>
      <c r="BM289" s="75"/>
    </row>
    <row r="290">
      <c r="A290" s="75"/>
      <c r="B290" s="75"/>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5"/>
      <c r="AE290" s="75"/>
      <c r="AF290" s="75"/>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c r="BG290" s="75"/>
      <c r="BH290" s="75"/>
      <c r="BI290" s="75"/>
      <c r="BJ290" s="75"/>
      <c r="BK290" s="75"/>
      <c r="BL290" s="75"/>
      <c r="BM290" s="75"/>
    </row>
    <row r="291">
      <c r="A291" s="75"/>
      <c r="B291" s="75"/>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5"/>
      <c r="AE291" s="75"/>
      <c r="AF291" s="75"/>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c r="BG291" s="75"/>
      <c r="BH291" s="75"/>
      <c r="BI291" s="75"/>
      <c r="BJ291" s="75"/>
      <c r="BK291" s="75"/>
      <c r="BL291" s="75"/>
      <c r="BM291" s="75"/>
    </row>
    <row r="292">
      <c r="A292" s="75"/>
      <c r="B292" s="75"/>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5"/>
      <c r="AE292" s="75"/>
      <c r="AF292" s="75"/>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c r="BG292" s="75"/>
      <c r="BH292" s="75"/>
      <c r="BI292" s="75"/>
      <c r="BJ292" s="75"/>
      <c r="BK292" s="75"/>
      <c r="BL292" s="75"/>
      <c r="BM292" s="75"/>
    </row>
    <row r="293">
      <c r="A293" s="75"/>
      <c r="B293" s="75"/>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5"/>
      <c r="AE293" s="75"/>
      <c r="AF293" s="75"/>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c r="BG293" s="75"/>
      <c r="BH293" s="75"/>
      <c r="BI293" s="75"/>
      <c r="BJ293" s="75"/>
      <c r="BK293" s="75"/>
      <c r="BL293" s="75"/>
      <c r="BM293" s="75"/>
    </row>
    <row r="294">
      <c r="A294" s="75"/>
      <c r="B294" s="75"/>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5"/>
      <c r="AE294" s="75"/>
      <c r="AF294" s="75"/>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c r="BG294" s="75"/>
      <c r="BH294" s="75"/>
      <c r="BI294" s="75"/>
      <c r="BJ294" s="75"/>
      <c r="BK294" s="75"/>
      <c r="BL294" s="75"/>
      <c r="BM294" s="75"/>
    </row>
    <row r="295">
      <c r="A295" s="75"/>
      <c r="B295" s="75"/>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5"/>
      <c r="AE295" s="75"/>
      <c r="AF295" s="75"/>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c r="BG295" s="75"/>
      <c r="BH295" s="75"/>
      <c r="BI295" s="75"/>
      <c r="BJ295" s="75"/>
      <c r="BK295" s="75"/>
      <c r="BL295" s="75"/>
      <c r="BM295" s="75"/>
    </row>
    <row r="296">
      <c r="A296" s="75"/>
      <c r="B296" s="75"/>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5"/>
      <c r="AE296" s="75"/>
      <c r="AF296" s="75"/>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c r="BG296" s="75"/>
      <c r="BH296" s="75"/>
      <c r="BI296" s="75"/>
      <c r="BJ296" s="75"/>
      <c r="BK296" s="75"/>
      <c r="BL296" s="75"/>
      <c r="BM296" s="75"/>
    </row>
    <row r="297">
      <c r="A297" s="75"/>
      <c r="B297" s="75"/>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5"/>
      <c r="AE297" s="75"/>
      <c r="AF297" s="75"/>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c r="BG297" s="75"/>
      <c r="BH297" s="75"/>
      <c r="BI297" s="75"/>
      <c r="BJ297" s="75"/>
      <c r="BK297" s="75"/>
      <c r="BL297" s="75"/>
      <c r="BM297" s="75"/>
    </row>
    <row r="298">
      <c r="A298" s="75"/>
      <c r="B298" s="75"/>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1"/>
      <c r="AB298" s="71"/>
      <c r="AC298" s="71"/>
      <c r="AD298" s="75"/>
      <c r="AE298" s="75"/>
      <c r="AF298" s="75"/>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c r="BG298" s="75"/>
      <c r="BH298" s="75"/>
      <c r="BI298" s="75"/>
      <c r="BJ298" s="75"/>
      <c r="BK298" s="75"/>
      <c r="BL298" s="75"/>
      <c r="BM298" s="75"/>
    </row>
    <row r="299">
      <c r="A299" s="75"/>
      <c r="B299" s="75"/>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5"/>
      <c r="AE299" s="75"/>
      <c r="AF299" s="75"/>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c r="BG299" s="75"/>
      <c r="BH299" s="75"/>
      <c r="BI299" s="75"/>
      <c r="BJ299" s="75"/>
      <c r="BK299" s="75"/>
      <c r="BL299" s="75"/>
      <c r="BM299" s="75"/>
    </row>
    <row r="300">
      <c r="A300" s="75"/>
      <c r="B300" s="7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5"/>
      <c r="AE300" s="75"/>
      <c r="AF300" s="75"/>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c r="BG300" s="75"/>
      <c r="BH300" s="75"/>
      <c r="BI300" s="75"/>
      <c r="BJ300" s="75"/>
      <c r="BK300" s="75"/>
      <c r="BL300" s="75"/>
      <c r="BM300" s="75"/>
    </row>
    <row r="301">
      <c r="A301" s="75"/>
      <c r="B301" s="75"/>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5"/>
      <c r="AE301" s="75"/>
      <c r="AF301" s="75"/>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c r="BG301" s="75"/>
      <c r="BH301" s="75"/>
      <c r="BI301" s="75"/>
      <c r="BJ301" s="75"/>
      <c r="BK301" s="75"/>
      <c r="BL301" s="75"/>
      <c r="BM301" s="75"/>
    </row>
    <row r="302">
      <c r="A302" s="75"/>
      <c r="B302" s="75"/>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1"/>
      <c r="AB302" s="71"/>
      <c r="AC302" s="71"/>
      <c r="AD302" s="75"/>
      <c r="AE302" s="75"/>
      <c r="AF302" s="75"/>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c r="BG302" s="75"/>
      <c r="BH302" s="75"/>
      <c r="BI302" s="75"/>
      <c r="BJ302" s="75"/>
      <c r="BK302" s="75"/>
      <c r="BL302" s="75"/>
      <c r="BM302" s="75"/>
    </row>
    <row r="303">
      <c r="A303" s="75"/>
      <c r="B303" s="75"/>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c r="BG303" s="75"/>
      <c r="BH303" s="75"/>
      <c r="BI303" s="75"/>
      <c r="BJ303" s="75"/>
      <c r="BK303" s="75"/>
      <c r="BL303" s="75"/>
      <c r="BM303" s="75"/>
    </row>
    <row r="304">
      <c r="A304" s="75"/>
      <c r="B304" s="75"/>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1"/>
      <c r="AB304" s="71"/>
      <c r="AC304" s="71"/>
      <c r="AD304" s="75"/>
      <c r="AE304" s="75"/>
      <c r="AF304" s="75"/>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c r="BG304" s="75"/>
      <c r="BH304" s="75"/>
      <c r="BI304" s="75"/>
      <c r="BJ304" s="75"/>
      <c r="BK304" s="75"/>
      <c r="BL304" s="75"/>
      <c r="BM304" s="75"/>
    </row>
    <row r="305">
      <c r="A305" s="75"/>
      <c r="B305" s="75"/>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5"/>
      <c r="AE305" s="75"/>
      <c r="AF305" s="75"/>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c r="BG305" s="75"/>
      <c r="BH305" s="75"/>
      <c r="BI305" s="75"/>
      <c r="BJ305" s="75"/>
      <c r="BK305" s="75"/>
      <c r="BL305" s="75"/>
      <c r="BM305" s="75"/>
    </row>
    <row r="306">
      <c r="A306" s="75"/>
      <c r="B306" s="75"/>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1"/>
      <c r="AB306" s="71"/>
      <c r="AC306" s="71"/>
      <c r="AD306" s="75"/>
      <c r="AE306" s="75"/>
      <c r="AF306" s="75"/>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c r="BG306" s="75"/>
      <c r="BH306" s="75"/>
      <c r="BI306" s="75"/>
      <c r="BJ306" s="75"/>
      <c r="BK306" s="75"/>
      <c r="BL306" s="75"/>
      <c r="BM306" s="75"/>
    </row>
    <row r="307">
      <c r="A307" s="75"/>
      <c r="B307" s="75"/>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5"/>
      <c r="AE307" s="75"/>
      <c r="AF307" s="75"/>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c r="BG307" s="75"/>
      <c r="BH307" s="75"/>
      <c r="BI307" s="75"/>
      <c r="BJ307" s="75"/>
      <c r="BK307" s="75"/>
      <c r="BL307" s="75"/>
      <c r="BM307" s="75"/>
    </row>
    <row r="308">
      <c r="A308" s="75"/>
      <c r="B308" s="75"/>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1"/>
      <c r="AB308" s="71"/>
      <c r="AC308" s="71"/>
      <c r="AD308" s="75"/>
      <c r="AE308" s="75"/>
      <c r="AF308" s="75"/>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c r="BG308" s="75"/>
      <c r="BH308" s="75"/>
      <c r="BI308" s="75"/>
      <c r="BJ308" s="75"/>
      <c r="BK308" s="75"/>
      <c r="BL308" s="75"/>
      <c r="BM308" s="75"/>
    </row>
    <row r="309">
      <c r="A309" s="75"/>
      <c r="B309" s="75"/>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5"/>
      <c r="AE309" s="75"/>
      <c r="AF309" s="75"/>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c r="BG309" s="75"/>
      <c r="BH309" s="75"/>
      <c r="BI309" s="75"/>
      <c r="BJ309" s="75"/>
      <c r="BK309" s="75"/>
      <c r="BL309" s="75"/>
      <c r="BM309" s="75"/>
    </row>
    <row r="310">
      <c r="A310" s="75"/>
      <c r="B310" s="75"/>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1"/>
      <c r="AB310" s="71"/>
      <c r="AC310" s="71"/>
      <c r="AD310" s="75"/>
      <c r="AE310" s="75"/>
      <c r="AF310" s="75"/>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c r="BG310" s="75"/>
      <c r="BH310" s="75"/>
      <c r="BI310" s="75"/>
      <c r="BJ310" s="75"/>
      <c r="BK310" s="75"/>
      <c r="BL310" s="75"/>
      <c r="BM310" s="75"/>
    </row>
    <row r="311">
      <c r="A311" s="75"/>
      <c r="B311" s="75"/>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c r="BG311" s="75"/>
      <c r="BH311" s="75"/>
      <c r="BI311" s="75"/>
      <c r="BJ311" s="75"/>
      <c r="BK311" s="75"/>
      <c r="BL311" s="75"/>
      <c r="BM311" s="75"/>
    </row>
    <row r="312">
      <c r="A312" s="75"/>
      <c r="B312" s="75"/>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5"/>
      <c r="AE312" s="75"/>
      <c r="AF312" s="75"/>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c r="BG312" s="75"/>
      <c r="BH312" s="75"/>
      <c r="BI312" s="75"/>
      <c r="BJ312" s="75"/>
      <c r="BK312" s="75"/>
      <c r="BL312" s="75"/>
      <c r="BM312" s="75"/>
    </row>
    <row r="313">
      <c r="A313" s="75"/>
      <c r="B313" s="75"/>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5"/>
      <c r="AE313" s="75"/>
      <c r="AF313" s="75"/>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c r="BG313" s="75"/>
      <c r="BH313" s="75"/>
      <c r="BI313" s="75"/>
      <c r="BJ313" s="75"/>
      <c r="BK313" s="75"/>
      <c r="BL313" s="75"/>
      <c r="BM313" s="75"/>
    </row>
    <row r="314">
      <c r="A314" s="75"/>
      <c r="B314" s="75"/>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1"/>
      <c r="AB314" s="71"/>
      <c r="AC314" s="71"/>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c r="BG314" s="75"/>
      <c r="BH314" s="75"/>
      <c r="BI314" s="75"/>
      <c r="BJ314" s="75"/>
      <c r="BK314" s="75"/>
      <c r="BL314" s="75"/>
      <c r="BM314" s="75"/>
    </row>
    <row r="315">
      <c r="A315" s="75"/>
      <c r="B315" s="75"/>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c r="BG315" s="75"/>
      <c r="BH315" s="75"/>
      <c r="BI315" s="75"/>
      <c r="BJ315" s="75"/>
      <c r="BK315" s="75"/>
      <c r="BL315" s="75"/>
      <c r="BM315" s="75"/>
    </row>
    <row r="316">
      <c r="A316" s="75"/>
      <c r="B316" s="75"/>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1"/>
      <c r="AB316" s="71"/>
      <c r="AC316" s="71"/>
      <c r="AD316" s="75"/>
      <c r="AE316" s="75"/>
      <c r="AF316" s="75"/>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c r="BG316" s="75"/>
      <c r="BH316" s="75"/>
      <c r="BI316" s="75"/>
      <c r="BJ316" s="75"/>
      <c r="BK316" s="75"/>
      <c r="BL316" s="75"/>
      <c r="BM316" s="75"/>
    </row>
    <row r="317">
      <c r="A317" s="75"/>
      <c r="B317" s="75"/>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5"/>
      <c r="AE317" s="75"/>
      <c r="AF317" s="75"/>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c r="BG317" s="75"/>
      <c r="BH317" s="75"/>
      <c r="BI317" s="75"/>
      <c r="BJ317" s="75"/>
      <c r="BK317" s="75"/>
      <c r="BL317" s="75"/>
      <c r="BM317" s="75"/>
    </row>
    <row r="318">
      <c r="A318" s="75"/>
      <c r="B318" s="75"/>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1"/>
      <c r="AB318" s="71"/>
      <c r="AC318" s="71"/>
      <c r="AD318" s="75"/>
      <c r="AE318" s="75"/>
      <c r="AF318" s="75"/>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c r="BG318" s="75"/>
      <c r="BH318" s="75"/>
      <c r="BI318" s="75"/>
      <c r="BJ318" s="75"/>
      <c r="BK318" s="75"/>
      <c r="BL318" s="75"/>
      <c r="BM318" s="75"/>
    </row>
    <row r="319">
      <c r="A319" s="75"/>
      <c r="B319" s="75"/>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5"/>
      <c r="AE319" s="75"/>
      <c r="AF319" s="75"/>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c r="BG319" s="75"/>
      <c r="BH319" s="75"/>
      <c r="BI319" s="75"/>
      <c r="BJ319" s="75"/>
      <c r="BK319" s="75"/>
      <c r="BL319" s="75"/>
      <c r="BM319" s="75"/>
    </row>
    <row r="320">
      <c r="A320" s="75"/>
      <c r="B320" s="75"/>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5"/>
      <c r="AE320" s="75"/>
      <c r="AF320" s="75"/>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c r="BG320" s="75"/>
      <c r="BH320" s="75"/>
      <c r="BI320" s="75"/>
      <c r="BJ320" s="75"/>
      <c r="BK320" s="75"/>
      <c r="BL320" s="75"/>
      <c r="BM320" s="75"/>
    </row>
    <row r="321">
      <c r="A321" s="75"/>
      <c r="B321" s="75"/>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5"/>
      <c r="AE321" s="75"/>
      <c r="AF321" s="75"/>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c r="BG321" s="75"/>
      <c r="BH321" s="75"/>
      <c r="BI321" s="75"/>
      <c r="BJ321" s="75"/>
      <c r="BK321" s="75"/>
      <c r="BL321" s="75"/>
      <c r="BM321" s="75"/>
    </row>
    <row r="322">
      <c r="A322" s="75"/>
      <c r="B322" s="75"/>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1"/>
      <c r="AB322" s="71"/>
      <c r="AC322" s="71"/>
      <c r="AD322" s="75"/>
      <c r="AE322" s="75"/>
      <c r="AF322" s="75"/>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c r="BG322" s="75"/>
      <c r="BH322" s="75"/>
      <c r="BI322" s="75"/>
      <c r="BJ322" s="75"/>
      <c r="BK322" s="75"/>
      <c r="BL322" s="75"/>
      <c r="BM322" s="75"/>
    </row>
    <row r="323">
      <c r="A323" s="75"/>
      <c r="B323" s="75"/>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5"/>
      <c r="AE323" s="75"/>
      <c r="AF323" s="75"/>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c r="BG323" s="75"/>
      <c r="BH323" s="75"/>
      <c r="BI323" s="75"/>
      <c r="BJ323" s="75"/>
      <c r="BK323" s="75"/>
      <c r="BL323" s="75"/>
      <c r="BM323" s="75"/>
    </row>
    <row r="324">
      <c r="A324" s="75"/>
      <c r="B324" s="75"/>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1"/>
      <c r="AB324" s="71"/>
      <c r="AC324" s="71"/>
      <c r="AD324" s="75"/>
      <c r="AE324" s="75"/>
      <c r="AF324" s="75"/>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c r="BG324" s="75"/>
      <c r="BH324" s="75"/>
      <c r="BI324" s="75"/>
      <c r="BJ324" s="75"/>
      <c r="BK324" s="75"/>
      <c r="BL324" s="75"/>
      <c r="BM324" s="75"/>
    </row>
    <row r="325">
      <c r="A325" s="75"/>
      <c r="B325" s="75"/>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5"/>
      <c r="AE325" s="75"/>
      <c r="AF325" s="75"/>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c r="BG325" s="75"/>
      <c r="BH325" s="75"/>
      <c r="BI325" s="75"/>
      <c r="BJ325" s="75"/>
      <c r="BK325" s="75"/>
      <c r="BL325" s="75"/>
      <c r="BM325" s="75"/>
    </row>
    <row r="326">
      <c r="A326" s="75"/>
      <c r="B326" s="75"/>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1"/>
      <c r="AB326" s="71"/>
      <c r="AC326" s="71"/>
      <c r="AD326" s="75"/>
      <c r="AE326" s="75"/>
      <c r="AF326" s="75"/>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c r="BG326" s="75"/>
      <c r="BH326" s="75"/>
      <c r="BI326" s="75"/>
      <c r="BJ326" s="75"/>
      <c r="BK326" s="75"/>
      <c r="BL326" s="75"/>
      <c r="BM326" s="75"/>
    </row>
    <row r="327">
      <c r="A327" s="75"/>
      <c r="B327" s="75"/>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5"/>
      <c r="AE327" s="75"/>
      <c r="AF327" s="75"/>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c r="BG327" s="75"/>
      <c r="BH327" s="75"/>
      <c r="BI327" s="75"/>
      <c r="BJ327" s="75"/>
      <c r="BK327" s="75"/>
      <c r="BL327" s="75"/>
      <c r="BM327" s="75"/>
    </row>
    <row r="328">
      <c r="A328" s="75"/>
      <c r="B328" s="75"/>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c r="AA328" s="71"/>
      <c r="AB328" s="71"/>
      <c r="AC328" s="71"/>
      <c r="AD328" s="75"/>
      <c r="AE328" s="75"/>
      <c r="AF328" s="75"/>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c r="BG328" s="75"/>
      <c r="BH328" s="75"/>
      <c r="BI328" s="75"/>
      <c r="BJ328" s="75"/>
      <c r="BK328" s="75"/>
      <c r="BL328" s="75"/>
      <c r="BM328" s="75"/>
    </row>
    <row r="329">
      <c r="A329" s="75"/>
      <c r="B329" s="75"/>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c r="BG329" s="75"/>
      <c r="BH329" s="75"/>
      <c r="BI329" s="75"/>
      <c r="BJ329" s="75"/>
      <c r="BK329" s="75"/>
      <c r="BL329" s="75"/>
      <c r="BM329" s="75"/>
    </row>
    <row r="330">
      <c r="A330" s="75"/>
      <c r="B330" s="75"/>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c r="AA330" s="71"/>
      <c r="AB330" s="71"/>
      <c r="AC330" s="71"/>
      <c r="AD330" s="75"/>
      <c r="AE330" s="75"/>
      <c r="AF330" s="75"/>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c r="BG330" s="75"/>
      <c r="BH330" s="75"/>
      <c r="BI330" s="75"/>
      <c r="BJ330" s="75"/>
      <c r="BK330" s="75"/>
      <c r="BL330" s="75"/>
      <c r="BM330" s="75"/>
    </row>
    <row r="331">
      <c r="A331" s="75"/>
      <c r="B331" s="75"/>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5"/>
      <c r="AE331" s="75"/>
      <c r="AF331" s="75"/>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c r="BG331" s="75"/>
      <c r="BH331" s="75"/>
      <c r="BI331" s="75"/>
      <c r="BJ331" s="75"/>
      <c r="BK331" s="75"/>
      <c r="BL331" s="75"/>
      <c r="BM331" s="75"/>
    </row>
    <row r="332">
      <c r="A332" s="75"/>
      <c r="B332" s="75"/>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c r="AA332" s="71"/>
      <c r="AB332" s="71"/>
      <c r="AC332" s="71"/>
      <c r="AD332" s="75"/>
      <c r="AE332" s="75"/>
      <c r="AF332" s="75"/>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c r="BG332" s="75"/>
      <c r="BH332" s="75"/>
      <c r="BI332" s="75"/>
      <c r="BJ332" s="75"/>
      <c r="BK332" s="75"/>
      <c r="BL332" s="75"/>
      <c r="BM332" s="75"/>
    </row>
    <row r="333">
      <c r="A333" s="75"/>
      <c r="B333" s="75"/>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c r="AA333" s="71"/>
      <c r="AB333" s="71"/>
      <c r="AC333" s="71"/>
      <c r="AD333" s="75"/>
      <c r="AE333" s="75"/>
      <c r="AF333" s="75"/>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c r="BG333" s="75"/>
      <c r="BH333" s="75"/>
      <c r="BI333" s="75"/>
      <c r="BJ333" s="75"/>
      <c r="BK333" s="75"/>
      <c r="BL333" s="75"/>
      <c r="BM333" s="75"/>
    </row>
    <row r="334">
      <c r="A334" s="75"/>
      <c r="B334" s="75"/>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c r="AA334" s="71"/>
      <c r="AB334" s="71"/>
      <c r="AC334" s="71"/>
      <c r="AD334" s="75"/>
      <c r="AE334" s="75"/>
      <c r="AF334" s="75"/>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c r="BG334" s="75"/>
      <c r="BH334" s="75"/>
      <c r="BI334" s="75"/>
      <c r="BJ334" s="75"/>
      <c r="BK334" s="75"/>
      <c r="BL334" s="75"/>
      <c r="BM334" s="75"/>
    </row>
    <row r="335">
      <c r="A335" s="75"/>
      <c r="B335" s="75"/>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c r="AC335" s="71"/>
      <c r="AD335" s="75"/>
      <c r="AE335" s="75"/>
      <c r="AF335" s="75"/>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c r="BG335" s="75"/>
      <c r="BH335" s="75"/>
      <c r="BI335" s="75"/>
      <c r="BJ335" s="75"/>
      <c r="BK335" s="75"/>
      <c r="BL335" s="75"/>
      <c r="BM335" s="75"/>
    </row>
    <row r="336">
      <c r="A336" s="75"/>
      <c r="B336" s="75"/>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c r="AA336" s="71"/>
      <c r="AB336" s="71"/>
      <c r="AC336" s="71"/>
      <c r="AD336" s="75"/>
      <c r="AE336" s="75"/>
      <c r="AF336" s="75"/>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c r="BG336" s="75"/>
      <c r="BH336" s="75"/>
      <c r="BI336" s="75"/>
      <c r="BJ336" s="75"/>
      <c r="BK336" s="75"/>
      <c r="BL336" s="75"/>
      <c r="BM336" s="75"/>
    </row>
    <row r="337">
      <c r="A337" s="75"/>
      <c r="B337" s="75"/>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c r="AA337" s="71"/>
      <c r="AB337" s="71"/>
      <c r="AC337" s="71"/>
      <c r="AD337" s="75"/>
      <c r="AE337" s="75"/>
      <c r="AF337" s="75"/>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c r="BG337" s="75"/>
      <c r="BH337" s="75"/>
      <c r="BI337" s="75"/>
      <c r="BJ337" s="75"/>
      <c r="BK337" s="75"/>
      <c r="BL337" s="75"/>
      <c r="BM337" s="75"/>
    </row>
    <row r="338">
      <c r="A338" s="75"/>
      <c r="B338" s="75"/>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c r="AA338" s="71"/>
      <c r="AB338" s="71"/>
      <c r="AC338" s="71"/>
      <c r="AD338" s="75"/>
      <c r="AE338" s="75"/>
      <c r="AF338" s="75"/>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c r="BG338" s="75"/>
      <c r="BH338" s="75"/>
      <c r="BI338" s="75"/>
      <c r="BJ338" s="75"/>
      <c r="BK338" s="75"/>
      <c r="BL338" s="75"/>
      <c r="BM338" s="75"/>
    </row>
    <row r="339">
      <c r="A339" s="75"/>
      <c r="B339" s="75"/>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c r="AA339" s="71"/>
      <c r="AB339" s="71"/>
      <c r="AC339" s="71"/>
      <c r="AD339" s="75"/>
      <c r="AE339" s="75"/>
      <c r="AF339" s="75"/>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c r="BG339" s="75"/>
      <c r="BH339" s="75"/>
      <c r="BI339" s="75"/>
      <c r="BJ339" s="75"/>
      <c r="BK339" s="75"/>
      <c r="BL339" s="75"/>
      <c r="BM339" s="75"/>
    </row>
    <row r="340">
      <c r="A340" s="75"/>
      <c r="B340" s="75"/>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c r="AA340" s="71"/>
      <c r="AB340" s="71"/>
      <c r="AC340" s="71"/>
      <c r="AD340" s="75"/>
      <c r="AE340" s="75"/>
      <c r="AF340" s="75"/>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c r="BG340" s="75"/>
      <c r="BH340" s="75"/>
      <c r="BI340" s="75"/>
      <c r="BJ340" s="75"/>
      <c r="BK340" s="75"/>
      <c r="BL340" s="75"/>
      <c r="BM340" s="75"/>
    </row>
    <row r="341">
      <c r="A341" s="75"/>
      <c r="B341" s="75"/>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c r="AA341" s="71"/>
      <c r="AB341" s="71"/>
      <c r="AC341" s="71"/>
      <c r="AD341" s="75"/>
      <c r="AE341" s="75"/>
      <c r="AF341" s="75"/>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c r="BG341" s="75"/>
      <c r="BH341" s="75"/>
      <c r="BI341" s="75"/>
      <c r="BJ341" s="75"/>
      <c r="BK341" s="75"/>
      <c r="BL341" s="75"/>
      <c r="BM341" s="75"/>
    </row>
    <row r="342">
      <c r="A342" s="75"/>
      <c r="B342" s="75"/>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c r="AA342" s="71"/>
      <c r="AB342" s="71"/>
      <c r="AC342" s="71"/>
      <c r="AD342" s="75"/>
      <c r="AE342" s="75"/>
      <c r="AF342" s="75"/>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c r="BG342" s="75"/>
      <c r="BH342" s="75"/>
      <c r="BI342" s="75"/>
      <c r="BJ342" s="75"/>
      <c r="BK342" s="75"/>
      <c r="BL342" s="75"/>
      <c r="BM342" s="75"/>
    </row>
    <row r="343">
      <c r="A343" s="75"/>
      <c r="B343" s="75"/>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c r="AA343" s="71"/>
      <c r="AB343" s="71"/>
      <c r="AC343" s="71"/>
      <c r="AD343" s="75"/>
      <c r="AE343" s="75"/>
      <c r="AF343" s="75"/>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c r="BG343" s="75"/>
      <c r="BH343" s="75"/>
      <c r="BI343" s="75"/>
      <c r="BJ343" s="75"/>
      <c r="BK343" s="75"/>
      <c r="BL343" s="75"/>
      <c r="BM343" s="75"/>
    </row>
    <row r="344">
      <c r="A344" s="75"/>
      <c r="B344" s="75"/>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c r="AA344" s="71"/>
      <c r="AB344" s="71"/>
      <c r="AC344" s="71"/>
      <c r="AD344" s="75"/>
      <c r="AE344" s="75"/>
      <c r="AF344" s="75"/>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c r="BG344" s="75"/>
      <c r="BH344" s="75"/>
      <c r="BI344" s="75"/>
      <c r="BJ344" s="75"/>
      <c r="BK344" s="75"/>
      <c r="BL344" s="75"/>
      <c r="BM344" s="75"/>
    </row>
    <row r="345">
      <c r="A345" s="75"/>
      <c r="B345" s="75"/>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c r="AA345" s="71"/>
      <c r="AB345" s="71"/>
      <c r="AC345" s="71"/>
      <c r="AD345" s="75"/>
      <c r="AE345" s="75"/>
      <c r="AF345" s="75"/>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c r="BG345" s="75"/>
      <c r="BH345" s="75"/>
      <c r="BI345" s="75"/>
      <c r="BJ345" s="75"/>
      <c r="BK345" s="75"/>
      <c r="BL345" s="75"/>
      <c r="BM345" s="75"/>
    </row>
    <row r="346">
      <c r="A346" s="75"/>
      <c r="B346" s="75"/>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c r="AA346" s="71"/>
      <c r="AB346" s="71"/>
      <c r="AC346" s="71"/>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c r="BG346" s="75"/>
      <c r="BH346" s="75"/>
      <c r="BI346" s="75"/>
      <c r="BJ346" s="75"/>
      <c r="BK346" s="75"/>
      <c r="BL346" s="75"/>
      <c r="BM346" s="75"/>
    </row>
    <row r="347">
      <c r="A347" s="75"/>
      <c r="B347" s="75"/>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c r="AA347" s="71"/>
      <c r="AB347" s="71"/>
      <c r="AC347" s="71"/>
      <c r="AD347" s="75"/>
      <c r="AE347" s="75"/>
      <c r="AF347" s="75"/>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c r="BG347" s="75"/>
      <c r="BH347" s="75"/>
      <c r="BI347" s="75"/>
      <c r="BJ347" s="75"/>
      <c r="BK347" s="75"/>
      <c r="BL347" s="75"/>
      <c r="BM347" s="75"/>
    </row>
    <row r="348">
      <c r="A348" s="75"/>
      <c r="B348" s="75"/>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c r="AA348" s="71"/>
      <c r="AB348" s="71"/>
      <c r="AC348" s="71"/>
      <c r="AD348" s="75"/>
      <c r="AE348" s="75"/>
      <c r="AF348" s="75"/>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c r="BG348" s="75"/>
      <c r="BH348" s="75"/>
      <c r="BI348" s="75"/>
      <c r="BJ348" s="75"/>
      <c r="BK348" s="75"/>
      <c r="BL348" s="75"/>
      <c r="BM348" s="75"/>
    </row>
    <row r="349">
      <c r="A349" s="75"/>
      <c r="B349" s="75"/>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c r="AA349" s="71"/>
      <c r="AB349" s="71"/>
      <c r="AC349" s="71"/>
      <c r="AD349" s="75"/>
      <c r="AE349" s="75"/>
      <c r="AF349" s="75"/>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c r="BG349" s="75"/>
      <c r="BH349" s="75"/>
      <c r="BI349" s="75"/>
      <c r="BJ349" s="75"/>
      <c r="BK349" s="75"/>
      <c r="BL349" s="75"/>
      <c r="BM349" s="75"/>
    </row>
    <row r="350">
      <c r="A350" s="75"/>
      <c r="B350" s="75"/>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c r="AA350" s="71"/>
      <c r="AB350" s="71"/>
      <c r="AC350" s="71"/>
      <c r="AD350" s="75"/>
      <c r="AE350" s="75"/>
      <c r="AF350" s="75"/>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c r="BG350" s="75"/>
      <c r="BH350" s="75"/>
      <c r="BI350" s="75"/>
      <c r="BJ350" s="75"/>
      <c r="BK350" s="75"/>
      <c r="BL350" s="75"/>
      <c r="BM350" s="75"/>
    </row>
    <row r="351">
      <c r="A351" s="75"/>
      <c r="B351" s="75"/>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c r="AA351" s="71"/>
      <c r="AB351" s="71"/>
      <c r="AC351" s="71"/>
      <c r="AD351" s="75"/>
      <c r="AE351" s="75"/>
      <c r="AF351" s="75"/>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c r="BG351" s="75"/>
      <c r="BH351" s="75"/>
      <c r="BI351" s="75"/>
      <c r="BJ351" s="75"/>
      <c r="BK351" s="75"/>
      <c r="BL351" s="75"/>
      <c r="BM351" s="75"/>
    </row>
    <row r="352">
      <c r="A352" s="75"/>
      <c r="B352" s="75"/>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c r="AA352" s="71"/>
      <c r="AB352" s="71"/>
      <c r="AC352" s="71"/>
      <c r="AD352" s="75"/>
      <c r="AE352" s="75"/>
      <c r="AF352" s="75"/>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c r="BG352" s="75"/>
      <c r="BH352" s="75"/>
      <c r="BI352" s="75"/>
      <c r="BJ352" s="75"/>
      <c r="BK352" s="75"/>
      <c r="BL352" s="75"/>
      <c r="BM352" s="75"/>
    </row>
    <row r="353">
      <c r="A353" s="75"/>
      <c r="B353" s="75"/>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c r="AA353" s="71"/>
      <c r="AB353" s="71"/>
      <c r="AC353" s="71"/>
      <c r="AD353" s="75"/>
      <c r="AE353" s="75"/>
      <c r="AF353" s="75"/>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c r="BG353" s="75"/>
      <c r="BH353" s="75"/>
      <c r="BI353" s="75"/>
      <c r="BJ353" s="75"/>
      <c r="BK353" s="75"/>
      <c r="BL353" s="75"/>
      <c r="BM353" s="75"/>
    </row>
    <row r="354">
      <c r="A354" s="75"/>
      <c r="B354" s="75"/>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c r="AA354" s="71"/>
      <c r="AB354" s="71"/>
      <c r="AC354" s="71"/>
      <c r="AD354" s="75"/>
      <c r="AE354" s="75"/>
      <c r="AF354" s="75"/>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c r="BG354" s="75"/>
      <c r="BH354" s="75"/>
      <c r="BI354" s="75"/>
      <c r="BJ354" s="75"/>
      <c r="BK354" s="75"/>
      <c r="BL354" s="75"/>
      <c r="BM354" s="75"/>
    </row>
    <row r="355">
      <c r="A355" s="75"/>
      <c r="B355" s="75"/>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c r="AA355" s="71"/>
      <c r="AB355" s="71"/>
      <c r="AC355" s="71"/>
      <c r="AD355" s="75"/>
      <c r="AE355" s="75"/>
      <c r="AF355" s="75"/>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c r="BG355" s="75"/>
      <c r="BH355" s="75"/>
      <c r="BI355" s="75"/>
      <c r="BJ355" s="75"/>
      <c r="BK355" s="75"/>
      <c r="BL355" s="75"/>
      <c r="BM355" s="75"/>
    </row>
    <row r="356">
      <c r="A356" s="75"/>
      <c r="B356" s="75"/>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c r="AA356" s="71"/>
      <c r="AB356" s="71"/>
      <c r="AC356" s="71"/>
      <c r="AD356" s="75"/>
      <c r="AE356" s="75"/>
      <c r="AF356" s="75"/>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c r="BG356" s="75"/>
      <c r="BH356" s="75"/>
      <c r="BI356" s="75"/>
      <c r="BJ356" s="75"/>
      <c r="BK356" s="75"/>
      <c r="BL356" s="75"/>
      <c r="BM356" s="75"/>
    </row>
    <row r="357">
      <c r="A357" s="75"/>
      <c r="B357" s="75"/>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c r="AA357" s="71"/>
      <c r="AB357" s="71"/>
      <c r="AC357" s="71"/>
      <c r="AD357" s="75"/>
      <c r="AE357" s="75"/>
      <c r="AF357" s="75"/>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c r="BG357" s="75"/>
      <c r="BH357" s="75"/>
      <c r="BI357" s="75"/>
      <c r="BJ357" s="75"/>
      <c r="BK357" s="75"/>
      <c r="BL357" s="75"/>
      <c r="BM357" s="75"/>
    </row>
    <row r="358">
      <c r="A358" s="75"/>
      <c r="B358" s="75"/>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c r="AA358" s="71"/>
      <c r="AB358" s="71"/>
      <c r="AC358" s="71"/>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c r="BG358" s="75"/>
      <c r="BH358" s="75"/>
      <c r="BI358" s="75"/>
      <c r="BJ358" s="75"/>
      <c r="BK358" s="75"/>
      <c r="BL358" s="75"/>
      <c r="BM358" s="75"/>
    </row>
    <row r="359">
      <c r="A359" s="75"/>
      <c r="B359" s="75"/>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c r="AA359" s="71"/>
      <c r="AB359" s="71"/>
      <c r="AC359" s="71"/>
      <c r="AD359" s="75"/>
      <c r="AE359" s="75"/>
      <c r="AF359" s="75"/>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c r="BG359" s="75"/>
      <c r="BH359" s="75"/>
      <c r="BI359" s="75"/>
      <c r="BJ359" s="75"/>
      <c r="BK359" s="75"/>
      <c r="BL359" s="75"/>
      <c r="BM359" s="75"/>
    </row>
    <row r="360">
      <c r="A360" s="75"/>
      <c r="B360" s="75"/>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c r="AA360" s="71"/>
      <c r="AB360" s="71"/>
      <c r="AC360" s="71"/>
      <c r="AD360" s="75"/>
      <c r="AE360" s="75"/>
      <c r="AF360" s="75"/>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c r="BG360" s="75"/>
      <c r="BH360" s="75"/>
      <c r="BI360" s="75"/>
      <c r="BJ360" s="75"/>
      <c r="BK360" s="75"/>
      <c r="BL360" s="75"/>
      <c r="BM360" s="75"/>
    </row>
    <row r="361">
      <c r="A361" s="75"/>
      <c r="B361" s="75"/>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5"/>
      <c r="AE361" s="75"/>
      <c r="AF361" s="75"/>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c r="BG361" s="75"/>
      <c r="BH361" s="75"/>
      <c r="BI361" s="75"/>
      <c r="BJ361" s="75"/>
      <c r="BK361" s="75"/>
      <c r="BL361" s="75"/>
      <c r="BM361" s="75"/>
    </row>
    <row r="362">
      <c r="A362" s="75"/>
      <c r="B362" s="75"/>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c r="AA362" s="71"/>
      <c r="AB362" s="71"/>
      <c r="AC362" s="71"/>
      <c r="AD362" s="75"/>
      <c r="AE362" s="75"/>
      <c r="AF362" s="75"/>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c r="BG362" s="75"/>
      <c r="BH362" s="75"/>
      <c r="BI362" s="75"/>
      <c r="BJ362" s="75"/>
      <c r="BK362" s="75"/>
      <c r="BL362" s="75"/>
      <c r="BM362" s="75"/>
    </row>
    <row r="363">
      <c r="A363" s="75"/>
      <c r="B363" s="75"/>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5"/>
      <c r="AE363" s="75"/>
      <c r="AF363" s="75"/>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c r="BG363" s="75"/>
      <c r="BH363" s="75"/>
      <c r="BI363" s="75"/>
      <c r="BJ363" s="75"/>
      <c r="BK363" s="75"/>
      <c r="BL363" s="75"/>
      <c r="BM363" s="75"/>
    </row>
    <row r="364">
      <c r="A364" s="75"/>
      <c r="B364" s="75"/>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c r="AA364" s="71"/>
      <c r="AB364" s="71"/>
      <c r="AC364" s="71"/>
      <c r="AD364" s="75"/>
      <c r="AE364" s="75"/>
      <c r="AF364" s="75"/>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c r="BG364" s="75"/>
      <c r="BH364" s="75"/>
      <c r="BI364" s="75"/>
      <c r="BJ364" s="75"/>
      <c r="BK364" s="75"/>
      <c r="BL364" s="75"/>
      <c r="BM364" s="75"/>
    </row>
    <row r="365">
      <c r="A365" s="75"/>
      <c r="B365" s="75"/>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5"/>
      <c r="AE365" s="75"/>
      <c r="AF365" s="75"/>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c r="BG365" s="75"/>
      <c r="BH365" s="75"/>
      <c r="BI365" s="75"/>
      <c r="BJ365" s="75"/>
      <c r="BK365" s="75"/>
      <c r="BL365" s="75"/>
      <c r="BM365" s="75"/>
    </row>
    <row r="366">
      <c r="A366" s="75"/>
      <c r="B366" s="75"/>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c r="AA366" s="71"/>
      <c r="AB366" s="71"/>
      <c r="AC366" s="71"/>
      <c r="AD366" s="75"/>
      <c r="AE366" s="75"/>
      <c r="AF366" s="75"/>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c r="BG366" s="75"/>
      <c r="BH366" s="75"/>
      <c r="BI366" s="75"/>
      <c r="BJ366" s="75"/>
      <c r="BK366" s="75"/>
      <c r="BL366" s="75"/>
      <c r="BM366" s="75"/>
    </row>
    <row r="367">
      <c r="A367" s="75"/>
      <c r="B367" s="75"/>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5"/>
      <c r="AE367" s="75"/>
      <c r="AF367" s="75"/>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c r="BG367" s="75"/>
      <c r="BH367" s="75"/>
      <c r="BI367" s="75"/>
      <c r="BJ367" s="75"/>
      <c r="BK367" s="75"/>
      <c r="BL367" s="75"/>
      <c r="BM367" s="75"/>
    </row>
    <row r="368">
      <c r="A368" s="75"/>
      <c r="B368" s="75"/>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c r="AA368" s="71"/>
      <c r="AB368" s="71"/>
      <c r="AC368" s="71"/>
      <c r="AD368" s="75"/>
      <c r="AE368" s="75"/>
      <c r="AF368" s="75"/>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c r="BG368" s="75"/>
      <c r="BH368" s="75"/>
      <c r="BI368" s="75"/>
      <c r="BJ368" s="75"/>
      <c r="BK368" s="75"/>
      <c r="BL368" s="75"/>
      <c r="BM368" s="75"/>
    </row>
    <row r="369">
      <c r="A369" s="75"/>
      <c r="B369" s="75"/>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5"/>
      <c r="AE369" s="75"/>
      <c r="AF369" s="75"/>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c r="BG369" s="75"/>
      <c r="BH369" s="75"/>
      <c r="BI369" s="75"/>
      <c r="BJ369" s="75"/>
      <c r="BK369" s="75"/>
      <c r="BL369" s="75"/>
      <c r="BM369" s="75"/>
    </row>
    <row r="370">
      <c r="A370" s="75"/>
      <c r="B370" s="75"/>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c r="AA370" s="71"/>
      <c r="AB370" s="71"/>
      <c r="AC370" s="71"/>
      <c r="AD370" s="75"/>
      <c r="AE370" s="75"/>
      <c r="AF370" s="75"/>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c r="BG370" s="75"/>
      <c r="BH370" s="75"/>
      <c r="BI370" s="75"/>
      <c r="BJ370" s="75"/>
      <c r="BK370" s="75"/>
      <c r="BL370" s="75"/>
      <c r="BM370" s="75"/>
    </row>
    <row r="371">
      <c r="A371" s="75"/>
      <c r="B371" s="75"/>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5"/>
      <c r="AE371" s="75"/>
      <c r="AF371" s="75"/>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c r="BG371" s="75"/>
      <c r="BH371" s="75"/>
      <c r="BI371" s="75"/>
      <c r="BJ371" s="75"/>
      <c r="BK371" s="75"/>
      <c r="BL371" s="75"/>
      <c r="BM371" s="75"/>
    </row>
    <row r="372">
      <c r="A372" s="75"/>
      <c r="B372" s="75"/>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c r="AA372" s="71"/>
      <c r="AB372" s="71"/>
      <c r="AC372" s="71"/>
      <c r="AD372" s="75"/>
      <c r="AE372" s="75"/>
      <c r="AF372" s="75"/>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c r="BG372" s="75"/>
      <c r="BH372" s="75"/>
      <c r="BI372" s="75"/>
      <c r="BJ372" s="75"/>
      <c r="BK372" s="75"/>
      <c r="BL372" s="75"/>
      <c r="BM372" s="75"/>
    </row>
    <row r="373">
      <c r="A373" s="75"/>
      <c r="B373" s="75"/>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5"/>
      <c r="AE373" s="75"/>
      <c r="AF373" s="75"/>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c r="BG373" s="75"/>
      <c r="BH373" s="75"/>
      <c r="BI373" s="75"/>
      <c r="BJ373" s="75"/>
      <c r="BK373" s="75"/>
      <c r="BL373" s="75"/>
      <c r="BM373" s="75"/>
    </row>
    <row r="374">
      <c r="A374" s="75"/>
      <c r="B374" s="75"/>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c r="AA374" s="71"/>
      <c r="AB374" s="71"/>
      <c r="AC374" s="71"/>
      <c r="AD374" s="75"/>
      <c r="AE374" s="75"/>
      <c r="AF374" s="75"/>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c r="BG374" s="75"/>
      <c r="BH374" s="75"/>
      <c r="BI374" s="75"/>
      <c r="BJ374" s="75"/>
      <c r="BK374" s="75"/>
      <c r="BL374" s="75"/>
      <c r="BM374" s="75"/>
    </row>
    <row r="375">
      <c r="A375" s="75"/>
      <c r="B375" s="75"/>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5"/>
      <c r="AE375" s="75"/>
      <c r="AF375" s="75"/>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c r="BG375" s="75"/>
      <c r="BH375" s="75"/>
      <c r="BI375" s="75"/>
      <c r="BJ375" s="75"/>
      <c r="BK375" s="75"/>
      <c r="BL375" s="75"/>
      <c r="BM375" s="75"/>
    </row>
    <row r="376">
      <c r="A376" s="75"/>
      <c r="B376" s="75"/>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5"/>
      <c r="AE376" s="75"/>
      <c r="AF376" s="75"/>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c r="BG376" s="75"/>
      <c r="BH376" s="75"/>
      <c r="BI376" s="75"/>
      <c r="BJ376" s="75"/>
      <c r="BK376" s="75"/>
      <c r="BL376" s="75"/>
      <c r="BM376" s="75"/>
    </row>
    <row r="377">
      <c r="A377" s="75"/>
      <c r="B377" s="75"/>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1"/>
      <c r="AB377" s="71"/>
      <c r="AC377" s="71"/>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c r="BG377" s="75"/>
      <c r="BH377" s="75"/>
      <c r="BI377" s="75"/>
      <c r="BJ377" s="75"/>
      <c r="BK377" s="75"/>
      <c r="BL377" s="75"/>
      <c r="BM377" s="75"/>
    </row>
    <row r="378">
      <c r="A378" s="75"/>
      <c r="B378" s="75"/>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c r="AA378" s="71"/>
      <c r="AB378" s="71"/>
      <c r="AC378" s="71"/>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c r="BG378" s="75"/>
      <c r="BH378" s="75"/>
      <c r="BI378" s="75"/>
      <c r="BJ378" s="75"/>
      <c r="BK378" s="75"/>
      <c r="BL378" s="75"/>
      <c r="BM378" s="75"/>
    </row>
    <row r="379">
      <c r="A379" s="75"/>
      <c r="B379" s="75"/>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c r="AA379" s="71"/>
      <c r="AB379" s="71"/>
      <c r="AC379" s="71"/>
      <c r="AD379" s="75"/>
      <c r="AE379" s="75"/>
      <c r="AF379" s="75"/>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c r="BG379" s="75"/>
      <c r="BH379" s="75"/>
      <c r="BI379" s="75"/>
      <c r="BJ379" s="75"/>
      <c r="BK379" s="75"/>
      <c r="BL379" s="75"/>
      <c r="BM379" s="75"/>
    </row>
    <row r="380">
      <c r="A380" s="75"/>
      <c r="B380" s="75"/>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c r="AA380" s="71"/>
      <c r="AB380" s="71"/>
      <c r="AC380" s="71"/>
      <c r="AD380" s="75"/>
      <c r="AE380" s="75"/>
      <c r="AF380" s="75"/>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c r="BG380" s="75"/>
      <c r="BH380" s="75"/>
      <c r="BI380" s="75"/>
      <c r="BJ380" s="75"/>
      <c r="BK380" s="75"/>
      <c r="BL380" s="75"/>
      <c r="BM380" s="75"/>
    </row>
    <row r="381">
      <c r="A381" s="75"/>
      <c r="B381" s="75"/>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5"/>
      <c r="AE381" s="75"/>
      <c r="AF381" s="75"/>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c r="BG381" s="75"/>
      <c r="BH381" s="75"/>
      <c r="BI381" s="75"/>
      <c r="BJ381" s="75"/>
      <c r="BK381" s="75"/>
      <c r="BL381" s="75"/>
      <c r="BM381" s="75"/>
    </row>
    <row r="382">
      <c r="A382" s="75"/>
      <c r="B382" s="75"/>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5"/>
      <c r="AE382" s="75"/>
      <c r="AF382" s="75"/>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c r="BG382" s="75"/>
      <c r="BH382" s="75"/>
      <c r="BI382" s="75"/>
      <c r="BJ382" s="75"/>
      <c r="BK382" s="75"/>
      <c r="BL382" s="75"/>
      <c r="BM382" s="75"/>
    </row>
    <row r="383">
      <c r="A383" s="75"/>
      <c r="B383" s="75"/>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5"/>
      <c r="AE383" s="75"/>
      <c r="AF383" s="75"/>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c r="BG383" s="75"/>
      <c r="BH383" s="75"/>
      <c r="BI383" s="75"/>
      <c r="BJ383" s="75"/>
      <c r="BK383" s="75"/>
      <c r="BL383" s="75"/>
      <c r="BM383" s="75"/>
    </row>
    <row r="384">
      <c r="A384" s="75"/>
      <c r="B384" s="75"/>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c r="AA384" s="71"/>
      <c r="AB384" s="71"/>
      <c r="AC384" s="71"/>
      <c r="AD384" s="75"/>
      <c r="AE384" s="75"/>
      <c r="AF384" s="75"/>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c r="BK384" s="75"/>
      <c r="BL384" s="75"/>
      <c r="BM384" s="75"/>
    </row>
    <row r="385">
      <c r="A385" s="75"/>
      <c r="B385" s="75"/>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c r="AA385" s="71"/>
      <c r="AB385" s="71"/>
      <c r="AC385" s="71"/>
      <c r="AD385" s="75"/>
      <c r="AE385" s="75"/>
      <c r="AF385" s="75"/>
      <c r="AG385" s="75"/>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c r="BK385" s="75"/>
      <c r="BL385" s="75"/>
      <c r="BM385" s="75"/>
    </row>
    <row r="386">
      <c r="A386" s="75"/>
      <c r="B386" s="75"/>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c r="AA386" s="71"/>
      <c r="AB386" s="71"/>
      <c r="AC386" s="71"/>
      <c r="AD386" s="75"/>
      <c r="AE386" s="75"/>
      <c r="AF386" s="75"/>
      <c r="AG386" s="75"/>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c r="BK386" s="75"/>
      <c r="BL386" s="75"/>
      <c r="BM386" s="75"/>
    </row>
    <row r="387">
      <c r="A387" s="75"/>
      <c r="B387" s="75"/>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1"/>
      <c r="AB387" s="71"/>
      <c r="AC387" s="71"/>
      <c r="AD387" s="75"/>
      <c r="AE387" s="75"/>
      <c r="AF387" s="75"/>
      <c r="AG387" s="75"/>
      <c r="AH387" s="75"/>
      <c r="AI387" s="75"/>
      <c r="AJ387" s="75"/>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c r="BK387" s="75"/>
      <c r="BL387" s="75"/>
      <c r="BM387" s="75"/>
    </row>
    <row r="388">
      <c r="A388" s="75"/>
      <c r="B388" s="75"/>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1"/>
      <c r="AB388" s="71"/>
      <c r="AC388" s="71"/>
      <c r="AD388" s="75"/>
      <c r="AE388" s="75"/>
      <c r="AF388" s="75"/>
      <c r="AG388" s="75"/>
      <c r="AH388" s="75"/>
      <c r="AI388" s="75"/>
      <c r="AJ388" s="75"/>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c r="BK388" s="75"/>
      <c r="BL388" s="75"/>
      <c r="BM388" s="75"/>
    </row>
    <row r="389">
      <c r="A389" s="75"/>
      <c r="B389" s="75"/>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1"/>
      <c r="AB389" s="71"/>
      <c r="AC389" s="71"/>
      <c r="AD389" s="75"/>
      <c r="AE389" s="75"/>
      <c r="AF389" s="75"/>
      <c r="AG389" s="75"/>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c r="BK389" s="75"/>
      <c r="BL389" s="75"/>
      <c r="BM389" s="75"/>
    </row>
    <row r="390">
      <c r="A390" s="75"/>
      <c r="B390" s="75"/>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c r="AA390" s="71"/>
      <c r="AB390" s="71"/>
      <c r="AC390" s="71"/>
      <c r="AD390" s="75"/>
      <c r="AE390" s="75"/>
      <c r="AF390" s="75"/>
      <c r="AG390" s="75"/>
      <c r="AH390" s="75"/>
      <c r="AI390" s="75"/>
      <c r="AJ390" s="75"/>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c r="BK390" s="75"/>
      <c r="BL390" s="75"/>
      <c r="BM390" s="75"/>
    </row>
    <row r="391">
      <c r="A391" s="75"/>
      <c r="B391" s="75"/>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1"/>
      <c r="AB391" s="71"/>
      <c r="AC391" s="71"/>
      <c r="AD391" s="75"/>
      <c r="AE391" s="75"/>
      <c r="AF391" s="75"/>
      <c r="AG391" s="75"/>
      <c r="AH391" s="75"/>
      <c r="AI391" s="75"/>
      <c r="AJ391" s="75"/>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c r="BK391" s="75"/>
      <c r="BL391" s="75"/>
      <c r="BM391" s="75"/>
    </row>
    <row r="392">
      <c r="A392" s="75"/>
      <c r="B392" s="75"/>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c r="AA392" s="71"/>
      <c r="AB392" s="71"/>
      <c r="AC392" s="71"/>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c r="BK392" s="75"/>
      <c r="BL392" s="75"/>
      <c r="BM392" s="75"/>
    </row>
    <row r="393">
      <c r="A393" s="75"/>
      <c r="B393" s="75"/>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5"/>
      <c r="AE393" s="75"/>
      <c r="AF393" s="75"/>
      <c r="AG393" s="75"/>
      <c r="AH393" s="75"/>
      <c r="AI393" s="75"/>
      <c r="AJ393" s="75"/>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c r="BK393" s="75"/>
      <c r="BL393" s="75"/>
      <c r="BM393" s="75"/>
    </row>
    <row r="394">
      <c r="A394" s="75"/>
      <c r="B394" s="75"/>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5"/>
      <c r="AE394" s="75"/>
      <c r="AF394" s="75"/>
      <c r="AG394" s="75"/>
      <c r="AH394" s="75"/>
      <c r="AI394" s="75"/>
      <c r="AJ394" s="75"/>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c r="BK394" s="75"/>
      <c r="BL394" s="75"/>
      <c r="BM394" s="75"/>
    </row>
    <row r="395">
      <c r="A395" s="75"/>
      <c r="B395" s="75"/>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1"/>
      <c r="AB395" s="71"/>
      <c r="AC395" s="71"/>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c r="BK395" s="75"/>
      <c r="BL395" s="75"/>
      <c r="BM395" s="75"/>
    </row>
    <row r="396">
      <c r="A396" s="75"/>
      <c r="B396" s="75"/>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c r="BK396" s="75"/>
      <c r="BL396" s="75"/>
      <c r="BM396" s="75"/>
    </row>
    <row r="397">
      <c r="A397" s="75"/>
      <c r="B397" s="75"/>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c r="BK397" s="75"/>
      <c r="BL397" s="75"/>
      <c r="BM397" s="75"/>
    </row>
    <row r="398">
      <c r="A398" s="75"/>
      <c r="B398" s="75"/>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c r="BK398" s="75"/>
      <c r="BL398" s="75"/>
      <c r="BM398" s="75"/>
    </row>
    <row r="399">
      <c r="A399" s="75"/>
      <c r="B399" s="75"/>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1"/>
      <c r="AB399" s="71"/>
      <c r="AC399" s="71"/>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c r="BK399" s="75"/>
      <c r="BL399" s="75"/>
      <c r="BM399" s="75"/>
    </row>
    <row r="400">
      <c r="A400" s="75"/>
      <c r="B400" s="75"/>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5"/>
      <c r="AE400" s="75"/>
      <c r="AF400" s="75"/>
      <c r="AG400" s="75"/>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c r="BK400" s="75"/>
      <c r="BL400" s="75"/>
      <c r="BM400" s="75"/>
    </row>
    <row r="401">
      <c r="A401" s="75"/>
      <c r="B401" s="75"/>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5"/>
      <c r="AE401" s="75"/>
      <c r="AF401" s="75"/>
      <c r="AG401" s="75"/>
      <c r="AH401" s="75"/>
      <c r="AI401" s="75"/>
      <c r="AJ401" s="75"/>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c r="BK401" s="75"/>
      <c r="BL401" s="75"/>
      <c r="BM401" s="75"/>
    </row>
    <row r="402">
      <c r="A402" s="75"/>
      <c r="B402" s="75"/>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5"/>
      <c r="AE402" s="75"/>
      <c r="AF402" s="75"/>
      <c r="AG402" s="75"/>
      <c r="AH402" s="75"/>
      <c r="AI402" s="75"/>
      <c r="AJ402" s="75"/>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c r="BK402" s="75"/>
      <c r="BL402" s="75"/>
      <c r="BM402" s="75"/>
    </row>
    <row r="403">
      <c r="A403" s="75"/>
      <c r="B403" s="75"/>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1"/>
      <c r="AB403" s="71"/>
      <c r="AC403" s="71"/>
      <c r="AD403" s="75"/>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c r="BK403" s="75"/>
      <c r="BL403" s="75"/>
      <c r="BM403" s="75"/>
    </row>
    <row r="404">
      <c r="A404" s="75"/>
      <c r="B404" s="75"/>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5"/>
      <c r="AE404" s="75"/>
      <c r="AF404" s="75"/>
      <c r="AG404" s="75"/>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c r="BK404" s="75"/>
      <c r="BL404" s="75"/>
      <c r="BM404" s="75"/>
    </row>
    <row r="405">
      <c r="A405" s="75"/>
      <c r="B405" s="75"/>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5"/>
      <c r="AE405" s="75"/>
      <c r="AF405" s="75"/>
      <c r="AG405" s="75"/>
      <c r="AH405" s="75"/>
      <c r="AI405" s="75"/>
      <c r="AJ405" s="75"/>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c r="BK405" s="75"/>
      <c r="BL405" s="75"/>
      <c r="BM405" s="75"/>
    </row>
    <row r="406">
      <c r="A406" s="75"/>
      <c r="B406" s="75"/>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5"/>
      <c r="AE406" s="75"/>
      <c r="AF406" s="75"/>
      <c r="AG406" s="75"/>
      <c r="AH406" s="75"/>
      <c r="AI406" s="75"/>
      <c r="AJ406" s="75"/>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c r="BK406" s="75"/>
      <c r="BL406" s="75"/>
      <c r="BM406" s="75"/>
    </row>
    <row r="407">
      <c r="A407" s="75"/>
      <c r="B407" s="75"/>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5"/>
      <c r="AE407" s="75"/>
      <c r="AF407" s="75"/>
      <c r="AG407" s="75"/>
      <c r="AH407" s="75"/>
      <c r="AI407" s="75"/>
      <c r="AJ407" s="75"/>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c r="BK407" s="75"/>
      <c r="BL407" s="75"/>
      <c r="BM407" s="75"/>
    </row>
    <row r="408">
      <c r="A408" s="75"/>
      <c r="B408" s="75"/>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c r="AA408" s="71"/>
      <c r="AB408" s="71"/>
      <c r="AC408" s="71"/>
      <c r="AD408" s="75"/>
      <c r="AE408" s="75"/>
      <c r="AF408" s="75"/>
      <c r="AG408" s="75"/>
      <c r="AH408" s="75"/>
      <c r="AI408" s="75"/>
      <c r="AJ408" s="75"/>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c r="BK408" s="75"/>
      <c r="BL408" s="75"/>
      <c r="BM408" s="75"/>
    </row>
    <row r="409">
      <c r="A409" s="75"/>
      <c r="B409" s="75"/>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5"/>
      <c r="AE409" s="75"/>
      <c r="AF409" s="75"/>
      <c r="AG409" s="75"/>
      <c r="AH409" s="75"/>
      <c r="AI409" s="75"/>
      <c r="AJ409" s="75"/>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c r="BK409" s="75"/>
      <c r="BL409" s="75"/>
      <c r="BM409" s="75"/>
    </row>
    <row r="410">
      <c r="A410" s="75"/>
      <c r="B410" s="75"/>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c r="AA410" s="71"/>
      <c r="AB410" s="71"/>
      <c r="AC410" s="71"/>
      <c r="AD410" s="75"/>
      <c r="AE410" s="75"/>
      <c r="AF410" s="75"/>
      <c r="AG410" s="75"/>
      <c r="AH410" s="75"/>
      <c r="AI410" s="75"/>
      <c r="AJ410" s="75"/>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c r="BK410" s="75"/>
      <c r="BL410" s="75"/>
      <c r="BM410" s="75"/>
    </row>
    <row r="411">
      <c r="A411" s="75"/>
      <c r="B411" s="75"/>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1"/>
      <c r="AB411" s="71"/>
      <c r="AC411" s="71"/>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c r="BK411" s="75"/>
      <c r="BL411" s="75"/>
      <c r="BM411" s="75"/>
    </row>
    <row r="412">
      <c r="A412" s="75"/>
      <c r="B412" s="75"/>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5"/>
      <c r="AE412" s="75"/>
      <c r="AF412" s="75"/>
      <c r="AG412" s="75"/>
      <c r="AH412" s="75"/>
      <c r="AI412" s="75"/>
      <c r="AJ412" s="75"/>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c r="BK412" s="75"/>
      <c r="BL412" s="75"/>
      <c r="BM412" s="75"/>
    </row>
    <row r="413">
      <c r="A413" s="75"/>
      <c r="B413" s="75"/>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5"/>
      <c r="AE413" s="75"/>
      <c r="AF413" s="75"/>
      <c r="AG413" s="75"/>
      <c r="AH413" s="75"/>
      <c r="AI413" s="75"/>
      <c r="AJ413" s="75"/>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c r="BK413" s="75"/>
      <c r="BL413" s="75"/>
      <c r="BM413" s="75"/>
    </row>
    <row r="414">
      <c r="A414" s="75"/>
      <c r="B414" s="75"/>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c r="AA414" s="71"/>
      <c r="AB414" s="71"/>
      <c r="AC414" s="71"/>
      <c r="AD414" s="75"/>
      <c r="AE414" s="75"/>
      <c r="AF414" s="75"/>
      <c r="AG414" s="75"/>
      <c r="AH414" s="75"/>
      <c r="AI414" s="75"/>
      <c r="AJ414" s="75"/>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c r="BK414" s="75"/>
      <c r="BL414" s="75"/>
      <c r="BM414" s="75"/>
    </row>
    <row r="415">
      <c r="A415" s="75"/>
      <c r="B415" s="75"/>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1"/>
      <c r="AB415" s="71"/>
      <c r="AC415" s="71"/>
      <c r="AD415" s="75"/>
      <c r="AE415" s="75"/>
      <c r="AF415" s="75"/>
      <c r="AG415" s="75"/>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c r="BK415" s="75"/>
      <c r="BL415" s="75"/>
      <c r="BM415" s="75"/>
    </row>
    <row r="416">
      <c r="A416" s="75"/>
      <c r="B416" s="75"/>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c r="AA416" s="71"/>
      <c r="AB416" s="71"/>
      <c r="AC416" s="71"/>
      <c r="AD416" s="75"/>
      <c r="AE416" s="75"/>
      <c r="AF416" s="75"/>
      <c r="AG416" s="75"/>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c r="BK416" s="75"/>
      <c r="BL416" s="75"/>
      <c r="BM416" s="75"/>
    </row>
    <row r="417">
      <c r="A417" s="75"/>
      <c r="B417" s="75"/>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5"/>
      <c r="AE417" s="75"/>
      <c r="AF417" s="75"/>
      <c r="AG417" s="75"/>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c r="BK417" s="75"/>
      <c r="BL417" s="75"/>
      <c r="BM417" s="75"/>
    </row>
    <row r="418">
      <c r="A418" s="75"/>
      <c r="B418" s="75"/>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c r="AA418" s="71"/>
      <c r="AB418" s="71"/>
      <c r="AC418" s="71"/>
      <c r="AD418" s="75"/>
      <c r="AE418" s="75"/>
      <c r="AF418" s="75"/>
      <c r="AG418" s="75"/>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c r="BK418" s="75"/>
      <c r="BL418" s="75"/>
      <c r="BM418" s="75"/>
    </row>
    <row r="419">
      <c r="A419" s="75"/>
      <c r="B419" s="75"/>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5"/>
      <c r="AE419" s="75"/>
      <c r="AF419" s="75"/>
      <c r="AG419" s="75"/>
      <c r="AH419" s="75"/>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c r="BK419" s="75"/>
      <c r="BL419" s="75"/>
      <c r="BM419" s="75"/>
    </row>
    <row r="420">
      <c r="A420" s="75"/>
      <c r="B420" s="75"/>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c r="AA420" s="71"/>
      <c r="AB420" s="71"/>
      <c r="AC420" s="71"/>
      <c r="AD420" s="75"/>
      <c r="AE420" s="75"/>
      <c r="AF420" s="75"/>
      <c r="AG420" s="75"/>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c r="BK420" s="75"/>
      <c r="BL420" s="75"/>
      <c r="BM420" s="75"/>
    </row>
    <row r="421">
      <c r="A421" s="75"/>
      <c r="B421" s="75"/>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1"/>
      <c r="AB421" s="71"/>
      <c r="AC421" s="71"/>
      <c r="AD421" s="75"/>
      <c r="AE421" s="75"/>
      <c r="AF421" s="75"/>
      <c r="AG421" s="75"/>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c r="BK421" s="75"/>
      <c r="BL421" s="75"/>
      <c r="BM421" s="75"/>
    </row>
    <row r="422">
      <c r="A422" s="75"/>
      <c r="B422" s="75"/>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c r="AA422" s="71"/>
      <c r="AB422" s="71"/>
      <c r="AC422" s="71"/>
      <c r="AD422" s="75"/>
      <c r="AE422" s="75"/>
      <c r="AF422" s="75"/>
      <c r="AG422" s="75"/>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c r="BK422" s="75"/>
      <c r="BL422" s="75"/>
      <c r="BM422" s="75"/>
    </row>
    <row r="423">
      <c r="A423" s="75"/>
      <c r="B423" s="75"/>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c r="BK423" s="75"/>
      <c r="BL423" s="75"/>
      <c r="BM423" s="75"/>
    </row>
    <row r="424">
      <c r="A424" s="75"/>
      <c r="B424" s="75"/>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c r="AA424" s="71"/>
      <c r="AB424" s="71"/>
      <c r="AC424" s="71"/>
      <c r="AD424" s="75"/>
      <c r="AE424" s="75"/>
      <c r="AF424" s="75"/>
      <c r="AG424" s="75"/>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c r="BK424" s="75"/>
      <c r="BL424" s="75"/>
      <c r="BM424" s="75"/>
    </row>
    <row r="425">
      <c r="A425" s="75"/>
      <c r="B425" s="75"/>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5"/>
      <c r="AE425" s="75"/>
      <c r="AF425" s="75"/>
      <c r="AG425" s="75"/>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c r="BK425" s="75"/>
      <c r="BL425" s="75"/>
      <c r="BM425" s="75"/>
    </row>
    <row r="426">
      <c r="A426" s="75"/>
      <c r="B426" s="75"/>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c r="AA426" s="71"/>
      <c r="AB426" s="71"/>
      <c r="AC426" s="71"/>
      <c r="AD426" s="75"/>
      <c r="AE426" s="75"/>
      <c r="AF426" s="75"/>
      <c r="AG426" s="75"/>
      <c r="AH426" s="75"/>
      <c r="AI426" s="75"/>
      <c r="AJ426" s="75"/>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c r="BK426" s="75"/>
      <c r="BL426" s="75"/>
      <c r="BM426" s="75"/>
    </row>
    <row r="427">
      <c r="A427" s="75"/>
      <c r="B427" s="75"/>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1"/>
      <c r="AB427" s="71"/>
      <c r="AC427" s="71"/>
      <c r="AD427" s="75"/>
      <c r="AE427" s="75"/>
      <c r="AF427" s="75"/>
      <c r="AG427" s="75"/>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c r="BK427" s="75"/>
      <c r="BL427" s="75"/>
      <c r="BM427" s="75"/>
    </row>
    <row r="428">
      <c r="A428" s="75"/>
      <c r="B428" s="75"/>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c r="AA428" s="71"/>
      <c r="AB428" s="71"/>
      <c r="AC428" s="71"/>
      <c r="AD428" s="75"/>
      <c r="AE428" s="75"/>
      <c r="AF428" s="75"/>
      <c r="AG428" s="75"/>
      <c r="AH428" s="75"/>
      <c r="AI428" s="75"/>
      <c r="AJ428" s="75"/>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c r="BK428" s="75"/>
      <c r="BL428" s="75"/>
      <c r="BM428" s="75"/>
    </row>
    <row r="429">
      <c r="A429" s="75"/>
      <c r="B429" s="75"/>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1"/>
      <c r="AB429" s="71"/>
      <c r="AC429" s="71"/>
      <c r="AD429" s="75"/>
      <c r="AE429" s="75"/>
      <c r="AF429" s="75"/>
      <c r="AG429" s="75"/>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c r="BK429" s="75"/>
      <c r="BL429" s="75"/>
      <c r="BM429" s="75"/>
    </row>
    <row r="430">
      <c r="A430" s="75"/>
      <c r="B430" s="75"/>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c r="AA430" s="71"/>
      <c r="AB430" s="71"/>
      <c r="AC430" s="71"/>
      <c r="AD430" s="75"/>
      <c r="AE430" s="75"/>
      <c r="AF430" s="75"/>
      <c r="AG430" s="75"/>
      <c r="AH430" s="75"/>
      <c r="AI430" s="75"/>
      <c r="AJ430" s="75"/>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c r="BK430" s="75"/>
      <c r="BL430" s="75"/>
      <c r="BM430" s="75"/>
    </row>
    <row r="431">
      <c r="A431" s="75"/>
      <c r="B431" s="75"/>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1"/>
      <c r="AB431" s="71"/>
      <c r="AC431" s="71"/>
      <c r="AD431" s="75"/>
      <c r="AE431" s="75"/>
      <c r="AF431" s="75"/>
      <c r="AG431" s="75"/>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c r="BK431" s="75"/>
      <c r="BL431" s="75"/>
      <c r="BM431" s="75"/>
    </row>
    <row r="432">
      <c r="A432" s="75"/>
      <c r="B432" s="75"/>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c r="AA432" s="71"/>
      <c r="AB432" s="71"/>
      <c r="AC432" s="71"/>
      <c r="AD432" s="75"/>
      <c r="AE432" s="75"/>
      <c r="AF432" s="75"/>
      <c r="AG432" s="75"/>
      <c r="AH432" s="75"/>
      <c r="AI432" s="75"/>
      <c r="AJ432" s="75"/>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c r="BK432" s="75"/>
      <c r="BL432" s="75"/>
      <c r="BM432" s="75"/>
    </row>
    <row r="433">
      <c r="A433" s="75"/>
      <c r="B433" s="75"/>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5"/>
      <c r="AE433" s="75"/>
      <c r="AF433" s="75"/>
      <c r="AG433" s="75"/>
      <c r="AH433" s="75"/>
      <c r="AI433" s="75"/>
      <c r="AJ433" s="75"/>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c r="BK433" s="75"/>
      <c r="BL433" s="75"/>
      <c r="BM433" s="75"/>
    </row>
    <row r="434">
      <c r="A434" s="75"/>
      <c r="B434" s="75"/>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c r="AA434" s="71"/>
      <c r="AB434" s="71"/>
      <c r="AC434" s="71"/>
      <c r="AD434" s="75"/>
      <c r="AE434" s="75"/>
      <c r="AF434" s="75"/>
      <c r="AG434" s="75"/>
      <c r="AH434" s="75"/>
      <c r="AI434" s="75"/>
      <c r="AJ434" s="75"/>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c r="BK434" s="75"/>
      <c r="BL434" s="75"/>
      <c r="BM434" s="75"/>
    </row>
    <row r="435">
      <c r="A435" s="75"/>
      <c r="B435" s="75"/>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1"/>
      <c r="AB435" s="71"/>
      <c r="AC435" s="71"/>
      <c r="AD435" s="75"/>
      <c r="AE435" s="75"/>
      <c r="AF435" s="75"/>
      <c r="AG435" s="75"/>
      <c r="AH435" s="75"/>
      <c r="AI435" s="75"/>
      <c r="AJ435" s="75"/>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c r="BK435" s="75"/>
      <c r="BL435" s="75"/>
      <c r="BM435" s="75"/>
    </row>
    <row r="436">
      <c r="A436" s="75"/>
      <c r="B436" s="75"/>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c r="AA436" s="71"/>
      <c r="AB436" s="71"/>
      <c r="AC436" s="71"/>
      <c r="AD436" s="75"/>
      <c r="AE436" s="75"/>
      <c r="AF436" s="75"/>
      <c r="AG436" s="75"/>
      <c r="AH436" s="75"/>
      <c r="AI436" s="75"/>
      <c r="AJ436" s="75"/>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c r="BK436" s="75"/>
      <c r="BL436" s="75"/>
      <c r="BM436" s="75"/>
    </row>
    <row r="437">
      <c r="A437" s="75"/>
      <c r="B437" s="75"/>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1"/>
      <c r="AB437" s="71"/>
      <c r="AC437" s="71"/>
      <c r="AD437" s="75"/>
      <c r="AE437" s="75"/>
      <c r="AF437" s="75"/>
      <c r="AG437" s="75"/>
      <c r="AH437" s="75"/>
      <c r="AI437" s="75"/>
      <c r="AJ437" s="75"/>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c r="BK437" s="75"/>
      <c r="BL437" s="75"/>
      <c r="BM437" s="75"/>
    </row>
    <row r="438">
      <c r="A438" s="75"/>
      <c r="B438" s="75"/>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c r="AA438" s="71"/>
      <c r="AB438" s="71"/>
      <c r="AC438" s="71"/>
      <c r="AD438" s="75"/>
      <c r="AE438" s="75"/>
      <c r="AF438" s="75"/>
      <c r="AG438" s="75"/>
      <c r="AH438" s="75"/>
      <c r="AI438" s="75"/>
      <c r="AJ438" s="75"/>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c r="BK438" s="75"/>
      <c r="BL438" s="75"/>
      <c r="BM438" s="75"/>
    </row>
    <row r="439">
      <c r="A439" s="75"/>
      <c r="B439" s="75"/>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1"/>
      <c r="AB439" s="71"/>
      <c r="AC439" s="71"/>
      <c r="AD439" s="75"/>
      <c r="AE439" s="75"/>
      <c r="AF439" s="75"/>
      <c r="AG439" s="75"/>
      <c r="AH439" s="75"/>
      <c r="AI439" s="75"/>
      <c r="AJ439" s="75"/>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c r="BK439" s="75"/>
      <c r="BL439" s="75"/>
      <c r="BM439" s="75"/>
    </row>
    <row r="440">
      <c r="A440" s="75"/>
      <c r="B440" s="75"/>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c r="AA440" s="71"/>
      <c r="AB440" s="71"/>
      <c r="AC440" s="71"/>
      <c r="AD440" s="75"/>
      <c r="AE440" s="75"/>
      <c r="AF440" s="75"/>
      <c r="AG440" s="75"/>
      <c r="AH440" s="75"/>
      <c r="AI440" s="75"/>
      <c r="AJ440" s="75"/>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c r="BK440" s="75"/>
      <c r="BL440" s="75"/>
      <c r="BM440" s="75"/>
    </row>
    <row r="441">
      <c r="A441" s="75"/>
      <c r="B441" s="75"/>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1"/>
      <c r="AB441" s="71"/>
      <c r="AC441" s="71"/>
      <c r="AD441" s="75"/>
      <c r="AE441" s="75"/>
      <c r="AF441" s="75"/>
      <c r="AG441" s="75"/>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c r="BK441" s="75"/>
      <c r="BL441" s="75"/>
      <c r="BM441" s="75"/>
    </row>
    <row r="442">
      <c r="A442" s="75"/>
      <c r="B442" s="75"/>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c r="AA442" s="71"/>
      <c r="AB442" s="71"/>
      <c r="AC442" s="71"/>
      <c r="AD442" s="75"/>
      <c r="AE442" s="75"/>
      <c r="AF442" s="75"/>
      <c r="AG442" s="75"/>
      <c r="AH442" s="75"/>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c r="BK442" s="75"/>
      <c r="BL442" s="75"/>
      <c r="BM442" s="75"/>
    </row>
    <row r="443">
      <c r="A443" s="75"/>
      <c r="B443" s="75"/>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1"/>
      <c r="AB443" s="71"/>
      <c r="AC443" s="71"/>
      <c r="AD443" s="75"/>
      <c r="AE443" s="75"/>
      <c r="AF443" s="75"/>
      <c r="AG443" s="75"/>
      <c r="AH443" s="75"/>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c r="BI443" s="75"/>
      <c r="BJ443" s="75"/>
      <c r="BK443" s="75"/>
      <c r="BL443" s="75"/>
      <c r="BM443" s="75"/>
    </row>
    <row r="444">
      <c r="A444" s="75"/>
      <c r="B444" s="75"/>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c r="AA444" s="71"/>
      <c r="AB444" s="71"/>
      <c r="AC444" s="71"/>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c r="BI444" s="75"/>
      <c r="BJ444" s="75"/>
      <c r="BK444" s="75"/>
      <c r="BL444" s="75"/>
      <c r="BM444" s="75"/>
    </row>
    <row r="445">
      <c r="A445" s="75"/>
      <c r="B445" s="75"/>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1"/>
      <c r="AB445" s="71"/>
      <c r="AC445" s="71"/>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c r="BH445" s="75"/>
      <c r="BI445" s="75"/>
      <c r="BJ445" s="75"/>
      <c r="BK445" s="75"/>
      <c r="BL445" s="75"/>
      <c r="BM445" s="75"/>
    </row>
    <row r="446">
      <c r="A446" s="75"/>
      <c r="B446" s="75"/>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c r="AA446" s="71"/>
      <c r="AB446" s="71"/>
      <c r="AC446" s="71"/>
      <c r="AD446" s="75"/>
      <c r="AE446" s="75"/>
      <c r="AF446" s="75"/>
      <c r="AG446" s="75"/>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c r="BH446" s="75"/>
      <c r="BI446" s="75"/>
      <c r="BJ446" s="75"/>
      <c r="BK446" s="75"/>
      <c r="BL446" s="75"/>
      <c r="BM446" s="75"/>
    </row>
    <row r="447">
      <c r="A447" s="75"/>
      <c r="B447" s="75"/>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1"/>
      <c r="AB447" s="71"/>
      <c r="AC447" s="71"/>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c r="BH447" s="75"/>
      <c r="BI447" s="75"/>
      <c r="BJ447" s="75"/>
      <c r="BK447" s="75"/>
      <c r="BL447" s="75"/>
      <c r="BM447" s="75"/>
    </row>
    <row r="448">
      <c r="A448" s="75"/>
      <c r="B448" s="75"/>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c r="AA448" s="71"/>
      <c r="AB448" s="71"/>
      <c r="AC448" s="71"/>
      <c r="AD448" s="75"/>
      <c r="AE448" s="75"/>
      <c r="AF448" s="75"/>
      <c r="AG448" s="75"/>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c r="BH448" s="75"/>
      <c r="BI448" s="75"/>
      <c r="BJ448" s="75"/>
      <c r="BK448" s="75"/>
      <c r="BL448" s="75"/>
      <c r="BM448" s="75"/>
    </row>
    <row r="449">
      <c r="A449" s="75"/>
      <c r="B449" s="75"/>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1"/>
      <c r="AB449" s="71"/>
      <c r="AC449" s="71"/>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c r="BH449" s="75"/>
      <c r="BI449" s="75"/>
      <c r="BJ449" s="75"/>
      <c r="BK449" s="75"/>
      <c r="BL449" s="75"/>
      <c r="BM449" s="75"/>
    </row>
    <row r="450">
      <c r="A450" s="75"/>
      <c r="B450" s="75"/>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1"/>
      <c r="AB450" s="71"/>
      <c r="AC450" s="71"/>
      <c r="AD450" s="75"/>
      <c r="AE450" s="75"/>
      <c r="AF450" s="75"/>
      <c r="AG450" s="75"/>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c r="BH450" s="75"/>
      <c r="BI450" s="75"/>
      <c r="BJ450" s="75"/>
      <c r="BK450" s="75"/>
      <c r="BL450" s="75"/>
      <c r="BM450" s="75"/>
    </row>
    <row r="451">
      <c r="A451" s="75"/>
      <c r="B451" s="75"/>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1"/>
      <c r="AB451" s="71"/>
      <c r="AC451" s="71"/>
      <c r="AD451" s="75"/>
      <c r="AE451" s="75"/>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c r="BH451" s="75"/>
      <c r="BI451" s="75"/>
      <c r="BJ451" s="75"/>
      <c r="BK451" s="75"/>
      <c r="BL451" s="75"/>
      <c r="BM451" s="75"/>
    </row>
    <row r="452">
      <c r="A452" s="75"/>
      <c r="B452" s="75"/>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c r="AA452" s="71"/>
      <c r="AB452" s="71"/>
      <c r="AC452" s="71"/>
      <c r="AD452" s="75"/>
      <c r="AE452" s="75"/>
      <c r="AF452" s="75"/>
      <c r="AG452" s="75"/>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c r="BH452" s="75"/>
      <c r="BI452" s="75"/>
      <c r="BJ452" s="75"/>
      <c r="BK452" s="75"/>
      <c r="BL452" s="75"/>
      <c r="BM452" s="75"/>
    </row>
    <row r="453">
      <c r="A453" s="75"/>
      <c r="B453" s="75"/>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1"/>
      <c r="AB453" s="71"/>
      <c r="AC453" s="71"/>
      <c r="AD453" s="75"/>
      <c r="AE453" s="75"/>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c r="BH453" s="75"/>
      <c r="BI453" s="75"/>
      <c r="BJ453" s="75"/>
      <c r="BK453" s="75"/>
      <c r="BL453" s="75"/>
      <c r="BM453" s="75"/>
    </row>
    <row r="454">
      <c r="A454" s="75"/>
      <c r="B454" s="75"/>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c r="AA454" s="71"/>
      <c r="AB454" s="71"/>
      <c r="AC454" s="71"/>
      <c r="AD454" s="75"/>
      <c r="AE454" s="75"/>
      <c r="AF454" s="75"/>
      <c r="AG454" s="75"/>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c r="BH454" s="75"/>
      <c r="BI454" s="75"/>
      <c r="BJ454" s="75"/>
      <c r="BK454" s="75"/>
      <c r="BL454" s="75"/>
      <c r="BM454" s="75"/>
    </row>
    <row r="455">
      <c r="A455" s="75"/>
      <c r="B455" s="75"/>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1"/>
      <c r="AB455" s="71"/>
      <c r="AC455" s="71"/>
      <c r="AD455" s="75"/>
      <c r="AE455" s="75"/>
      <c r="AF455" s="75"/>
      <c r="AG455" s="75"/>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c r="BH455" s="75"/>
      <c r="BI455" s="75"/>
      <c r="BJ455" s="75"/>
      <c r="BK455" s="75"/>
      <c r="BL455" s="75"/>
      <c r="BM455" s="75"/>
    </row>
    <row r="456">
      <c r="A456" s="75"/>
      <c r="B456" s="75"/>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c r="AA456" s="71"/>
      <c r="AB456" s="71"/>
      <c r="AC456" s="71"/>
      <c r="AD456" s="75"/>
      <c r="AE456" s="75"/>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c r="BH456" s="75"/>
      <c r="BI456" s="75"/>
      <c r="BJ456" s="75"/>
      <c r="BK456" s="75"/>
      <c r="BL456" s="75"/>
      <c r="BM456" s="75"/>
    </row>
    <row r="457">
      <c r="A457" s="75"/>
      <c r="B457" s="75"/>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1"/>
      <c r="AB457" s="71"/>
      <c r="AC457" s="71"/>
      <c r="AD457" s="75"/>
      <c r="AE457" s="75"/>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c r="BH457" s="75"/>
      <c r="BI457" s="75"/>
      <c r="BJ457" s="75"/>
      <c r="BK457" s="75"/>
      <c r="BL457" s="75"/>
      <c r="BM457" s="75"/>
    </row>
    <row r="458">
      <c r="A458" s="75"/>
      <c r="B458" s="75"/>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c r="AA458" s="71"/>
      <c r="AB458" s="71"/>
      <c r="AC458" s="71"/>
      <c r="AD458" s="75"/>
      <c r="AE458" s="75"/>
      <c r="AF458" s="75"/>
      <c r="AG458" s="75"/>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c r="BH458" s="75"/>
      <c r="BI458" s="75"/>
      <c r="BJ458" s="75"/>
      <c r="BK458" s="75"/>
      <c r="BL458" s="75"/>
      <c r="BM458" s="75"/>
    </row>
    <row r="459">
      <c r="A459" s="75"/>
      <c r="B459" s="75"/>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1"/>
      <c r="AB459" s="71"/>
      <c r="AC459" s="71"/>
      <c r="AD459" s="75"/>
      <c r="AE459" s="75"/>
      <c r="AF459" s="75"/>
      <c r="AG459" s="75"/>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c r="BH459" s="75"/>
      <c r="BI459" s="75"/>
      <c r="BJ459" s="75"/>
      <c r="BK459" s="75"/>
      <c r="BL459" s="75"/>
      <c r="BM459" s="75"/>
    </row>
    <row r="460">
      <c r="A460" s="75"/>
      <c r="B460" s="75"/>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c r="AA460" s="71"/>
      <c r="AB460" s="71"/>
      <c r="AC460" s="71"/>
      <c r="AD460" s="75"/>
      <c r="AE460" s="75"/>
      <c r="AF460" s="75"/>
      <c r="AG460" s="75"/>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c r="BH460" s="75"/>
      <c r="BI460" s="75"/>
      <c r="BJ460" s="75"/>
      <c r="BK460" s="75"/>
      <c r="BL460" s="75"/>
      <c r="BM460" s="75"/>
    </row>
    <row r="461">
      <c r="A461" s="75"/>
      <c r="B461" s="75"/>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1"/>
      <c r="AB461" s="71"/>
      <c r="AC461" s="71"/>
      <c r="AD461" s="75"/>
      <c r="AE461" s="75"/>
      <c r="AF461" s="75"/>
      <c r="AG461" s="75"/>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c r="BH461" s="75"/>
      <c r="BI461" s="75"/>
      <c r="BJ461" s="75"/>
      <c r="BK461" s="75"/>
      <c r="BL461" s="75"/>
      <c r="BM461" s="75"/>
    </row>
    <row r="462">
      <c r="A462" s="75"/>
      <c r="B462" s="75"/>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c r="AA462" s="71"/>
      <c r="AB462" s="71"/>
      <c r="AC462" s="71"/>
      <c r="AD462" s="75"/>
      <c r="AE462" s="75"/>
      <c r="AF462" s="75"/>
      <c r="AG462" s="75"/>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c r="BH462" s="75"/>
      <c r="BI462" s="75"/>
      <c r="BJ462" s="75"/>
      <c r="BK462" s="75"/>
      <c r="BL462" s="75"/>
      <c r="BM462" s="75"/>
    </row>
    <row r="463">
      <c r="A463" s="75"/>
      <c r="B463" s="75"/>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1"/>
      <c r="AB463" s="71"/>
      <c r="AC463" s="71"/>
      <c r="AD463" s="75"/>
      <c r="AE463" s="75"/>
      <c r="AF463" s="75"/>
      <c r="AG463" s="75"/>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c r="BH463" s="75"/>
      <c r="BI463" s="75"/>
      <c r="BJ463" s="75"/>
      <c r="BK463" s="75"/>
      <c r="BL463" s="75"/>
      <c r="BM463" s="75"/>
    </row>
    <row r="464">
      <c r="A464" s="75"/>
      <c r="B464" s="75"/>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c r="AA464" s="71"/>
      <c r="AB464" s="71"/>
      <c r="AC464" s="71"/>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c r="BH464" s="75"/>
      <c r="BI464" s="75"/>
      <c r="BJ464" s="75"/>
      <c r="BK464" s="75"/>
      <c r="BL464" s="75"/>
      <c r="BM464" s="75"/>
    </row>
    <row r="465">
      <c r="A465" s="75"/>
      <c r="B465" s="75"/>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1"/>
      <c r="AB465" s="71"/>
      <c r="AC465" s="71"/>
      <c r="AD465" s="75"/>
      <c r="AE465" s="75"/>
      <c r="AF465" s="75"/>
      <c r="AG465" s="75"/>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c r="BH465" s="75"/>
      <c r="BI465" s="75"/>
      <c r="BJ465" s="75"/>
      <c r="BK465" s="75"/>
      <c r="BL465" s="75"/>
      <c r="BM465" s="75"/>
    </row>
    <row r="466">
      <c r="A466" s="75"/>
      <c r="B466" s="75"/>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c r="AA466" s="71"/>
      <c r="AB466" s="71"/>
      <c r="AC466" s="71"/>
      <c r="AD466" s="75"/>
      <c r="AE466" s="75"/>
      <c r="AF466" s="75"/>
      <c r="AG466" s="75"/>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c r="BH466" s="75"/>
      <c r="BI466" s="75"/>
      <c r="BJ466" s="75"/>
      <c r="BK466" s="75"/>
      <c r="BL466" s="75"/>
      <c r="BM466" s="75"/>
    </row>
    <row r="467">
      <c r="A467" s="75"/>
      <c r="B467" s="75"/>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1"/>
      <c r="AB467" s="71"/>
      <c r="AC467" s="71"/>
      <c r="AD467" s="75"/>
      <c r="AE467" s="75"/>
      <c r="AF467" s="75"/>
      <c r="AG467" s="75"/>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c r="BH467" s="75"/>
      <c r="BI467" s="75"/>
      <c r="BJ467" s="75"/>
      <c r="BK467" s="75"/>
      <c r="BL467" s="75"/>
      <c r="BM467" s="75"/>
    </row>
    <row r="468">
      <c r="A468" s="75"/>
      <c r="B468" s="75"/>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c r="AA468" s="71"/>
      <c r="AB468" s="71"/>
      <c r="AC468" s="71"/>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c r="BH468" s="75"/>
      <c r="BI468" s="75"/>
      <c r="BJ468" s="75"/>
      <c r="BK468" s="75"/>
      <c r="BL468" s="75"/>
      <c r="BM468" s="75"/>
    </row>
    <row r="469">
      <c r="A469" s="75"/>
      <c r="B469" s="75"/>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1"/>
      <c r="AB469" s="71"/>
      <c r="AC469" s="71"/>
      <c r="AD469" s="75"/>
      <c r="AE469" s="75"/>
      <c r="AF469" s="75"/>
      <c r="AG469" s="75"/>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c r="BH469" s="75"/>
      <c r="BI469" s="75"/>
      <c r="BJ469" s="75"/>
      <c r="BK469" s="75"/>
      <c r="BL469" s="75"/>
      <c r="BM469" s="75"/>
    </row>
    <row r="470">
      <c r="A470" s="75"/>
      <c r="B470" s="75"/>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c r="AA470" s="71"/>
      <c r="AB470" s="71"/>
      <c r="AC470" s="71"/>
      <c r="AD470" s="75"/>
      <c r="AE470" s="75"/>
      <c r="AF470" s="75"/>
      <c r="AG470" s="75"/>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c r="BH470" s="75"/>
      <c r="BI470" s="75"/>
      <c r="BJ470" s="75"/>
      <c r="BK470" s="75"/>
      <c r="BL470" s="75"/>
      <c r="BM470" s="75"/>
    </row>
    <row r="471">
      <c r="A471" s="75"/>
      <c r="B471" s="75"/>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1"/>
      <c r="AB471" s="71"/>
      <c r="AC471" s="71"/>
      <c r="AD471" s="75"/>
      <c r="AE471" s="75"/>
      <c r="AF471" s="75"/>
      <c r="AG471" s="75"/>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c r="BH471" s="75"/>
      <c r="BI471" s="75"/>
      <c r="BJ471" s="75"/>
      <c r="BK471" s="75"/>
      <c r="BL471" s="75"/>
      <c r="BM471" s="75"/>
    </row>
    <row r="472">
      <c r="A472" s="75"/>
      <c r="B472" s="75"/>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c r="AA472" s="71"/>
      <c r="AB472" s="71"/>
      <c r="AC472" s="71"/>
      <c r="AD472" s="75"/>
      <c r="AE472" s="75"/>
      <c r="AF472" s="75"/>
      <c r="AG472" s="75"/>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c r="BH472" s="75"/>
      <c r="BI472" s="75"/>
      <c r="BJ472" s="75"/>
      <c r="BK472" s="75"/>
      <c r="BL472" s="75"/>
      <c r="BM472" s="75"/>
    </row>
    <row r="473">
      <c r="A473" s="75"/>
      <c r="B473" s="75"/>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1"/>
      <c r="AB473" s="71"/>
      <c r="AC473" s="71"/>
      <c r="AD473" s="75"/>
      <c r="AE473" s="75"/>
      <c r="AF473" s="75"/>
      <c r="AG473" s="75"/>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c r="BH473" s="75"/>
      <c r="BI473" s="75"/>
      <c r="BJ473" s="75"/>
      <c r="BK473" s="75"/>
      <c r="BL473" s="75"/>
      <c r="BM473" s="75"/>
    </row>
    <row r="474">
      <c r="A474" s="75"/>
      <c r="B474" s="75"/>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c r="AA474" s="71"/>
      <c r="AB474" s="71"/>
      <c r="AC474" s="71"/>
      <c r="AD474" s="75"/>
      <c r="AE474" s="75"/>
      <c r="AF474" s="75"/>
      <c r="AG474" s="75"/>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c r="BH474" s="75"/>
      <c r="BI474" s="75"/>
      <c r="BJ474" s="75"/>
      <c r="BK474" s="75"/>
      <c r="BL474" s="75"/>
      <c r="BM474" s="75"/>
    </row>
    <row r="475">
      <c r="A475" s="75"/>
      <c r="B475" s="75"/>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1"/>
      <c r="AB475" s="71"/>
      <c r="AC475" s="71"/>
      <c r="AD475" s="75"/>
      <c r="AE475" s="75"/>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c r="BH475" s="75"/>
      <c r="BI475" s="75"/>
      <c r="BJ475" s="75"/>
      <c r="BK475" s="75"/>
      <c r="BL475" s="75"/>
      <c r="BM475" s="75"/>
    </row>
    <row r="476">
      <c r="A476" s="75"/>
      <c r="B476" s="75"/>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c r="AA476" s="71"/>
      <c r="AB476" s="71"/>
      <c r="AC476" s="71"/>
      <c r="AD476" s="75"/>
      <c r="AE476" s="75"/>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c r="BH476" s="75"/>
      <c r="BI476" s="75"/>
      <c r="BJ476" s="75"/>
      <c r="BK476" s="75"/>
      <c r="BL476" s="75"/>
      <c r="BM476" s="75"/>
    </row>
    <row r="477">
      <c r="A477" s="75"/>
      <c r="B477" s="75"/>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1"/>
      <c r="AB477" s="71"/>
      <c r="AC477" s="71"/>
      <c r="AD477" s="75"/>
      <c r="AE477" s="75"/>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c r="BH477" s="75"/>
      <c r="BI477" s="75"/>
      <c r="BJ477" s="75"/>
      <c r="BK477" s="75"/>
      <c r="BL477" s="75"/>
      <c r="BM477" s="75"/>
    </row>
    <row r="478">
      <c r="A478" s="75"/>
      <c r="B478" s="75"/>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c r="AA478" s="71"/>
      <c r="AB478" s="71"/>
      <c r="AC478" s="71"/>
      <c r="AD478" s="75"/>
      <c r="AE478" s="75"/>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c r="BH478" s="75"/>
      <c r="BI478" s="75"/>
      <c r="BJ478" s="75"/>
      <c r="BK478" s="75"/>
      <c r="BL478" s="75"/>
      <c r="BM478" s="75"/>
    </row>
    <row r="479">
      <c r="A479" s="75"/>
      <c r="B479" s="75"/>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1"/>
      <c r="AB479" s="71"/>
      <c r="AC479" s="71"/>
      <c r="AD479" s="75"/>
      <c r="AE479" s="75"/>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c r="BH479" s="75"/>
      <c r="BI479" s="75"/>
      <c r="BJ479" s="75"/>
      <c r="BK479" s="75"/>
      <c r="BL479" s="75"/>
      <c r="BM479" s="75"/>
    </row>
    <row r="480">
      <c r="A480" s="75"/>
      <c r="B480" s="75"/>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c r="AA480" s="71"/>
      <c r="AB480" s="71"/>
      <c r="AC480" s="71"/>
      <c r="AD480" s="75"/>
      <c r="AE480" s="75"/>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c r="BH480" s="75"/>
      <c r="BI480" s="75"/>
      <c r="BJ480" s="75"/>
      <c r="BK480" s="75"/>
      <c r="BL480" s="75"/>
      <c r="BM480" s="75"/>
    </row>
    <row r="481">
      <c r="A481" s="75"/>
      <c r="B481" s="75"/>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1"/>
      <c r="AB481" s="71"/>
      <c r="AC481" s="71"/>
      <c r="AD481" s="75"/>
      <c r="AE481" s="75"/>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c r="BH481" s="75"/>
      <c r="BI481" s="75"/>
      <c r="BJ481" s="75"/>
      <c r="BK481" s="75"/>
      <c r="BL481" s="75"/>
      <c r="BM481" s="75"/>
    </row>
    <row r="482">
      <c r="A482" s="75"/>
      <c r="B482" s="75"/>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c r="AA482" s="71"/>
      <c r="AB482" s="71"/>
      <c r="AC482" s="71"/>
      <c r="AD482" s="75"/>
      <c r="AE482" s="75"/>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c r="BH482" s="75"/>
      <c r="BI482" s="75"/>
      <c r="BJ482" s="75"/>
      <c r="BK482" s="75"/>
      <c r="BL482" s="75"/>
      <c r="BM482" s="75"/>
    </row>
    <row r="483">
      <c r="A483" s="75"/>
      <c r="B483" s="75"/>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1"/>
      <c r="AB483" s="71"/>
      <c r="AC483" s="71"/>
      <c r="AD483" s="75"/>
      <c r="AE483" s="75"/>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c r="BH483" s="75"/>
      <c r="BI483" s="75"/>
      <c r="BJ483" s="75"/>
      <c r="BK483" s="75"/>
      <c r="BL483" s="75"/>
      <c r="BM483" s="75"/>
    </row>
    <row r="484">
      <c r="A484" s="75"/>
      <c r="B484" s="75"/>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1"/>
      <c r="AB484" s="71"/>
      <c r="AC484" s="71"/>
      <c r="AD484" s="75"/>
      <c r="AE484" s="75"/>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c r="BH484" s="75"/>
      <c r="BI484" s="75"/>
      <c r="BJ484" s="75"/>
      <c r="BK484" s="75"/>
      <c r="BL484" s="75"/>
      <c r="BM484" s="75"/>
    </row>
    <row r="485">
      <c r="A485" s="75"/>
      <c r="B485" s="75"/>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1"/>
      <c r="AB485" s="71"/>
      <c r="AC485" s="71"/>
      <c r="AD485" s="75"/>
      <c r="AE485" s="75"/>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c r="BH485" s="75"/>
      <c r="BI485" s="75"/>
      <c r="BJ485" s="75"/>
      <c r="BK485" s="75"/>
      <c r="BL485" s="75"/>
      <c r="BM485" s="75"/>
    </row>
    <row r="486">
      <c r="A486" s="75"/>
      <c r="B486" s="75"/>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c r="AA486" s="71"/>
      <c r="AB486" s="71"/>
      <c r="AC486" s="71"/>
      <c r="AD486" s="75"/>
      <c r="AE486" s="75"/>
      <c r="AF486" s="75"/>
      <c r="AG486" s="75"/>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c r="BH486" s="75"/>
      <c r="BI486" s="75"/>
      <c r="BJ486" s="75"/>
      <c r="BK486" s="75"/>
      <c r="BL486" s="75"/>
      <c r="BM486" s="75"/>
    </row>
    <row r="487">
      <c r="A487" s="75"/>
      <c r="B487" s="75"/>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1"/>
      <c r="AB487" s="71"/>
      <c r="AC487" s="71"/>
      <c r="AD487" s="75"/>
      <c r="AE487" s="75"/>
      <c r="AF487" s="75"/>
      <c r="AG487" s="75"/>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c r="BH487" s="75"/>
      <c r="BI487" s="75"/>
      <c r="BJ487" s="75"/>
      <c r="BK487" s="75"/>
      <c r="BL487" s="75"/>
      <c r="BM487" s="75"/>
    </row>
    <row r="488">
      <c r="A488" s="75"/>
      <c r="B488" s="75"/>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c r="AA488" s="71"/>
      <c r="AB488" s="71"/>
      <c r="AC488" s="71"/>
      <c r="AD488" s="75"/>
      <c r="AE488" s="75"/>
      <c r="AF488" s="75"/>
      <c r="AG488" s="75"/>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c r="BH488" s="75"/>
      <c r="BI488" s="75"/>
      <c r="BJ488" s="75"/>
      <c r="BK488" s="75"/>
      <c r="BL488" s="75"/>
      <c r="BM488" s="75"/>
    </row>
    <row r="489">
      <c r="A489" s="75"/>
      <c r="B489" s="75"/>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1"/>
      <c r="AB489" s="71"/>
      <c r="AC489" s="71"/>
      <c r="AD489" s="75"/>
      <c r="AE489" s="75"/>
      <c r="AF489" s="75"/>
      <c r="AG489" s="75"/>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c r="BH489" s="75"/>
      <c r="BI489" s="75"/>
      <c r="BJ489" s="75"/>
      <c r="BK489" s="75"/>
      <c r="BL489" s="75"/>
      <c r="BM489" s="75"/>
    </row>
    <row r="490">
      <c r="A490" s="75"/>
      <c r="B490" s="75"/>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c r="AA490" s="71"/>
      <c r="AB490" s="71"/>
      <c r="AC490" s="71"/>
      <c r="AD490" s="75"/>
      <c r="AE490" s="75"/>
      <c r="AF490" s="75"/>
      <c r="AG490" s="75"/>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c r="BH490" s="75"/>
      <c r="BI490" s="75"/>
      <c r="BJ490" s="75"/>
      <c r="BK490" s="75"/>
      <c r="BL490" s="75"/>
      <c r="BM490" s="75"/>
    </row>
    <row r="491">
      <c r="A491" s="75"/>
      <c r="B491" s="75"/>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1"/>
      <c r="AB491" s="71"/>
      <c r="AC491" s="71"/>
      <c r="AD491" s="75"/>
      <c r="AE491" s="75"/>
      <c r="AF491" s="75"/>
      <c r="AG491" s="75"/>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c r="BH491" s="75"/>
      <c r="BI491" s="75"/>
      <c r="BJ491" s="75"/>
      <c r="BK491" s="75"/>
      <c r="BL491" s="75"/>
      <c r="BM491" s="75"/>
    </row>
    <row r="492">
      <c r="A492" s="75"/>
      <c r="B492" s="75"/>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c r="AA492" s="71"/>
      <c r="AB492" s="71"/>
      <c r="AC492" s="71"/>
      <c r="AD492" s="75"/>
      <c r="AE492" s="75"/>
      <c r="AF492" s="75"/>
      <c r="AG492" s="75"/>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c r="BH492" s="75"/>
      <c r="BI492" s="75"/>
      <c r="BJ492" s="75"/>
      <c r="BK492" s="75"/>
      <c r="BL492" s="75"/>
      <c r="BM492" s="75"/>
    </row>
    <row r="493">
      <c r="A493" s="75"/>
      <c r="B493" s="75"/>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1"/>
      <c r="AB493" s="71"/>
      <c r="AC493" s="71"/>
      <c r="AD493" s="75"/>
      <c r="AE493" s="75"/>
      <c r="AF493" s="75"/>
      <c r="AG493" s="75"/>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c r="BH493" s="75"/>
      <c r="BI493" s="75"/>
      <c r="BJ493" s="75"/>
      <c r="BK493" s="75"/>
      <c r="BL493" s="75"/>
      <c r="BM493" s="75"/>
    </row>
    <row r="494">
      <c r="A494" s="75"/>
      <c r="B494" s="75"/>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c r="AA494" s="71"/>
      <c r="AB494" s="71"/>
      <c r="AC494" s="71"/>
      <c r="AD494" s="75"/>
      <c r="AE494" s="75"/>
      <c r="AF494" s="75"/>
      <c r="AG494" s="75"/>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c r="BH494" s="75"/>
      <c r="BI494" s="75"/>
      <c r="BJ494" s="75"/>
      <c r="BK494" s="75"/>
      <c r="BL494" s="75"/>
      <c r="BM494" s="75"/>
    </row>
    <row r="495">
      <c r="A495" s="75"/>
      <c r="B495" s="75"/>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1"/>
      <c r="AB495" s="71"/>
      <c r="AC495" s="71"/>
      <c r="AD495" s="75"/>
      <c r="AE495" s="75"/>
      <c r="AF495" s="75"/>
      <c r="AG495" s="75"/>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c r="BH495" s="75"/>
      <c r="BI495" s="75"/>
      <c r="BJ495" s="75"/>
      <c r="BK495" s="75"/>
      <c r="BL495" s="75"/>
      <c r="BM495" s="75"/>
    </row>
    <row r="496">
      <c r="A496" s="75"/>
      <c r="B496" s="75"/>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c r="AA496" s="71"/>
      <c r="AB496" s="71"/>
      <c r="AC496" s="71"/>
      <c r="AD496" s="75"/>
      <c r="AE496" s="75"/>
      <c r="AF496" s="75"/>
      <c r="AG496" s="75"/>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c r="BH496" s="75"/>
      <c r="BI496" s="75"/>
      <c r="BJ496" s="75"/>
      <c r="BK496" s="75"/>
      <c r="BL496" s="75"/>
      <c r="BM496" s="75"/>
    </row>
    <row r="497">
      <c r="A497" s="75"/>
      <c r="B497" s="75"/>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1"/>
      <c r="AB497" s="71"/>
      <c r="AC497" s="71"/>
      <c r="AD497" s="75"/>
      <c r="AE497" s="75"/>
      <c r="AF497" s="75"/>
      <c r="AG497" s="75"/>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c r="BH497" s="75"/>
      <c r="BI497" s="75"/>
      <c r="BJ497" s="75"/>
      <c r="BK497" s="75"/>
      <c r="BL497" s="75"/>
      <c r="BM497" s="75"/>
    </row>
    <row r="498">
      <c r="A498" s="75"/>
      <c r="B498" s="75"/>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c r="AA498" s="71"/>
      <c r="AB498" s="71"/>
      <c r="AC498" s="71"/>
      <c r="AD498" s="75"/>
      <c r="AE498" s="75"/>
      <c r="AF498" s="75"/>
      <c r="AG498" s="75"/>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c r="BH498" s="75"/>
      <c r="BI498" s="75"/>
      <c r="BJ498" s="75"/>
      <c r="BK498" s="75"/>
      <c r="BL498" s="75"/>
      <c r="BM498" s="75"/>
    </row>
    <row r="499">
      <c r="A499" s="75"/>
      <c r="B499" s="75"/>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1"/>
      <c r="AB499" s="71"/>
      <c r="AC499" s="71"/>
      <c r="AD499" s="75"/>
      <c r="AE499" s="75"/>
      <c r="AF499" s="75"/>
      <c r="AG499" s="75"/>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c r="BH499" s="75"/>
      <c r="BI499" s="75"/>
      <c r="BJ499" s="75"/>
      <c r="BK499" s="75"/>
      <c r="BL499" s="75"/>
      <c r="BM499" s="75"/>
    </row>
    <row r="500">
      <c r="A500" s="75"/>
      <c r="B500" s="75"/>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c r="AA500" s="71"/>
      <c r="AB500" s="71"/>
      <c r="AC500" s="71"/>
      <c r="AD500" s="75"/>
      <c r="AE500" s="75"/>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c r="BH500" s="75"/>
      <c r="BI500" s="75"/>
      <c r="BJ500" s="75"/>
      <c r="BK500" s="75"/>
      <c r="BL500" s="75"/>
      <c r="BM500" s="75"/>
    </row>
    <row r="501">
      <c r="A501" s="75"/>
      <c r="B501" s="75"/>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1"/>
      <c r="AB501" s="71"/>
      <c r="AC501" s="71"/>
      <c r="AD501" s="75"/>
      <c r="AE501" s="75"/>
      <c r="AF501" s="75"/>
      <c r="AG501" s="75"/>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c r="BH501" s="75"/>
      <c r="BI501" s="75"/>
      <c r="BJ501" s="75"/>
      <c r="BK501" s="75"/>
      <c r="BL501" s="75"/>
      <c r="BM501" s="75"/>
    </row>
    <row r="502">
      <c r="A502" s="75"/>
      <c r="B502" s="75"/>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c r="AA502" s="71"/>
      <c r="AB502" s="71"/>
      <c r="AC502" s="71"/>
      <c r="AD502" s="75"/>
      <c r="AE502" s="75"/>
      <c r="AF502" s="75"/>
      <c r="AG502" s="75"/>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c r="BH502" s="75"/>
      <c r="BI502" s="75"/>
      <c r="BJ502" s="75"/>
      <c r="BK502" s="75"/>
      <c r="BL502" s="75"/>
      <c r="BM502" s="75"/>
    </row>
    <row r="503">
      <c r="A503" s="75"/>
      <c r="B503" s="75"/>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1"/>
      <c r="AB503" s="71"/>
      <c r="AC503" s="71"/>
      <c r="AD503" s="75"/>
      <c r="AE503" s="75"/>
      <c r="AF503" s="75"/>
      <c r="AG503" s="75"/>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c r="BH503" s="75"/>
      <c r="BI503" s="75"/>
      <c r="BJ503" s="75"/>
      <c r="BK503" s="75"/>
      <c r="BL503" s="75"/>
      <c r="BM503" s="75"/>
    </row>
    <row r="504">
      <c r="A504" s="75"/>
      <c r="B504" s="75"/>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c r="AA504" s="71"/>
      <c r="AB504" s="71"/>
      <c r="AC504" s="71"/>
      <c r="AD504" s="75"/>
      <c r="AE504" s="75"/>
      <c r="AF504" s="75"/>
      <c r="AG504" s="75"/>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c r="BH504" s="75"/>
      <c r="BI504" s="75"/>
      <c r="BJ504" s="75"/>
      <c r="BK504" s="75"/>
      <c r="BL504" s="75"/>
      <c r="BM504" s="75"/>
    </row>
    <row r="505">
      <c r="A505" s="75"/>
      <c r="B505" s="75"/>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1"/>
      <c r="AB505" s="71"/>
      <c r="AC505" s="71"/>
      <c r="AD505" s="75"/>
      <c r="AE505" s="75"/>
      <c r="AF505" s="75"/>
      <c r="AG505" s="75"/>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c r="BH505" s="75"/>
      <c r="BI505" s="75"/>
      <c r="BJ505" s="75"/>
      <c r="BK505" s="75"/>
      <c r="BL505" s="75"/>
      <c r="BM505" s="75"/>
    </row>
    <row r="506">
      <c r="A506" s="75"/>
      <c r="B506" s="75"/>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c r="AA506" s="71"/>
      <c r="AB506" s="71"/>
      <c r="AC506" s="71"/>
      <c r="AD506" s="75"/>
      <c r="AE506" s="75"/>
      <c r="AF506" s="75"/>
      <c r="AG506" s="75"/>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c r="BH506" s="75"/>
      <c r="BI506" s="75"/>
      <c r="BJ506" s="75"/>
      <c r="BK506" s="75"/>
      <c r="BL506" s="75"/>
      <c r="BM506" s="75"/>
    </row>
    <row r="507">
      <c r="A507" s="75"/>
      <c r="B507" s="75"/>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1"/>
      <c r="AB507" s="71"/>
      <c r="AC507" s="71"/>
      <c r="AD507" s="75"/>
      <c r="AE507" s="75"/>
      <c r="AF507" s="75"/>
      <c r="AG507" s="75"/>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c r="BH507" s="75"/>
      <c r="BI507" s="75"/>
      <c r="BJ507" s="75"/>
      <c r="BK507" s="75"/>
      <c r="BL507" s="75"/>
      <c r="BM507" s="75"/>
    </row>
    <row r="508">
      <c r="A508" s="75"/>
      <c r="B508" s="75"/>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c r="AA508" s="71"/>
      <c r="AB508" s="71"/>
      <c r="AC508" s="71"/>
      <c r="AD508" s="75"/>
      <c r="AE508" s="75"/>
      <c r="AF508" s="75"/>
      <c r="AG508" s="75"/>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c r="BH508" s="75"/>
      <c r="BI508" s="75"/>
      <c r="BJ508" s="75"/>
      <c r="BK508" s="75"/>
      <c r="BL508" s="75"/>
      <c r="BM508" s="75"/>
    </row>
    <row r="509">
      <c r="A509" s="75"/>
      <c r="B509" s="75"/>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1"/>
      <c r="AB509" s="71"/>
      <c r="AC509" s="71"/>
      <c r="AD509" s="75"/>
      <c r="AE509" s="75"/>
      <c r="AF509" s="75"/>
      <c r="AG509" s="75"/>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c r="BH509" s="75"/>
      <c r="BI509" s="75"/>
      <c r="BJ509" s="75"/>
      <c r="BK509" s="75"/>
      <c r="BL509" s="75"/>
      <c r="BM509" s="75"/>
    </row>
    <row r="510">
      <c r="A510" s="75"/>
      <c r="B510" s="75"/>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c r="AA510" s="71"/>
      <c r="AB510" s="71"/>
      <c r="AC510" s="71"/>
      <c r="AD510" s="75"/>
      <c r="AE510" s="75"/>
      <c r="AF510" s="75"/>
      <c r="AG510" s="75"/>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c r="BH510" s="75"/>
      <c r="BI510" s="75"/>
      <c r="BJ510" s="75"/>
      <c r="BK510" s="75"/>
      <c r="BL510" s="75"/>
      <c r="BM510" s="75"/>
    </row>
    <row r="511">
      <c r="A511" s="75"/>
      <c r="B511" s="75"/>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1"/>
      <c r="AB511" s="71"/>
      <c r="AC511" s="71"/>
      <c r="AD511" s="75"/>
      <c r="AE511" s="75"/>
      <c r="AF511" s="75"/>
      <c r="AG511" s="75"/>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c r="BH511" s="75"/>
      <c r="BI511" s="75"/>
      <c r="BJ511" s="75"/>
      <c r="BK511" s="75"/>
      <c r="BL511" s="75"/>
      <c r="BM511" s="75"/>
    </row>
    <row r="512">
      <c r="A512" s="75"/>
      <c r="B512" s="75"/>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c r="AA512" s="71"/>
      <c r="AB512" s="71"/>
      <c r="AC512" s="71"/>
      <c r="AD512" s="75"/>
      <c r="AE512" s="75"/>
      <c r="AF512" s="75"/>
      <c r="AG512" s="75"/>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c r="BH512" s="75"/>
      <c r="BI512" s="75"/>
      <c r="BJ512" s="75"/>
      <c r="BK512" s="75"/>
      <c r="BL512" s="75"/>
      <c r="BM512" s="75"/>
    </row>
    <row r="513">
      <c r="A513" s="75"/>
      <c r="B513" s="75"/>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1"/>
      <c r="AB513" s="71"/>
      <c r="AC513" s="71"/>
      <c r="AD513" s="75"/>
      <c r="AE513" s="75"/>
      <c r="AF513" s="75"/>
      <c r="AG513" s="75"/>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c r="BH513" s="75"/>
      <c r="BI513" s="75"/>
      <c r="BJ513" s="75"/>
      <c r="BK513" s="75"/>
      <c r="BL513" s="75"/>
      <c r="BM513" s="75"/>
    </row>
    <row r="514">
      <c r="A514" s="75"/>
      <c r="B514" s="75"/>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c r="AA514" s="71"/>
      <c r="AB514" s="71"/>
      <c r="AC514" s="71"/>
      <c r="AD514" s="75"/>
      <c r="AE514" s="75"/>
      <c r="AF514" s="75"/>
      <c r="AG514" s="75"/>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c r="BH514" s="75"/>
      <c r="BI514" s="75"/>
      <c r="BJ514" s="75"/>
      <c r="BK514" s="75"/>
      <c r="BL514" s="75"/>
      <c r="BM514" s="75"/>
    </row>
    <row r="515">
      <c r="A515" s="75"/>
      <c r="B515" s="75"/>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1"/>
      <c r="AB515" s="71"/>
      <c r="AC515" s="71"/>
      <c r="AD515" s="75"/>
      <c r="AE515" s="75"/>
      <c r="AF515" s="75"/>
      <c r="AG515" s="75"/>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c r="BH515" s="75"/>
      <c r="BI515" s="75"/>
      <c r="BJ515" s="75"/>
      <c r="BK515" s="75"/>
      <c r="BL515" s="75"/>
      <c r="BM515" s="75"/>
    </row>
    <row r="516">
      <c r="A516" s="75"/>
      <c r="B516" s="75"/>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c r="AA516" s="71"/>
      <c r="AB516" s="71"/>
      <c r="AC516" s="71"/>
      <c r="AD516" s="75"/>
      <c r="AE516" s="75"/>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c r="BH516" s="75"/>
      <c r="BI516" s="75"/>
      <c r="BJ516" s="75"/>
      <c r="BK516" s="75"/>
      <c r="BL516" s="75"/>
      <c r="BM516" s="75"/>
    </row>
    <row r="517">
      <c r="A517" s="75"/>
      <c r="B517" s="75"/>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1"/>
      <c r="AB517" s="71"/>
      <c r="AC517" s="71"/>
      <c r="AD517" s="75"/>
      <c r="AE517" s="75"/>
      <c r="AF517" s="75"/>
      <c r="AG517" s="75"/>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c r="BH517" s="75"/>
      <c r="BI517" s="75"/>
      <c r="BJ517" s="75"/>
      <c r="BK517" s="75"/>
      <c r="BL517" s="75"/>
      <c r="BM517" s="75"/>
    </row>
    <row r="518">
      <c r="A518" s="75"/>
      <c r="B518" s="75"/>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c r="AA518" s="71"/>
      <c r="AB518" s="71"/>
      <c r="AC518" s="71"/>
      <c r="AD518" s="75"/>
      <c r="AE518" s="75"/>
      <c r="AF518" s="75"/>
      <c r="AG518" s="75"/>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c r="BH518" s="75"/>
      <c r="BI518" s="75"/>
      <c r="BJ518" s="75"/>
      <c r="BK518" s="75"/>
      <c r="BL518" s="75"/>
      <c r="BM518" s="75"/>
    </row>
    <row r="519">
      <c r="A519" s="75"/>
      <c r="B519" s="75"/>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1"/>
      <c r="AB519" s="71"/>
      <c r="AC519" s="71"/>
      <c r="AD519" s="75"/>
      <c r="AE519" s="75"/>
      <c r="AF519" s="75"/>
      <c r="AG519" s="75"/>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c r="BH519" s="75"/>
      <c r="BI519" s="75"/>
      <c r="BJ519" s="75"/>
      <c r="BK519" s="75"/>
      <c r="BL519" s="75"/>
      <c r="BM519" s="75"/>
    </row>
    <row r="520">
      <c r="A520" s="75"/>
      <c r="B520" s="75"/>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c r="AA520" s="71"/>
      <c r="AB520" s="71"/>
      <c r="AC520" s="71"/>
      <c r="AD520" s="75"/>
      <c r="AE520" s="75"/>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c r="BH520" s="75"/>
      <c r="BI520" s="75"/>
      <c r="BJ520" s="75"/>
      <c r="BK520" s="75"/>
      <c r="BL520" s="75"/>
      <c r="BM520" s="75"/>
    </row>
    <row r="521">
      <c r="A521" s="75"/>
      <c r="B521" s="75"/>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1"/>
      <c r="AB521" s="71"/>
      <c r="AC521" s="71"/>
      <c r="AD521" s="75"/>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c r="BH521" s="75"/>
      <c r="BI521" s="75"/>
      <c r="BJ521" s="75"/>
      <c r="BK521" s="75"/>
      <c r="BL521" s="75"/>
      <c r="BM521" s="75"/>
    </row>
    <row r="522">
      <c r="A522" s="75"/>
      <c r="B522" s="75"/>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c r="AA522" s="71"/>
      <c r="AB522" s="71"/>
      <c r="AC522" s="71"/>
      <c r="AD522" s="75"/>
      <c r="AE522" s="75"/>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c r="BH522" s="75"/>
      <c r="BI522" s="75"/>
      <c r="BJ522" s="75"/>
      <c r="BK522" s="75"/>
      <c r="BL522" s="75"/>
      <c r="BM522" s="75"/>
    </row>
    <row r="523">
      <c r="A523" s="75"/>
      <c r="B523" s="75"/>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1"/>
      <c r="AB523" s="71"/>
      <c r="AC523" s="71"/>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c r="BH523" s="75"/>
      <c r="BI523" s="75"/>
      <c r="BJ523" s="75"/>
      <c r="BK523" s="75"/>
      <c r="BL523" s="75"/>
      <c r="BM523" s="75"/>
    </row>
    <row r="524">
      <c r="A524" s="75"/>
      <c r="B524" s="75"/>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c r="AA524" s="71"/>
      <c r="AB524" s="71"/>
      <c r="AC524" s="71"/>
      <c r="AD524" s="75"/>
      <c r="AE524" s="75"/>
      <c r="AF524" s="75"/>
      <c r="AG524" s="75"/>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c r="BH524" s="75"/>
      <c r="BI524" s="75"/>
      <c r="BJ524" s="75"/>
      <c r="BK524" s="75"/>
      <c r="BL524" s="75"/>
      <c r="BM524" s="75"/>
    </row>
    <row r="525">
      <c r="A525" s="75"/>
      <c r="B525" s="75"/>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1"/>
      <c r="AB525" s="71"/>
      <c r="AC525" s="71"/>
      <c r="AD525" s="75"/>
      <c r="AE525" s="75"/>
      <c r="AF525" s="75"/>
      <c r="AG525" s="75"/>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c r="BH525" s="75"/>
      <c r="BI525" s="75"/>
      <c r="BJ525" s="75"/>
      <c r="BK525" s="75"/>
      <c r="BL525" s="75"/>
      <c r="BM525" s="75"/>
    </row>
    <row r="526">
      <c r="A526" s="75"/>
      <c r="B526" s="75"/>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c r="AA526" s="71"/>
      <c r="AB526" s="71"/>
      <c r="AC526" s="71"/>
      <c r="AD526" s="75"/>
      <c r="AE526" s="75"/>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c r="BH526" s="75"/>
      <c r="BI526" s="75"/>
      <c r="BJ526" s="75"/>
      <c r="BK526" s="75"/>
      <c r="BL526" s="75"/>
      <c r="BM526" s="75"/>
    </row>
    <row r="527">
      <c r="A527" s="75"/>
      <c r="B527" s="75"/>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c r="AA527" s="71"/>
      <c r="AB527" s="71"/>
      <c r="AC527" s="71"/>
      <c r="AD527" s="75"/>
      <c r="AE527" s="75"/>
      <c r="AF527" s="75"/>
      <c r="AG527" s="75"/>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c r="BH527" s="75"/>
      <c r="BI527" s="75"/>
      <c r="BJ527" s="75"/>
      <c r="BK527" s="75"/>
      <c r="BL527" s="75"/>
      <c r="BM527" s="75"/>
    </row>
    <row r="528">
      <c r="A528" s="75"/>
      <c r="B528" s="75"/>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c r="AA528" s="71"/>
      <c r="AB528" s="71"/>
      <c r="AC528" s="71"/>
      <c r="AD528" s="75"/>
      <c r="AE528" s="75"/>
      <c r="AF528" s="75"/>
      <c r="AG528" s="75"/>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c r="BH528" s="75"/>
      <c r="BI528" s="75"/>
      <c r="BJ528" s="75"/>
      <c r="BK528" s="75"/>
      <c r="BL528" s="75"/>
      <c r="BM528" s="75"/>
    </row>
    <row r="529">
      <c r="A529" s="75"/>
      <c r="B529" s="75"/>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c r="AA529" s="71"/>
      <c r="AB529" s="71"/>
      <c r="AC529" s="71"/>
      <c r="AD529" s="75"/>
      <c r="AE529" s="75"/>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c r="BH529" s="75"/>
      <c r="BI529" s="75"/>
      <c r="BJ529" s="75"/>
      <c r="BK529" s="75"/>
      <c r="BL529" s="75"/>
      <c r="BM529" s="75"/>
    </row>
    <row r="530">
      <c r="A530" s="75"/>
      <c r="B530" s="75"/>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c r="AA530" s="71"/>
      <c r="AB530" s="71"/>
      <c r="AC530" s="71"/>
      <c r="AD530" s="75"/>
      <c r="AE530" s="75"/>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c r="BH530" s="75"/>
      <c r="BI530" s="75"/>
      <c r="BJ530" s="75"/>
      <c r="BK530" s="75"/>
      <c r="BL530" s="75"/>
      <c r="BM530" s="75"/>
    </row>
    <row r="531">
      <c r="A531" s="75"/>
      <c r="B531" s="75"/>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c r="AA531" s="71"/>
      <c r="AB531" s="71"/>
      <c r="AC531" s="71"/>
      <c r="AD531" s="75"/>
      <c r="AE531" s="75"/>
      <c r="AF531" s="75"/>
      <c r="AG531" s="75"/>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c r="BH531" s="75"/>
      <c r="BI531" s="75"/>
      <c r="BJ531" s="75"/>
      <c r="BK531" s="75"/>
      <c r="BL531" s="75"/>
      <c r="BM531" s="75"/>
    </row>
    <row r="532">
      <c r="A532" s="75"/>
      <c r="B532" s="75"/>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c r="AA532" s="71"/>
      <c r="AB532" s="71"/>
      <c r="AC532" s="71"/>
      <c r="AD532" s="75"/>
      <c r="AE532" s="75"/>
      <c r="AF532" s="75"/>
      <c r="AG532" s="75"/>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c r="BH532" s="75"/>
      <c r="BI532" s="75"/>
      <c r="BJ532" s="75"/>
      <c r="BK532" s="75"/>
      <c r="BL532" s="75"/>
      <c r="BM532" s="75"/>
    </row>
    <row r="533">
      <c r="A533" s="75"/>
      <c r="B533" s="75"/>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c r="AA533" s="71"/>
      <c r="AB533" s="71"/>
      <c r="AC533" s="71"/>
      <c r="AD533" s="75"/>
      <c r="AE533" s="75"/>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c r="BH533" s="75"/>
      <c r="BI533" s="75"/>
      <c r="BJ533" s="75"/>
      <c r="BK533" s="75"/>
      <c r="BL533" s="75"/>
      <c r="BM533" s="75"/>
    </row>
    <row r="534">
      <c r="A534" s="75"/>
      <c r="B534" s="75"/>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c r="AA534" s="71"/>
      <c r="AB534" s="71"/>
      <c r="AC534" s="71"/>
      <c r="AD534" s="75"/>
      <c r="AE534" s="75"/>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c r="BH534" s="75"/>
      <c r="BI534" s="75"/>
      <c r="BJ534" s="75"/>
      <c r="BK534" s="75"/>
      <c r="BL534" s="75"/>
      <c r="BM534" s="75"/>
    </row>
    <row r="535">
      <c r="A535" s="75"/>
      <c r="B535" s="75"/>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c r="AA535" s="71"/>
      <c r="AB535" s="71"/>
      <c r="AC535" s="71"/>
      <c r="AD535" s="75"/>
      <c r="AE535" s="75"/>
      <c r="AF535" s="75"/>
      <c r="AG535" s="75"/>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c r="BH535" s="75"/>
      <c r="BI535" s="75"/>
      <c r="BJ535" s="75"/>
      <c r="BK535" s="75"/>
      <c r="BL535" s="75"/>
      <c r="BM535" s="75"/>
    </row>
    <row r="536">
      <c r="A536" s="75"/>
      <c r="B536" s="75"/>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c r="AA536" s="71"/>
      <c r="AB536" s="71"/>
      <c r="AC536" s="71"/>
      <c r="AD536" s="75"/>
      <c r="AE536" s="75"/>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c r="BH536" s="75"/>
      <c r="BI536" s="75"/>
      <c r="BJ536" s="75"/>
      <c r="BK536" s="75"/>
      <c r="BL536" s="75"/>
      <c r="BM536" s="75"/>
    </row>
    <row r="537">
      <c r="A537" s="75"/>
      <c r="B537" s="75"/>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c r="AA537" s="71"/>
      <c r="AB537" s="71"/>
      <c r="AC537" s="71"/>
      <c r="AD537" s="75"/>
      <c r="AE537" s="75"/>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c r="BH537" s="75"/>
      <c r="BI537" s="75"/>
      <c r="BJ537" s="75"/>
      <c r="BK537" s="75"/>
      <c r="BL537" s="75"/>
      <c r="BM537" s="75"/>
    </row>
    <row r="538">
      <c r="A538" s="75"/>
      <c r="B538" s="75"/>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c r="AA538" s="71"/>
      <c r="AB538" s="71"/>
      <c r="AC538" s="71"/>
      <c r="AD538" s="75"/>
      <c r="AE538" s="75"/>
      <c r="AF538" s="75"/>
      <c r="AG538" s="75"/>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c r="BH538" s="75"/>
      <c r="BI538" s="75"/>
      <c r="BJ538" s="75"/>
      <c r="BK538" s="75"/>
      <c r="BL538" s="75"/>
      <c r="BM538" s="75"/>
    </row>
    <row r="539">
      <c r="A539" s="75"/>
      <c r="B539" s="75"/>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c r="AA539" s="71"/>
      <c r="AB539" s="71"/>
      <c r="AC539" s="71"/>
      <c r="AD539" s="75"/>
      <c r="AE539" s="75"/>
      <c r="AF539" s="75"/>
      <c r="AG539" s="75"/>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c r="BH539" s="75"/>
      <c r="BI539" s="75"/>
      <c r="BJ539" s="75"/>
      <c r="BK539" s="75"/>
      <c r="BL539" s="75"/>
      <c r="BM539" s="75"/>
    </row>
    <row r="540">
      <c r="A540" s="75"/>
      <c r="B540" s="75"/>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c r="AA540" s="71"/>
      <c r="AB540" s="71"/>
      <c r="AC540" s="71"/>
      <c r="AD540" s="75"/>
      <c r="AE540" s="75"/>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c r="BH540" s="75"/>
      <c r="BI540" s="75"/>
      <c r="BJ540" s="75"/>
      <c r="BK540" s="75"/>
      <c r="BL540" s="75"/>
      <c r="BM540" s="75"/>
    </row>
    <row r="541">
      <c r="A541" s="75"/>
      <c r="B541" s="75"/>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c r="AA541" s="71"/>
      <c r="AB541" s="71"/>
      <c r="AC541" s="71"/>
      <c r="AD541" s="75"/>
      <c r="AE541" s="75"/>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c r="BH541" s="75"/>
      <c r="BI541" s="75"/>
      <c r="BJ541" s="75"/>
      <c r="BK541" s="75"/>
      <c r="BL541" s="75"/>
      <c r="BM541" s="75"/>
    </row>
    <row r="542">
      <c r="A542" s="75"/>
      <c r="B542" s="75"/>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c r="AA542" s="71"/>
      <c r="AB542" s="71"/>
      <c r="AC542" s="71"/>
      <c r="AD542" s="75"/>
      <c r="AE542" s="75"/>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c r="BH542" s="75"/>
      <c r="BI542" s="75"/>
      <c r="BJ542" s="75"/>
      <c r="BK542" s="75"/>
      <c r="BL542" s="75"/>
      <c r="BM542" s="75"/>
    </row>
    <row r="543">
      <c r="A543" s="75"/>
      <c r="B543" s="75"/>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c r="AA543" s="71"/>
      <c r="AB543" s="71"/>
      <c r="AC543" s="71"/>
      <c r="AD543" s="75"/>
      <c r="AE543" s="75"/>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c r="BH543" s="75"/>
      <c r="BI543" s="75"/>
      <c r="BJ543" s="75"/>
      <c r="BK543" s="75"/>
      <c r="BL543" s="75"/>
      <c r="BM543" s="75"/>
    </row>
    <row r="544">
      <c r="A544" s="75"/>
      <c r="B544" s="75"/>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c r="AA544" s="71"/>
      <c r="AB544" s="71"/>
      <c r="AC544" s="71"/>
      <c r="AD544" s="75"/>
      <c r="AE544" s="75"/>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c r="BH544" s="75"/>
      <c r="BI544" s="75"/>
      <c r="BJ544" s="75"/>
      <c r="BK544" s="75"/>
      <c r="BL544" s="75"/>
      <c r="BM544" s="75"/>
    </row>
    <row r="545">
      <c r="A545" s="75"/>
      <c r="B545" s="75"/>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c r="AA545" s="71"/>
      <c r="AB545" s="71"/>
      <c r="AC545" s="71"/>
      <c r="AD545" s="75"/>
      <c r="AE545" s="75"/>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c r="BH545" s="75"/>
      <c r="BI545" s="75"/>
      <c r="BJ545" s="75"/>
      <c r="BK545" s="75"/>
      <c r="BL545" s="75"/>
      <c r="BM545" s="75"/>
    </row>
    <row r="546">
      <c r="A546" s="75"/>
      <c r="B546" s="75"/>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c r="AA546" s="71"/>
      <c r="AB546" s="71"/>
      <c r="AC546" s="71"/>
      <c r="AD546" s="75"/>
      <c r="AE546" s="75"/>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c r="BH546" s="75"/>
      <c r="BI546" s="75"/>
      <c r="BJ546" s="75"/>
      <c r="BK546" s="75"/>
      <c r="BL546" s="75"/>
      <c r="BM546" s="75"/>
    </row>
    <row r="547">
      <c r="A547" s="75"/>
      <c r="B547" s="75"/>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c r="AA547" s="71"/>
      <c r="AB547" s="71"/>
      <c r="AC547" s="71"/>
      <c r="AD547" s="75"/>
      <c r="AE547" s="75"/>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c r="BH547" s="75"/>
      <c r="BI547" s="75"/>
      <c r="BJ547" s="75"/>
      <c r="BK547" s="75"/>
      <c r="BL547" s="75"/>
      <c r="BM547" s="75"/>
    </row>
    <row r="548">
      <c r="A548" s="75"/>
      <c r="B548" s="75"/>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c r="AA548" s="71"/>
      <c r="AB548" s="71"/>
      <c r="AC548" s="71"/>
      <c r="AD548" s="75"/>
      <c r="AE548" s="75"/>
      <c r="AF548" s="75"/>
      <c r="AG548" s="75"/>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c r="BH548" s="75"/>
      <c r="BI548" s="75"/>
      <c r="BJ548" s="75"/>
      <c r="BK548" s="75"/>
      <c r="BL548" s="75"/>
      <c r="BM548" s="75"/>
    </row>
    <row r="549">
      <c r="A549" s="75"/>
      <c r="B549" s="75"/>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c r="AA549" s="71"/>
      <c r="AB549" s="71"/>
      <c r="AC549" s="71"/>
      <c r="AD549" s="75"/>
      <c r="AE549" s="75"/>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c r="BH549" s="75"/>
      <c r="BI549" s="75"/>
      <c r="BJ549" s="75"/>
      <c r="BK549" s="75"/>
      <c r="BL549" s="75"/>
      <c r="BM549" s="75"/>
    </row>
    <row r="550">
      <c r="A550" s="75"/>
      <c r="B550" s="75"/>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c r="AA550" s="71"/>
      <c r="AB550" s="71"/>
      <c r="AC550" s="71"/>
      <c r="AD550" s="75"/>
      <c r="AE550" s="75"/>
      <c r="AF550" s="75"/>
      <c r="AG550" s="75"/>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c r="BH550" s="75"/>
      <c r="BI550" s="75"/>
      <c r="BJ550" s="75"/>
      <c r="BK550" s="75"/>
      <c r="BL550" s="75"/>
      <c r="BM550" s="75"/>
    </row>
    <row r="551">
      <c r="A551" s="75"/>
      <c r="B551" s="75"/>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c r="AA551" s="71"/>
      <c r="AB551" s="71"/>
      <c r="AC551" s="71"/>
      <c r="AD551" s="75"/>
      <c r="AE551" s="75"/>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c r="BH551" s="75"/>
      <c r="BI551" s="75"/>
      <c r="BJ551" s="75"/>
      <c r="BK551" s="75"/>
      <c r="BL551" s="75"/>
      <c r="BM551" s="75"/>
    </row>
    <row r="552">
      <c r="A552" s="75"/>
      <c r="B552" s="75"/>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c r="AA552" s="71"/>
      <c r="AB552" s="71"/>
      <c r="AC552" s="71"/>
      <c r="AD552" s="75"/>
      <c r="AE552" s="75"/>
      <c r="AF552" s="75"/>
      <c r="AG552" s="75"/>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c r="BH552" s="75"/>
      <c r="BI552" s="75"/>
      <c r="BJ552" s="75"/>
      <c r="BK552" s="75"/>
      <c r="BL552" s="75"/>
      <c r="BM552" s="75"/>
    </row>
    <row r="553">
      <c r="A553" s="75"/>
      <c r="B553" s="75"/>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c r="AA553" s="71"/>
      <c r="AB553" s="71"/>
      <c r="AC553" s="71"/>
      <c r="AD553" s="75"/>
      <c r="AE553" s="75"/>
      <c r="AF553" s="75"/>
      <c r="AG553" s="75"/>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c r="BH553" s="75"/>
      <c r="BI553" s="75"/>
      <c r="BJ553" s="75"/>
      <c r="BK553" s="75"/>
      <c r="BL553" s="75"/>
      <c r="BM553" s="75"/>
    </row>
    <row r="554">
      <c r="A554" s="75"/>
      <c r="B554" s="75"/>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c r="AA554" s="71"/>
      <c r="AB554" s="71"/>
      <c r="AC554" s="71"/>
      <c r="AD554" s="75"/>
      <c r="AE554" s="75"/>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c r="BI554" s="75"/>
      <c r="BJ554" s="75"/>
      <c r="BK554" s="75"/>
      <c r="BL554" s="75"/>
      <c r="BM554" s="75"/>
    </row>
    <row r="555">
      <c r="A555" s="75"/>
      <c r="B555" s="75"/>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c r="AA555" s="71"/>
      <c r="AB555" s="71"/>
      <c r="AC555" s="71"/>
      <c r="AD555" s="75"/>
      <c r="AE555" s="75"/>
      <c r="AF555" s="75"/>
      <c r="AG555" s="75"/>
      <c r="AH555" s="75"/>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c r="BK555" s="75"/>
      <c r="BL555" s="75"/>
      <c r="BM555" s="75"/>
    </row>
    <row r="556">
      <c r="A556" s="75"/>
      <c r="B556" s="75"/>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c r="AA556" s="71"/>
      <c r="AB556" s="71"/>
      <c r="AC556" s="71"/>
      <c r="AD556" s="75"/>
      <c r="AE556" s="75"/>
      <c r="AF556" s="75"/>
      <c r="AG556" s="75"/>
      <c r="AH556" s="75"/>
      <c r="AI556" s="75"/>
      <c r="AJ556" s="75"/>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c r="BK556" s="75"/>
      <c r="BL556" s="75"/>
      <c r="BM556" s="75"/>
    </row>
    <row r="557">
      <c r="A557" s="75"/>
      <c r="B557" s="75"/>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c r="AA557" s="71"/>
      <c r="AB557" s="71"/>
      <c r="AC557" s="71"/>
      <c r="AD557" s="75"/>
      <c r="AE557" s="75"/>
      <c r="AF557" s="75"/>
      <c r="AG557" s="75"/>
      <c r="AH557" s="75"/>
      <c r="AI557" s="75"/>
      <c r="AJ557" s="75"/>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c r="BK557" s="75"/>
      <c r="BL557" s="75"/>
      <c r="BM557" s="75"/>
    </row>
    <row r="558">
      <c r="A558" s="75"/>
      <c r="B558" s="75"/>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c r="AA558" s="71"/>
      <c r="AB558" s="71"/>
      <c r="AC558" s="71"/>
      <c r="AD558" s="75"/>
      <c r="AE558" s="75"/>
      <c r="AF558" s="75"/>
      <c r="AG558" s="75"/>
      <c r="AH558" s="75"/>
      <c r="AI558" s="75"/>
      <c r="AJ558" s="75"/>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c r="BK558" s="75"/>
      <c r="BL558" s="75"/>
      <c r="BM558" s="75"/>
    </row>
    <row r="559">
      <c r="A559" s="75"/>
      <c r="B559" s="75"/>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c r="AA559" s="71"/>
      <c r="AB559" s="71"/>
      <c r="AC559" s="71"/>
      <c r="AD559" s="75"/>
      <c r="AE559" s="75"/>
      <c r="AF559" s="75"/>
      <c r="AG559" s="75"/>
      <c r="AH559" s="75"/>
      <c r="AI559" s="75"/>
      <c r="AJ559" s="75"/>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c r="BK559" s="75"/>
      <c r="BL559" s="75"/>
      <c r="BM559" s="75"/>
    </row>
    <row r="560">
      <c r="A560" s="75"/>
      <c r="B560" s="75"/>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c r="AA560" s="71"/>
      <c r="AB560" s="71"/>
      <c r="AC560" s="71"/>
      <c r="AD560" s="75"/>
      <c r="AE560" s="75"/>
      <c r="AF560" s="75"/>
      <c r="AG560" s="75"/>
      <c r="AH560" s="75"/>
      <c r="AI560" s="75"/>
      <c r="AJ560" s="75"/>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c r="BK560" s="75"/>
      <c r="BL560" s="75"/>
      <c r="BM560" s="75"/>
    </row>
    <row r="561">
      <c r="A561" s="75"/>
      <c r="B561" s="75"/>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c r="AA561" s="71"/>
      <c r="AB561" s="71"/>
      <c r="AC561" s="71"/>
      <c r="AD561" s="75"/>
      <c r="AE561" s="75"/>
      <c r="AF561" s="75"/>
      <c r="AG561" s="75"/>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c r="BK561" s="75"/>
      <c r="BL561" s="75"/>
      <c r="BM561" s="75"/>
    </row>
    <row r="562">
      <c r="A562" s="75"/>
      <c r="B562" s="75"/>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c r="AA562" s="71"/>
      <c r="AB562" s="71"/>
      <c r="AC562" s="71"/>
      <c r="AD562" s="75"/>
      <c r="AE562" s="75"/>
      <c r="AF562" s="75"/>
      <c r="AG562" s="75"/>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c r="BK562" s="75"/>
      <c r="BL562" s="75"/>
      <c r="BM562" s="75"/>
    </row>
    <row r="563">
      <c r="A563" s="75"/>
      <c r="B563" s="75"/>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c r="AA563" s="71"/>
      <c r="AB563" s="71"/>
      <c r="AC563" s="71"/>
      <c r="AD563" s="75"/>
      <c r="AE563" s="75"/>
      <c r="AF563" s="75"/>
      <c r="AG563" s="75"/>
      <c r="AH563" s="75"/>
      <c r="AI563" s="75"/>
      <c r="AJ563" s="75"/>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c r="BK563" s="75"/>
      <c r="BL563" s="75"/>
      <c r="BM563" s="75"/>
    </row>
    <row r="564">
      <c r="A564" s="75"/>
      <c r="B564" s="75"/>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1"/>
      <c r="AB564" s="71"/>
      <c r="AC564" s="71"/>
      <c r="AD564" s="75"/>
      <c r="AE564" s="75"/>
      <c r="AF564" s="75"/>
      <c r="AG564" s="75"/>
      <c r="AH564" s="75"/>
      <c r="AI564" s="75"/>
      <c r="AJ564" s="75"/>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c r="BK564" s="75"/>
      <c r="BL564" s="75"/>
      <c r="BM564" s="75"/>
    </row>
    <row r="565">
      <c r="A565" s="75"/>
      <c r="B565" s="75"/>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c r="AA565" s="71"/>
      <c r="AB565" s="71"/>
      <c r="AC565" s="71"/>
      <c r="AD565" s="75"/>
      <c r="AE565" s="75"/>
      <c r="AF565" s="75"/>
      <c r="AG565" s="75"/>
      <c r="AH565" s="75"/>
      <c r="AI565" s="75"/>
      <c r="AJ565" s="75"/>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c r="BK565" s="75"/>
      <c r="BL565" s="75"/>
      <c r="BM565" s="75"/>
    </row>
    <row r="566">
      <c r="A566" s="75"/>
      <c r="B566" s="75"/>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c r="AA566" s="71"/>
      <c r="AB566" s="71"/>
      <c r="AC566" s="71"/>
      <c r="AD566" s="75"/>
      <c r="AE566" s="75"/>
      <c r="AF566" s="75"/>
      <c r="AG566" s="75"/>
      <c r="AH566" s="75"/>
      <c r="AI566" s="75"/>
      <c r="AJ566" s="75"/>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c r="BK566" s="75"/>
      <c r="BL566" s="75"/>
      <c r="BM566" s="75"/>
    </row>
    <row r="567">
      <c r="A567" s="75"/>
      <c r="B567" s="75"/>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c r="AA567" s="71"/>
      <c r="AB567" s="71"/>
      <c r="AC567" s="71"/>
      <c r="AD567" s="75"/>
      <c r="AE567" s="75"/>
      <c r="AF567" s="75"/>
      <c r="AG567" s="75"/>
      <c r="AH567" s="75"/>
      <c r="AI567" s="75"/>
      <c r="AJ567" s="75"/>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c r="BK567" s="75"/>
      <c r="BL567" s="75"/>
      <c r="BM567" s="75"/>
    </row>
    <row r="568">
      <c r="A568" s="75"/>
      <c r="B568" s="75"/>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c r="AA568" s="71"/>
      <c r="AB568" s="71"/>
      <c r="AC568" s="71"/>
      <c r="AD568" s="75"/>
      <c r="AE568" s="75"/>
      <c r="AF568" s="75"/>
      <c r="AG568" s="75"/>
      <c r="AH568" s="75"/>
      <c r="AI568" s="75"/>
      <c r="AJ568" s="75"/>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c r="BK568" s="75"/>
      <c r="BL568" s="75"/>
      <c r="BM568" s="75"/>
    </row>
    <row r="569">
      <c r="A569" s="75"/>
      <c r="B569" s="75"/>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c r="AA569" s="71"/>
      <c r="AB569" s="71"/>
      <c r="AC569" s="71"/>
      <c r="AD569" s="75"/>
      <c r="AE569" s="75"/>
      <c r="AF569" s="75"/>
      <c r="AG569" s="75"/>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c r="BK569" s="75"/>
      <c r="BL569" s="75"/>
      <c r="BM569" s="75"/>
    </row>
    <row r="570">
      <c r="A570" s="75"/>
      <c r="B570" s="75"/>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c r="AA570" s="71"/>
      <c r="AB570" s="71"/>
      <c r="AC570" s="71"/>
      <c r="AD570" s="75"/>
      <c r="AE570" s="75"/>
      <c r="AF570" s="75"/>
      <c r="AG570" s="75"/>
      <c r="AH570" s="75"/>
      <c r="AI570" s="75"/>
      <c r="AJ570" s="75"/>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c r="BK570" s="75"/>
      <c r="BL570" s="75"/>
      <c r="BM570" s="75"/>
    </row>
    <row r="571">
      <c r="A571" s="75"/>
      <c r="B571" s="75"/>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c r="AA571" s="71"/>
      <c r="AB571" s="71"/>
      <c r="AC571" s="71"/>
      <c r="AD571" s="75"/>
      <c r="AE571" s="75"/>
      <c r="AF571" s="75"/>
      <c r="AG571" s="75"/>
      <c r="AH571" s="75"/>
      <c r="AI571" s="75"/>
      <c r="AJ571" s="75"/>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c r="BK571" s="75"/>
      <c r="BL571" s="75"/>
      <c r="BM571" s="75"/>
    </row>
    <row r="572">
      <c r="A572" s="75"/>
      <c r="B572" s="75"/>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c r="AA572" s="71"/>
      <c r="AB572" s="71"/>
      <c r="AC572" s="71"/>
      <c r="AD572" s="75"/>
      <c r="AE572" s="75"/>
      <c r="AF572" s="75"/>
      <c r="AG572" s="75"/>
      <c r="AH572" s="75"/>
      <c r="AI572" s="75"/>
      <c r="AJ572" s="75"/>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c r="BK572" s="75"/>
      <c r="BL572" s="75"/>
      <c r="BM572" s="75"/>
    </row>
    <row r="573">
      <c r="A573" s="75"/>
      <c r="B573" s="75"/>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c r="AA573" s="71"/>
      <c r="AB573" s="71"/>
      <c r="AC573" s="71"/>
      <c r="AD573" s="75"/>
      <c r="AE573" s="75"/>
      <c r="AF573" s="75"/>
      <c r="AG573" s="75"/>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c r="BK573" s="75"/>
      <c r="BL573" s="75"/>
      <c r="BM573" s="75"/>
    </row>
    <row r="574">
      <c r="A574" s="75"/>
      <c r="B574" s="75"/>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c r="AA574" s="71"/>
      <c r="AB574" s="71"/>
      <c r="AC574" s="71"/>
      <c r="AD574" s="75"/>
      <c r="AE574" s="75"/>
      <c r="AF574" s="75"/>
      <c r="AG574" s="75"/>
      <c r="AH574" s="75"/>
      <c r="AI574" s="75"/>
      <c r="AJ574" s="75"/>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c r="BK574" s="75"/>
      <c r="BL574" s="75"/>
      <c r="BM574" s="75"/>
    </row>
    <row r="575">
      <c r="A575" s="75"/>
      <c r="B575" s="75"/>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c r="AA575" s="71"/>
      <c r="AB575" s="71"/>
      <c r="AC575" s="71"/>
      <c r="AD575" s="75"/>
      <c r="AE575" s="75"/>
      <c r="AF575" s="75"/>
      <c r="AG575" s="75"/>
      <c r="AH575" s="75"/>
      <c r="AI575" s="75"/>
      <c r="AJ575" s="75"/>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c r="BK575" s="75"/>
      <c r="BL575" s="75"/>
      <c r="BM575" s="75"/>
    </row>
    <row r="576">
      <c r="A576" s="75"/>
      <c r="B576" s="75"/>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c r="AA576" s="71"/>
      <c r="AB576" s="71"/>
      <c r="AC576" s="71"/>
      <c r="AD576" s="75"/>
      <c r="AE576" s="75"/>
      <c r="AF576" s="75"/>
      <c r="AG576" s="75"/>
      <c r="AH576" s="75"/>
      <c r="AI576" s="75"/>
      <c r="AJ576" s="75"/>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c r="BK576" s="75"/>
      <c r="BL576" s="75"/>
      <c r="BM576" s="75"/>
    </row>
    <row r="577">
      <c r="A577" s="75"/>
      <c r="B577" s="75"/>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c r="AA577" s="71"/>
      <c r="AB577" s="71"/>
      <c r="AC577" s="71"/>
      <c r="AD577" s="75"/>
      <c r="AE577" s="75"/>
      <c r="AF577" s="75"/>
      <c r="AG577" s="75"/>
      <c r="AH577" s="75"/>
      <c r="AI577" s="75"/>
      <c r="AJ577" s="75"/>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c r="BK577" s="75"/>
      <c r="BL577" s="75"/>
      <c r="BM577" s="75"/>
    </row>
    <row r="578">
      <c r="A578" s="75"/>
      <c r="B578" s="75"/>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c r="AA578" s="71"/>
      <c r="AB578" s="71"/>
      <c r="AC578" s="71"/>
      <c r="AD578" s="75"/>
      <c r="AE578" s="75"/>
      <c r="AF578" s="75"/>
      <c r="AG578" s="75"/>
      <c r="AH578" s="75"/>
      <c r="AI578" s="75"/>
      <c r="AJ578" s="75"/>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c r="BK578" s="75"/>
      <c r="BL578" s="75"/>
      <c r="BM578" s="75"/>
    </row>
    <row r="579">
      <c r="A579" s="75"/>
      <c r="B579" s="75"/>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c r="AA579" s="71"/>
      <c r="AB579" s="71"/>
      <c r="AC579" s="71"/>
      <c r="AD579" s="75"/>
      <c r="AE579" s="75"/>
      <c r="AF579" s="75"/>
      <c r="AG579" s="75"/>
      <c r="AH579" s="75"/>
      <c r="AI579" s="75"/>
      <c r="AJ579" s="75"/>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c r="BK579" s="75"/>
      <c r="BL579" s="75"/>
      <c r="BM579" s="75"/>
    </row>
    <row r="580">
      <c r="A580" s="75"/>
      <c r="B580" s="75"/>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c r="AA580" s="71"/>
      <c r="AB580" s="71"/>
      <c r="AC580" s="71"/>
      <c r="AD580" s="75"/>
      <c r="AE580" s="75"/>
      <c r="AF580" s="75"/>
      <c r="AG580" s="75"/>
      <c r="AH580" s="75"/>
      <c r="AI580" s="75"/>
      <c r="AJ580" s="75"/>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c r="BK580" s="75"/>
      <c r="BL580" s="75"/>
      <c r="BM580" s="75"/>
    </row>
    <row r="581">
      <c r="A581" s="75"/>
      <c r="B581" s="75"/>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c r="AA581" s="71"/>
      <c r="AB581" s="71"/>
      <c r="AC581" s="71"/>
      <c r="AD581" s="75"/>
      <c r="AE581" s="75"/>
      <c r="AF581" s="75"/>
      <c r="AG581" s="75"/>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c r="BK581" s="75"/>
      <c r="BL581" s="75"/>
      <c r="BM581" s="75"/>
    </row>
    <row r="582">
      <c r="A582" s="75"/>
      <c r="B582" s="75"/>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c r="AA582" s="71"/>
      <c r="AB582" s="71"/>
      <c r="AC582" s="71"/>
      <c r="AD582" s="75"/>
      <c r="AE582" s="75"/>
      <c r="AF582" s="75"/>
      <c r="AG582" s="75"/>
      <c r="AH582" s="75"/>
      <c r="AI582" s="75"/>
      <c r="AJ582" s="75"/>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c r="BK582" s="75"/>
      <c r="BL582" s="75"/>
      <c r="BM582" s="75"/>
    </row>
    <row r="583">
      <c r="A583" s="75"/>
      <c r="B583" s="75"/>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c r="AA583" s="71"/>
      <c r="AB583" s="71"/>
      <c r="AC583" s="71"/>
      <c r="AD583" s="75"/>
      <c r="AE583" s="75"/>
      <c r="AF583" s="75"/>
      <c r="AG583" s="75"/>
      <c r="AH583" s="75"/>
      <c r="AI583" s="75"/>
      <c r="AJ583" s="75"/>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c r="BK583" s="75"/>
      <c r="BL583" s="75"/>
      <c r="BM583" s="75"/>
    </row>
    <row r="584">
      <c r="A584" s="75"/>
      <c r="B584" s="75"/>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c r="AA584" s="71"/>
      <c r="AB584" s="71"/>
      <c r="AC584" s="71"/>
      <c r="AD584" s="75"/>
      <c r="AE584" s="75"/>
      <c r="AF584" s="75"/>
      <c r="AG584" s="75"/>
      <c r="AH584" s="75"/>
      <c r="AI584" s="75"/>
      <c r="AJ584" s="75"/>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c r="BK584" s="75"/>
      <c r="BL584" s="75"/>
      <c r="BM584" s="75"/>
    </row>
    <row r="585">
      <c r="A585" s="75"/>
      <c r="B585" s="75"/>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c r="AA585" s="71"/>
      <c r="AB585" s="71"/>
      <c r="AC585" s="71"/>
      <c r="AD585" s="75"/>
      <c r="AE585" s="75"/>
      <c r="AF585" s="75"/>
      <c r="AG585" s="75"/>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c r="BK585" s="75"/>
      <c r="BL585" s="75"/>
      <c r="BM585" s="75"/>
    </row>
    <row r="586">
      <c r="A586" s="75"/>
      <c r="B586" s="75"/>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c r="AA586" s="71"/>
      <c r="AB586" s="71"/>
      <c r="AC586" s="71"/>
      <c r="AD586" s="75"/>
      <c r="AE586" s="75"/>
      <c r="AF586" s="75"/>
      <c r="AG586" s="75"/>
      <c r="AH586" s="75"/>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c r="BK586" s="75"/>
      <c r="BL586" s="75"/>
      <c r="BM586" s="75"/>
    </row>
    <row r="587">
      <c r="A587" s="75"/>
      <c r="B587" s="75"/>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c r="AA587" s="71"/>
      <c r="AB587" s="71"/>
      <c r="AC587" s="71"/>
      <c r="AD587" s="75"/>
      <c r="AE587" s="75"/>
      <c r="AF587" s="75"/>
      <c r="AG587" s="75"/>
      <c r="AH587" s="75"/>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c r="BK587" s="75"/>
      <c r="BL587" s="75"/>
      <c r="BM587" s="75"/>
    </row>
    <row r="588">
      <c r="A588" s="75"/>
      <c r="B588" s="75"/>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c r="AA588" s="71"/>
      <c r="AB588" s="71"/>
      <c r="AC588" s="71"/>
      <c r="AD588" s="75"/>
      <c r="AE588" s="75"/>
      <c r="AF588" s="75"/>
      <c r="AG588" s="75"/>
      <c r="AH588" s="75"/>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c r="BK588" s="75"/>
      <c r="BL588" s="75"/>
      <c r="BM588" s="75"/>
    </row>
    <row r="589">
      <c r="A589" s="75"/>
      <c r="B589" s="75"/>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c r="AA589" s="71"/>
      <c r="AB589" s="71"/>
      <c r="AC589" s="71"/>
      <c r="AD589" s="75"/>
      <c r="AE589" s="75"/>
      <c r="AF589" s="75"/>
      <c r="AG589" s="75"/>
      <c r="AH589" s="75"/>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c r="BK589" s="75"/>
      <c r="BL589" s="75"/>
      <c r="BM589" s="75"/>
    </row>
    <row r="590">
      <c r="A590" s="75"/>
      <c r="B590" s="75"/>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c r="AA590" s="71"/>
      <c r="AB590" s="71"/>
      <c r="AC590" s="71"/>
      <c r="AD590" s="75"/>
      <c r="AE590" s="75"/>
      <c r="AF590" s="75"/>
      <c r="AG590" s="75"/>
      <c r="AH590" s="75"/>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c r="BK590" s="75"/>
      <c r="BL590" s="75"/>
      <c r="BM590" s="75"/>
    </row>
    <row r="591">
      <c r="A591" s="75"/>
      <c r="B591" s="75"/>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c r="AA591" s="71"/>
      <c r="AB591" s="71"/>
      <c r="AC591" s="71"/>
      <c r="AD591" s="75"/>
      <c r="AE591" s="75"/>
      <c r="AF591" s="75"/>
      <c r="AG591" s="75"/>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c r="BK591" s="75"/>
      <c r="BL591" s="75"/>
      <c r="BM591" s="75"/>
    </row>
    <row r="592">
      <c r="A592" s="75"/>
      <c r="B592" s="75"/>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c r="AA592" s="71"/>
      <c r="AB592" s="71"/>
      <c r="AC592" s="71"/>
      <c r="AD592" s="75"/>
      <c r="AE592" s="75"/>
      <c r="AF592" s="75"/>
      <c r="AG592" s="75"/>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c r="BK592" s="75"/>
      <c r="BL592" s="75"/>
      <c r="BM592" s="75"/>
    </row>
    <row r="593">
      <c r="A593" s="75"/>
      <c r="B593" s="75"/>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c r="AA593" s="71"/>
      <c r="AB593" s="71"/>
      <c r="AC593" s="71"/>
      <c r="AD593" s="75"/>
      <c r="AE593" s="75"/>
      <c r="AF593" s="75"/>
      <c r="AG593" s="75"/>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c r="BK593" s="75"/>
      <c r="BL593" s="75"/>
      <c r="BM593" s="75"/>
    </row>
    <row r="594">
      <c r="A594" s="75"/>
      <c r="B594" s="75"/>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c r="AA594" s="71"/>
      <c r="AB594" s="71"/>
      <c r="AC594" s="71"/>
      <c r="AD594" s="75"/>
      <c r="AE594" s="75"/>
      <c r="AF594" s="75"/>
      <c r="AG594" s="75"/>
      <c r="AH594" s="75"/>
      <c r="AI594" s="75"/>
      <c r="AJ594" s="75"/>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c r="BK594" s="75"/>
      <c r="BL594" s="75"/>
      <c r="BM594" s="75"/>
    </row>
    <row r="595">
      <c r="A595" s="75"/>
      <c r="B595" s="75"/>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c r="AA595" s="71"/>
      <c r="AB595" s="71"/>
      <c r="AC595" s="71"/>
      <c r="AD595" s="75"/>
      <c r="AE595" s="75"/>
      <c r="AF595" s="75"/>
      <c r="AG595" s="75"/>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c r="BK595" s="75"/>
      <c r="BL595" s="75"/>
      <c r="BM595" s="75"/>
    </row>
    <row r="596">
      <c r="A596" s="75"/>
      <c r="B596" s="75"/>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c r="AA596" s="71"/>
      <c r="AB596" s="71"/>
      <c r="AC596" s="71"/>
      <c r="AD596" s="75"/>
      <c r="AE596" s="75"/>
      <c r="AF596" s="75"/>
      <c r="AG596" s="75"/>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c r="BK596" s="75"/>
      <c r="BL596" s="75"/>
      <c r="BM596" s="75"/>
    </row>
    <row r="597">
      <c r="A597" s="75"/>
      <c r="B597" s="75"/>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c r="AA597" s="71"/>
      <c r="AB597" s="71"/>
      <c r="AC597" s="71"/>
      <c r="AD597" s="75"/>
      <c r="AE597" s="75"/>
      <c r="AF597" s="75"/>
      <c r="AG597" s="75"/>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c r="BK597" s="75"/>
      <c r="BL597" s="75"/>
      <c r="BM597" s="75"/>
    </row>
    <row r="598">
      <c r="A598" s="75"/>
      <c r="B598" s="75"/>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c r="AA598" s="71"/>
      <c r="AB598" s="71"/>
      <c r="AC598" s="71"/>
      <c r="AD598" s="75"/>
      <c r="AE598" s="75"/>
      <c r="AF598" s="75"/>
      <c r="AG598" s="75"/>
      <c r="AH598" s="75"/>
      <c r="AI598" s="75"/>
      <c r="AJ598" s="75"/>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c r="BK598" s="75"/>
      <c r="BL598" s="75"/>
      <c r="BM598" s="75"/>
    </row>
    <row r="599">
      <c r="A599" s="75"/>
      <c r="B599" s="75"/>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c r="AA599" s="71"/>
      <c r="AB599" s="71"/>
      <c r="AC599" s="71"/>
      <c r="AD599" s="75"/>
      <c r="AE599" s="75"/>
      <c r="AF599" s="75"/>
      <c r="AG599" s="75"/>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c r="BK599" s="75"/>
      <c r="BL599" s="75"/>
      <c r="BM599" s="75"/>
    </row>
    <row r="600">
      <c r="A600" s="75"/>
      <c r="B600" s="75"/>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1"/>
      <c r="AB600" s="71"/>
      <c r="AC600" s="71"/>
      <c r="AD600" s="75"/>
      <c r="AE600" s="75"/>
      <c r="AF600" s="75"/>
      <c r="AG600" s="75"/>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c r="BK600" s="75"/>
      <c r="BL600" s="75"/>
      <c r="BM600" s="75"/>
    </row>
    <row r="601">
      <c r="A601" s="75"/>
      <c r="B601" s="75"/>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c r="AA601" s="71"/>
      <c r="AB601" s="71"/>
      <c r="AC601" s="71"/>
      <c r="AD601" s="75"/>
      <c r="AE601" s="75"/>
      <c r="AF601" s="75"/>
      <c r="AG601" s="75"/>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c r="BK601" s="75"/>
      <c r="BL601" s="75"/>
      <c r="BM601" s="75"/>
    </row>
    <row r="602">
      <c r="A602" s="75"/>
      <c r="B602" s="75"/>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c r="AA602" s="71"/>
      <c r="AB602" s="71"/>
      <c r="AC602" s="71"/>
      <c r="AD602" s="75"/>
      <c r="AE602" s="75"/>
      <c r="AF602" s="75"/>
      <c r="AG602" s="75"/>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c r="BK602" s="75"/>
      <c r="BL602" s="75"/>
      <c r="BM602" s="75"/>
    </row>
    <row r="603">
      <c r="A603" s="75"/>
      <c r="B603" s="75"/>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c r="AA603" s="71"/>
      <c r="AB603" s="71"/>
      <c r="AC603" s="71"/>
      <c r="AD603" s="75"/>
      <c r="AE603" s="75"/>
      <c r="AF603" s="75"/>
      <c r="AG603" s="75"/>
      <c r="AH603" s="75"/>
      <c r="AI603" s="75"/>
      <c r="AJ603" s="75"/>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c r="BK603" s="75"/>
      <c r="BL603" s="75"/>
      <c r="BM603" s="75"/>
    </row>
    <row r="604">
      <c r="A604" s="75"/>
      <c r="B604" s="75"/>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c r="AA604" s="71"/>
      <c r="AB604" s="71"/>
      <c r="AC604" s="71"/>
      <c r="AD604" s="75"/>
      <c r="AE604" s="75"/>
      <c r="AF604" s="75"/>
      <c r="AG604" s="75"/>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c r="BK604" s="75"/>
      <c r="BL604" s="75"/>
      <c r="BM604" s="75"/>
    </row>
    <row r="605">
      <c r="A605" s="75"/>
      <c r="B605" s="75"/>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c r="AA605" s="71"/>
      <c r="AB605" s="71"/>
      <c r="AC605" s="71"/>
      <c r="AD605" s="75"/>
      <c r="AE605" s="75"/>
      <c r="AF605" s="75"/>
      <c r="AG605" s="75"/>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c r="BK605" s="75"/>
      <c r="BL605" s="75"/>
      <c r="BM605" s="75"/>
    </row>
    <row r="606">
      <c r="A606" s="75"/>
      <c r="B606" s="75"/>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c r="AA606" s="71"/>
      <c r="AB606" s="71"/>
      <c r="AC606" s="71"/>
      <c r="AD606" s="75"/>
      <c r="AE606" s="75"/>
      <c r="AF606" s="75"/>
      <c r="AG606" s="75"/>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c r="BK606" s="75"/>
      <c r="BL606" s="75"/>
      <c r="BM606" s="75"/>
    </row>
    <row r="607">
      <c r="A607" s="75"/>
      <c r="B607" s="75"/>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c r="AA607" s="71"/>
      <c r="AB607" s="71"/>
      <c r="AC607" s="71"/>
      <c r="AD607" s="75"/>
      <c r="AE607" s="75"/>
      <c r="AF607" s="75"/>
      <c r="AG607" s="75"/>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c r="BK607" s="75"/>
      <c r="BL607" s="75"/>
      <c r="BM607" s="75"/>
    </row>
    <row r="608">
      <c r="A608" s="75"/>
      <c r="B608" s="75"/>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c r="AA608" s="71"/>
      <c r="AB608" s="71"/>
      <c r="AC608" s="71"/>
      <c r="AD608" s="75"/>
      <c r="AE608" s="75"/>
      <c r="AF608" s="75"/>
      <c r="AG608" s="75"/>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c r="BK608" s="75"/>
      <c r="BL608" s="75"/>
      <c r="BM608" s="75"/>
    </row>
    <row r="609">
      <c r="A609" s="75"/>
      <c r="B609" s="75"/>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c r="AA609" s="71"/>
      <c r="AB609" s="71"/>
      <c r="AC609" s="71"/>
      <c r="AD609" s="75"/>
      <c r="AE609" s="75"/>
      <c r="AF609" s="75"/>
      <c r="AG609" s="75"/>
      <c r="AH609" s="75"/>
      <c r="AI609" s="75"/>
      <c r="AJ609" s="75"/>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c r="BK609" s="75"/>
      <c r="BL609" s="75"/>
      <c r="BM609" s="75"/>
    </row>
    <row r="610">
      <c r="A610" s="75"/>
      <c r="B610" s="75"/>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c r="AA610" s="71"/>
      <c r="AB610" s="71"/>
      <c r="AC610" s="71"/>
      <c r="AD610" s="75"/>
      <c r="AE610" s="75"/>
      <c r="AF610" s="75"/>
      <c r="AG610" s="75"/>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c r="BK610" s="75"/>
      <c r="BL610" s="75"/>
      <c r="BM610" s="75"/>
    </row>
    <row r="611">
      <c r="A611" s="75"/>
      <c r="B611" s="75"/>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c r="AA611" s="71"/>
      <c r="AB611" s="71"/>
      <c r="AC611" s="71"/>
      <c r="AD611" s="75"/>
      <c r="AE611" s="75"/>
      <c r="AF611" s="75"/>
      <c r="AG611" s="75"/>
      <c r="AH611" s="75"/>
      <c r="AI611" s="75"/>
      <c r="AJ611" s="75"/>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c r="BK611" s="75"/>
      <c r="BL611" s="75"/>
      <c r="BM611" s="75"/>
    </row>
    <row r="612">
      <c r="A612" s="75"/>
      <c r="B612" s="75"/>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c r="AA612" s="71"/>
      <c r="AB612" s="71"/>
      <c r="AC612" s="71"/>
      <c r="AD612" s="75"/>
      <c r="AE612" s="75"/>
      <c r="AF612" s="75"/>
      <c r="AG612" s="75"/>
      <c r="AH612" s="75"/>
      <c r="AI612" s="75"/>
      <c r="AJ612" s="75"/>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c r="BK612" s="75"/>
      <c r="BL612" s="75"/>
      <c r="BM612" s="75"/>
    </row>
    <row r="613">
      <c r="A613" s="75"/>
      <c r="B613" s="75"/>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c r="AA613" s="71"/>
      <c r="AB613" s="71"/>
      <c r="AC613" s="71"/>
      <c r="AD613" s="75"/>
      <c r="AE613" s="75"/>
      <c r="AF613" s="75"/>
      <c r="AG613" s="75"/>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c r="BK613" s="75"/>
      <c r="BL613" s="75"/>
      <c r="BM613" s="75"/>
    </row>
    <row r="614">
      <c r="A614" s="75"/>
      <c r="B614" s="75"/>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c r="AA614" s="71"/>
      <c r="AB614" s="71"/>
      <c r="AC614" s="71"/>
      <c r="AD614" s="75"/>
      <c r="AE614" s="75"/>
      <c r="AF614" s="75"/>
      <c r="AG614" s="75"/>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c r="BK614" s="75"/>
      <c r="BL614" s="75"/>
      <c r="BM614" s="75"/>
    </row>
    <row r="615">
      <c r="A615" s="75"/>
      <c r="B615" s="75"/>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c r="AA615" s="71"/>
      <c r="AB615" s="71"/>
      <c r="AC615" s="71"/>
      <c r="AD615" s="75"/>
      <c r="AE615" s="75"/>
      <c r="AF615" s="75"/>
      <c r="AG615" s="75"/>
      <c r="AH615" s="75"/>
      <c r="AI615" s="75"/>
      <c r="AJ615" s="75"/>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c r="BK615" s="75"/>
      <c r="BL615" s="75"/>
      <c r="BM615" s="75"/>
    </row>
    <row r="616">
      <c r="A616" s="75"/>
      <c r="B616" s="75"/>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c r="AA616" s="71"/>
      <c r="AB616" s="71"/>
      <c r="AC616" s="71"/>
      <c r="AD616" s="75"/>
      <c r="AE616" s="75"/>
      <c r="AF616" s="75"/>
      <c r="AG616" s="75"/>
      <c r="AH616" s="75"/>
      <c r="AI616" s="75"/>
      <c r="AJ616" s="75"/>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c r="BK616" s="75"/>
      <c r="BL616" s="75"/>
      <c r="BM616" s="75"/>
    </row>
    <row r="617">
      <c r="A617" s="75"/>
      <c r="B617" s="75"/>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c r="AA617" s="71"/>
      <c r="AB617" s="71"/>
      <c r="AC617" s="71"/>
      <c r="AD617" s="75"/>
      <c r="AE617" s="75"/>
      <c r="AF617" s="75"/>
      <c r="AG617" s="75"/>
      <c r="AH617" s="75"/>
      <c r="AI617" s="75"/>
      <c r="AJ617" s="75"/>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c r="BK617" s="75"/>
      <c r="BL617" s="75"/>
      <c r="BM617" s="75"/>
    </row>
    <row r="618">
      <c r="A618" s="75"/>
      <c r="B618" s="75"/>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c r="AA618" s="71"/>
      <c r="AB618" s="71"/>
      <c r="AC618" s="71"/>
      <c r="AD618" s="75"/>
      <c r="AE618" s="75"/>
      <c r="AF618" s="75"/>
      <c r="AG618" s="75"/>
      <c r="AH618" s="75"/>
      <c r="AI618" s="75"/>
      <c r="AJ618" s="75"/>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c r="BK618" s="75"/>
      <c r="BL618" s="75"/>
      <c r="BM618" s="75"/>
    </row>
    <row r="619">
      <c r="A619" s="75"/>
      <c r="B619" s="75"/>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c r="AA619" s="71"/>
      <c r="AB619" s="71"/>
      <c r="AC619" s="71"/>
      <c r="AD619" s="75"/>
      <c r="AE619" s="75"/>
      <c r="AF619" s="75"/>
      <c r="AG619" s="75"/>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c r="BK619" s="75"/>
      <c r="BL619" s="75"/>
      <c r="BM619" s="75"/>
    </row>
    <row r="620">
      <c r="A620" s="75"/>
      <c r="B620" s="75"/>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c r="AA620" s="71"/>
      <c r="AB620" s="71"/>
      <c r="AC620" s="71"/>
      <c r="AD620" s="75"/>
      <c r="AE620" s="75"/>
      <c r="AF620" s="75"/>
      <c r="AG620" s="75"/>
      <c r="AH620" s="75"/>
      <c r="AI620" s="75"/>
      <c r="AJ620" s="75"/>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c r="BK620" s="75"/>
      <c r="BL620" s="75"/>
      <c r="BM620" s="75"/>
    </row>
    <row r="621">
      <c r="A621" s="75"/>
      <c r="B621" s="75"/>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c r="AA621" s="71"/>
      <c r="AB621" s="71"/>
      <c r="AC621" s="71"/>
      <c r="AD621" s="75"/>
      <c r="AE621" s="75"/>
      <c r="AF621" s="75"/>
      <c r="AG621" s="75"/>
      <c r="AH621" s="75"/>
      <c r="AI621" s="75"/>
      <c r="AJ621" s="75"/>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c r="BK621" s="75"/>
      <c r="BL621" s="75"/>
      <c r="BM621" s="75"/>
    </row>
    <row r="622">
      <c r="A622" s="75"/>
      <c r="B622" s="75"/>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c r="AA622" s="71"/>
      <c r="AB622" s="71"/>
      <c r="AC622" s="71"/>
      <c r="AD622" s="75"/>
      <c r="AE622" s="75"/>
      <c r="AF622" s="75"/>
      <c r="AG622" s="75"/>
      <c r="AH622" s="75"/>
      <c r="AI622" s="75"/>
      <c r="AJ622" s="75"/>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c r="BK622" s="75"/>
      <c r="BL622" s="75"/>
      <c r="BM622" s="75"/>
    </row>
    <row r="623">
      <c r="A623" s="75"/>
      <c r="B623" s="75"/>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c r="AA623" s="71"/>
      <c r="AB623" s="71"/>
      <c r="AC623" s="71"/>
      <c r="AD623" s="75"/>
      <c r="AE623" s="75"/>
      <c r="AF623" s="75"/>
      <c r="AG623" s="75"/>
      <c r="AH623" s="75"/>
      <c r="AI623" s="75"/>
      <c r="AJ623" s="75"/>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c r="BK623" s="75"/>
      <c r="BL623" s="75"/>
      <c r="BM623" s="75"/>
    </row>
    <row r="624">
      <c r="A624" s="75"/>
      <c r="B624" s="75"/>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c r="AA624" s="71"/>
      <c r="AB624" s="71"/>
      <c r="AC624" s="71"/>
      <c r="AD624" s="75"/>
      <c r="AE624" s="75"/>
      <c r="AF624" s="75"/>
      <c r="AG624" s="75"/>
      <c r="AH624" s="75"/>
      <c r="AI624" s="75"/>
      <c r="AJ624" s="75"/>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c r="BK624" s="75"/>
      <c r="BL624" s="75"/>
      <c r="BM624" s="75"/>
    </row>
    <row r="625">
      <c r="A625" s="75"/>
      <c r="B625" s="75"/>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1"/>
      <c r="AB625" s="71"/>
      <c r="AC625" s="71"/>
      <c r="AD625" s="75"/>
      <c r="AE625" s="75"/>
      <c r="AF625" s="75"/>
      <c r="AG625" s="75"/>
      <c r="AH625" s="75"/>
      <c r="AI625" s="75"/>
      <c r="AJ625" s="75"/>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c r="BK625" s="75"/>
      <c r="BL625" s="75"/>
      <c r="BM625" s="75"/>
    </row>
    <row r="626">
      <c r="A626" s="75"/>
      <c r="B626" s="75"/>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c r="AA626" s="71"/>
      <c r="AB626" s="71"/>
      <c r="AC626" s="71"/>
      <c r="AD626" s="75"/>
      <c r="AE626" s="75"/>
      <c r="AF626" s="75"/>
      <c r="AG626" s="75"/>
      <c r="AH626" s="75"/>
      <c r="AI626" s="75"/>
      <c r="AJ626" s="75"/>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c r="BK626" s="75"/>
      <c r="BL626" s="75"/>
      <c r="BM626" s="75"/>
    </row>
    <row r="627">
      <c r="A627" s="75"/>
      <c r="B627" s="75"/>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c r="AA627" s="71"/>
      <c r="AB627" s="71"/>
      <c r="AC627" s="71"/>
      <c r="AD627" s="75"/>
      <c r="AE627" s="75"/>
      <c r="AF627" s="75"/>
      <c r="AG627" s="75"/>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c r="BK627" s="75"/>
      <c r="BL627" s="75"/>
      <c r="BM627" s="75"/>
    </row>
    <row r="628">
      <c r="A628" s="75"/>
      <c r="B628" s="75"/>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c r="AA628" s="71"/>
      <c r="AB628" s="71"/>
      <c r="AC628" s="71"/>
      <c r="AD628" s="75"/>
      <c r="AE628" s="75"/>
      <c r="AF628" s="75"/>
      <c r="AG628" s="75"/>
      <c r="AH628" s="75"/>
      <c r="AI628" s="75"/>
      <c r="AJ628" s="75"/>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c r="BK628" s="75"/>
      <c r="BL628" s="75"/>
      <c r="BM628" s="75"/>
    </row>
    <row r="629">
      <c r="A629" s="75"/>
      <c r="B629" s="75"/>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c r="AA629" s="71"/>
      <c r="AB629" s="71"/>
      <c r="AC629" s="71"/>
      <c r="AD629" s="75"/>
      <c r="AE629" s="75"/>
      <c r="AF629" s="75"/>
      <c r="AG629" s="75"/>
      <c r="AH629" s="75"/>
      <c r="AI629" s="75"/>
      <c r="AJ629" s="75"/>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c r="BK629" s="75"/>
      <c r="BL629" s="75"/>
      <c r="BM629" s="75"/>
    </row>
    <row r="630">
      <c r="A630" s="75"/>
      <c r="B630" s="75"/>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c r="AA630" s="71"/>
      <c r="AB630" s="71"/>
      <c r="AC630" s="71"/>
      <c r="AD630" s="75"/>
      <c r="AE630" s="75"/>
      <c r="AF630" s="75"/>
      <c r="AG630" s="75"/>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c r="BK630" s="75"/>
      <c r="BL630" s="75"/>
      <c r="BM630" s="75"/>
    </row>
    <row r="631">
      <c r="A631" s="75"/>
      <c r="B631" s="75"/>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c r="AA631" s="71"/>
      <c r="AB631" s="71"/>
      <c r="AC631" s="71"/>
      <c r="AD631" s="75"/>
      <c r="AE631" s="75"/>
      <c r="AF631" s="75"/>
      <c r="AG631" s="75"/>
      <c r="AH631" s="75"/>
      <c r="AI631" s="75"/>
      <c r="AJ631" s="75"/>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c r="BK631" s="75"/>
      <c r="BL631" s="75"/>
      <c r="BM631" s="75"/>
    </row>
    <row r="632">
      <c r="A632" s="75"/>
      <c r="B632" s="75"/>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c r="AA632" s="71"/>
      <c r="AB632" s="71"/>
      <c r="AC632" s="71"/>
      <c r="AD632" s="75"/>
      <c r="AE632" s="75"/>
      <c r="AF632" s="75"/>
      <c r="AG632" s="75"/>
      <c r="AH632" s="75"/>
      <c r="AI632" s="75"/>
      <c r="AJ632" s="75"/>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c r="BK632" s="75"/>
      <c r="BL632" s="75"/>
      <c r="BM632" s="75"/>
    </row>
    <row r="633">
      <c r="A633" s="75"/>
      <c r="B633" s="75"/>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c r="AA633" s="71"/>
      <c r="AB633" s="71"/>
      <c r="AC633" s="71"/>
      <c r="AD633" s="75"/>
      <c r="AE633" s="75"/>
      <c r="AF633" s="75"/>
      <c r="AG633" s="75"/>
      <c r="AH633" s="75"/>
      <c r="AI633" s="75"/>
      <c r="AJ633" s="75"/>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c r="BK633" s="75"/>
      <c r="BL633" s="75"/>
      <c r="BM633" s="75"/>
    </row>
    <row r="634">
      <c r="A634" s="75"/>
      <c r="B634" s="75"/>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c r="AA634" s="71"/>
      <c r="AB634" s="71"/>
      <c r="AC634" s="71"/>
      <c r="AD634" s="75"/>
      <c r="AE634" s="75"/>
      <c r="AF634" s="75"/>
      <c r="AG634" s="75"/>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c r="BK634" s="75"/>
      <c r="BL634" s="75"/>
      <c r="BM634" s="75"/>
    </row>
    <row r="635">
      <c r="A635" s="75"/>
      <c r="B635" s="75"/>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c r="AA635" s="71"/>
      <c r="AB635" s="71"/>
      <c r="AC635" s="71"/>
      <c r="AD635" s="75"/>
      <c r="AE635" s="75"/>
      <c r="AF635" s="75"/>
      <c r="AG635" s="75"/>
      <c r="AH635" s="75"/>
      <c r="AI635" s="75"/>
      <c r="AJ635" s="75"/>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c r="BK635" s="75"/>
      <c r="BL635" s="75"/>
      <c r="BM635" s="75"/>
    </row>
    <row r="636">
      <c r="A636" s="75"/>
      <c r="B636" s="75"/>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c r="AA636" s="71"/>
      <c r="AB636" s="71"/>
      <c r="AC636" s="71"/>
      <c r="AD636" s="75"/>
      <c r="AE636" s="75"/>
      <c r="AF636" s="75"/>
      <c r="AG636" s="75"/>
      <c r="AH636" s="75"/>
      <c r="AI636" s="75"/>
      <c r="AJ636" s="75"/>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c r="BK636" s="75"/>
      <c r="BL636" s="75"/>
      <c r="BM636" s="75"/>
    </row>
    <row r="637">
      <c r="A637" s="75"/>
      <c r="B637" s="75"/>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c r="AA637" s="71"/>
      <c r="AB637" s="71"/>
      <c r="AC637" s="71"/>
      <c r="AD637" s="75"/>
      <c r="AE637" s="75"/>
      <c r="AF637" s="75"/>
      <c r="AG637" s="75"/>
      <c r="AH637" s="75"/>
      <c r="AI637" s="75"/>
      <c r="AJ637" s="75"/>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c r="BK637" s="75"/>
      <c r="BL637" s="75"/>
      <c r="BM637" s="75"/>
    </row>
    <row r="638">
      <c r="A638" s="75"/>
      <c r="B638" s="75"/>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c r="AA638" s="71"/>
      <c r="AB638" s="71"/>
      <c r="AC638" s="71"/>
      <c r="AD638" s="75"/>
      <c r="AE638" s="75"/>
      <c r="AF638" s="75"/>
      <c r="AG638" s="75"/>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c r="BK638" s="75"/>
      <c r="BL638" s="75"/>
      <c r="BM638" s="75"/>
    </row>
    <row r="639">
      <c r="A639" s="75"/>
      <c r="B639" s="75"/>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c r="AA639" s="71"/>
      <c r="AB639" s="71"/>
      <c r="AC639" s="71"/>
      <c r="AD639" s="75"/>
      <c r="AE639" s="75"/>
      <c r="AF639" s="75"/>
      <c r="AG639" s="75"/>
      <c r="AH639" s="75"/>
      <c r="AI639" s="75"/>
      <c r="AJ639" s="75"/>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c r="BK639" s="75"/>
      <c r="BL639" s="75"/>
      <c r="BM639" s="75"/>
    </row>
    <row r="640">
      <c r="A640" s="75"/>
      <c r="B640" s="75"/>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c r="AA640" s="71"/>
      <c r="AB640" s="71"/>
      <c r="AC640" s="71"/>
      <c r="AD640" s="75"/>
      <c r="AE640" s="75"/>
      <c r="AF640" s="75"/>
      <c r="AG640" s="75"/>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c r="BK640" s="75"/>
      <c r="BL640" s="75"/>
      <c r="BM640" s="75"/>
    </row>
    <row r="641">
      <c r="A641" s="75"/>
      <c r="B641" s="75"/>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c r="AA641" s="71"/>
      <c r="AB641" s="71"/>
      <c r="AC641" s="71"/>
      <c r="AD641" s="75"/>
      <c r="AE641" s="75"/>
      <c r="AF641" s="75"/>
      <c r="AG641" s="75"/>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c r="BK641" s="75"/>
      <c r="BL641" s="75"/>
      <c r="BM641" s="75"/>
    </row>
    <row r="642">
      <c r="A642" s="75"/>
      <c r="B642" s="75"/>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c r="AA642" s="71"/>
      <c r="AB642" s="71"/>
      <c r="AC642" s="71"/>
      <c r="AD642" s="75"/>
      <c r="AE642" s="75"/>
      <c r="AF642" s="75"/>
      <c r="AG642" s="75"/>
      <c r="AH642" s="75"/>
      <c r="AI642" s="75"/>
      <c r="AJ642" s="75"/>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c r="BK642" s="75"/>
      <c r="BL642" s="75"/>
      <c r="BM642" s="75"/>
    </row>
    <row r="643">
      <c r="A643" s="75"/>
      <c r="B643" s="75"/>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c r="AA643" s="71"/>
      <c r="AB643" s="71"/>
      <c r="AC643" s="71"/>
      <c r="AD643" s="75"/>
      <c r="AE643" s="75"/>
      <c r="AF643" s="75"/>
      <c r="AG643" s="75"/>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c r="BK643" s="75"/>
      <c r="BL643" s="75"/>
      <c r="BM643" s="75"/>
    </row>
    <row r="644">
      <c r="A644" s="75"/>
      <c r="B644" s="75"/>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c r="AA644" s="71"/>
      <c r="AB644" s="71"/>
      <c r="AC644" s="71"/>
      <c r="AD644" s="75"/>
      <c r="AE644" s="75"/>
      <c r="AF644" s="75"/>
      <c r="AG644" s="75"/>
      <c r="AH644" s="75"/>
      <c r="AI644" s="75"/>
      <c r="AJ644" s="75"/>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c r="BK644" s="75"/>
      <c r="BL644" s="75"/>
      <c r="BM644" s="75"/>
    </row>
    <row r="645">
      <c r="A645" s="75"/>
      <c r="B645" s="75"/>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c r="AA645" s="71"/>
      <c r="AB645" s="71"/>
      <c r="AC645" s="71"/>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c r="BK645" s="75"/>
      <c r="BL645" s="75"/>
      <c r="BM645" s="75"/>
    </row>
    <row r="646">
      <c r="A646" s="75"/>
      <c r="B646" s="75"/>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c r="AA646" s="71"/>
      <c r="AB646" s="71"/>
      <c r="AC646" s="71"/>
      <c r="AD646" s="75"/>
      <c r="AE646" s="75"/>
      <c r="AF646" s="75"/>
      <c r="AG646" s="75"/>
      <c r="AH646" s="75"/>
      <c r="AI646" s="75"/>
      <c r="AJ646" s="75"/>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c r="BK646" s="75"/>
      <c r="BL646" s="75"/>
      <c r="BM646" s="75"/>
    </row>
    <row r="647">
      <c r="A647" s="75"/>
      <c r="B647" s="75"/>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c r="AA647" s="71"/>
      <c r="AB647" s="71"/>
      <c r="AC647" s="71"/>
      <c r="AD647" s="75"/>
      <c r="AE647" s="75"/>
      <c r="AF647" s="75"/>
      <c r="AG647" s="75"/>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c r="BK647" s="75"/>
      <c r="BL647" s="75"/>
      <c r="BM647" s="75"/>
    </row>
    <row r="648">
      <c r="A648" s="75"/>
      <c r="B648" s="75"/>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c r="AA648" s="71"/>
      <c r="AB648" s="71"/>
      <c r="AC648" s="71"/>
      <c r="AD648" s="75"/>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c r="BK648" s="75"/>
      <c r="BL648" s="75"/>
      <c r="BM648" s="75"/>
    </row>
    <row r="649">
      <c r="A649" s="75"/>
      <c r="B649" s="75"/>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c r="AA649" s="71"/>
      <c r="AB649" s="71"/>
      <c r="AC649" s="71"/>
      <c r="AD649" s="75"/>
      <c r="AE649" s="75"/>
      <c r="AF649" s="75"/>
      <c r="AG649" s="75"/>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c r="BK649" s="75"/>
      <c r="BL649" s="75"/>
      <c r="BM649" s="75"/>
    </row>
    <row r="650">
      <c r="A650" s="75"/>
      <c r="B650" s="75"/>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c r="AA650" s="71"/>
      <c r="AB650" s="71"/>
      <c r="AC650" s="71"/>
      <c r="AD650" s="75"/>
      <c r="AE650" s="75"/>
      <c r="AF650" s="75"/>
      <c r="AG650" s="75"/>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c r="BK650" s="75"/>
      <c r="BL650" s="75"/>
      <c r="BM650" s="75"/>
    </row>
    <row r="651">
      <c r="A651" s="75"/>
      <c r="B651" s="75"/>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1"/>
      <c r="AB651" s="71"/>
      <c r="AC651" s="71"/>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c r="BK651" s="75"/>
      <c r="BL651" s="75"/>
      <c r="BM651" s="75"/>
    </row>
    <row r="652">
      <c r="A652" s="75"/>
      <c r="B652" s="75"/>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c r="AA652" s="71"/>
      <c r="AB652" s="71"/>
      <c r="AC652" s="71"/>
      <c r="AD652" s="75"/>
      <c r="AE652" s="75"/>
      <c r="AF652" s="75"/>
      <c r="AG652" s="75"/>
      <c r="AH652" s="75"/>
      <c r="AI652" s="75"/>
      <c r="AJ652" s="75"/>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c r="BK652" s="75"/>
      <c r="BL652" s="75"/>
      <c r="BM652" s="75"/>
    </row>
    <row r="653">
      <c r="A653" s="75"/>
      <c r="B653" s="75"/>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c r="AA653" s="71"/>
      <c r="AB653" s="71"/>
      <c r="AC653" s="71"/>
      <c r="AD653" s="75"/>
      <c r="AE653" s="75"/>
      <c r="AF653" s="75"/>
      <c r="AG653" s="75"/>
      <c r="AH653" s="75"/>
      <c r="AI653" s="75"/>
      <c r="AJ653" s="75"/>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c r="BK653" s="75"/>
      <c r="BL653" s="75"/>
      <c r="BM653" s="75"/>
    </row>
    <row r="654">
      <c r="A654" s="75"/>
      <c r="B654" s="75"/>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c r="AA654" s="71"/>
      <c r="AB654" s="71"/>
      <c r="AC654" s="71"/>
      <c r="AD654" s="75"/>
      <c r="AE654" s="75"/>
      <c r="AF654" s="75"/>
      <c r="AG654" s="75"/>
      <c r="AH654" s="75"/>
      <c r="AI654" s="75"/>
      <c r="AJ654" s="75"/>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c r="BK654" s="75"/>
      <c r="BL654" s="75"/>
      <c r="BM654" s="75"/>
    </row>
    <row r="655">
      <c r="A655" s="75"/>
      <c r="B655" s="75"/>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c r="AA655" s="71"/>
      <c r="AB655" s="71"/>
      <c r="AC655" s="71"/>
      <c r="AD655" s="75"/>
      <c r="AE655" s="75"/>
      <c r="AF655" s="75"/>
      <c r="AG655" s="75"/>
      <c r="AH655" s="75"/>
      <c r="AI655" s="75"/>
      <c r="AJ655" s="75"/>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c r="BK655" s="75"/>
      <c r="BL655" s="75"/>
      <c r="BM655" s="75"/>
    </row>
    <row r="656">
      <c r="A656" s="75"/>
      <c r="B656" s="75"/>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c r="AA656" s="71"/>
      <c r="AB656" s="71"/>
      <c r="AC656" s="71"/>
      <c r="AD656" s="75"/>
      <c r="AE656" s="75"/>
      <c r="AF656" s="75"/>
      <c r="AG656" s="75"/>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c r="BK656" s="75"/>
      <c r="BL656" s="75"/>
      <c r="BM656" s="75"/>
    </row>
    <row r="657">
      <c r="A657" s="75"/>
      <c r="B657" s="75"/>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c r="AA657" s="71"/>
      <c r="AB657" s="71"/>
      <c r="AC657" s="71"/>
      <c r="AD657" s="75"/>
      <c r="AE657" s="75"/>
      <c r="AF657" s="75"/>
      <c r="AG657" s="75"/>
      <c r="AH657" s="75"/>
      <c r="AI657" s="75"/>
      <c r="AJ657" s="75"/>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c r="BK657" s="75"/>
      <c r="BL657" s="75"/>
      <c r="BM657" s="75"/>
    </row>
    <row r="658">
      <c r="A658" s="75"/>
      <c r="B658" s="75"/>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c r="AA658" s="71"/>
      <c r="AB658" s="71"/>
      <c r="AC658" s="71"/>
      <c r="AD658" s="75"/>
      <c r="AE658" s="75"/>
      <c r="AF658" s="75"/>
      <c r="AG658" s="75"/>
      <c r="AH658" s="75"/>
      <c r="AI658" s="75"/>
      <c r="AJ658" s="75"/>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c r="BK658" s="75"/>
      <c r="BL658" s="75"/>
      <c r="BM658" s="75"/>
    </row>
    <row r="659">
      <c r="A659" s="75"/>
      <c r="B659" s="75"/>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c r="AA659" s="71"/>
      <c r="AB659" s="71"/>
      <c r="AC659" s="71"/>
      <c r="AD659" s="75"/>
      <c r="AE659" s="75"/>
      <c r="AF659" s="75"/>
      <c r="AG659" s="75"/>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c r="BK659" s="75"/>
      <c r="BL659" s="75"/>
      <c r="BM659" s="75"/>
    </row>
    <row r="660">
      <c r="A660" s="75"/>
      <c r="B660" s="75"/>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c r="AA660" s="71"/>
      <c r="AB660" s="71"/>
      <c r="AC660" s="71"/>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c r="BK660" s="75"/>
      <c r="BL660" s="75"/>
      <c r="BM660" s="75"/>
    </row>
    <row r="661">
      <c r="A661" s="75"/>
      <c r="B661" s="75"/>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c r="AA661" s="71"/>
      <c r="AB661" s="71"/>
      <c r="AC661" s="71"/>
      <c r="AD661" s="75"/>
      <c r="AE661" s="75"/>
      <c r="AF661" s="75"/>
      <c r="AG661" s="75"/>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c r="BK661" s="75"/>
      <c r="BL661" s="75"/>
      <c r="BM661" s="75"/>
    </row>
    <row r="662">
      <c r="A662" s="75"/>
      <c r="B662" s="75"/>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c r="AA662" s="71"/>
      <c r="AB662" s="71"/>
      <c r="AC662" s="71"/>
      <c r="AD662" s="75"/>
      <c r="AE662" s="75"/>
      <c r="AF662" s="75"/>
      <c r="AG662" s="75"/>
      <c r="AH662" s="75"/>
      <c r="AI662" s="75"/>
      <c r="AJ662" s="75"/>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c r="BK662" s="75"/>
      <c r="BL662" s="75"/>
      <c r="BM662" s="75"/>
    </row>
    <row r="663">
      <c r="A663" s="75"/>
      <c r="B663" s="75"/>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c r="AA663" s="71"/>
      <c r="AB663" s="71"/>
      <c r="AC663" s="71"/>
      <c r="AD663" s="75"/>
      <c r="AE663" s="75"/>
      <c r="AF663" s="75"/>
      <c r="AG663" s="75"/>
      <c r="AH663" s="75"/>
      <c r="AI663" s="75"/>
      <c r="AJ663" s="75"/>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c r="BK663" s="75"/>
      <c r="BL663" s="75"/>
      <c r="BM663" s="75"/>
    </row>
    <row r="664">
      <c r="A664" s="75"/>
      <c r="B664" s="75"/>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c r="AA664" s="71"/>
      <c r="AB664" s="71"/>
      <c r="AC664" s="71"/>
      <c r="AD664" s="75"/>
      <c r="AE664" s="75"/>
      <c r="AF664" s="75"/>
      <c r="AG664" s="75"/>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c r="BK664" s="75"/>
      <c r="BL664" s="75"/>
      <c r="BM664" s="75"/>
    </row>
    <row r="665">
      <c r="A665" s="75"/>
      <c r="B665" s="75"/>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c r="AA665" s="71"/>
      <c r="AB665" s="71"/>
      <c r="AC665" s="71"/>
      <c r="AD665" s="75"/>
      <c r="AE665" s="75"/>
      <c r="AF665" s="75"/>
      <c r="AG665" s="75"/>
      <c r="AH665" s="75"/>
      <c r="AI665" s="75"/>
      <c r="AJ665" s="75"/>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c r="BK665" s="75"/>
      <c r="BL665" s="75"/>
      <c r="BM665" s="75"/>
    </row>
    <row r="666">
      <c r="A666" s="75"/>
      <c r="B666" s="75"/>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c r="AA666" s="71"/>
      <c r="AB666" s="71"/>
      <c r="AC666" s="71"/>
      <c r="AD666" s="75"/>
      <c r="AE666" s="75"/>
      <c r="AF666" s="75"/>
      <c r="AG666" s="75"/>
      <c r="AH666" s="75"/>
      <c r="AI666" s="75"/>
      <c r="AJ666" s="75"/>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c r="BK666" s="75"/>
      <c r="BL666" s="75"/>
      <c r="BM666" s="75"/>
    </row>
    <row r="667">
      <c r="A667" s="75"/>
      <c r="B667" s="75"/>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c r="AA667" s="71"/>
      <c r="AB667" s="71"/>
      <c r="AC667" s="71"/>
      <c r="AD667" s="75"/>
      <c r="AE667" s="75"/>
      <c r="AF667" s="75"/>
      <c r="AG667" s="75"/>
      <c r="AH667" s="75"/>
      <c r="AI667" s="75"/>
      <c r="AJ667" s="75"/>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c r="BK667" s="75"/>
      <c r="BL667" s="75"/>
      <c r="BM667" s="75"/>
    </row>
    <row r="668">
      <c r="A668" s="75"/>
      <c r="B668" s="75"/>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c r="AA668" s="71"/>
      <c r="AB668" s="71"/>
      <c r="AC668" s="71"/>
      <c r="AD668" s="75"/>
      <c r="AE668" s="75"/>
      <c r="AF668" s="75"/>
      <c r="AG668" s="75"/>
      <c r="AH668" s="75"/>
      <c r="AI668" s="75"/>
      <c r="AJ668" s="75"/>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c r="BK668" s="75"/>
      <c r="BL668" s="75"/>
      <c r="BM668" s="75"/>
    </row>
    <row r="669">
      <c r="A669" s="75"/>
      <c r="B669" s="75"/>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c r="AA669" s="71"/>
      <c r="AB669" s="71"/>
      <c r="AC669" s="71"/>
      <c r="AD669" s="75"/>
      <c r="AE669" s="75"/>
      <c r="AF669" s="75"/>
      <c r="AG669" s="75"/>
      <c r="AH669" s="75"/>
      <c r="AI669" s="75"/>
      <c r="AJ669" s="75"/>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c r="BK669" s="75"/>
      <c r="BL669" s="75"/>
      <c r="BM669" s="75"/>
    </row>
    <row r="670">
      <c r="A670" s="75"/>
      <c r="B670" s="75"/>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c r="AA670" s="71"/>
      <c r="AB670" s="71"/>
      <c r="AC670" s="71"/>
      <c r="AD670" s="75"/>
      <c r="AE670" s="75"/>
      <c r="AF670" s="75"/>
      <c r="AG670" s="75"/>
      <c r="AH670" s="75"/>
      <c r="AI670" s="75"/>
      <c r="AJ670" s="75"/>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c r="BK670" s="75"/>
      <c r="BL670" s="75"/>
      <c r="BM670" s="75"/>
    </row>
    <row r="671">
      <c r="A671" s="75"/>
      <c r="B671" s="75"/>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c r="AA671" s="71"/>
      <c r="AB671" s="71"/>
      <c r="AC671" s="71"/>
      <c r="AD671" s="75"/>
      <c r="AE671" s="75"/>
      <c r="AF671" s="75"/>
      <c r="AG671" s="75"/>
      <c r="AH671" s="75"/>
      <c r="AI671" s="75"/>
      <c r="AJ671" s="75"/>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c r="BK671" s="75"/>
      <c r="BL671" s="75"/>
      <c r="BM671" s="75"/>
    </row>
    <row r="672">
      <c r="A672" s="75"/>
      <c r="B672" s="75"/>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c r="AA672" s="71"/>
      <c r="AB672" s="71"/>
      <c r="AC672" s="71"/>
      <c r="AD672" s="75"/>
      <c r="AE672" s="75"/>
      <c r="AF672" s="75"/>
      <c r="AG672" s="75"/>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c r="BK672" s="75"/>
      <c r="BL672" s="75"/>
      <c r="BM672" s="75"/>
    </row>
    <row r="673">
      <c r="A673" s="75"/>
      <c r="B673" s="75"/>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c r="AA673" s="71"/>
      <c r="AB673" s="71"/>
      <c r="AC673" s="71"/>
      <c r="AD673" s="75"/>
      <c r="AE673" s="75"/>
      <c r="AF673" s="75"/>
      <c r="AG673" s="75"/>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c r="BK673" s="75"/>
      <c r="BL673" s="75"/>
      <c r="BM673" s="75"/>
    </row>
    <row r="674">
      <c r="A674" s="75"/>
      <c r="B674" s="75"/>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c r="AA674" s="71"/>
      <c r="AB674" s="71"/>
      <c r="AC674" s="71"/>
      <c r="AD674" s="75"/>
      <c r="AE674" s="75"/>
      <c r="AF674" s="75"/>
      <c r="AG674" s="75"/>
      <c r="AH674" s="75"/>
      <c r="AI674" s="75"/>
      <c r="AJ674" s="75"/>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c r="BK674" s="75"/>
      <c r="BL674" s="75"/>
      <c r="BM674" s="75"/>
    </row>
    <row r="675">
      <c r="A675" s="75"/>
      <c r="B675" s="75"/>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c r="AA675" s="71"/>
      <c r="AB675" s="71"/>
      <c r="AC675" s="71"/>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5"/>
      <c r="BF675" s="75"/>
      <c r="BG675" s="75"/>
      <c r="BH675" s="75"/>
      <c r="BI675" s="75"/>
      <c r="BJ675" s="75"/>
      <c r="BK675" s="75"/>
      <c r="BL675" s="75"/>
      <c r="BM675" s="75"/>
    </row>
    <row r="676">
      <c r="A676" s="75"/>
      <c r="B676" s="75"/>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c r="AA676" s="71"/>
      <c r="AB676" s="71"/>
      <c r="AC676" s="71"/>
      <c r="AD676" s="75"/>
      <c r="AE676" s="75"/>
      <c r="AF676" s="75"/>
      <c r="AG676" s="75"/>
      <c r="AH676" s="75"/>
      <c r="AI676" s="75"/>
      <c r="AJ676" s="75"/>
      <c r="AK676" s="75"/>
      <c r="AL676" s="75"/>
      <c r="AM676" s="75"/>
      <c r="AN676" s="75"/>
      <c r="AO676" s="75"/>
      <c r="AP676" s="75"/>
      <c r="AQ676" s="75"/>
      <c r="AR676" s="75"/>
      <c r="AS676" s="75"/>
      <c r="AT676" s="75"/>
      <c r="AU676" s="75"/>
      <c r="AV676" s="75"/>
      <c r="AW676" s="75"/>
      <c r="AX676" s="75"/>
      <c r="AY676" s="75"/>
      <c r="AZ676" s="75"/>
      <c r="BA676" s="75"/>
      <c r="BB676" s="75"/>
      <c r="BC676" s="75"/>
      <c r="BD676" s="75"/>
      <c r="BE676" s="75"/>
      <c r="BF676" s="75"/>
      <c r="BG676" s="75"/>
      <c r="BH676" s="75"/>
      <c r="BI676" s="75"/>
      <c r="BJ676" s="75"/>
      <c r="BK676" s="75"/>
      <c r="BL676" s="75"/>
      <c r="BM676" s="75"/>
    </row>
    <row r="677">
      <c r="A677" s="75"/>
      <c r="B677" s="75"/>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c r="AA677" s="71"/>
      <c r="AB677" s="71"/>
      <c r="AC677" s="71"/>
      <c r="AD677" s="75"/>
      <c r="AE677" s="75"/>
      <c r="AF677" s="75"/>
      <c r="AG677" s="75"/>
      <c r="AH677" s="75"/>
      <c r="AI677" s="75"/>
      <c r="AJ677" s="75"/>
      <c r="AK677" s="75"/>
      <c r="AL677" s="75"/>
      <c r="AM677" s="75"/>
      <c r="AN677" s="75"/>
      <c r="AO677" s="75"/>
      <c r="AP677" s="75"/>
      <c r="AQ677" s="75"/>
      <c r="AR677" s="75"/>
      <c r="AS677" s="75"/>
      <c r="AT677" s="75"/>
      <c r="AU677" s="75"/>
      <c r="AV677" s="75"/>
      <c r="AW677" s="75"/>
      <c r="AX677" s="75"/>
      <c r="AY677" s="75"/>
      <c r="AZ677" s="75"/>
      <c r="BA677" s="75"/>
      <c r="BB677" s="75"/>
      <c r="BC677" s="75"/>
      <c r="BD677" s="75"/>
      <c r="BE677" s="75"/>
      <c r="BF677" s="75"/>
      <c r="BG677" s="75"/>
      <c r="BH677" s="75"/>
      <c r="BI677" s="75"/>
      <c r="BJ677" s="75"/>
      <c r="BK677" s="75"/>
      <c r="BL677" s="75"/>
      <c r="BM677" s="75"/>
    </row>
    <row r="678">
      <c r="A678" s="75"/>
      <c r="B678" s="75"/>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c r="AA678" s="71"/>
      <c r="AB678" s="71"/>
      <c r="AC678" s="71"/>
      <c r="AD678" s="75"/>
      <c r="AE678" s="75"/>
      <c r="AF678" s="75"/>
      <c r="AG678" s="75"/>
      <c r="AH678" s="75"/>
      <c r="AI678" s="75"/>
      <c r="AJ678" s="75"/>
      <c r="AK678" s="75"/>
      <c r="AL678" s="75"/>
      <c r="AM678" s="75"/>
      <c r="AN678" s="75"/>
      <c r="AO678" s="75"/>
      <c r="AP678" s="75"/>
      <c r="AQ678" s="75"/>
      <c r="AR678" s="75"/>
      <c r="AS678" s="75"/>
      <c r="AT678" s="75"/>
      <c r="AU678" s="75"/>
      <c r="AV678" s="75"/>
      <c r="AW678" s="75"/>
      <c r="AX678" s="75"/>
      <c r="AY678" s="75"/>
      <c r="AZ678" s="75"/>
      <c r="BA678" s="75"/>
      <c r="BB678" s="75"/>
      <c r="BC678" s="75"/>
      <c r="BD678" s="75"/>
      <c r="BE678" s="75"/>
      <c r="BF678" s="75"/>
      <c r="BG678" s="75"/>
      <c r="BH678" s="75"/>
      <c r="BI678" s="75"/>
      <c r="BJ678" s="75"/>
      <c r="BK678" s="75"/>
      <c r="BL678" s="75"/>
      <c r="BM678" s="75"/>
    </row>
    <row r="679">
      <c r="A679" s="75"/>
      <c r="B679" s="75"/>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c r="AA679" s="71"/>
      <c r="AB679" s="71"/>
      <c r="AC679" s="71"/>
      <c r="AD679" s="75"/>
      <c r="AE679" s="75"/>
      <c r="AF679" s="75"/>
      <c r="AG679" s="75"/>
      <c r="AH679" s="75"/>
      <c r="AI679" s="75"/>
      <c r="AJ679" s="75"/>
      <c r="AK679" s="75"/>
      <c r="AL679" s="75"/>
      <c r="AM679" s="75"/>
      <c r="AN679" s="75"/>
      <c r="AO679" s="75"/>
      <c r="AP679" s="75"/>
      <c r="AQ679" s="75"/>
      <c r="AR679" s="75"/>
      <c r="AS679" s="75"/>
      <c r="AT679" s="75"/>
      <c r="AU679" s="75"/>
      <c r="AV679" s="75"/>
      <c r="AW679" s="75"/>
      <c r="AX679" s="75"/>
      <c r="AY679" s="75"/>
      <c r="AZ679" s="75"/>
      <c r="BA679" s="75"/>
      <c r="BB679" s="75"/>
      <c r="BC679" s="75"/>
      <c r="BD679" s="75"/>
      <c r="BE679" s="75"/>
      <c r="BF679" s="75"/>
      <c r="BG679" s="75"/>
      <c r="BH679" s="75"/>
      <c r="BI679" s="75"/>
      <c r="BJ679" s="75"/>
      <c r="BK679" s="75"/>
      <c r="BL679" s="75"/>
      <c r="BM679" s="75"/>
    </row>
    <row r="680">
      <c r="A680" s="75"/>
      <c r="B680" s="75"/>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c r="AA680" s="71"/>
      <c r="AB680" s="71"/>
      <c r="AC680" s="71"/>
      <c r="AD680" s="75"/>
      <c r="AE680" s="75"/>
      <c r="AF680" s="75"/>
      <c r="AG680" s="75"/>
      <c r="AH680" s="75"/>
      <c r="AI680" s="75"/>
      <c r="AJ680" s="75"/>
      <c r="AK680" s="75"/>
      <c r="AL680" s="75"/>
      <c r="AM680" s="75"/>
      <c r="AN680" s="75"/>
      <c r="AO680" s="75"/>
      <c r="AP680" s="75"/>
      <c r="AQ680" s="75"/>
      <c r="AR680" s="75"/>
      <c r="AS680" s="75"/>
      <c r="AT680" s="75"/>
      <c r="AU680" s="75"/>
      <c r="AV680" s="75"/>
      <c r="AW680" s="75"/>
      <c r="AX680" s="75"/>
      <c r="AY680" s="75"/>
      <c r="AZ680" s="75"/>
      <c r="BA680" s="75"/>
      <c r="BB680" s="75"/>
      <c r="BC680" s="75"/>
      <c r="BD680" s="75"/>
      <c r="BE680" s="75"/>
      <c r="BF680" s="75"/>
      <c r="BG680" s="75"/>
      <c r="BH680" s="75"/>
      <c r="BI680" s="75"/>
      <c r="BJ680" s="75"/>
      <c r="BK680" s="75"/>
      <c r="BL680" s="75"/>
      <c r="BM680" s="75"/>
    </row>
    <row r="681">
      <c r="A681" s="75"/>
      <c r="B681" s="75"/>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c r="AA681" s="71"/>
      <c r="AB681" s="71"/>
      <c r="AC681" s="71"/>
      <c r="AD681" s="75"/>
      <c r="AE681" s="75"/>
      <c r="AF681" s="75"/>
      <c r="AG681" s="75"/>
      <c r="AH681" s="75"/>
      <c r="AI681" s="75"/>
      <c r="AJ681" s="75"/>
      <c r="AK681" s="75"/>
      <c r="AL681" s="75"/>
      <c r="AM681" s="75"/>
      <c r="AN681" s="75"/>
      <c r="AO681" s="75"/>
      <c r="AP681" s="75"/>
      <c r="AQ681" s="75"/>
      <c r="AR681" s="75"/>
      <c r="AS681" s="75"/>
      <c r="AT681" s="75"/>
      <c r="AU681" s="75"/>
      <c r="AV681" s="75"/>
      <c r="AW681" s="75"/>
      <c r="AX681" s="75"/>
      <c r="AY681" s="75"/>
      <c r="AZ681" s="75"/>
      <c r="BA681" s="75"/>
      <c r="BB681" s="75"/>
      <c r="BC681" s="75"/>
      <c r="BD681" s="75"/>
      <c r="BE681" s="75"/>
      <c r="BF681" s="75"/>
      <c r="BG681" s="75"/>
      <c r="BH681" s="75"/>
      <c r="BI681" s="75"/>
      <c r="BJ681" s="75"/>
      <c r="BK681" s="75"/>
      <c r="BL681" s="75"/>
      <c r="BM681" s="75"/>
    </row>
    <row r="682">
      <c r="A682" s="75"/>
      <c r="B682" s="75"/>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c r="AA682" s="71"/>
      <c r="AB682" s="71"/>
      <c r="AC682" s="71"/>
      <c r="AD682" s="75"/>
      <c r="AE682" s="75"/>
      <c r="AF682" s="75"/>
      <c r="AG682" s="75"/>
      <c r="AH682" s="75"/>
      <c r="AI682" s="75"/>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5"/>
      <c r="BF682" s="75"/>
      <c r="BG682" s="75"/>
      <c r="BH682" s="75"/>
      <c r="BI682" s="75"/>
      <c r="BJ682" s="75"/>
      <c r="BK682" s="75"/>
      <c r="BL682" s="75"/>
      <c r="BM682" s="75"/>
    </row>
    <row r="683">
      <c r="A683" s="75"/>
      <c r="B683" s="75"/>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c r="AA683" s="71"/>
      <c r="AB683" s="71"/>
      <c r="AC683" s="71"/>
      <c r="AD683" s="75"/>
      <c r="AE683" s="75"/>
      <c r="AF683" s="75"/>
      <c r="AG683" s="75"/>
      <c r="AH683" s="75"/>
      <c r="AI683" s="75"/>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5"/>
      <c r="BF683" s="75"/>
      <c r="BG683" s="75"/>
      <c r="BH683" s="75"/>
      <c r="BI683" s="75"/>
      <c r="BJ683" s="75"/>
      <c r="BK683" s="75"/>
      <c r="BL683" s="75"/>
      <c r="BM683" s="75"/>
    </row>
    <row r="684">
      <c r="A684" s="75"/>
      <c r="B684" s="75"/>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c r="AA684" s="71"/>
      <c r="AB684" s="71"/>
      <c r="AC684" s="71"/>
      <c r="AD684" s="75"/>
      <c r="AE684" s="75"/>
      <c r="AF684" s="75"/>
      <c r="AG684" s="75"/>
      <c r="AH684" s="75"/>
      <c r="AI684" s="75"/>
      <c r="AJ684" s="75"/>
      <c r="AK684" s="75"/>
      <c r="AL684" s="75"/>
      <c r="AM684" s="75"/>
      <c r="AN684" s="75"/>
      <c r="AO684" s="75"/>
      <c r="AP684" s="75"/>
      <c r="AQ684" s="75"/>
      <c r="AR684" s="75"/>
      <c r="AS684" s="75"/>
      <c r="AT684" s="75"/>
      <c r="AU684" s="75"/>
      <c r="AV684" s="75"/>
      <c r="AW684" s="75"/>
      <c r="AX684" s="75"/>
      <c r="AY684" s="75"/>
      <c r="AZ684" s="75"/>
      <c r="BA684" s="75"/>
      <c r="BB684" s="75"/>
      <c r="BC684" s="75"/>
      <c r="BD684" s="75"/>
      <c r="BE684" s="75"/>
      <c r="BF684" s="75"/>
      <c r="BG684" s="75"/>
      <c r="BH684" s="75"/>
      <c r="BI684" s="75"/>
      <c r="BJ684" s="75"/>
      <c r="BK684" s="75"/>
      <c r="BL684" s="75"/>
      <c r="BM684" s="75"/>
    </row>
    <row r="685">
      <c r="A685" s="75"/>
      <c r="B685" s="75"/>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c r="AA685" s="71"/>
      <c r="AB685" s="71"/>
      <c r="AC685" s="71"/>
      <c r="AD685" s="75"/>
      <c r="AE685" s="75"/>
      <c r="AF685" s="75"/>
      <c r="AG685" s="75"/>
      <c r="AH685" s="75"/>
      <c r="AI685" s="75"/>
      <c r="AJ685" s="75"/>
      <c r="AK685" s="75"/>
      <c r="AL685" s="75"/>
      <c r="AM685" s="75"/>
      <c r="AN685" s="75"/>
      <c r="AO685" s="75"/>
      <c r="AP685" s="75"/>
      <c r="AQ685" s="75"/>
      <c r="AR685" s="75"/>
      <c r="AS685" s="75"/>
      <c r="AT685" s="75"/>
      <c r="AU685" s="75"/>
      <c r="AV685" s="75"/>
      <c r="AW685" s="75"/>
      <c r="AX685" s="75"/>
      <c r="AY685" s="75"/>
      <c r="AZ685" s="75"/>
      <c r="BA685" s="75"/>
      <c r="BB685" s="75"/>
      <c r="BC685" s="75"/>
      <c r="BD685" s="75"/>
      <c r="BE685" s="75"/>
      <c r="BF685" s="75"/>
      <c r="BG685" s="75"/>
      <c r="BH685" s="75"/>
      <c r="BI685" s="75"/>
      <c r="BJ685" s="75"/>
      <c r="BK685" s="75"/>
      <c r="BL685" s="75"/>
      <c r="BM685" s="75"/>
    </row>
    <row r="686">
      <c r="A686" s="75"/>
      <c r="B686" s="75"/>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c r="AA686" s="71"/>
      <c r="AB686" s="71"/>
      <c r="AC686" s="71"/>
      <c r="AD686" s="75"/>
      <c r="AE686" s="75"/>
      <c r="AF686" s="75"/>
      <c r="AG686" s="75"/>
      <c r="AH686" s="75"/>
      <c r="AI686" s="75"/>
      <c r="AJ686" s="75"/>
      <c r="AK686" s="75"/>
      <c r="AL686" s="75"/>
      <c r="AM686" s="75"/>
      <c r="AN686" s="75"/>
      <c r="AO686" s="75"/>
      <c r="AP686" s="75"/>
      <c r="AQ686" s="75"/>
      <c r="AR686" s="75"/>
      <c r="AS686" s="75"/>
      <c r="AT686" s="75"/>
      <c r="AU686" s="75"/>
      <c r="AV686" s="75"/>
      <c r="AW686" s="75"/>
      <c r="AX686" s="75"/>
      <c r="AY686" s="75"/>
      <c r="AZ686" s="75"/>
      <c r="BA686" s="75"/>
      <c r="BB686" s="75"/>
      <c r="BC686" s="75"/>
      <c r="BD686" s="75"/>
      <c r="BE686" s="75"/>
      <c r="BF686" s="75"/>
      <c r="BG686" s="75"/>
      <c r="BH686" s="75"/>
      <c r="BI686" s="75"/>
      <c r="BJ686" s="75"/>
      <c r="BK686" s="75"/>
      <c r="BL686" s="75"/>
      <c r="BM686" s="75"/>
    </row>
    <row r="687">
      <c r="A687" s="75"/>
      <c r="B687" s="75"/>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c r="AA687" s="71"/>
      <c r="AB687" s="71"/>
      <c r="AC687" s="71"/>
      <c r="AD687" s="75"/>
      <c r="AE687" s="75"/>
      <c r="AF687" s="75"/>
      <c r="AG687" s="75"/>
      <c r="AH687" s="75"/>
      <c r="AI687" s="75"/>
      <c r="AJ687" s="75"/>
      <c r="AK687" s="75"/>
      <c r="AL687" s="75"/>
      <c r="AM687" s="75"/>
      <c r="AN687" s="75"/>
      <c r="AO687" s="75"/>
      <c r="AP687" s="75"/>
      <c r="AQ687" s="75"/>
      <c r="AR687" s="75"/>
      <c r="AS687" s="75"/>
      <c r="AT687" s="75"/>
      <c r="AU687" s="75"/>
      <c r="AV687" s="75"/>
      <c r="AW687" s="75"/>
      <c r="AX687" s="75"/>
      <c r="AY687" s="75"/>
      <c r="AZ687" s="75"/>
      <c r="BA687" s="75"/>
      <c r="BB687" s="75"/>
      <c r="BC687" s="75"/>
      <c r="BD687" s="75"/>
      <c r="BE687" s="75"/>
      <c r="BF687" s="75"/>
      <c r="BG687" s="75"/>
      <c r="BH687" s="75"/>
      <c r="BI687" s="75"/>
      <c r="BJ687" s="75"/>
      <c r="BK687" s="75"/>
      <c r="BL687" s="75"/>
      <c r="BM687" s="75"/>
    </row>
    <row r="688">
      <c r="A688" s="75"/>
      <c r="B688" s="75"/>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c r="AA688" s="71"/>
      <c r="AB688" s="71"/>
      <c r="AC688" s="71"/>
      <c r="AD688" s="75"/>
      <c r="AE688" s="75"/>
      <c r="AF688" s="75"/>
      <c r="AG688" s="75"/>
      <c r="AH688" s="75"/>
      <c r="AI688" s="75"/>
      <c r="AJ688" s="75"/>
      <c r="AK688" s="75"/>
      <c r="AL688" s="75"/>
      <c r="AM688" s="75"/>
      <c r="AN688" s="75"/>
      <c r="AO688" s="75"/>
      <c r="AP688" s="75"/>
      <c r="AQ688" s="75"/>
      <c r="AR688" s="75"/>
      <c r="AS688" s="75"/>
      <c r="AT688" s="75"/>
      <c r="AU688" s="75"/>
      <c r="AV688" s="75"/>
      <c r="AW688" s="75"/>
      <c r="AX688" s="75"/>
      <c r="AY688" s="75"/>
      <c r="AZ688" s="75"/>
      <c r="BA688" s="75"/>
      <c r="BB688" s="75"/>
      <c r="BC688" s="75"/>
      <c r="BD688" s="75"/>
      <c r="BE688" s="75"/>
      <c r="BF688" s="75"/>
      <c r="BG688" s="75"/>
      <c r="BH688" s="75"/>
      <c r="BI688" s="75"/>
      <c r="BJ688" s="75"/>
      <c r="BK688" s="75"/>
      <c r="BL688" s="75"/>
      <c r="BM688" s="75"/>
    </row>
    <row r="689">
      <c r="A689" s="75"/>
      <c r="B689" s="75"/>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c r="AA689" s="71"/>
      <c r="AB689" s="71"/>
      <c r="AC689" s="71"/>
      <c r="AD689" s="75"/>
      <c r="AE689" s="75"/>
      <c r="AF689" s="75"/>
      <c r="AG689" s="75"/>
      <c r="AH689" s="75"/>
      <c r="AI689" s="75"/>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5"/>
      <c r="BF689" s="75"/>
      <c r="BG689" s="75"/>
      <c r="BH689" s="75"/>
      <c r="BI689" s="75"/>
      <c r="BJ689" s="75"/>
      <c r="BK689" s="75"/>
      <c r="BL689" s="75"/>
      <c r="BM689" s="75"/>
    </row>
    <row r="690">
      <c r="A690" s="75"/>
      <c r="B690" s="75"/>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c r="AA690" s="71"/>
      <c r="AB690" s="71"/>
      <c r="AC690" s="71"/>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c r="BD690" s="75"/>
      <c r="BE690" s="75"/>
      <c r="BF690" s="75"/>
      <c r="BG690" s="75"/>
      <c r="BH690" s="75"/>
      <c r="BI690" s="75"/>
      <c r="BJ690" s="75"/>
      <c r="BK690" s="75"/>
      <c r="BL690" s="75"/>
      <c r="BM690" s="75"/>
    </row>
    <row r="691">
      <c r="A691" s="75"/>
      <c r="B691" s="75"/>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c r="AA691" s="71"/>
      <c r="AB691" s="71"/>
      <c r="AC691" s="71"/>
      <c r="AD691" s="75"/>
      <c r="AE691" s="75"/>
      <c r="AF691" s="75"/>
      <c r="AG691" s="75"/>
      <c r="AH691" s="75"/>
      <c r="AI691" s="75"/>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5"/>
      <c r="BF691" s="75"/>
      <c r="BG691" s="75"/>
      <c r="BH691" s="75"/>
      <c r="BI691" s="75"/>
      <c r="BJ691" s="75"/>
      <c r="BK691" s="75"/>
      <c r="BL691" s="75"/>
      <c r="BM691" s="75"/>
    </row>
    <row r="692">
      <c r="A692" s="75"/>
      <c r="B692" s="75"/>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c r="AA692" s="71"/>
      <c r="AB692" s="71"/>
      <c r="AC692" s="71"/>
      <c r="AD692" s="75"/>
      <c r="AE692" s="75"/>
      <c r="AF692" s="75"/>
      <c r="AG692" s="75"/>
      <c r="AH692" s="75"/>
      <c r="AI692" s="75"/>
      <c r="AJ692" s="75"/>
      <c r="AK692" s="75"/>
      <c r="AL692" s="75"/>
      <c r="AM692" s="75"/>
      <c r="AN692" s="75"/>
      <c r="AO692" s="75"/>
      <c r="AP692" s="75"/>
      <c r="AQ692" s="75"/>
      <c r="AR692" s="75"/>
      <c r="AS692" s="75"/>
      <c r="AT692" s="75"/>
      <c r="AU692" s="75"/>
      <c r="AV692" s="75"/>
      <c r="AW692" s="75"/>
      <c r="AX692" s="75"/>
      <c r="AY692" s="75"/>
      <c r="AZ692" s="75"/>
      <c r="BA692" s="75"/>
      <c r="BB692" s="75"/>
      <c r="BC692" s="75"/>
      <c r="BD692" s="75"/>
      <c r="BE692" s="75"/>
      <c r="BF692" s="75"/>
      <c r="BG692" s="75"/>
      <c r="BH692" s="75"/>
      <c r="BI692" s="75"/>
      <c r="BJ692" s="75"/>
      <c r="BK692" s="75"/>
      <c r="BL692" s="75"/>
      <c r="BM692" s="75"/>
    </row>
    <row r="693">
      <c r="A693" s="75"/>
      <c r="B693" s="75"/>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c r="AA693" s="71"/>
      <c r="AB693" s="71"/>
      <c r="AC693" s="71"/>
      <c r="AD693" s="75"/>
      <c r="AE693" s="75"/>
      <c r="AF693" s="75"/>
      <c r="AG693" s="75"/>
      <c r="AH693" s="75"/>
      <c r="AI693" s="75"/>
      <c r="AJ693" s="75"/>
      <c r="AK693" s="75"/>
      <c r="AL693" s="75"/>
      <c r="AM693" s="75"/>
      <c r="AN693" s="75"/>
      <c r="AO693" s="75"/>
      <c r="AP693" s="75"/>
      <c r="AQ693" s="75"/>
      <c r="AR693" s="75"/>
      <c r="AS693" s="75"/>
      <c r="AT693" s="75"/>
      <c r="AU693" s="75"/>
      <c r="AV693" s="75"/>
      <c r="AW693" s="75"/>
      <c r="AX693" s="75"/>
      <c r="AY693" s="75"/>
      <c r="AZ693" s="75"/>
      <c r="BA693" s="75"/>
      <c r="BB693" s="75"/>
      <c r="BC693" s="75"/>
      <c r="BD693" s="75"/>
      <c r="BE693" s="75"/>
      <c r="BF693" s="75"/>
      <c r="BG693" s="75"/>
      <c r="BH693" s="75"/>
      <c r="BI693" s="75"/>
      <c r="BJ693" s="75"/>
      <c r="BK693" s="75"/>
      <c r="BL693" s="75"/>
      <c r="BM693" s="75"/>
    </row>
    <row r="694">
      <c r="A694" s="75"/>
      <c r="B694" s="75"/>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c r="AA694" s="71"/>
      <c r="AB694" s="71"/>
      <c r="AC694" s="71"/>
      <c r="AD694" s="75"/>
      <c r="AE694" s="75"/>
      <c r="AF694" s="75"/>
      <c r="AG694" s="75"/>
      <c r="AH694" s="75"/>
      <c r="AI694" s="75"/>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5"/>
      <c r="BF694" s="75"/>
      <c r="BG694" s="75"/>
      <c r="BH694" s="75"/>
      <c r="BI694" s="75"/>
      <c r="BJ694" s="75"/>
      <c r="BK694" s="75"/>
      <c r="BL694" s="75"/>
      <c r="BM694" s="75"/>
    </row>
    <row r="695">
      <c r="A695" s="75"/>
      <c r="B695" s="75"/>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c r="AA695" s="71"/>
      <c r="AB695" s="71"/>
      <c r="AC695" s="71"/>
      <c r="AD695" s="75"/>
      <c r="AE695" s="75"/>
      <c r="AF695" s="75"/>
      <c r="AG695" s="75"/>
      <c r="AH695" s="75"/>
      <c r="AI695" s="75"/>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5"/>
      <c r="BF695" s="75"/>
      <c r="BG695" s="75"/>
      <c r="BH695" s="75"/>
      <c r="BI695" s="75"/>
      <c r="BJ695" s="75"/>
      <c r="BK695" s="75"/>
      <c r="BL695" s="75"/>
      <c r="BM695" s="75"/>
    </row>
    <row r="696">
      <c r="A696" s="75"/>
      <c r="B696" s="75"/>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c r="AA696" s="71"/>
      <c r="AB696" s="71"/>
      <c r="AC696" s="71"/>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5"/>
      <c r="BF696" s="75"/>
      <c r="BG696" s="75"/>
      <c r="BH696" s="75"/>
      <c r="BI696" s="75"/>
      <c r="BJ696" s="75"/>
      <c r="BK696" s="75"/>
      <c r="BL696" s="75"/>
      <c r="BM696" s="75"/>
    </row>
    <row r="697">
      <c r="A697" s="75"/>
      <c r="B697" s="75"/>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c r="AA697" s="71"/>
      <c r="AB697" s="71"/>
      <c r="AC697" s="71"/>
      <c r="AD697" s="75"/>
      <c r="AE697" s="75"/>
      <c r="AF697" s="75"/>
      <c r="AG697" s="75"/>
      <c r="AH697" s="75"/>
      <c r="AI697" s="75"/>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5"/>
      <c r="BF697" s="75"/>
      <c r="BG697" s="75"/>
      <c r="BH697" s="75"/>
      <c r="BI697" s="75"/>
      <c r="BJ697" s="75"/>
      <c r="BK697" s="75"/>
      <c r="BL697" s="75"/>
      <c r="BM697" s="75"/>
    </row>
    <row r="698">
      <c r="A698" s="75"/>
      <c r="B698" s="75"/>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c r="AA698" s="71"/>
      <c r="AB698" s="71"/>
      <c r="AC698" s="71"/>
      <c r="AD698" s="75"/>
      <c r="AE698" s="75"/>
      <c r="AF698" s="75"/>
      <c r="AG698" s="75"/>
      <c r="AH698" s="75"/>
      <c r="AI698" s="75"/>
      <c r="AJ698" s="75"/>
      <c r="AK698" s="75"/>
      <c r="AL698" s="75"/>
      <c r="AM698" s="75"/>
      <c r="AN698" s="75"/>
      <c r="AO698" s="75"/>
      <c r="AP698" s="75"/>
      <c r="AQ698" s="75"/>
      <c r="AR698" s="75"/>
      <c r="AS698" s="75"/>
      <c r="AT698" s="75"/>
      <c r="AU698" s="75"/>
      <c r="AV698" s="75"/>
      <c r="AW698" s="75"/>
      <c r="AX698" s="75"/>
      <c r="AY698" s="75"/>
      <c r="AZ698" s="75"/>
      <c r="BA698" s="75"/>
      <c r="BB698" s="75"/>
      <c r="BC698" s="75"/>
      <c r="BD698" s="75"/>
      <c r="BE698" s="75"/>
      <c r="BF698" s="75"/>
      <c r="BG698" s="75"/>
      <c r="BH698" s="75"/>
      <c r="BI698" s="75"/>
      <c r="BJ698" s="75"/>
      <c r="BK698" s="75"/>
      <c r="BL698" s="75"/>
      <c r="BM698" s="75"/>
    </row>
    <row r="699">
      <c r="A699" s="75"/>
      <c r="B699" s="75"/>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c r="AA699" s="71"/>
      <c r="AB699" s="71"/>
      <c r="AC699" s="71"/>
      <c r="AD699" s="75"/>
      <c r="AE699" s="75"/>
      <c r="AF699" s="75"/>
      <c r="AG699" s="75"/>
      <c r="AH699" s="75"/>
      <c r="AI699" s="75"/>
      <c r="AJ699" s="75"/>
      <c r="AK699" s="75"/>
      <c r="AL699" s="75"/>
      <c r="AM699" s="75"/>
      <c r="AN699" s="75"/>
      <c r="AO699" s="75"/>
      <c r="AP699" s="75"/>
      <c r="AQ699" s="75"/>
      <c r="AR699" s="75"/>
      <c r="AS699" s="75"/>
      <c r="AT699" s="75"/>
      <c r="AU699" s="75"/>
      <c r="AV699" s="75"/>
      <c r="AW699" s="75"/>
      <c r="AX699" s="75"/>
      <c r="AY699" s="75"/>
      <c r="AZ699" s="75"/>
      <c r="BA699" s="75"/>
      <c r="BB699" s="75"/>
      <c r="BC699" s="75"/>
      <c r="BD699" s="75"/>
      <c r="BE699" s="75"/>
      <c r="BF699" s="75"/>
      <c r="BG699" s="75"/>
      <c r="BH699" s="75"/>
      <c r="BI699" s="75"/>
      <c r="BJ699" s="75"/>
      <c r="BK699" s="75"/>
      <c r="BL699" s="75"/>
      <c r="BM699" s="75"/>
    </row>
    <row r="700">
      <c r="A700" s="75"/>
      <c r="B700" s="75"/>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c r="AA700" s="71"/>
      <c r="AB700" s="71"/>
      <c r="AC700" s="71"/>
      <c r="AD700" s="75"/>
      <c r="AE700" s="75"/>
      <c r="AF700" s="75"/>
      <c r="AG700" s="75"/>
      <c r="AH700" s="75"/>
      <c r="AI700" s="75"/>
      <c r="AJ700" s="75"/>
      <c r="AK700" s="75"/>
      <c r="AL700" s="75"/>
      <c r="AM700" s="75"/>
      <c r="AN700" s="75"/>
      <c r="AO700" s="75"/>
      <c r="AP700" s="75"/>
      <c r="AQ700" s="75"/>
      <c r="AR700" s="75"/>
      <c r="AS700" s="75"/>
      <c r="AT700" s="75"/>
      <c r="AU700" s="75"/>
      <c r="AV700" s="75"/>
      <c r="AW700" s="75"/>
      <c r="AX700" s="75"/>
      <c r="AY700" s="75"/>
      <c r="AZ700" s="75"/>
      <c r="BA700" s="75"/>
      <c r="BB700" s="75"/>
      <c r="BC700" s="75"/>
      <c r="BD700" s="75"/>
      <c r="BE700" s="75"/>
      <c r="BF700" s="75"/>
      <c r="BG700" s="75"/>
      <c r="BH700" s="75"/>
      <c r="BI700" s="75"/>
      <c r="BJ700" s="75"/>
      <c r="BK700" s="75"/>
      <c r="BL700" s="75"/>
      <c r="BM700" s="75"/>
    </row>
    <row r="701">
      <c r="A701" s="75"/>
      <c r="B701" s="75"/>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c r="AA701" s="71"/>
      <c r="AB701" s="71"/>
      <c r="AC701" s="71"/>
      <c r="AD701" s="75"/>
      <c r="AE701" s="75"/>
      <c r="AF701" s="75"/>
      <c r="AG701" s="75"/>
      <c r="AH701" s="75"/>
      <c r="AI701" s="75"/>
      <c r="AJ701" s="75"/>
      <c r="AK701" s="75"/>
      <c r="AL701" s="75"/>
      <c r="AM701" s="75"/>
      <c r="AN701" s="75"/>
      <c r="AO701" s="75"/>
      <c r="AP701" s="75"/>
      <c r="AQ701" s="75"/>
      <c r="AR701" s="75"/>
      <c r="AS701" s="75"/>
      <c r="AT701" s="75"/>
      <c r="AU701" s="75"/>
      <c r="AV701" s="75"/>
      <c r="AW701" s="75"/>
      <c r="AX701" s="75"/>
      <c r="AY701" s="75"/>
      <c r="AZ701" s="75"/>
      <c r="BA701" s="75"/>
      <c r="BB701" s="75"/>
      <c r="BC701" s="75"/>
      <c r="BD701" s="75"/>
      <c r="BE701" s="75"/>
      <c r="BF701" s="75"/>
      <c r="BG701" s="75"/>
      <c r="BH701" s="75"/>
      <c r="BI701" s="75"/>
      <c r="BJ701" s="75"/>
      <c r="BK701" s="75"/>
      <c r="BL701" s="75"/>
      <c r="BM701" s="75"/>
    </row>
    <row r="702">
      <c r="A702" s="75"/>
      <c r="B702" s="75"/>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c r="AA702" s="71"/>
      <c r="AB702" s="71"/>
      <c r="AC702" s="71"/>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5"/>
      <c r="BF702" s="75"/>
      <c r="BG702" s="75"/>
      <c r="BH702" s="75"/>
      <c r="BI702" s="75"/>
      <c r="BJ702" s="75"/>
      <c r="BK702" s="75"/>
      <c r="BL702" s="75"/>
      <c r="BM702" s="75"/>
    </row>
    <row r="703">
      <c r="A703" s="75"/>
      <c r="B703" s="75"/>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c r="AA703" s="71"/>
      <c r="AB703" s="71"/>
      <c r="AC703" s="71"/>
      <c r="AD703" s="75"/>
      <c r="AE703" s="75"/>
      <c r="AF703" s="75"/>
      <c r="AG703" s="75"/>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c r="BK703" s="75"/>
      <c r="BL703" s="75"/>
      <c r="BM703" s="75"/>
    </row>
    <row r="704">
      <c r="A704" s="75"/>
      <c r="B704" s="75"/>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c r="AA704" s="71"/>
      <c r="AB704" s="71"/>
      <c r="AC704" s="71"/>
      <c r="AD704" s="75"/>
      <c r="AE704" s="75"/>
      <c r="AF704" s="75"/>
      <c r="AG704" s="75"/>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c r="BK704" s="75"/>
      <c r="BL704" s="75"/>
      <c r="BM704" s="75"/>
    </row>
    <row r="705">
      <c r="A705" s="75"/>
      <c r="B705" s="75"/>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c r="AA705" s="71"/>
      <c r="AB705" s="71"/>
      <c r="AC705" s="71"/>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c r="BK705" s="75"/>
      <c r="BL705" s="75"/>
      <c r="BM705" s="75"/>
    </row>
    <row r="706">
      <c r="A706" s="75"/>
      <c r="B706" s="75"/>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c r="AA706" s="71"/>
      <c r="AB706" s="71"/>
      <c r="AC706" s="71"/>
      <c r="AD706" s="75"/>
      <c r="AE706" s="75"/>
      <c r="AF706" s="75"/>
      <c r="AG706" s="75"/>
      <c r="AH706" s="75"/>
      <c r="AI706" s="75"/>
      <c r="AJ706" s="75"/>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c r="BK706" s="75"/>
      <c r="BL706" s="75"/>
      <c r="BM706" s="75"/>
    </row>
    <row r="707">
      <c r="A707" s="75"/>
      <c r="B707" s="75"/>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c r="AA707" s="71"/>
      <c r="AB707" s="71"/>
      <c r="AC707" s="71"/>
      <c r="AD707" s="75"/>
      <c r="AE707" s="75"/>
      <c r="AF707" s="75"/>
      <c r="AG707" s="75"/>
      <c r="AH707" s="75"/>
      <c r="AI707" s="75"/>
      <c r="AJ707" s="75"/>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c r="BK707" s="75"/>
      <c r="BL707" s="75"/>
      <c r="BM707" s="75"/>
    </row>
    <row r="708">
      <c r="A708" s="75"/>
      <c r="B708" s="75"/>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c r="AA708" s="71"/>
      <c r="AB708" s="71"/>
      <c r="AC708" s="71"/>
      <c r="AD708" s="75"/>
      <c r="AE708" s="75"/>
      <c r="AF708" s="75"/>
      <c r="AG708" s="75"/>
      <c r="AH708" s="75"/>
      <c r="AI708" s="75"/>
      <c r="AJ708" s="75"/>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c r="BK708" s="75"/>
      <c r="BL708" s="75"/>
      <c r="BM708" s="75"/>
    </row>
    <row r="709">
      <c r="A709" s="75"/>
      <c r="B709" s="75"/>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c r="AA709" s="71"/>
      <c r="AB709" s="71"/>
      <c r="AC709" s="71"/>
      <c r="AD709" s="75"/>
      <c r="AE709" s="75"/>
      <c r="AF709" s="75"/>
      <c r="AG709" s="75"/>
      <c r="AH709" s="75"/>
      <c r="AI709" s="75"/>
      <c r="AJ709" s="75"/>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c r="BK709" s="75"/>
      <c r="BL709" s="75"/>
      <c r="BM709" s="75"/>
    </row>
    <row r="710">
      <c r="A710" s="75"/>
      <c r="B710" s="75"/>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c r="AA710" s="71"/>
      <c r="AB710" s="71"/>
      <c r="AC710" s="71"/>
      <c r="AD710" s="75"/>
      <c r="AE710" s="75"/>
      <c r="AF710" s="75"/>
      <c r="AG710" s="75"/>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c r="BK710" s="75"/>
      <c r="BL710" s="75"/>
      <c r="BM710" s="75"/>
    </row>
    <row r="711">
      <c r="A711" s="75"/>
      <c r="B711" s="75"/>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c r="AA711" s="71"/>
      <c r="AB711" s="71"/>
      <c r="AC711" s="71"/>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c r="BK711" s="75"/>
      <c r="BL711" s="75"/>
      <c r="BM711" s="75"/>
    </row>
    <row r="712">
      <c r="A712" s="75"/>
      <c r="B712" s="75"/>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c r="AA712" s="71"/>
      <c r="AB712" s="71"/>
      <c r="AC712" s="71"/>
      <c r="AD712" s="75"/>
      <c r="AE712" s="75"/>
      <c r="AF712" s="75"/>
      <c r="AG712" s="75"/>
      <c r="AH712" s="75"/>
      <c r="AI712" s="75"/>
      <c r="AJ712" s="75"/>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c r="BK712" s="75"/>
      <c r="BL712" s="75"/>
      <c r="BM712" s="75"/>
    </row>
    <row r="713">
      <c r="A713" s="75"/>
      <c r="B713" s="75"/>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c r="AA713" s="71"/>
      <c r="AB713" s="71"/>
      <c r="AC713" s="71"/>
      <c r="AD713" s="75"/>
      <c r="AE713" s="75"/>
      <c r="AF713" s="75"/>
      <c r="AG713" s="75"/>
      <c r="AH713" s="75"/>
      <c r="AI713" s="75"/>
      <c r="AJ713" s="75"/>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c r="BK713" s="75"/>
      <c r="BL713" s="75"/>
      <c r="BM713" s="75"/>
    </row>
    <row r="714">
      <c r="A714" s="75"/>
      <c r="B714" s="75"/>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c r="AA714" s="71"/>
      <c r="AB714" s="71"/>
      <c r="AC714" s="71"/>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c r="BK714" s="75"/>
      <c r="BL714" s="75"/>
      <c r="BM714" s="75"/>
    </row>
    <row r="715">
      <c r="A715" s="75"/>
      <c r="B715" s="75"/>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c r="AA715" s="71"/>
      <c r="AB715" s="71"/>
      <c r="AC715" s="71"/>
      <c r="AD715" s="75"/>
      <c r="AE715" s="75"/>
      <c r="AF715" s="75"/>
      <c r="AG715" s="75"/>
      <c r="AH715" s="75"/>
      <c r="AI715" s="75"/>
      <c r="AJ715" s="75"/>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c r="BK715" s="75"/>
      <c r="BL715" s="75"/>
      <c r="BM715" s="75"/>
    </row>
    <row r="716">
      <c r="A716" s="75"/>
      <c r="B716" s="75"/>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c r="AA716" s="71"/>
      <c r="AB716" s="71"/>
      <c r="AC716" s="71"/>
      <c r="AD716" s="75"/>
      <c r="AE716" s="75"/>
      <c r="AF716" s="75"/>
      <c r="AG716" s="75"/>
      <c r="AH716" s="75"/>
      <c r="AI716" s="75"/>
      <c r="AJ716" s="75"/>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c r="BK716" s="75"/>
      <c r="BL716" s="75"/>
      <c r="BM716" s="75"/>
    </row>
    <row r="717">
      <c r="A717" s="75"/>
      <c r="B717" s="75"/>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c r="AA717" s="71"/>
      <c r="AB717" s="71"/>
      <c r="AC717" s="71"/>
      <c r="AD717" s="75"/>
      <c r="AE717" s="75"/>
      <c r="AF717" s="75"/>
      <c r="AG717" s="75"/>
      <c r="AH717" s="75"/>
      <c r="AI717" s="75"/>
      <c r="AJ717" s="75"/>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c r="BK717" s="75"/>
      <c r="BL717" s="75"/>
      <c r="BM717" s="75"/>
    </row>
    <row r="718">
      <c r="A718" s="75"/>
      <c r="B718" s="75"/>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c r="AA718" s="71"/>
      <c r="AB718" s="71"/>
      <c r="AC718" s="71"/>
      <c r="AD718" s="75"/>
      <c r="AE718" s="75"/>
      <c r="AF718" s="75"/>
      <c r="AG718" s="75"/>
      <c r="AH718" s="75"/>
      <c r="AI718" s="75"/>
      <c r="AJ718" s="75"/>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c r="BK718" s="75"/>
      <c r="BL718" s="75"/>
      <c r="BM718" s="75"/>
    </row>
    <row r="719">
      <c r="A719" s="75"/>
      <c r="B719" s="75"/>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c r="AA719" s="71"/>
      <c r="AB719" s="71"/>
      <c r="AC719" s="71"/>
      <c r="AD719" s="75"/>
      <c r="AE719" s="75"/>
      <c r="AF719" s="75"/>
      <c r="AG719" s="75"/>
      <c r="AH719" s="75"/>
      <c r="AI719" s="75"/>
      <c r="AJ719" s="75"/>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c r="BK719" s="75"/>
      <c r="BL719" s="75"/>
      <c r="BM719" s="75"/>
    </row>
    <row r="720">
      <c r="A720" s="75"/>
      <c r="B720" s="75"/>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c r="AA720" s="71"/>
      <c r="AB720" s="71"/>
      <c r="AC720" s="71"/>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c r="BK720" s="75"/>
      <c r="BL720" s="75"/>
      <c r="BM720" s="75"/>
    </row>
    <row r="721">
      <c r="A721" s="75"/>
      <c r="B721" s="75"/>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c r="AA721" s="71"/>
      <c r="AB721" s="71"/>
      <c r="AC721" s="71"/>
      <c r="AD721" s="75"/>
      <c r="AE721" s="75"/>
      <c r="AF721" s="75"/>
      <c r="AG721" s="75"/>
      <c r="AH721" s="75"/>
      <c r="AI721" s="75"/>
      <c r="AJ721" s="75"/>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c r="BK721" s="75"/>
      <c r="BL721" s="75"/>
      <c r="BM721" s="75"/>
    </row>
    <row r="722">
      <c r="A722" s="75"/>
      <c r="B722" s="75"/>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c r="AA722" s="71"/>
      <c r="AB722" s="71"/>
      <c r="AC722" s="71"/>
      <c r="AD722" s="75"/>
      <c r="AE722" s="75"/>
      <c r="AF722" s="75"/>
      <c r="AG722" s="75"/>
      <c r="AH722" s="75"/>
      <c r="AI722" s="75"/>
      <c r="AJ722" s="75"/>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c r="BK722" s="75"/>
      <c r="BL722" s="75"/>
      <c r="BM722" s="75"/>
    </row>
    <row r="723">
      <c r="A723" s="75"/>
      <c r="B723" s="75"/>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c r="AA723" s="71"/>
      <c r="AB723" s="71"/>
      <c r="AC723" s="71"/>
      <c r="AD723" s="75"/>
      <c r="AE723" s="75"/>
      <c r="AF723" s="75"/>
      <c r="AG723" s="75"/>
      <c r="AH723" s="75"/>
      <c r="AI723" s="75"/>
      <c r="AJ723" s="75"/>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c r="BK723" s="75"/>
      <c r="BL723" s="75"/>
      <c r="BM723" s="75"/>
    </row>
    <row r="724">
      <c r="A724" s="75"/>
      <c r="B724" s="75"/>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c r="AA724" s="71"/>
      <c r="AB724" s="71"/>
      <c r="AC724" s="71"/>
      <c r="AD724" s="75"/>
      <c r="AE724" s="75"/>
      <c r="AF724" s="75"/>
      <c r="AG724" s="75"/>
      <c r="AH724" s="75"/>
      <c r="AI724" s="75"/>
      <c r="AJ724" s="75"/>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c r="BK724" s="75"/>
      <c r="BL724" s="75"/>
      <c r="BM724" s="75"/>
    </row>
    <row r="725">
      <c r="A725" s="75"/>
      <c r="B725" s="75"/>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c r="AA725" s="71"/>
      <c r="AB725" s="71"/>
      <c r="AC725" s="71"/>
      <c r="AD725" s="75"/>
      <c r="AE725" s="75"/>
      <c r="AF725" s="75"/>
      <c r="AG725" s="75"/>
      <c r="AH725" s="75"/>
      <c r="AI725" s="75"/>
      <c r="AJ725" s="75"/>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c r="BK725" s="75"/>
      <c r="BL725" s="75"/>
      <c r="BM725" s="75"/>
    </row>
    <row r="726">
      <c r="A726" s="75"/>
      <c r="B726" s="75"/>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c r="AA726" s="71"/>
      <c r="AB726" s="71"/>
      <c r="AC726" s="71"/>
      <c r="AD726" s="75"/>
      <c r="AE726" s="75"/>
      <c r="AF726" s="75"/>
      <c r="AG726" s="75"/>
      <c r="AH726" s="75"/>
      <c r="AI726" s="75"/>
      <c r="AJ726" s="75"/>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c r="BK726" s="75"/>
      <c r="BL726" s="75"/>
      <c r="BM726" s="75"/>
    </row>
    <row r="727">
      <c r="A727" s="75"/>
      <c r="B727" s="75"/>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c r="AA727" s="71"/>
      <c r="AB727" s="71"/>
      <c r="AC727" s="71"/>
      <c r="AD727" s="75"/>
      <c r="AE727" s="75"/>
      <c r="AF727" s="75"/>
      <c r="AG727" s="75"/>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c r="BK727" s="75"/>
      <c r="BL727" s="75"/>
      <c r="BM727" s="75"/>
    </row>
    <row r="728">
      <c r="A728" s="75"/>
      <c r="B728" s="75"/>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c r="AA728" s="71"/>
      <c r="AB728" s="71"/>
      <c r="AC728" s="71"/>
      <c r="AD728" s="75"/>
      <c r="AE728" s="75"/>
      <c r="AF728" s="75"/>
      <c r="AG728" s="75"/>
      <c r="AH728" s="75"/>
      <c r="AI728" s="75"/>
      <c r="AJ728" s="75"/>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c r="BK728" s="75"/>
      <c r="BL728" s="75"/>
      <c r="BM728" s="75"/>
    </row>
    <row r="729">
      <c r="A729" s="75"/>
      <c r="B729" s="75"/>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c r="AA729" s="71"/>
      <c r="AB729" s="71"/>
      <c r="AC729" s="71"/>
      <c r="AD729" s="75"/>
      <c r="AE729" s="75"/>
      <c r="AF729" s="75"/>
      <c r="AG729" s="75"/>
      <c r="AH729" s="75"/>
      <c r="AI729" s="75"/>
      <c r="AJ729" s="75"/>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c r="BK729" s="75"/>
      <c r="BL729" s="75"/>
      <c r="BM729" s="75"/>
    </row>
    <row r="730">
      <c r="A730" s="75"/>
      <c r="B730" s="75"/>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c r="AA730" s="71"/>
      <c r="AB730" s="71"/>
      <c r="AC730" s="71"/>
      <c r="AD730" s="75"/>
      <c r="AE730" s="75"/>
      <c r="AF730" s="75"/>
      <c r="AG730" s="75"/>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c r="BK730" s="75"/>
      <c r="BL730" s="75"/>
      <c r="BM730" s="75"/>
    </row>
    <row r="731">
      <c r="A731" s="75"/>
      <c r="B731" s="75"/>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c r="AA731" s="71"/>
      <c r="AB731" s="71"/>
      <c r="AC731" s="71"/>
      <c r="AD731" s="75"/>
      <c r="AE731" s="75"/>
      <c r="AF731" s="75"/>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c r="BK731" s="75"/>
      <c r="BL731" s="75"/>
      <c r="BM731" s="75"/>
    </row>
    <row r="732">
      <c r="A732" s="75"/>
      <c r="B732" s="75"/>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c r="AA732" s="71"/>
      <c r="AB732" s="71"/>
      <c r="AC732" s="71"/>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c r="BK732" s="75"/>
      <c r="BL732" s="75"/>
      <c r="BM732" s="75"/>
    </row>
    <row r="733">
      <c r="A733" s="75"/>
      <c r="B733" s="75"/>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c r="AA733" s="71"/>
      <c r="AB733" s="71"/>
      <c r="AC733" s="71"/>
      <c r="AD733" s="75"/>
      <c r="AE733" s="75"/>
      <c r="AF733" s="75"/>
      <c r="AG733" s="75"/>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c r="BK733" s="75"/>
      <c r="BL733" s="75"/>
      <c r="BM733" s="75"/>
    </row>
    <row r="734">
      <c r="A734" s="75"/>
      <c r="B734" s="75"/>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c r="AA734" s="71"/>
      <c r="AB734" s="71"/>
      <c r="AC734" s="71"/>
      <c r="AD734" s="75"/>
      <c r="AE734" s="75"/>
      <c r="AF734" s="75"/>
      <c r="AG734" s="75"/>
      <c r="AH734" s="75"/>
      <c r="AI734" s="75"/>
      <c r="AJ734" s="75"/>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c r="BK734" s="75"/>
      <c r="BL734" s="75"/>
      <c r="BM734" s="75"/>
    </row>
    <row r="735">
      <c r="A735" s="75"/>
      <c r="B735" s="75"/>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c r="AA735" s="71"/>
      <c r="AB735" s="71"/>
      <c r="AC735" s="71"/>
      <c r="AD735" s="75"/>
      <c r="AE735" s="75"/>
      <c r="AF735" s="75"/>
      <c r="AG735" s="75"/>
      <c r="AH735" s="75"/>
      <c r="AI735" s="75"/>
      <c r="AJ735" s="75"/>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c r="BK735" s="75"/>
      <c r="BL735" s="75"/>
      <c r="BM735" s="75"/>
    </row>
    <row r="736">
      <c r="A736" s="75"/>
      <c r="B736" s="75"/>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c r="AA736" s="71"/>
      <c r="AB736" s="71"/>
      <c r="AC736" s="71"/>
      <c r="AD736" s="75"/>
      <c r="AE736" s="75"/>
      <c r="AF736" s="75"/>
      <c r="AG736" s="75"/>
      <c r="AH736" s="75"/>
      <c r="AI736" s="75"/>
      <c r="AJ736" s="75"/>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c r="BK736" s="75"/>
      <c r="BL736" s="75"/>
      <c r="BM736" s="75"/>
    </row>
    <row r="737">
      <c r="A737" s="75"/>
      <c r="B737" s="75"/>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c r="AA737" s="71"/>
      <c r="AB737" s="71"/>
      <c r="AC737" s="71"/>
      <c r="AD737" s="75"/>
      <c r="AE737" s="75"/>
      <c r="AF737" s="75"/>
      <c r="AG737" s="75"/>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c r="BK737" s="75"/>
      <c r="BL737" s="75"/>
      <c r="BM737" s="75"/>
    </row>
    <row r="738">
      <c r="A738" s="75"/>
      <c r="B738" s="75"/>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c r="AA738" s="71"/>
      <c r="AB738" s="71"/>
      <c r="AC738" s="71"/>
      <c r="AD738" s="75"/>
      <c r="AE738" s="75"/>
      <c r="AF738" s="75"/>
      <c r="AG738" s="75"/>
      <c r="AH738" s="75"/>
      <c r="AI738" s="75"/>
      <c r="AJ738" s="75"/>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c r="BK738" s="75"/>
      <c r="BL738" s="75"/>
      <c r="BM738" s="75"/>
    </row>
    <row r="739">
      <c r="A739" s="75"/>
      <c r="B739" s="75"/>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c r="AA739" s="71"/>
      <c r="AB739" s="71"/>
      <c r="AC739" s="71"/>
      <c r="AD739" s="75"/>
      <c r="AE739" s="75"/>
      <c r="AF739" s="75"/>
      <c r="AG739" s="75"/>
      <c r="AH739" s="75"/>
      <c r="AI739" s="75"/>
      <c r="AJ739" s="75"/>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c r="BK739" s="75"/>
      <c r="BL739" s="75"/>
      <c r="BM739" s="75"/>
    </row>
    <row r="740">
      <c r="A740" s="75"/>
      <c r="B740" s="75"/>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c r="AA740" s="71"/>
      <c r="AB740" s="71"/>
      <c r="AC740" s="71"/>
      <c r="AD740" s="75"/>
      <c r="AE740" s="75"/>
      <c r="AF740" s="75"/>
      <c r="AG740" s="75"/>
      <c r="AH740" s="75"/>
      <c r="AI740" s="75"/>
      <c r="AJ740" s="75"/>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c r="BK740" s="75"/>
      <c r="BL740" s="75"/>
      <c r="BM740" s="75"/>
    </row>
    <row r="741">
      <c r="A741" s="75"/>
      <c r="B741" s="75"/>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c r="AA741" s="71"/>
      <c r="AB741" s="71"/>
      <c r="AC741" s="71"/>
      <c r="AD741" s="75"/>
      <c r="AE741" s="75"/>
      <c r="AF741" s="75"/>
      <c r="AG741" s="75"/>
      <c r="AH741" s="75"/>
      <c r="AI741" s="75"/>
      <c r="AJ741" s="75"/>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c r="BK741" s="75"/>
      <c r="BL741" s="75"/>
      <c r="BM741" s="75"/>
    </row>
    <row r="742">
      <c r="A742" s="75"/>
      <c r="B742" s="75"/>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c r="AA742" s="71"/>
      <c r="AB742" s="71"/>
      <c r="AC742" s="71"/>
      <c r="AD742" s="75"/>
      <c r="AE742" s="75"/>
      <c r="AF742" s="75"/>
      <c r="AG742" s="75"/>
      <c r="AH742" s="75"/>
      <c r="AI742" s="75"/>
      <c r="AJ742" s="75"/>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c r="BK742" s="75"/>
      <c r="BL742" s="75"/>
      <c r="BM742" s="75"/>
    </row>
    <row r="743">
      <c r="A743" s="75"/>
      <c r="B743" s="75"/>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c r="AA743" s="71"/>
      <c r="AB743" s="71"/>
      <c r="AC743" s="71"/>
      <c r="AD743" s="75"/>
      <c r="AE743" s="75"/>
      <c r="AF743" s="75"/>
      <c r="AG743" s="75"/>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c r="BK743" s="75"/>
      <c r="BL743" s="75"/>
      <c r="BM743" s="75"/>
    </row>
    <row r="744">
      <c r="A744" s="75"/>
      <c r="B744" s="75"/>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c r="AA744" s="71"/>
      <c r="AB744" s="71"/>
      <c r="AC744" s="71"/>
      <c r="AD744" s="75"/>
      <c r="AE744" s="75"/>
      <c r="AF744" s="75"/>
      <c r="AG744" s="75"/>
      <c r="AH744" s="75"/>
      <c r="AI744" s="75"/>
      <c r="AJ744" s="75"/>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c r="BK744" s="75"/>
      <c r="BL744" s="75"/>
      <c r="BM744" s="75"/>
    </row>
    <row r="745">
      <c r="A745" s="75"/>
      <c r="B745" s="75"/>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c r="AA745" s="71"/>
      <c r="AB745" s="71"/>
      <c r="AC745" s="71"/>
      <c r="AD745" s="75"/>
      <c r="AE745" s="75"/>
      <c r="AF745" s="75"/>
      <c r="AG745" s="75"/>
      <c r="AH745" s="75"/>
      <c r="AI745" s="75"/>
      <c r="AJ745" s="75"/>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c r="BK745" s="75"/>
      <c r="BL745" s="75"/>
      <c r="BM745" s="75"/>
    </row>
    <row r="746">
      <c r="A746" s="75"/>
      <c r="B746" s="75"/>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c r="AA746" s="71"/>
      <c r="AB746" s="71"/>
      <c r="AC746" s="71"/>
      <c r="AD746" s="75"/>
      <c r="AE746" s="75"/>
      <c r="AF746" s="75"/>
      <c r="AG746" s="75"/>
      <c r="AH746" s="75"/>
      <c r="AI746" s="75"/>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c r="BK746" s="75"/>
      <c r="BL746" s="75"/>
      <c r="BM746" s="75"/>
    </row>
    <row r="747">
      <c r="A747" s="75"/>
      <c r="B747" s="75"/>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c r="AA747" s="71"/>
      <c r="AB747" s="71"/>
      <c r="AC747" s="71"/>
      <c r="AD747" s="75"/>
      <c r="AE747" s="75"/>
      <c r="AF747" s="75"/>
      <c r="AG747" s="75"/>
      <c r="AH747" s="75"/>
      <c r="AI747" s="75"/>
      <c r="AJ747" s="75"/>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c r="BK747" s="75"/>
      <c r="BL747" s="75"/>
      <c r="BM747" s="75"/>
    </row>
    <row r="748">
      <c r="A748" s="75"/>
      <c r="B748" s="75"/>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c r="AA748" s="71"/>
      <c r="AB748" s="71"/>
      <c r="AC748" s="71"/>
      <c r="AD748" s="75"/>
      <c r="AE748" s="75"/>
      <c r="AF748" s="75"/>
      <c r="AG748" s="75"/>
      <c r="AH748" s="75"/>
      <c r="AI748" s="75"/>
      <c r="AJ748" s="75"/>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c r="BK748" s="75"/>
      <c r="BL748" s="75"/>
      <c r="BM748" s="75"/>
    </row>
    <row r="749">
      <c r="A749" s="75"/>
      <c r="B749" s="75"/>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c r="AA749" s="71"/>
      <c r="AB749" s="71"/>
      <c r="AC749" s="71"/>
      <c r="AD749" s="75"/>
      <c r="AE749" s="75"/>
      <c r="AF749" s="75"/>
      <c r="AG749" s="75"/>
      <c r="AH749" s="75"/>
      <c r="AI749" s="75"/>
      <c r="AJ749" s="75"/>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c r="BK749" s="75"/>
      <c r="BL749" s="75"/>
      <c r="BM749" s="75"/>
    </row>
    <row r="750">
      <c r="A750" s="75"/>
      <c r="B750" s="75"/>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c r="AA750" s="71"/>
      <c r="AB750" s="71"/>
      <c r="AC750" s="71"/>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c r="BK750" s="75"/>
      <c r="BL750" s="75"/>
      <c r="BM750" s="75"/>
    </row>
    <row r="751">
      <c r="A751" s="75"/>
      <c r="B751" s="75"/>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c r="AA751" s="71"/>
      <c r="AB751" s="71"/>
      <c r="AC751" s="71"/>
      <c r="AD751" s="75"/>
      <c r="AE751" s="75"/>
      <c r="AF751" s="75"/>
      <c r="AG751" s="75"/>
      <c r="AH751" s="75"/>
      <c r="AI751" s="75"/>
      <c r="AJ751" s="75"/>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c r="BK751" s="75"/>
      <c r="BL751" s="75"/>
      <c r="BM751" s="75"/>
    </row>
    <row r="752">
      <c r="A752" s="75"/>
      <c r="B752" s="75"/>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c r="AA752" s="71"/>
      <c r="AB752" s="71"/>
      <c r="AC752" s="71"/>
      <c r="AD752" s="75"/>
      <c r="AE752" s="75"/>
      <c r="AF752" s="75"/>
      <c r="AG752" s="75"/>
      <c r="AH752" s="75"/>
      <c r="AI752" s="75"/>
      <c r="AJ752" s="75"/>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c r="BK752" s="75"/>
      <c r="BL752" s="75"/>
      <c r="BM752" s="75"/>
    </row>
    <row r="753">
      <c r="A753" s="75"/>
      <c r="B753" s="75"/>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c r="AA753" s="71"/>
      <c r="AB753" s="71"/>
      <c r="AC753" s="71"/>
      <c r="AD753" s="75"/>
      <c r="AE753" s="75"/>
      <c r="AF753" s="75"/>
      <c r="AG753" s="75"/>
      <c r="AH753" s="75"/>
      <c r="AI753" s="75"/>
      <c r="AJ753" s="75"/>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c r="BK753" s="75"/>
      <c r="BL753" s="75"/>
      <c r="BM753" s="75"/>
    </row>
    <row r="754">
      <c r="A754" s="75"/>
      <c r="B754" s="75"/>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c r="AA754" s="71"/>
      <c r="AB754" s="71"/>
      <c r="AC754" s="71"/>
      <c r="AD754" s="75"/>
      <c r="AE754" s="75"/>
      <c r="AF754" s="75"/>
      <c r="AG754" s="75"/>
      <c r="AH754" s="75"/>
      <c r="AI754" s="75"/>
      <c r="AJ754" s="75"/>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c r="BK754" s="75"/>
      <c r="BL754" s="75"/>
      <c r="BM754" s="75"/>
    </row>
    <row r="755">
      <c r="A755" s="75"/>
      <c r="B755" s="75"/>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c r="AA755" s="71"/>
      <c r="AB755" s="71"/>
      <c r="AC755" s="71"/>
      <c r="AD755" s="75"/>
      <c r="AE755" s="75"/>
      <c r="AF755" s="75"/>
      <c r="AG755" s="75"/>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c r="BK755" s="75"/>
      <c r="BL755" s="75"/>
      <c r="BM755" s="75"/>
    </row>
    <row r="756">
      <c r="A756" s="75"/>
      <c r="B756" s="75"/>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c r="AA756" s="71"/>
      <c r="AB756" s="71"/>
      <c r="AC756" s="71"/>
      <c r="AD756" s="75"/>
      <c r="AE756" s="75"/>
      <c r="AF756" s="75"/>
      <c r="AG756" s="75"/>
      <c r="AH756" s="75"/>
      <c r="AI756" s="75"/>
      <c r="AJ756" s="75"/>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c r="BK756" s="75"/>
      <c r="BL756" s="75"/>
      <c r="BM756" s="75"/>
    </row>
    <row r="757">
      <c r="A757" s="75"/>
      <c r="B757" s="75"/>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c r="AA757" s="71"/>
      <c r="AB757" s="71"/>
      <c r="AC757" s="71"/>
      <c r="AD757" s="75"/>
      <c r="AE757" s="75"/>
      <c r="AF757" s="75"/>
      <c r="AG757" s="75"/>
      <c r="AH757" s="75"/>
      <c r="AI757" s="75"/>
      <c r="AJ757" s="75"/>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c r="BK757" s="75"/>
      <c r="BL757" s="75"/>
      <c r="BM757" s="75"/>
    </row>
    <row r="758">
      <c r="A758" s="75"/>
      <c r="B758" s="75"/>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c r="AA758" s="71"/>
      <c r="AB758" s="71"/>
      <c r="AC758" s="71"/>
      <c r="AD758" s="75"/>
      <c r="AE758" s="75"/>
      <c r="AF758" s="75"/>
      <c r="AG758" s="75"/>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c r="BK758" s="75"/>
      <c r="BL758" s="75"/>
      <c r="BM758" s="75"/>
    </row>
    <row r="759">
      <c r="A759" s="75"/>
      <c r="B759" s="75"/>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c r="AA759" s="71"/>
      <c r="AB759" s="71"/>
      <c r="AC759" s="71"/>
      <c r="AD759" s="75"/>
      <c r="AE759" s="75"/>
      <c r="AF759" s="75"/>
      <c r="AG759" s="75"/>
      <c r="AH759" s="75"/>
      <c r="AI759" s="75"/>
      <c r="AJ759" s="75"/>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c r="BK759" s="75"/>
      <c r="BL759" s="75"/>
      <c r="BM759" s="75"/>
    </row>
    <row r="760">
      <c r="A760" s="75"/>
      <c r="B760" s="75"/>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c r="AA760" s="71"/>
      <c r="AB760" s="71"/>
      <c r="AC760" s="71"/>
      <c r="AD760" s="75"/>
      <c r="AE760" s="75"/>
      <c r="AF760" s="75"/>
      <c r="AG760" s="75"/>
      <c r="AH760" s="75"/>
      <c r="AI760" s="75"/>
      <c r="AJ760" s="75"/>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c r="BK760" s="75"/>
      <c r="BL760" s="75"/>
      <c r="BM760" s="75"/>
    </row>
    <row r="761">
      <c r="A761" s="75"/>
      <c r="B761" s="75"/>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c r="AA761" s="71"/>
      <c r="AB761" s="71"/>
      <c r="AC761" s="71"/>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c r="BK761" s="75"/>
      <c r="BL761" s="75"/>
      <c r="BM761" s="75"/>
    </row>
    <row r="762">
      <c r="A762" s="75"/>
      <c r="B762" s="75"/>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c r="AA762" s="71"/>
      <c r="AB762" s="71"/>
      <c r="AC762" s="71"/>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c r="BK762" s="75"/>
      <c r="BL762" s="75"/>
      <c r="BM762" s="75"/>
    </row>
    <row r="763">
      <c r="A763" s="75"/>
      <c r="B763" s="75"/>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c r="AA763" s="71"/>
      <c r="AB763" s="71"/>
      <c r="AC763" s="71"/>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c r="BK763" s="75"/>
      <c r="BL763" s="75"/>
      <c r="BM763" s="75"/>
    </row>
    <row r="764">
      <c r="A764" s="75"/>
      <c r="B764" s="75"/>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c r="AA764" s="71"/>
      <c r="AB764" s="71"/>
      <c r="AC764" s="71"/>
      <c r="AD764" s="75"/>
      <c r="AE764" s="75"/>
      <c r="AF764" s="75"/>
      <c r="AG764" s="75"/>
      <c r="AH764" s="75"/>
      <c r="AI764" s="75"/>
      <c r="AJ764" s="75"/>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c r="BK764" s="75"/>
      <c r="BL764" s="75"/>
      <c r="BM764" s="75"/>
    </row>
    <row r="765">
      <c r="A765" s="75"/>
      <c r="B765" s="75"/>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c r="AA765" s="71"/>
      <c r="AB765" s="71"/>
      <c r="AC765" s="71"/>
      <c r="AD765" s="75"/>
      <c r="AE765" s="75"/>
      <c r="AF765" s="75"/>
      <c r="AG765" s="75"/>
      <c r="AH765" s="75"/>
      <c r="AI765" s="75"/>
      <c r="AJ765" s="75"/>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c r="BK765" s="75"/>
      <c r="BL765" s="75"/>
      <c r="BM765" s="75"/>
    </row>
    <row r="766">
      <c r="A766" s="75"/>
      <c r="B766" s="75"/>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c r="AA766" s="71"/>
      <c r="AB766" s="71"/>
      <c r="AC766" s="71"/>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c r="BK766" s="75"/>
      <c r="BL766" s="75"/>
      <c r="BM766" s="75"/>
    </row>
    <row r="767">
      <c r="A767" s="75"/>
      <c r="B767" s="75"/>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c r="AA767" s="71"/>
      <c r="AB767" s="71"/>
      <c r="AC767" s="71"/>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c r="BK767" s="75"/>
      <c r="BL767" s="75"/>
      <c r="BM767" s="75"/>
    </row>
    <row r="768">
      <c r="A768" s="75"/>
      <c r="B768" s="75"/>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c r="AA768" s="71"/>
      <c r="AB768" s="71"/>
      <c r="AC768" s="71"/>
      <c r="AD768" s="75"/>
      <c r="AE768" s="75"/>
      <c r="AF768" s="75"/>
      <c r="AG768" s="75"/>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c r="BK768" s="75"/>
      <c r="BL768" s="75"/>
      <c r="BM768" s="75"/>
    </row>
    <row r="769">
      <c r="A769" s="75"/>
      <c r="B769" s="75"/>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c r="AA769" s="71"/>
      <c r="AB769" s="71"/>
      <c r="AC769" s="71"/>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c r="BK769" s="75"/>
      <c r="BL769" s="75"/>
      <c r="BM769" s="75"/>
    </row>
    <row r="770">
      <c r="A770" s="75"/>
      <c r="B770" s="75"/>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c r="AA770" s="71"/>
      <c r="AB770" s="71"/>
      <c r="AC770" s="71"/>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c r="BK770" s="75"/>
      <c r="BL770" s="75"/>
      <c r="BM770" s="75"/>
    </row>
    <row r="771">
      <c r="A771" s="75"/>
      <c r="B771" s="75"/>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c r="AA771" s="71"/>
      <c r="AB771" s="71"/>
      <c r="AC771" s="71"/>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c r="BK771" s="75"/>
      <c r="BL771" s="75"/>
      <c r="BM771" s="75"/>
    </row>
    <row r="772">
      <c r="A772" s="75"/>
      <c r="B772" s="75"/>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c r="AA772" s="71"/>
      <c r="AB772" s="71"/>
      <c r="AC772" s="71"/>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c r="BK772" s="75"/>
      <c r="BL772" s="75"/>
      <c r="BM772" s="75"/>
    </row>
    <row r="773">
      <c r="A773" s="75"/>
      <c r="B773" s="75"/>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c r="AA773" s="71"/>
      <c r="AB773" s="71"/>
      <c r="AC773" s="71"/>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c r="BK773" s="75"/>
      <c r="BL773" s="75"/>
      <c r="BM773" s="75"/>
    </row>
    <row r="774">
      <c r="A774" s="75"/>
      <c r="B774" s="75"/>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c r="AA774" s="71"/>
      <c r="AB774" s="71"/>
      <c r="AC774" s="71"/>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c r="BK774" s="75"/>
      <c r="BL774" s="75"/>
      <c r="BM774" s="75"/>
    </row>
    <row r="775">
      <c r="A775" s="75"/>
      <c r="B775" s="75"/>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c r="AA775" s="71"/>
      <c r="AB775" s="71"/>
      <c r="AC775" s="71"/>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c r="BK775" s="75"/>
      <c r="BL775" s="75"/>
      <c r="BM775" s="75"/>
    </row>
    <row r="776">
      <c r="A776" s="75"/>
      <c r="B776" s="75"/>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c r="AA776" s="71"/>
      <c r="AB776" s="71"/>
      <c r="AC776" s="71"/>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c r="BK776" s="75"/>
      <c r="BL776" s="75"/>
      <c r="BM776" s="75"/>
    </row>
    <row r="777">
      <c r="A777" s="75"/>
      <c r="B777" s="75"/>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c r="AA777" s="71"/>
      <c r="AB777" s="71"/>
      <c r="AC777" s="71"/>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c r="BK777" s="75"/>
      <c r="BL777" s="75"/>
      <c r="BM777" s="75"/>
    </row>
    <row r="778">
      <c r="A778" s="75"/>
      <c r="B778" s="75"/>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c r="AA778" s="71"/>
      <c r="AB778" s="71"/>
      <c r="AC778" s="71"/>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c r="BK778" s="75"/>
      <c r="BL778" s="75"/>
      <c r="BM778" s="75"/>
    </row>
    <row r="779">
      <c r="A779" s="75"/>
      <c r="B779" s="75"/>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c r="AA779" s="71"/>
      <c r="AB779" s="71"/>
      <c r="AC779" s="71"/>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c r="BK779" s="75"/>
      <c r="BL779" s="75"/>
      <c r="BM779" s="75"/>
    </row>
    <row r="780">
      <c r="A780" s="75"/>
      <c r="B780" s="75"/>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c r="AA780" s="71"/>
      <c r="AB780" s="71"/>
      <c r="AC780" s="71"/>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c r="BK780" s="75"/>
      <c r="BL780" s="75"/>
      <c r="BM780" s="75"/>
    </row>
    <row r="781">
      <c r="A781" s="75"/>
      <c r="B781" s="75"/>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c r="AA781" s="71"/>
      <c r="AB781" s="71"/>
      <c r="AC781" s="71"/>
      <c r="AD781" s="75"/>
      <c r="AE781" s="75"/>
      <c r="AF781" s="75"/>
      <c r="AG781" s="75"/>
      <c r="AH781" s="75"/>
      <c r="AI781" s="75"/>
      <c r="AJ781" s="75"/>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c r="BK781" s="75"/>
      <c r="BL781" s="75"/>
      <c r="BM781" s="75"/>
    </row>
    <row r="782">
      <c r="A782" s="75"/>
      <c r="B782" s="75"/>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c r="AA782" s="71"/>
      <c r="AB782" s="71"/>
      <c r="AC782" s="71"/>
      <c r="AD782" s="75"/>
      <c r="AE782" s="75"/>
      <c r="AF782" s="75"/>
      <c r="AG782" s="75"/>
      <c r="AH782" s="75"/>
      <c r="AI782" s="75"/>
      <c r="AJ782" s="75"/>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c r="BK782" s="75"/>
      <c r="BL782" s="75"/>
      <c r="BM782" s="75"/>
    </row>
    <row r="783">
      <c r="A783" s="75"/>
      <c r="B783" s="75"/>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c r="AA783" s="71"/>
      <c r="AB783" s="71"/>
      <c r="AC783" s="71"/>
      <c r="AD783" s="75"/>
      <c r="AE783" s="75"/>
      <c r="AF783" s="75"/>
      <c r="AG783" s="75"/>
      <c r="AH783" s="75"/>
      <c r="AI783" s="75"/>
      <c r="AJ783" s="75"/>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c r="BK783" s="75"/>
      <c r="BL783" s="75"/>
      <c r="BM783" s="75"/>
    </row>
    <row r="784">
      <c r="A784" s="75"/>
      <c r="B784" s="75"/>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c r="AA784" s="71"/>
      <c r="AB784" s="71"/>
      <c r="AC784" s="71"/>
      <c r="AD784" s="75"/>
      <c r="AE784" s="75"/>
      <c r="AF784" s="75"/>
      <c r="AG784" s="75"/>
      <c r="AH784" s="75"/>
      <c r="AI784" s="75"/>
      <c r="AJ784" s="75"/>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c r="BK784" s="75"/>
      <c r="BL784" s="75"/>
      <c r="BM784" s="75"/>
    </row>
    <row r="785">
      <c r="A785" s="75"/>
      <c r="B785" s="75"/>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c r="AA785" s="71"/>
      <c r="AB785" s="71"/>
      <c r="AC785" s="71"/>
      <c r="AD785" s="75"/>
      <c r="AE785" s="75"/>
      <c r="AF785" s="75"/>
      <c r="AG785" s="75"/>
      <c r="AH785" s="75"/>
      <c r="AI785" s="75"/>
      <c r="AJ785" s="75"/>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c r="BK785" s="75"/>
      <c r="BL785" s="75"/>
      <c r="BM785" s="75"/>
    </row>
    <row r="786">
      <c r="A786" s="75"/>
      <c r="B786" s="75"/>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c r="AA786" s="71"/>
      <c r="AB786" s="71"/>
      <c r="AC786" s="71"/>
      <c r="AD786" s="75"/>
      <c r="AE786" s="75"/>
      <c r="AF786" s="75"/>
      <c r="AG786" s="75"/>
      <c r="AH786" s="75"/>
      <c r="AI786" s="75"/>
      <c r="AJ786" s="75"/>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c r="BK786" s="75"/>
      <c r="BL786" s="75"/>
      <c r="BM786" s="75"/>
    </row>
    <row r="787">
      <c r="A787" s="75"/>
      <c r="B787" s="75"/>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c r="AA787" s="71"/>
      <c r="AB787" s="71"/>
      <c r="AC787" s="71"/>
      <c r="AD787" s="75"/>
      <c r="AE787" s="75"/>
      <c r="AF787" s="75"/>
      <c r="AG787" s="75"/>
      <c r="AH787" s="75"/>
      <c r="AI787" s="75"/>
      <c r="AJ787" s="75"/>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c r="BK787" s="75"/>
      <c r="BL787" s="75"/>
      <c r="BM787" s="75"/>
    </row>
    <row r="788">
      <c r="A788" s="75"/>
      <c r="B788" s="75"/>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c r="AA788" s="71"/>
      <c r="AB788" s="71"/>
      <c r="AC788" s="71"/>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c r="BA788" s="75"/>
      <c r="BB788" s="75"/>
      <c r="BC788" s="75"/>
      <c r="BD788" s="75"/>
      <c r="BE788" s="75"/>
      <c r="BF788" s="75"/>
      <c r="BG788" s="75"/>
      <c r="BH788" s="75"/>
      <c r="BI788" s="75"/>
      <c r="BJ788" s="75"/>
      <c r="BK788" s="75"/>
      <c r="BL788" s="75"/>
      <c r="BM788" s="75"/>
    </row>
    <row r="789">
      <c r="A789" s="75"/>
      <c r="B789" s="75"/>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c r="AA789" s="71"/>
      <c r="AB789" s="71"/>
      <c r="AC789" s="71"/>
      <c r="AD789" s="75"/>
      <c r="AE789" s="75"/>
      <c r="AF789" s="75"/>
      <c r="AG789" s="75"/>
      <c r="AH789" s="75"/>
      <c r="AI789" s="75"/>
      <c r="AJ789" s="75"/>
      <c r="AK789" s="75"/>
      <c r="AL789" s="75"/>
      <c r="AM789" s="75"/>
      <c r="AN789" s="75"/>
      <c r="AO789" s="75"/>
      <c r="AP789" s="75"/>
      <c r="AQ789" s="75"/>
      <c r="AR789" s="75"/>
      <c r="AS789" s="75"/>
      <c r="AT789" s="75"/>
      <c r="AU789" s="75"/>
      <c r="AV789" s="75"/>
      <c r="AW789" s="75"/>
      <c r="AX789" s="75"/>
      <c r="AY789" s="75"/>
      <c r="AZ789" s="75"/>
      <c r="BA789" s="75"/>
      <c r="BB789" s="75"/>
      <c r="BC789" s="75"/>
      <c r="BD789" s="75"/>
      <c r="BE789" s="75"/>
      <c r="BF789" s="75"/>
      <c r="BG789" s="75"/>
      <c r="BH789" s="75"/>
      <c r="BI789" s="75"/>
      <c r="BJ789" s="75"/>
      <c r="BK789" s="75"/>
      <c r="BL789" s="75"/>
      <c r="BM789" s="75"/>
    </row>
    <row r="790">
      <c r="A790" s="75"/>
      <c r="B790" s="75"/>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c r="AA790" s="71"/>
      <c r="AB790" s="71"/>
      <c r="AC790" s="71"/>
      <c r="AD790" s="75"/>
      <c r="AE790" s="75"/>
      <c r="AF790" s="75"/>
      <c r="AG790" s="75"/>
      <c r="AH790" s="75"/>
      <c r="AI790" s="75"/>
      <c r="AJ790" s="75"/>
      <c r="AK790" s="75"/>
      <c r="AL790" s="75"/>
      <c r="AM790" s="75"/>
      <c r="AN790" s="75"/>
      <c r="AO790" s="75"/>
      <c r="AP790" s="75"/>
      <c r="AQ790" s="75"/>
      <c r="AR790" s="75"/>
      <c r="AS790" s="75"/>
      <c r="AT790" s="75"/>
      <c r="AU790" s="75"/>
      <c r="AV790" s="75"/>
      <c r="AW790" s="75"/>
      <c r="AX790" s="75"/>
      <c r="AY790" s="75"/>
      <c r="AZ790" s="75"/>
      <c r="BA790" s="75"/>
      <c r="BB790" s="75"/>
      <c r="BC790" s="75"/>
      <c r="BD790" s="75"/>
      <c r="BE790" s="75"/>
      <c r="BF790" s="75"/>
      <c r="BG790" s="75"/>
      <c r="BH790" s="75"/>
      <c r="BI790" s="75"/>
      <c r="BJ790" s="75"/>
      <c r="BK790" s="75"/>
      <c r="BL790" s="75"/>
      <c r="BM790" s="75"/>
    </row>
    <row r="791">
      <c r="A791" s="75"/>
      <c r="B791" s="75"/>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c r="AA791" s="71"/>
      <c r="AB791" s="71"/>
      <c r="AC791" s="71"/>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c r="BA791" s="75"/>
      <c r="BB791" s="75"/>
      <c r="BC791" s="75"/>
      <c r="BD791" s="75"/>
      <c r="BE791" s="75"/>
      <c r="BF791" s="75"/>
      <c r="BG791" s="75"/>
      <c r="BH791" s="75"/>
      <c r="BI791" s="75"/>
      <c r="BJ791" s="75"/>
      <c r="BK791" s="75"/>
      <c r="BL791" s="75"/>
      <c r="BM791" s="75"/>
    </row>
    <row r="792">
      <c r="A792" s="75"/>
      <c r="B792" s="75"/>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c r="AA792" s="71"/>
      <c r="AB792" s="71"/>
      <c r="AC792" s="71"/>
      <c r="AD792" s="75"/>
      <c r="AE792" s="75"/>
      <c r="AF792" s="75"/>
      <c r="AG792" s="75"/>
      <c r="AH792" s="75"/>
      <c r="AI792" s="75"/>
      <c r="AJ792" s="75"/>
      <c r="AK792" s="75"/>
      <c r="AL792" s="75"/>
      <c r="AM792" s="75"/>
      <c r="AN792" s="75"/>
      <c r="AO792" s="75"/>
      <c r="AP792" s="75"/>
      <c r="AQ792" s="75"/>
      <c r="AR792" s="75"/>
      <c r="AS792" s="75"/>
      <c r="AT792" s="75"/>
      <c r="AU792" s="75"/>
      <c r="AV792" s="75"/>
      <c r="AW792" s="75"/>
      <c r="AX792" s="75"/>
      <c r="AY792" s="75"/>
      <c r="AZ792" s="75"/>
      <c r="BA792" s="75"/>
      <c r="BB792" s="75"/>
      <c r="BC792" s="75"/>
      <c r="BD792" s="75"/>
      <c r="BE792" s="75"/>
      <c r="BF792" s="75"/>
      <c r="BG792" s="75"/>
      <c r="BH792" s="75"/>
      <c r="BI792" s="75"/>
      <c r="BJ792" s="75"/>
      <c r="BK792" s="75"/>
      <c r="BL792" s="75"/>
      <c r="BM792" s="75"/>
    </row>
    <row r="793">
      <c r="A793" s="75"/>
      <c r="B793" s="75"/>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c r="AA793" s="71"/>
      <c r="AB793" s="71"/>
      <c r="AC793" s="71"/>
      <c r="AD793" s="75"/>
      <c r="AE793" s="75"/>
      <c r="AF793" s="75"/>
      <c r="AG793" s="75"/>
      <c r="AH793" s="75"/>
      <c r="AI793" s="75"/>
      <c r="AJ793" s="75"/>
      <c r="AK793" s="75"/>
      <c r="AL793" s="75"/>
      <c r="AM793" s="75"/>
      <c r="AN793" s="75"/>
      <c r="AO793" s="75"/>
      <c r="AP793" s="75"/>
      <c r="AQ793" s="75"/>
      <c r="AR793" s="75"/>
      <c r="AS793" s="75"/>
      <c r="AT793" s="75"/>
      <c r="AU793" s="75"/>
      <c r="AV793" s="75"/>
      <c r="AW793" s="75"/>
      <c r="AX793" s="75"/>
      <c r="AY793" s="75"/>
      <c r="AZ793" s="75"/>
      <c r="BA793" s="75"/>
      <c r="BB793" s="75"/>
      <c r="BC793" s="75"/>
      <c r="BD793" s="75"/>
      <c r="BE793" s="75"/>
      <c r="BF793" s="75"/>
      <c r="BG793" s="75"/>
      <c r="BH793" s="75"/>
      <c r="BI793" s="75"/>
      <c r="BJ793" s="75"/>
      <c r="BK793" s="75"/>
      <c r="BL793" s="75"/>
      <c r="BM793" s="75"/>
    </row>
    <row r="794">
      <c r="A794" s="75"/>
      <c r="B794" s="75"/>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c r="AA794" s="71"/>
      <c r="AB794" s="71"/>
      <c r="AC794" s="71"/>
      <c r="AD794" s="75"/>
      <c r="AE794" s="75"/>
      <c r="AF794" s="75"/>
      <c r="AG794" s="75"/>
      <c r="AH794" s="75"/>
      <c r="AI794" s="75"/>
      <c r="AJ794" s="75"/>
      <c r="AK794" s="75"/>
      <c r="AL794" s="75"/>
      <c r="AM794" s="75"/>
      <c r="AN794" s="75"/>
      <c r="AO794" s="75"/>
      <c r="AP794" s="75"/>
      <c r="AQ794" s="75"/>
      <c r="AR794" s="75"/>
      <c r="AS794" s="75"/>
      <c r="AT794" s="75"/>
      <c r="AU794" s="75"/>
      <c r="AV794" s="75"/>
      <c r="AW794" s="75"/>
      <c r="AX794" s="75"/>
      <c r="AY794" s="75"/>
      <c r="AZ794" s="75"/>
      <c r="BA794" s="75"/>
      <c r="BB794" s="75"/>
      <c r="BC794" s="75"/>
      <c r="BD794" s="75"/>
      <c r="BE794" s="75"/>
      <c r="BF794" s="75"/>
      <c r="BG794" s="75"/>
      <c r="BH794" s="75"/>
      <c r="BI794" s="75"/>
      <c r="BJ794" s="75"/>
      <c r="BK794" s="75"/>
      <c r="BL794" s="75"/>
      <c r="BM794" s="75"/>
    </row>
    <row r="795">
      <c r="A795" s="75"/>
      <c r="B795" s="75"/>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c r="AA795" s="71"/>
      <c r="AB795" s="71"/>
      <c r="AC795" s="71"/>
      <c r="AD795" s="75"/>
      <c r="AE795" s="75"/>
      <c r="AF795" s="75"/>
      <c r="AG795" s="75"/>
      <c r="AH795" s="75"/>
      <c r="AI795" s="75"/>
      <c r="AJ795" s="75"/>
      <c r="AK795" s="75"/>
      <c r="AL795" s="75"/>
      <c r="AM795" s="75"/>
      <c r="AN795" s="75"/>
      <c r="AO795" s="75"/>
      <c r="AP795" s="75"/>
      <c r="AQ795" s="75"/>
      <c r="AR795" s="75"/>
      <c r="AS795" s="75"/>
      <c r="AT795" s="75"/>
      <c r="AU795" s="75"/>
      <c r="AV795" s="75"/>
      <c r="AW795" s="75"/>
      <c r="AX795" s="75"/>
      <c r="AY795" s="75"/>
      <c r="AZ795" s="75"/>
      <c r="BA795" s="75"/>
      <c r="BB795" s="75"/>
      <c r="BC795" s="75"/>
      <c r="BD795" s="75"/>
      <c r="BE795" s="75"/>
      <c r="BF795" s="75"/>
      <c r="BG795" s="75"/>
      <c r="BH795" s="75"/>
      <c r="BI795" s="75"/>
      <c r="BJ795" s="75"/>
      <c r="BK795" s="75"/>
      <c r="BL795" s="75"/>
      <c r="BM795" s="75"/>
    </row>
    <row r="796">
      <c r="A796" s="75"/>
      <c r="B796" s="75"/>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c r="AA796" s="71"/>
      <c r="AB796" s="71"/>
      <c r="AC796" s="71"/>
      <c r="AD796" s="75"/>
      <c r="AE796" s="75"/>
      <c r="AF796" s="75"/>
      <c r="AG796" s="75"/>
      <c r="AH796" s="75"/>
      <c r="AI796" s="75"/>
      <c r="AJ796" s="75"/>
      <c r="AK796" s="75"/>
      <c r="AL796" s="75"/>
      <c r="AM796" s="75"/>
      <c r="AN796" s="75"/>
      <c r="AO796" s="75"/>
      <c r="AP796" s="75"/>
      <c r="AQ796" s="75"/>
      <c r="AR796" s="75"/>
      <c r="AS796" s="75"/>
      <c r="AT796" s="75"/>
      <c r="AU796" s="75"/>
      <c r="AV796" s="75"/>
      <c r="AW796" s="75"/>
      <c r="AX796" s="75"/>
      <c r="AY796" s="75"/>
      <c r="AZ796" s="75"/>
      <c r="BA796" s="75"/>
      <c r="BB796" s="75"/>
      <c r="BC796" s="75"/>
      <c r="BD796" s="75"/>
      <c r="BE796" s="75"/>
      <c r="BF796" s="75"/>
      <c r="BG796" s="75"/>
      <c r="BH796" s="75"/>
      <c r="BI796" s="75"/>
      <c r="BJ796" s="75"/>
      <c r="BK796" s="75"/>
      <c r="BL796" s="75"/>
      <c r="BM796" s="75"/>
    </row>
    <row r="797">
      <c r="A797" s="75"/>
      <c r="B797" s="75"/>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c r="AA797" s="71"/>
      <c r="AB797" s="71"/>
      <c r="AC797" s="71"/>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c r="BA797" s="75"/>
      <c r="BB797" s="75"/>
      <c r="BC797" s="75"/>
      <c r="BD797" s="75"/>
      <c r="BE797" s="75"/>
      <c r="BF797" s="75"/>
      <c r="BG797" s="75"/>
      <c r="BH797" s="75"/>
      <c r="BI797" s="75"/>
      <c r="BJ797" s="75"/>
      <c r="BK797" s="75"/>
      <c r="BL797" s="75"/>
      <c r="BM797" s="75"/>
    </row>
    <row r="798">
      <c r="A798" s="75"/>
      <c r="B798" s="75"/>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c r="AA798" s="71"/>
      <c r="AB798" s="71"/>
      <c r="AC798" s="71"/>
      <c r="AD798" s="75"/>
      <c r="AE798" s="75"/>
      <c r="AF798" s="75"/>
      <c r="AG798" s="75"/>
      <c r="AH798" s="75"/>
      <c r="AI798" s="75"/>
      <c r="AJ798" s="75"/>
      <c r="AK798" s="75"/>
      <c r="AL798" s="75"/>
      <c r="AM798" s="75"/>
      <c r="AN798" s="75"/>
      <c r="AO798" s="75"/>
      <c r="AP798" s="75"/>
      <c r="AQ798" s="75"/>
      <c r="AR798" s="75"/>
      <c r="AS798" s="75"/>
      <c r="AT798" s="75"/>
      <c r="AU798" s="75"/>
      <c r="AV798" s="75"/>
      <c r="AW798" s="75"/>
      <c r="AX798" s="75"/>
      <c r="AY798" s="75"/>
      <c r="AZ798" s="75"/>
      <c r="BA798" s="75"/>
      <c r="BB798" s="75"/>
      <c r="BC798" s="75"/>
      <c r="BD798" s="75"/>
      <c r="BE798" s="75"/>
      <c r="BF798" s="75"/>
      <c r="BG798" s="75"/>
      <c r="BH798" s="75"/>
      <c r="BI798" s="75"/>
      <c r="BJ798" s="75"/>
      <c r="BK798" s="75"/>
      <c r="BL798" s="75"/>
      <c r="BM798" s="75"/>
    </row>
    <row r="799">
      <c r="A799" s="75"/>
      <c r="B799" s="75"/>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c r="AA799" s="71"/>
      <c r="AB799" s="71"/>
      <c r="AC799" s="71"/>
      <c r="AD799" s="75"/>
      <c r="AE799" s="75"/>
      <c r="AF799" s="75"/>
      <c r="AG799" s="75"/>
      <c r="AH799" s="75"/>
      <c r="AI799" s="75"/>
      <c r="AJ799" s="75"/>
      <c r="AK799" s="75"/>
      <c r="AL799" s="75"/>
      <c r="AM799" s="75"/>
      <c r="AN799" s="75"/>
      <c r="AO799" s="75"/>
      <c r="AP799" s="75"/>
      <c r="AQ799" s="75"/>
      <c r="AR799" s="75"/>
      <c r="AS799" s="75"/>
      <c r="AT799" s="75"/>
      <c r="AU799" s="75"/>
      <c r="AV799" s="75"/>
      <c r="AW799" s="75"/>
      <c r="AX799" s="75"/>
      <c r="AY799" s="75"/>
      <c r="AZ799" s="75"/>
      <c r="BA799" s="75"/>
      <c r="BB799" s="75"/>
      <c r="BC799" s="75"/>
      <c r="BD799" s="75"/>
      <c r="BE799" s="75"/>
      <c r="BF799" s="75"/>
      <c r="BG799" s="75"/>
      <c r="BH799" s="75"/>
      <c r="BI799" s="75"/>
      <c r="BJ799" s="75"/>
      <c r="BK799" s="75"/>
      <c r="BL799" s="75"/>
      <c r="BM799" s="75"/>
    </row>
    <row r="800">
      <c r="A800" s="75"/>
      <c r="B800" s="75"/>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c r="AA800" s="71"/>
      <c r="AB800" s="71"/>
      <c r="AC800" s="71"/>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5"/>
      <c r="BF800" s="75"/>
      <c r="BG800" s="75"/>
      <c r="BH800" s="75"/>
      <c r="BI800" s="75"/>
      <c r="BJ800" s="75"/>
      <c r="BK800" s="75"/>
      <c r="BL800" s="75"/>
      <c r="BM800" s="75"/>
    </row>
    <row r="801">
      <c r="A801" s="75"/>
      <c r="B801" s="75"/>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c r="AA801" s="71"/>
      <c r="AB801" s="71"/>
      <c r="AC801" s="71"/>
      <c r="AD801" s="75"/>
      <c r="AE801" s="75"/>
      <c r="AF801" s="75"/>
      <c r="AG801" s="75"/>
      <c r="AH801" s="75"/>
      <c r="AI801" s="75"/>
      <c r="AJ801" s="75"/>
      <c r="AK801" s="75"/>
      <c r="AL801" s="75"/>
      <c r="AM801" s="75"/>
      <c r="AN801" s="75"/>
      <c r="AO801" s="75"/>
      <c r="AP801" s="75"/>
      <c r="AQ801" s="75"/>
      <c r="AR801" s="75"/>
      <c r="AS801" s="75"/>
      <c r="AT801" s="75"/>
      <c r="AU801" s="75"/>
      <c r="AV801" s="75"/>
      <c r="AW801" s="75"/>
      <c r="AX801" s="75"/>
      <c r="AY801" s="75"/>
      <c r="AZ801" s="75"/>
      <c r="BA801" s="75"/>
      <c r="BB801" s="75"/>
      <c r="BC801" s="75"/>
      <c r="BD801" s="75"/>
      <c r="BE801" s="75"/>
      <c r="BF801" s="75"/>
      <c r="BG801" s="75"/>
      <c r="BH801" s="75"/>
      <c r="BI801" s="75"/>
      <c r="BJ801" s="75"/>
      <c r="BK801" s="75"/>
      <c r="BL801" s="75"/>
      <c r="BM801" s="75"/>
    </row>
    <row r="802">
      <c r="A802" s="75"/>
      <c r="B802" s="75"/>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c r="AA802" s="71"/>
      <c r="AB802" s="71"/>
      <c r="AC802" s="71"/>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5"/>
      <c r="BF802" s="75"/>
      <c r="BG802" s="75"/>
      <c r="BH802" s="75"/>
      <c r="BI802" s="75"/>
      <c r="BJ802" s="75"/>
      <c r="BK802" s="75"/>
      <c r="BL802" s="75"/>
      <c r="BM802" s="75"/>
    </row>
    <row r="803">
      <c r="A803" s="75"/>
      <c r="B803" s="75"/>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c r="AA803" s="71"/>
      <c r="AB803" s="71"/>
      <c r="AC803" s="71"/>
      <c r="AD803" s="75"/>
      <c r="AE803" s="75"/>
      <c r="AF803" s="75"/>
      <c r="AG803" s="75"/>
      <c r="AH803" s="75"/>
      <c r="AI803" s="75"/>
      <c r="AJ803" s="75"/>
      <c r="AK803" s="75"/>
      <c r="AL803" s="75"/>
      <c r="AM803" s="75"/>
      <c r="AN803" s="75"/>
      <c r="AO803" s="75"/>
      <c r="AP803" s="75"/>
      <c r="AQ803" s="75"/>
      <c r="AR803" s="75"/>
      <c r="AS803" s="75"/>
      <c r="AT803" s="75"/>
      <c r="AU803" s="75"/>
      <c r="AV803" s="75"/>
      <c r="AW803" s="75"/>
      <c r="AX803" s="75"/>
      <c r="AY803" s="75"/>
      <c r="AZ803" s="75"/>
      <c r="BA803" s="75"/>
      <c r="BB803" s="75"/>
      <c r="BC803" s="75"/>
      <c r="BD803" s="75"/>
      <c r="BE803" s="75"/>
      <c r="BF803" s="75"/>
      <c r="BG803" s="75"/>
      <c r="BH803" s="75"/>
      <c r="BI803" s="75"/>
      <c r="BJ803" s="75"/>
      <c r="BK803" s="75"/>
      <c r="BL803" s="75"/>
      <c r="BM803" s="75"/>
    </row>
    <row r="804">
      <c r="A804" s="75"/>
      <c r="B804" s="75"/>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c r="AA804" s="71"/>
      <c r="AB804" s="71"/>
      <c r="AC804" s="71"/>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5"/>
      <c r="BF804" s="75"/>
      <c r="BG804" s="75"/>
      <c r="BH804" s="75"/>
      <c r="BI804" s="75"/>
      <c r="BJ804" s="75"/>
      <c r="BK804" s="75"/>
      <c r="BL804" s="75"/>
      <c r="BM804" s="75"/>
    </row>
    <row r="805">
      <c r="A805" s="75"/>
      <c r="B805" s="75"/>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c r="AA805" s="71"/>
      <c r="AB805" s="71"/>
      <c r="AC805" s="71"/>
      <c r="AD805" s="75"/>
      <c r="AE805" s="75"/>
      <c r="AF805" s="75"/>
      <c r="AG805" s="75"/>
      <c r="AH805" s="75"/>
      <c r="AI805" s="75"/>
      <c r="AJ805" s="75"/>
      <c r="AK805" s="75"/>
      <c r="AL805" s="75"/>
      <c r="AM805" s="75"/>
      <c r="AN805" s="75"/>
      <c r="AO805" s="75"/>
      <c r="AP805" s="75"/>
      <c r="AQ805" s="75"/>
      <c r="AR805" s="75"/>
      <c r="AS805" s="75"/>
      <c r="AT805" s="75"/>
      <c r="AU805" s="75"/>
      <c r="AV805" s="75"/>
      <c r="AW805" s="75"/>
      <c r="AX805" s="75"/>
      <c r="AY805" s="75"/>
      <c r="AZ805" s="75"/>
      <c r="BA805" s="75"/>
      <c r="BB805" s="75"/>
      <c r="BC805" s="75"/>
      <c r="BD805" s="75"/>
      <c r="BE805" s="75"/>
      <c r="BF805" s="75"/>
      <c r="BG805" s="75"/>
      <c r="BH805" s="75"/>
      <c r="BI805" s="75"/>
      <c r="BJ805" s="75"/>
      <c r="BK805" s="75"/>
      <c r="BL805" s="75"/>
      <c r="BM805" s="75"/>
    </row>
    <row r="806">
      <c r="A806" s="75"/>
      <c r="B806" s="75"/>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c r="AA806" s="71"/>
      <c r="AB806" s="71"/>
      <c r="AC806" s="71"/>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c r="BA806" s="75"/>
      <c r="BB806" s="75"/>
      <c r="BC806" s="75"/>
      <c r="BD806" s="75"/>
      <c r="BE806" s="75"/>
      <c r="BF806" s="75"/>
      <c r="BG806" s="75"/>
      <c r="BH806" s="75"/>
      <c r="BI806" s="75"/>
      <c r="BJ806" s="75"/>
      <c r="BK806" s="75"/>
      <c r="BL806" s="75"/>
      <c r="BM806" s="75"/>
    </row>
    <row r="807">
      <c r="A807" s="75"/>
      <c r="B807" s="75"/>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c r="AA807" s="71"/>
      <c r="AB807" s="71"/>
      <c r="AC807" s="71"/>
      <c r="AD807" s="75"/>
      <c r="AE807" s="75"/>
      <c r="AF807" s="75"/>
      <c r="AG807" s="75"/>
      <c r="AH807" s="75"/>
      <c r="AI807" s="75"/>
      <c r="AJ807" s="75"/>
      <c r="AK807" s="75"/>
      <c r="AL807" s="75"/>
      <c r="AM807" s="75"/>
      <c r="AN807" s="75"/>
      <c r="AO807" s="75"/>
      <c r="AP807" s="75"/>
      <c r="AQ807" s="75"/>
      <c r="AR807" s="75"/>
      <c r="AS807" s="75"/>
      <c r="AT807" s="75"/>
      <c r="AU807" s="75"/>
      <c r="AV807" s="75"/>
      <c r="AW807" s="75"/>
      <c r="AX807" s="75"/>
      <c r="AY807" s="75"/>
      <c r="AZ807" s="75"/>
      <c r="BA807" s="75"/>
      <c r="BB807" s="75"/>
      <c r="BC807" s="75"/>
      <c r="BD807" s="75"/>
      <c r="BE807" s="75"/>
      <c r="BF807" s="75"/>
      <c r="BG807" s="75"/>
      <c r="BH807" s="75"/>
      <c r="BI807" s="75"/>
      <c r="BJ807" s="75"/>
      <c r="BK807" s="75"/>
      <c r="BL807" s="75"/>
      <c r="BM807" s="75"/>
    </row>
    <row r="808">
      <c r="A808" s="75"/>
      <c r="B808" s="75"/>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c r="AA808" s="71"/>
      <c r="AB808" s="71"/>
      <c r="AC808" s="71"/>
      <c r="AD808" s="75"/>
      <c r="AE808" s="75"/>
      <c r="AF808" s="75"/>
      <c r="AG808" s="75"/>
      <c r="AH808" s="75"/>
      <c r="AI808" s="75"/>
      <c r="AJ808" s="75"/>
      <c r="AK808" s="75"/>
      <c r="AL808" s="75"/>
      <c r="AM808" s="75"/>
      <c r="AN808" s="75"/>
      <c r="AO808" s="75"/>
      <c r="AP808" s="75"/>
      <c r="AQ808" s="75"/>
      <c r="AR808" s="75"/>
      <c r="AS808" s="75"/>
      <c r="AT808" s="75"/>
      <c r="AU808" s="75"/>
      <c r="AV808" s="75"/>
      <c r="AW808" s="75"/>
      <c r="AX808" s="75"/>
      <c r="AY808" s="75"/>
      <c r="AZ808" s="75"/>
      <c r="BA808" s="75"/>
      <c r="BB808" s="75"/>
      <c r="BC808" s="75"/>
      <c r="BD808" s="75"/>
      <c r="BE808" s="75"/>
      <c r="BF808" s="75"/>
      <c r="BG808" s="75"/>
      <c r="BH808" s="75"/>
      <c r="BI808" s="75"/>
      <c r="BJ808" s="75"/>
      <c r="BK808" s="75"/>
      <c r="BL808" s="75"/>
      <c r="BM808" s="75"/>
    </row>
    <row r="809">
      <c r="A809" s="75"/>
      <c r="B809" s="75"/>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c r="AA809" s="71"/>
      <c r="AB809" s="71"/>
      <c r="AC809" s="71"/>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c r="BA809" s="75"/>
      <c r="BB809" s="75"/>
      <c r="BC809" s="75"/>
      <c r="BD809" s="75"/>
      <c r="BE809" s="75"/>
      <c r="BF809" s="75"/>
      <c r="BG809" s="75"/>
      <c r="BH809" s="75"/>
      <c r="BI809" s="75"/>
      <c r="BJ809" s="75"/>
      <c r="BK809" s="75"/>
      <c r="BL809" s="75"/>
      <c r="BM809" s="75"/>
    </row>
    <row r="810">
      <c r="A810" s="75"/>
      <c r="B810" s="75"/>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c r="AA810" s="71"/>
      <c r="AB810" s="71"/>
      <c r="AC810" s="71"/>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5"/>
      <c r="BF810" s="75"/>
      <c r="BG810" s="75"/>
      <c r="BH810" s="75"/>
      <c r="BI810" s="75"/>
      <c r="BJ810" s="75"/>
      <c r="BK810" s="75"/>
      <c r="BL810" s="75"/>
      <c r="BM810" s="75"/>
    </row>
    <row r="811">
      <c r="A811" s="75"/>
      <c r="B811" s="75"/>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c r="AA811" s="71"/>
      <c r="AB811" s="71"/>
      <c r="AC811" s="71"/>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c r="BA811" s="75"/>
      <c r="BB811" s="75"/>
      <c r="BC811" s="75"/>
      <c r="BD811" s="75"/>
      <c r="BE811" s="75"/>
      <c r="BF811" s="75"/>
      <c r="BG811" s="75"/>
      <c r="BH811" s="75"/>
      <c r="BI811" s="75"/>
      <c r="BJ811" s="75"/>
      <c r="BK811" s="75"/>
      <c r="BL811" s="75"/>
      <c r="BM811" s="75"/>
    </row>
    <row r="812">
      <c r="A812" s="75"/>
      <c r="B812" s="75"/>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c r="AA812" s="71"/>
      <c r="AB812" s="71"/>
      <c r="AC812" s="71"/>
      <c r="AD812" s="75"/>
      <c r="AE812" s="75"/>
      <c r="AF812" s="75"/>
      <c r="AG812" s="75"/>
      <c r="AH812" s="75"/>
      <c r="AI812" s="75"/>
      <c r="AJ812" s="75"/>
      <c r="AK812" s="75"/>
      <c r="AL812" s="75"/>
      <c r="AM812" s="75"/>
      <c r="AN812" s="75"/>
      <c r="AO812" s="75"/>
      <c r="AP812" s="75"/>
      <c r="AQ812" s="75"/>
      <c r="AR812" s="75"/>
      <c r="AS812" s="75"/>
      <c r="AT812" s="75"/>
      <c r="AU812" s="75"/>
      <c r="AV812" s="75"/>
      <c r="AW812" s="75"/>
      <c r="AX812" s="75"/>
      <c r="AY812" s="75"/>
      <c r="AZ812" s="75"/>
      <c r="BA812" s="75"/>
      <c r="BB812" s="75"/>
      <c r="BC812" s="75"/>
      <c r="BD812" s="75"/>
      <c r="BE812" s="75"/>
      <c r="BF812" s="75"/>
      <c r="BG812" s="75"/>
      <c r="BH812" s="75"/>
      <c r="BI812" s="75"/>
      <c r="BJ812" s="75"/>
      <c r="BK812" s="75"/>
      <c r="BL812" s="75"/>
      <c r="BM812" s="75"/>
    </row>
    <row r="813">
      <c r="A813" s="75"/>
      <c r="B813" s="75"/>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c r="AA813" s="71"/>
      <c r="AB813" s="71"/>
      <c r="AC813" s="71"/>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c r="BE813" s="75"/>
      <c r="BF813" s="75"/>
      <c r="BG813" s="75"/>
      <c r="BH813" s="75"/>
      <c r="BI813" s="75"/>
      <c r="BJ813" s="75"/>
      <c r="BK813" s="75"/>
      <c r="BL813" s="75"/>
      <c r="BM813" s="75"/>
    </row>
    <row r="814">
      <c r="A814" s="75"/>
      <c r="B814" s="75"/>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c r="AA814" s="71"/>
      <c r="AB814" s="71"/>
      <c r="AC814" s="71"/>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c r="BA814" s="75"/>
      <c r="BB814" s="75"/>
      <c r="BC814" s="75"/>
      <c r="BD814" s="75"/>
      <c r="BE814" s="75"/>
      <c r="BF814" s="75"/>
      <c r="BG814" s="75"/>
      <c r="BH814" s="75"/>
      <c r="BI814" s="75"/>
      <c r="BJ814" s="75"/>
      <c r="BK814" s="75"/>
      <c r="BL814" s="75"/>
      <c r="BM814" s="75"/>
    </row>
    <row r="815">
      <c r="A815" s="75"/>
      <c r="B815" s="75"/>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c r="AA815" s="71"/>
      <c r="AB815" s="71"/>
      <c r="AC815" s="71"/>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c r="BA815" s="75"/>
      <c r="BB815" s="75"/>
      <c r="BC815" s="75"/>
      <c r="BD815" s="75"/>
      <c r="BE815" s="75"/>
      <c r="BF815" s="75"/>
      <c r="BG815" s="75"/>
      <c r="BH815" s="75"/>
      <c r="BI815" s="75"/>
      <c r="BJ815" s="75"/>
      <c r="BK815" s="75"/>
      <c r="BL815" s="75"/>
      <c r="BM815" s="75"/>
    </row>
    <row r="816">
      <c r="A816" s="75"/>
      <c r="B816" s="75"/>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c r="AA816" s="71"/>
      <c r="AB816" s="71"/>
      <c r="AC816" s="71"/>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5"/>
      <c r="BF816" s="75"/>
      <c r="BG816" s="75"/>
      <c r="BH816" s="75"/>
      <c r="BI816" s="75"/>
      <c r="BJ816" s="75"/>
      <c r="BK816" s="75"/>
      <c r="BL816" s="75"/>
      <c r="BM816" s="75"/>
    </row>
    <row r="817">
      <c r="A817" s="75"/>
      <c r="B817" s="75"/>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c r="AA817" s="71"/>
      <c r="AB817" s="71"/>
      <c r="AC817" s="71"/>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c r="BA817" s="75"/>
      <c r="BB817" s="75"/>
      <c r="BC817" s="75"/>
      <c r="BD817" s="75"/>
      <c r="BE817" s="75"/>
      <c r="BF817" s="75"/>
      <c r="BG817" s="75"/>
      <c r="BH817" s="75"/>
      <c r="BI817" s="75"/>
      <c r="BJ817" s="75"/>
      <c r="BK817" s="75"/>
      <c r="BL817" s="75"/>
      <c r="BM817" s="75"/>
    </row>
    <row r="818">
      <c r="A818" s="75"/>
      <c r="B818" s="75"/>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1"/>
      <c r="AB818" s="71"/>
      <c r="AC818" s="71"/>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c r="BA818" s="75"/>
      <c r="BB818" s="75"/>
      <c r="BC818" s="75"/>
      <c r="BD818" s="75"/>
      <c r="BE818" s="75"/>
      <c r="BF818" s="75"/>
      <c r="BG818" s="75"/>
      <c r="BH818" s="75"/>
      <c r="BI818" s="75"/>
      <c r="BJ818" s="75"/>
      <c r="BK818" s="75"/>
      <c r="BL818" s="75"/>
      <c r="BM818" s="75"/>
    </row>
    <row r="819">
      <c r="A819" s="75"/>
      <c r="B819" s="75"/>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1"/>
      <c r="AB819" s="71"/>
      <c r="AC819" s="71"/>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5"/>
      <c r="BF819" s="75"/>
      <c r="BG819" s="75"/>
      <c r="BH819" s="75"/>
      <c r="BI819" s="75"/>
      <c r="BJ819" s="75"/>
      <c r="BK819" s="75"/>
      <c r="BL819" s="75"/>
      <c r="BM819" s="75"/>
    </row>
    <row r="820">
      <c r="A820" s="75"/>
      <c r="B820" s="75"/>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c r="AA820" s="71"/>
      <c r="AB820" s="71"/>
      <c r="AC820" s="71"/>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c r="BA820" s="75"/>
      <c r="BB820" s="75"/>
      <c r="BC820" s="75"/>
      <c r="BD820" s="75"/>
      <c r="BE820" s="75"/>
      <c r="BF820" s="75"/>
      <c r="BG820" s="75"/>
      <c r="BH820" s="75"/>
      <c r="BI820" s="75"/>
      <c r="BJ820" s="75"/>
      <c r="BK820" s="75"/>
      <c r="BL820" s="75"/>
      <c r="BM820" s="75"/>
    </row>
    <row r="821">
      <c r="A821" s="75"/>
      <c r="B821" s="75"/>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c r="AA821" s="71"/>
      <c r="AB821" s="71"/>
      <c r="AC821" s="71"/>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c r="BA821" s="75"/>
      <c r="BB821" s="75"/>
      <c r="BC821" s="75"/>
      <c r="BD821" s="75"/>
      <c r="BE821" s="75"/>
      <c r="BF821" s="75"/>
      <c r="BG821" s="75"/>
      <c r="BH821" s="75"/>
      <c r="BI821" s="75"/>
      <c r="BJ821" s="75"/>
      <c r="BK821" s="75"/>
      <c r="BL821" s="75"/>
      <c r="BM821" s="75"/>
    </row>
    <row r="822">
      <c r="A822" s="75"/>
      <c r="B822" s="75"/>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c r="AA822" s="71"/>
      <c r="AB822" s="71"/>
      <c r="AC822" s="71"/>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c r="BD822" s="75"/>
      <c r="BE822" s="75"/>
      <c r="BF822" s="75"/>
      <c r="BG822" s="75"/>
      <c r="BH822" s="75"/>
      <c r="BI822" s="75"/>
      <c r="BJ822" s="75"/>
      <c r="BK822" s="75"/>
      <c r="BL822" s="75"/>
      <c r="BM822" s="75"/>
    </row>
    <row r="823">
      <c r="A823" s="75"/>
      <c r="B823" s="75"/>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c r="AA823" s="71"/>
      <c r="AB823" s="71"/>
      <c r="AC823" s="71"/>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c r="BA823" s="75"/>
      <c r="BB823" s="75"/>
      <c r="BC823" s="75"/>
      <c r="BD823" s="75"/>
      <c r="BE823" s="75"/>
      <c r="BF823" s="75"/>
      <c r="BG823" s="75"/>
      <c r="BH823" s="75"/>
      <c r="BI823" s="75"/>
      <c r="BJ823" s="75"/>
      <c r="BK823" s="75"/>
      <c r="BL823" s="75"/>
      <c r="BM823" s="75"/>
    </row>
    <row r="824">
      <c r="A824" s="75"/>
      <c r="B824" s="75"/>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c r="AA824" s="71"/>
      <c r="AB824" s="71"/>
      <c r="AC824" s="71"/>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c r="BA824" s="75"/>
      <c r="BB824" s="75"/>
      <c r="BC824" s="75"/>
      <c r="BD824" s="75"/>
      <c r="BE824" s="75"/>
      <c r="BF824" s="75"/>
      <c r="BG824" s="75"/>
      <c r="BH824" s="75"/>
      <c r="BI824" s="75"/>
      <c r="BJ824" s="75"/>
      <c r="BK824" s="75"/>
      <c r="BL824" s="75"/>
      <c r="BM824" s="75"/>
    </row>
    <row r="825">
      <c r="A825" s="75"/>
      <c r="B825" s="75"/>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c r="AA825" s="71"/>
      <c r="AB825" s="71"/>
      <c r="AC825" s="71"/>
      <c r="AD825" s="75"/>
      <c r="AE825" s="75"/>
      <c r="AF825" s="75"/>
      <c r="AG825" s="75"/>
      <c r="AH825" s="75"/>
      <c r="AI825" s="75"/>
      <c r="AJ825" s="75"/>
      <c r="AK825" s="75"/>
      <c r="AL825" s="75"/>
      <c r="AM825" s="75"/>
      <c r="AN825" s="75"/>
      <c r="AO825" s="75"/>
      <c r="AP825" s="75"/>
      <c r="AQ825" s="75"/>
      <c r="AR825" s="75"/>
      <c r="AS825" s="75"/>
      <c r="AT825" s="75"/>
      <c r="AU825" s="75"/>
      <c r="AV825" s="75"/>
      <c r="AW825" s="75"/>
      <c r="AX825" s="75"/>
      <c r="AY825" s="75"/>
      <c r="AZ825" s="75"/>
      <c r="BA825" s="75"/>
      <c r="BB825" s="75"/>
      <c r="BC825" s="75"/>
      <c r="BD825" s="75"/>
      <c r="BE825" s="75"/>
      <c r="BF825" s="75"/>
      <c r="BG825" s="75"/>
      <c r="BH825" s="75"/>
      <c r="BI825" s="75"/>
      <c r="BJ825" s="75"/>
      <c r="BK825" s="75"/>
      <c r="BL825" s="75"/>
      <c r="BM825" s="75"/>
    </row>
    <row r="826">
      <c r="A826" s="75"/>
      <c r="B826" s="75"/>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c r="AA826" s="71"/>
      <c r="AB826" s="71"/>
      <c r="AC826" s="71"/>
      <c r="AD826" s="75"/>
      <c r="AE826" s="75"/>
      <c r="AF826" s="75"/>
      <c r="AG826" s="75"/>
      <c r="AH826" s="75"/>
      <c r="AI826" s="75"/>
      <c r="AJ826" s="75"/>
      <c r="AK826" s="75"/>
      <c r="AL826" s="75"/>
      <c r="AM826" s="75"/>
      <c r="AN826" s="75"/>
      <c r="AO826" s="75"/>
      <c r="AP826" s="75"/>
      <c r="AQ826" s="75"/>
      <c r="AR826" s="75"/>
      <c r="AS826" s="75"/>
      <c r="AT826" s="75"/>
      <c r="AU826" s="75"/>
      <c r="AV826" s="75"/>
      <c r="AW826" s="75"/>
      <c r="AX826" s="75"/>
      <c r="AY826" s="75"/>
      <c r="AZ826" s="75"/>
      <c r="BA826" s="75"/>
      <c r="BB826" s="75"/>
      <c r="BC826" s="75"/>
      <c r="BD826" s="75"/>
      <c r="BE826" s="75"/>
      <c r="BF826" s="75"/>
      <c r="BG826" s="75"/>
      <c r="BH826" s="75"/>
      <c r="BI826" s="75"/>
      <c r="BJ826" s="75"/>
      <c r="BK826" s="75"/>
      <c r="BL826" s="75"/>
      <c r="BM826" s="75"/>
    </row>
    <row r="827">
      <c r="A827" s="75"/>
      <c r="B827" s="75"/>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c r="AA827" s="71"/>
      <c r="AB827" s="71"/>
      <c r="AC827" s="71"/>
      <c r="AD827" s="75"/>
      <c r="AE827" s="75"/>
      <c r="AF827" s="75"/>
      <c r="AG827" s="75"/>
      <c r="AH827" s="75"/>
      <c r="AI827" s="75"/>
      <c r="AJ827" s="75"/>
      <c r="AK827" s="75"/>
      <c r="AL827" s="75"/>
      <c r="AM827" s="75"/>
      <c r="AN827" s="75"/>
      <c r="AO827" s="75"/>
      <c r="AP827" s="75"/>
      <c r="AQ827" s="75"/>
      <c r="AR827" s="75"/>
      <c r="AS827" s="75"/>
      <c r="AT827" s="75"/>
      <c r="AU827" s="75"/>
      <c r="AV827" s="75"/>
      <c r="AW827" s="75"/>
      <c r="AX827" s="75"/>
      <c r="AY827" s="75"/>
      <c r="AZ827" s="75"/>
      <c r="BA827" s="75"/>
      <c r="BB827" s="75"/>
      <c r="BC827" s="75"/>
      <c r="BD827" s="75"/>
      <c r="BE827" s="75"/>
      <c r="BF827" s="75"/>
      <c r="BG827" s="75"/>
      <c r="BH827" s="75"/>
      <c r="BI827" s="75"/>
      <c r="BJ827" s="75"/>
      <c r="BK827" s="75"/>
      <c r="BL827" s="75"/>
      <c r="BM827" s="75"/>
    </row>
    <row r="828">
      <c r="A828" s="75"/>
      <c r="B828" s="75"/>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c r="AA828" s="71"/>
      <c r="AB828" s="71"/>
      <c r="AC828" s="71"/>
      <c r="AD828" s="75"/>
      <c r="AE828" s="75"/>
      <c r="AF828" s="75"/>
      <c r="AG828" s="75"/>
      <c r="AH828" s="75"/>
      <c r="AI828" s="75"/>
      <c r="AJ828" s="75"/>
      <c r="AK828" s="75"/>
      <c r="AL828" s="75"/>
      <c r="AM828" s="75"/>
      <c r="AN828" s="75"/>
      <c r="AO828" s="75"/>
      <c r="AP828" s="75"/>
      <c r="AQ828" s="75"/>
      <c r="AR828" s="75"/>
      <c r="AS828" s="75"/>
      <c r="AT828" s="75"/>
      <c r="AU828" s="75"/>
      <c r="AV828" s="75"/>
      <c r="AW828" s="75"/>
      <c r="AX828" s="75"/>
      <c r="AY828" s="75"/>
      <c r="AZ828" s="75"/>
      <c r="BA828" s="75"/>
      <c r="BB828" s="75"/>
      <c r="BC828" s="75"/>
      <c r="BD828" s="75"/>
      <c r="BE828" s="75"/>
      <c r="BF828" s="75"/>
      <c r="BG828" s="75"/>
      <c r="BH828" s="75"/>
      <c r="BI828" s="75"/>
      <c r="BJ828" s="75"/>
      <c r="BK828" s="75"/>
      <c r="BL828" s="75"/>
      <c r="BM828" s="75"/>
    </row>
    <row r="829">
      <c r="A829" s="75"/>
      <c r="B829" s="75"/>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c r="AA829" s="71"/>
      <c r="AB829" s="71"/>
      <c r="AC829" s="71"/>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c r="BA829" s="75"/>
      <c r="BB829" s="75"/>
      <c r="BC829" s="75"/>
      <c r="BD829" s="75"/>
      <c r="BE829" s="75"/>
      <c r="BF829" s="75"/>
      <c r="BG829" s="75"/>
      <c r="BH829" s="75"/>
      <c r="BI829" s="75"/>
      <c r="BJ829" s="75"/>
      <c r="BK829" s="75"/>
      <c r="BL829" s="75"/>
      <c r="BM829" s="75"/>
    </row>
    <row r="830">
      <c r="A830" s="75"/>
      <c r="B830" s="75"/>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c r="AA830" s="71"/>
      <c r="AB830" s="71"/>
      <c r="AC830" s="71"/>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c r="BA830" s="75"/>
      <c r="BB830" s="75"/>
      <c r="BC830" s="75"/>
      <c r="BD830" s="75"/>
      <c r="BE830" s="75"/>
      <c r="BF830" s="75"/>
      <c r="BG830" s="75"/>
      <c r="BH830" s="75"/>
      <c r="BI830" s="75"/>
      <c r="BJ830" s="75"/>
      <c r="BK830" s="75"/>
      <c r="BL830" s="75"/>
      <c r="BM830" s="75"/>
    </row>
    <row r="831">
      <c r="A831" s="75"/>
      <c r="B831" s="75"/>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c r="AA831" s="71"/>
      <c r="AB831" s="71"/>
      <c r="AC831" s="71"/>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5"/>
      <c r="BF831" s="75"/>
      <c r="BG831" s="75"/>
      <c r="BH831" s="75"/>
      <c r="BI831" s="75"/>
      <c r="BJ831" s="75"/>
      <c r="BK831" s="75"/>
      <c r="BL831" s="75"/>
      <c r="BM831" s="75"/>
    </row>
    <row r="832">
      <c r="A832" s="75"/>
      <c r="B832" s="75"/>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c r="AA832" s="71"/>
      <c r="AB832" s="71"/>
      <c r="AC832" s="71"/>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c r="BA832" s="75"/>
      <c r="BB832" s="75"/>
      <c r="BC832" s="75"/>
      <c r="BD832" s="75"/>
      <c r="BE832" s="75"/>
      <c r="BF832" s="75"/>
      <c r="BG832" s="75"/>
      <c r="BH832" s="75"/>
      <c r="BI832" s="75"/>
      <c r="BJ832" s="75"/>
      <c r="BK832" s="75"/>
      <c r="BL832" s="75"/>
      <c r="BM832" s="75"/>
    </row>
    <row r="833">
      <c r="A833" s="75"/>
      <c r="B833" s="75"/>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c r="AA833" s="71"/>
      <c r="AB833" s="71"/>
      <c r="AC833" s="71"/>
      <c r="AD833" s="75"/>
      <c r="AE833" s="75"/>
      <c r="AF833" s="75"/>
      <c r="AG833" s="75"/>
      <c r="AH833" s="75"/>
      <c r="AI833" s="75"/>
      <c r="AJ833" s="75"/>
      <c r="AK833" s="75"/>
      <c r="AL833" s="75"/>
      <c r="AM833" s="75"/>
      <c r="AN833" s="75"/>
      <c r="AO833" s="75"/>
      <c r="AP833" s="75"/>
      <c r="AQ833" s="75"/>
      <c r="AR833" s="75"/>
      <c r="AS833" s="75"/>
      <c r="AT833" s="75"/>
      <c r="AU833" s="75"/>
      <c r="AV833" s="75"/>
      <c r="AW833" s="75"/>
      <c r="AX833" s="75"/>
      <c r="AY833" s="75"/>
      <c r="AZ833" s="75"/>
      <c r="BA833" s="75"/>
      <c r="BB833" s="75"/>
      <c r="BC833" s="75"/>
      <c r="BD833" s="75"/>
      <c r="BE833" s="75"/>
      <c r="BF833" s="75"/>
      <c r="BG833" s="75"/>
      <c r="BH833" s="75"/>
      <c r="BI833" s="75"/>
      <c r="BJ833" s="75"/>
      <c r="BK833" s="75"/>
      <c r="BL833" s="75"/>
      <c r="BM833" s="75"/>
    </row>
    <row r="834">
      <c r="A834" s="75"/>
      <c r="B834" s="75"/>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c r="AA834" s="71"/>
      <c r="AB834" s="71"/>
      <c r="AC834" s="71"/>
      <c r="AD834" s="75"/>
      <c r="AE834" s="75"/>
      <c r="AF834" s="75"/>
      <c r="AG834" s="75"/>
      <c r="AH834" s="75"/>
      <c r="AI834" s="75"/>
      <c r="AJ834" s="75"/>
      <c r="AK834" s="75"/>
      <c r="AL834" s="75"/>
      <c r="AM834" s="75"/>
      <c r="AN834" s="75"/>
      <c r="AO834" s="75"/>
      <c r="AP834" s="75"/>
      <c r="AQ834" s="75"/>
      <c r="AR834" s="75"/>
      <c r="AS834" s="75"/>
      <c r="AT834" s="75"/>
      <c r="AU834" s="75"/>
      <c r="AV834" s="75"/>
      <c r="AW834" s="75"/>
      <c r="AX834" s="75"/>
      <c r="AY834" s="75"/>
      <c r="AZ834" s="75"/>
      <c r="BA834" s="75"/>
      <c r="BB834" s="75"/>
      <c r="BC834" s="75"/>
      <c r="BD834" s="75"/>
      <c r="BE834" s="75"/>
      <c r="BF834" s="75"/>
      <c r="BG834" s="75"/>
      <c r="BH834" s="75"/>
      <c r="BI834" s="75"/>
      <c r="BJ834" s="75"/>
      <c r="BK834" s="75"/>
      <c r="BL834" s="75"/>
      <c r="BM834" s="75"/>
    </row>
    <row r="835">
      <c r="A835" s="75"/>
      <c r="B835" s="75"/>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c r="AA835" s="71"/>
      <c r="AB835" s="71"/>
      <c r="AC835" s="71"/>
      <c r="AD835" s="75"/>
      <c r="AE835" s="75"/>
      <c r="AF835" s="75"/>
      <c r="AG835" s="75"/>
      <c r="AH835" s="75"/>
      <c r="AI835" s="75"/>
      <c r="AJ835" s="75"/>
      <c r="AK835" s="75"/>
      <c r="AL835" s="75"/>
      <c r="AM835" s="75"/>
      <c r="AN835" s="75"/>
      <c r="AO835" s="75"/>
      <c r="AP835" s="75"/>
      <c r="AQ835" s="75"/>
      <c r="AR835" s="75"/>
      <c r="AS835" s="75"/>
      <c r="AT835" s="75"/>
      <c r="AU835" s="75"/>
      <c r="AV835" s="75"/>
      <c r="AW835" s="75"/>
      <c r="AX835" s="75"/>
      <c r="AY835" s="75"/>
      <c r="AZ835" s="75"/>
      <c r="BA835" s="75"/>
      <c r="BB835" s="75"/>
      <c r="BC835" s="75"/>
      <c r="BD835" s="75"/>
      <c r="BE835" s="75"/>
      <c r="BF835" s="75"/>
      <c r="BG835" s="75"/>
      <c r="BH835" s="75"/>
      <c r="BI835" s="75"/>
      <c r="BJ835" s="75"/>
      <c r="BK835" s="75"/>
      <c r="BL835" s="75"/>
      <c r="BM835" s="75"/>
    </row>
    <row r="836">
      <c r="A836" s="75"/>
      <c r="B836" s="75"/>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c r="AA836" s="71"/>
      <c r="AB836" s="71"/>
      <c r="AC836" s="71"/>
      <c r="AD836" s="75"/>
      <c r="AE836" s="75"/>
      <c r="AF836" s="75"/>
      <c r="AG836" s="75"/>
      <c r="AH836" s="75"/>
      <c r="AI836" s="75"/>
      <c r="AJ836" s="75"/>
      <c r="AK836" s="75"/>
      <c r="AL836" s="75"/>
      <c r="AM836" s="75"/>
      <c r="AN836" s="75"/>
      <c r="AO836" s="75"/>
      <c r="AP836" s="75"/>
      <c r="AQ836" s="75"/>
      <c r="AR836" s="75"/>
      <c r="AS836" s="75"/>
      <c r="AT836" s="75"/>
      <c r="AU836" s="75"/>
      <c r="AV836" s="75"/>
      <c r="AW836" s="75"/>
      <c r="AX836" s="75"/>
      <c r="AY836" s="75"/>
      <c r="AZ836" s="75"/>
      <c r="BA836" s="75"/>
      <c r="BB836" s="75"/>
      <c r="BC836" s="75"/>
      <c r="BD836" s="75"/>
      <c r="BE836" s="75"/>
      <c r="BF836" s="75"/>
      <c r="BG836" s="75"/>
      <c r="BH836" s="75"/>
      <c r="BI836" s="75"/>
      <c r="BJ836" s="75"/>
      <c r="BK836" s="75"/>
      <c r="BL836" s="75"/>
      <c r="BM836" s="75"/>
    </row>
    <row r="837">
      <c r="A837" s="75"/>
      <c r="B837" s="75"/>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c r="AA837" s="71"/>
      <c r="AB837" s="71"/>
      <c r="AC837" s="71"/>
      <c r="AD837" s="75"/>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5"/>
      <c r="BF837" s="75"/>
      <c r="BG837" s="75"/>
      <c r="BH837" s="75"/>
      <c r="BI837" s="75"/>
      <c r="BJ837" s="75"/>
      <c r="BK837" s="75"/>
      <c r="BL837" s="75"/>
      <c r="BM837" s="75"/>
    </row>
    <row r="838">
      <c r="A838" s="75"/>
      <c r="B838" s="75"/>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c r="AA838" s="71"/>
      <c r="AB838" s="71"/>
      <c r="AC838" s="71"/>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c r="BA838" s="75"/>
      <c r="BB838" s="75"/>
      <c r="BC838" s="75"/>
      <c r="BD838" s="75"/>
      <c r="BE838" s="75"/>
      <c r="BF838" s="75"/>
      <c r="BG838" s="75"/>
      <c r="BH838" s="75"/>
      <c r="BI838" s="75"/>
      <c r="BJ838" s="75"/>
      <c r="BK838" s="75"/>
      <c r="BL838" s="75"/>
      <c r="BM838" s="75"/>
    </row>
    <row r="839">
      <c r="A839" s="75"/>
      <c r="B839" s="75"/>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c r="AA839" s="71"/>
      <c r="AB839" s="71"/>
      <c r="AC839" s="71"/>
      <c r="AD839" s="75"/>
      <c r="AE839" s="75"/>
      <c r="AF839" s="75"/>
      <c r="AG839" s="75"/>
      <c r="AH839" s="75"/>
      <c r="AI839" s="75"/>
      <c r="AJ839" s="75"/>
      <c r="AK839" s="75"/>
      <c r="AL839" s="75"/>
      <c r="AM839" s="75"/>
      <c r="AN839" s="75"/>
      <c r="AO839" s="75"/>
      <c r="AP839" s="75"/>
      <c r="AQ839" s="75"/>
      <c r="AR839" s="75"/>
      <c r="AS839" s="75"/>
      <c r="AT839" s="75"/>
      <c r="AU839" s="75"/>
      <c r="AV839" s="75"/>
      <c r="AW839" s="75"/>
      <c r="AX839" s="75"/>
      <c r="AY839" s="75"/>
      <c r="AZ839" s="75"/>
      <c r="BA839" s="75"/>
      <c r="BB839" s="75"/>
      <c r="BC839" s="75"/>
      <c r="BD839" s="75"/>
      <c r="BE839" s="75"/>
      <c r="BF839" s="75"/>
      <c r="BG839" s="75"/>
      <c r="BH839" s="75"/>
      <c r="BI839" s="75"/>
      <c r="BJ839" s="75"/>
      <c r="BK839" s="75"/>
      <c r="BL839" s="75"/>
      <c r="BM839" s="75"/>
    </row>
    <row r="840">
      <c r="A840" s="75"/>
      <c r="B840" s="75"/>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c r="AA840" s="71"/>
      <c r="AB840" s="71"/>
      <c r="AC840" s="71"/>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5"/>
      <c r="BF840" s="75"/>
      <c r="BG840" s="75"/>
      <c r="BH840" s="75"/>
      <c r="BI840" s="75"/>
      <c r="BJ840" s="75"/>
      <c r="BK840" s="75"/>
      <c r="BL840" s="75"/>
      <c r="BM840" s="75"/>
    </row>
    <row r="841">
      <c r="A841" s="75"/>
      <c r="B841" s="75"/>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c r="AA841" s="71"/>
      <c r="AB841" s="71"/>
      <c r="AC841" s="71"/>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c r="BA841" s="75"/>
      <c r="BB841" s="75"/>
      <c r="BC841" s="75"/>
      <c r="BD841" s="75"/>
      <c r="BE841" s="75"/>
      <c r="BF841" s="75"/>
      <c r="BG841" s="75"/>
      <c r="BH841" s="75"/>
      <c r="BI841" s="75"/>
      <c r="BJ841" s="75"/>
      <c r="BK841" s="75"/>
      <c r="BL841" s="75"/>
      <c r="BM841" s="75"/>
    </row>
    <row r="842">
      <c r="A842" s="75"/>
      <c r="B842" s="75"/>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c r="AA842" s="71"/>
      <c r="AB842" s="71"/>
      <c r="AC842" s="71"/>
      <c r="AD842" s="75"/>
      <c r="AE842" s="75"/>
      <c r="AF842" s="75"/>
      <c r="AG842" s="75"/>
      <c r="AH842" s="75"/>
      <c r="AI842" s="75"/>
      <c r="AJ842" s="75"/>
      <c r="AK842" s="75"/>
      <c r="AL842" s="75"/>
      <c r="AM842" s="75"/>
      <c r="AN842" s="75"/>
      <c r="AO842" s="75"/>
      <c r="AP842" s="75"/>
      <c r="AQ842" s="75"/>
      <c r="AR842" s="75"/>
      <c r="AS842" s="75"/>
      <c r="AT842" s="75"/>
      <c r="AU842" s="75"/>
      <c r="AV842" s="75"/>
      <c r="AW842" s="75"/>
      <c r="AX842" s="75"/>
      <c r="AY842" s="75"/>
      <c r="AZ842" s="75"/>
      <c r="BA842" s="75"/>
      <c r="BB842" s="75"/>
      <c r="BC842" s="75"/>
      <c r="BD842" s="75"/>
      <c r="BE842" s="75"/>
      <c r="BF842" s="75"/>
      <c r="BG842" s="75"/>
      <c r="BH842" s="75"/>
      <c r="BI842" s="75"/>
      <c r="BJ842" s="75"/>
      <c r="BK842" s="75"/>
      <c r="BL842" s="75"/>
      <c r="BM842" s="75"/>
    </row>
    <row r="843">
      <c r="A843" s="75"/>
      <c r="B843" s="75"/>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c r="AA843" s="71"/>
      <c r="AB843" s="71"/>
      <c r="AC843" s="71"/>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c r="BD843" s="75"/>
      <c r="BE843" s="75"/>
      <c r="BF843" s="75"/>
      <c r="BG843" s="75"/>
      <c r="BH843" s="75"/>
      <c r="BI843" s="75"/>
      <c r="BJ843" s="75"/>
      <c r="BK843" s="75"/>
      <c r="BL843" s="75"/>
      <c r="BM843" s="75"/>
    </row>
    <row r="844">
      <c r="A844" s="75"/>
      <c r="B844" s="75"/>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c r="AA844" s="71"/>
      <c r="AB844" s="71"/>
      <c r="AC844" s="71"/>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c r="BA844" s="75"/>
      <c r="BB844" s="75"/>
      <c r="BC844" s="75"/>
      <c r="BD844" s="75"/>
      <c r="BE844" s="75"/>
      <c r="BF844" s="75"/>
      <c r="BG844" s="75"/>
      <c r="BH844" s="75"/>
      <c r="BI844" s="75"/>
      <c r="BJ844" s="75"/>
      <c r="BK844" s="75"/>
      <c r="BL844" s="75"/>
      <c r="BM844" s="75"/>
    </row>
    <row r="845">
      <c r="A845" s="75"/>
      <c r="B845" s="75"/>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c r="AA845" s="71"/>
      <c r="AB845" s="71"/>
      <c r="AC845" s="71"/>
      <c r="AD845" s="75"/>
      <c r="AE845" s="75"/>
      <c r="AF845" s="75"/>
      <c r="AG845" s="75"/>
      <c r="AH845" s="75"/>
      <c r="AI845" s="75"/>
      <c r="AJ845" s="75"/>
      <c r="AK845" s="75"/>
      <c r="AL845" s="75"/>
      <c r="AM845" s="75"/>
      <c r="AN845" s="75"/>
      <c r="AO845" s="75"/>
      <c r="AP845" s="75"/>
      <c r="AQ845" s="75"/>
      <c r="AR845" s="75"/>
      <c r="AS845" s="75"/>
      <c r="AT845" s="75"/>
      <c r="AU845" s="75"/>
      <c r="AV845" s="75"/>
      <c r="AW845" s="75"/>
      <c r="AX845" s="75"/>
      <c r="AY845" s="75"/>
      <c r="AZ845" s="75"/>
      <c r="BA845" s="75"/>
      <c r="BB845" s="75"/>
      <c r="BC845" s="75"/>
      <c r="BD845" s="75"/>
      <c r="BE845" s="75"/>
      <c r="BF845" s="75"/>
      <c r="BG845" s="75"/>
      <c r="BH845" s="75"/>
      <c r="BI845" s="75"/>
      <c r="BJ845" s="75"/>
      <c r="BK845" s="75"/>
      <c r="BL845" s="75"/>
      <c r="BM845" s="75"/>
    </row>
    <row r="846">
      <c r="A846" s="75"/>
      <c r="B846" s="75"/>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c r="AA846" s="71"/>
      <c r="AB846" s="71"/>
      <c r="AC846" s="71"/>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5"/>
      <c r="BF846" s="75"/>
      <c r="BG846" s="75"/>
      <c r="BH846" s="75"/>
      <c r="BI846" s="75"/>
      <c r="BJ846" s="75"/>
      <c r="BK846" s="75"/>
      <c r="BL846" s="75"/>
      <c r="BM846" s="75"/>
    </row>
    <row r="847">
      <c r="A847" s="75"/>
      <c r="B847" s="75"/>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c r="AA847" s="71"/>
      <c r="AB847" s="71"/>
      <c r="AC847" s="71"/>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c r="BA847" s="75"/>
      <c r="BB847" s="75"/>
      <c r="BC847" s="75"/>
      <c r="BD847" s="75"/>
      <c r="BE847" s="75"/>
      <c r="BF847" s="75"/>
      <c r="BG847" s="75"/>
      <c r="BH847" s="75"/>
      <c r="BI847" s="75"/>
      <c r="BJ847" s="75"/>
      <c r="BK847" s="75"/>
      <c r="BL847" s="75"/>
      <c r="BM847" s="75"/>
    </row>
    <row r="848">
      <c r="A848" s="75"/>
      <c r="B848" s="75"/>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c r="AA848" s="71"/>
      <c r="AB848" s="71"/>
      <c r="AC848" s="71"/>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c r="BA848" s="75"/>
      <c r="BB848" s="75"/>
      <c r="BC848" s="75"/>
      <c r="BD848" s="75"/>
      <c r="BE848" s="75"/>
      <c r="BF848" s="75"/>
      <c r="BG848" s="75"/>
      <c r="BH848" s="75"/>
      <c r="BI848" s="75"/>
      <c r="BJ848" s="75"/>
      <c r="BK848" s="75"/>
      <c r="BL848" s="75"/>
      <c r="BM848" s="75"/>
    </row>
    <row r="849">
      <c r="A849" s="75"/>
      <c r="B849" s="75"/>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c r="AA849" s="71"/>
      <c r="AB849" s="71"/>
      <c r="AC849" s="71"/>
      <c r="AD849" s="75"/>
      <c r="AE849" s="75"/>
      <c r="AF849" s="75"/>
      <c r="AG849" s="75"/>
      <c r="AH849" s="75"/>
      <c r="AI849" s="75"/>
      <c r="AJ849" s="75"/>
      <c r="AK849" s="75"/>
      <c r="AL849" s="75"/>
      <c r="AM849" s="75"/>
      <c r="AN849" s="75"/>
      <c r="AO849" s="75"/>
      <c r="AP849" s="75"/>
      <c r="AQ849" s="75"/>
      <c r="AR849" s="75"/>
      <c r="AS849" s="75"/>
      <c r="AT849" s="75"/>
      <c r="AU849" s="75"/>
      <c r="AV849" s="75"/>
      <c r="AW849" s="75"/>
      <c r="AX849" s="75"/>
      <c r="AY849" s="75"/>
      <c r="AZ849" s="75"/>
      <c r="BA849" s="75"/>
      <c r="BB849" s="75"/>
      <c r="BC849" s="75"/>
      <c r="BD849" s="75"/>
      <c r="BE849" s="75"/>
      <c r="BF849" s="75"/>
      <c r="BG849" s="75"/>
      <c r="BH849" s="75"/>
      <c r="BI849" s="75"/>
      <c r="BJ849" s="75"/>
      <c r="BK849" s="75"/>
      <c r="BL849" s="75"/>
      <c r="BM849" s="75"/>
    </row>
    <row r="850">
      <c r="A850" s="75"/>
      <c r="B850" s="75"/>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c r="AA850" s="71"/>
      <c r="AB850" s="71"/>
      <c r="AC850" s="71"/>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c r="BA850" s="75"/>
      <c r="BB850" s="75"/>
      <c r="BC850" s="75"/>
      <c r="BD850" s="75"/>
      <c r="BE850" s="75"/>
      <c r="BF850" s="75"/>
      <c r="BG850" s="75"/>
      <c r="BH850" s="75"/>
      <c r="BI850" s="75"/>
      <c r="BJ850" s="75"/>
      <c r="BK850" s="75"/>
      <c r="BL850" s="75"/>
      <c r="BM850" s="75"/>
    </row>
    <row r="851">
      <c r="A851" s="75"/>
      <c r="B851" s="75"/>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c r="AA851" s="71"/>
      <c r="AB851" s="71"/>
      <c r="AC851" s="71"/>
      <c r="AD851" s="75"/>
      <c r="AE851" s="75"/>
      <c r="AF851" s="75"/>
      <c r="AG851" s="75"/>
      <c r="AH851" s="75"/>
      <c r="AI851" s="75"/>
      <c r="AJ851" s="75"/>
      <c r="AK851" s="75"/>
      <c r="AL851" s="75"/>
      <c r="AM851" s="75"/>
      <c r="AN851" s="75"/>
      <c r="AO851" s="75"/>
      <c r="AP851" s="75"/>
      <c r="AQ851" s="75"/>
      <c r="AR851" s="75"/>
      <c r="AS851" s="75"/>
      <c r="AT851" s="75"/>
      <c r="AU851" s="75"/>
      <c r="AV851" s="75"/>
      <c r="AW851" s="75"/>
      <c r="AX851" s="75"/>
      <c r="AY851" s="75"/>
      <c r="AZ851" s="75"/>
      <c r="BA851" s="75"/>
      <c r="BB851" s="75"/>
      <c r="BC851" s="75"/>
      <c r="BD851" s="75"/>
      <c r="BE851" s="75"/>
      <c r="BF851" s="75"/>
      <c r="BG851" s="75"/>
      <c r="BH851" s="75"/>
      <c r="BI851" s="75"/>
      <c r="BJ851" s="75"/>
      <c r="BK851" s="75"/>
      <c r="BL851" s="75"/>
      <c r="BM851" s="75"/>
    </row>
    <row r="852">
      <c r="A852" s="75"/>
      <c r="B852" s="75"/>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c r="AA852" s="71"/>
      <c r="AB852" s="71"/>
      <c r="AC852" s="71"/>
      <c r="AD852" s="75"/>
      <c r="AE852" s="75"/>
      <c r="AF852" s="75"/>
      <c r="AG852" s="75"/>
      <c r="AH852" s="75"/>
      <c r="AI852" s="75"/>
      <c r="AJ852" s="75"/>
      <c r="AK852" s="75"/>
      <c r="AL852" s="75"/>
      <c r="AM852" s="75"/>
      <c r="AN852" s="75"/>
      <c r="AO852" s="75"/>
      <c r="AP852" s="75"/>
      <c r="AQ852" s="75"/>
      <c r="AR852" s="75"/>
      <c r="AS852" s="75"/>
      <c r="AT852" s="75"/>
      <c r="AU852" s="75"/>
      <c r="AV852" s="75"/>
      <c r="AW852" s="75"/>
      <c r="AX852" s="75"/>
      <c r="AY852" s="75"/>
      <c r="AZ852" s="75"/>
      <c r="BA852" s="75"/>
      <c r="BB852" s="75"/>
      <c r="BC852" s="75"/>
      <c r="BD852" s="75"/>
      <c r="BE852" s="75"/>
      <c r="BF852" s="75"/>
      <c r="BG852" s="75"/>
      <c r="BH852" s="75"/>
      <c r="BI852" s="75"/>
      <c r="BJ852" s="75"/>
      <c r="BK852" s="75"/>
      <c r="BL852" s="75"/>
      <c r="BM852" s="75"/>
    </row>
    <row r="853">
      <c r="A853" s="75"/>
      <c r="B853" s="75"/>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c r="AA853" s="71"/>
      <c r="AB853" s="71"/>
      <c r="AC853" s="71"/>
      <c r="AD853" s="75"/>
      <c r="AE853" s="75"/>
      <c r="AF853" s="75"/>
      <c r="AG853" s="75"/>
      <c r="AH853" s="75"/>
      <c r="AI853" s="75"/>
      <c r="AJ853" s="75"/>
      <c r="AK853" s="75"/>
      <c r="AL853" s="75"/>
      <c r="AM853" s="75"/>
      <c r="AN853" s="75"/>
      <c r="AO853" s="75"/>
      <c r="AP853" s="75"/>
      <c r="AQ853" s="75"/>
      <c r="AR853" s="75"/>
      <c r="AS853" s="75"/>
      <c r="AT853" s="75"/>
      <c r="AU853" s="75"/>
      <c r="AV853" s="75"/>
      <c r="AW853" s="75"/>
      <c r="AX853" s="75"/>
      <c r="AY853" s="75"/>
      <c r="AZ853" s="75"/>
      <c r="BA853" s="75"/>
      <c r="BB853" s="75"/>
      <c r="BC853" s="75"/>
      <c r="BD853" s="75"/>
      <c r="BE853" s="75"/>
      <c r="BF853" s="75"/>
      <c r="BG853" s="75"/>
      <c r="BH853" s="75"/>
      <c r="BI853" s="75"/>
      <c r="BJ853" s="75"/>
      <c r="BK853" s="75"/>
      <c r="BL853" s="75"/>
      <c r="BM853" s="75"/>
    </row>
    <row r="854">
      <c r="A854" s="75"/>
      <c r="B854" s="75"/>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c r="AA854" s="71"/>
      <c r="AB854" s="71"/>
      <c r="AC854" s="71"/>
      <c r="AD854" s="75"/>
      <c r="AE854" s="75"/>
      <c r="AF854" s="75"/>
      <c r="AG854" s="75"/>
      <c r="AH854" s="75"/>
      <c r="AI854" s="75"/>
      <c r="AJ854" s="75"/>
      <c r="AK854" s="75"/>
      <c r="AL854" s="75"/>
      <c r="AM854" s="75"/>
      <c r="AN854" s="75"/>
      <c r="AO854" s="75"/>
      <c r="AP854" s="75"/>
      <c r="AQ854" s="75"/>
      <c r="AR854" s="75"/>
      <c r="AS854" s="75"/>
      <c r="AT854" s="75"/>
      <c r="AU854" s="75"/>
      <c r="AV854" s="75"/>
      <c r="AW854" s="75"/>
      <c r="AX854" s="75"/>
      <c r="AY854" s="75"/>
      <c r="AZ854" s="75"/>
      <c r="BA854" s="75"/>
      <c r="BB854" s="75"/>
      <c r="BC854" s="75"/>
      <c r="BD854" s="75"/>
      <c r="BE854" s="75"/>
      <c r="BF854" s="75"/>
      <c r="BG854" s="75"/>
      <c r="BH854" s="75"/>
      <c r="BI854" s="75"/>
      <c r="BJ854" s="75"/>
      <c r="BK854" s="75"/>
      <c r="BL854" s="75"/>
      <c r="BM854" s="75"/>
    </row>
    <row r="855">
      <c r="A855" s="75"/>
      <c r="B855" s="75"/>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c r="AA855" s="71"/>
      <c r="AB855" s="71"/>
      <c r="AC855" s="71"/>
      <c r="AD855" s="75"/>
      <c r="AE855" s="75"/>
      <c r="AF855" s="75"/>
      <c r="AG855" s="75"/>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c r="BE855" s="75"/>
      <c r="BF855" s="75"/>
      <c r="BG855" s="75"/>
      <c r="BH855" s="75"/>
      <c r="BI855" s="75"/>
      <c r="BJ855" s="75"/>
      <c r="BK855" s="75"/>
      <c r="BL855" s="75"/>
      <c r="BM855" s="75"/>
    </row>
    <row r="856">
      <c r="A856" s="75"/>
      <c r="B856" s="75"/>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c r="AA856" s="71"/>
      <c r="AB856" s="71"/>
      <c r="AC856" s="71"/>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c r="BA856" s="75"/>
      <c r="BB856" s="75"/>
      <c r="BC856" s="75"/>
      <c r="BD856" s="75"/>
      <c r="BE856" s="75"/>
      <c r="BF856" s="75"/>
      <c r="BG856" s="75"/>
      <c r="BH856" s="75"/>
      <c r="BI856" s="75"/>
      <c r="BJ856" s="75"/>
      <c r="BK856" s="75"/>
      <c r="BL856" s="75"/>
      <c r="BM856" s="75"/>
    </row>
    <row r="857">
      <c r="A857" s="75"/>
      <c r="B857" s="75"/>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c r="AA857" s="71"/>
      <c r="AB857" s="71"/>
      <c r="AC857" s="71"/>
      <c r="AD857" s="75"/>
      <c r="AE857" s="75"/>
      <c r="AF857" s="75"/>
      <c r="AG857" s="75"/>
      <c r="AH857" s="75"/>
      <c r="AI857" s="75"/>
      <c r="AJ857" s="75"/>
      <c r="AK857" s="75"/>
      <c r="AL857" s="75"/>
      <c r="AM857" s="75"/>
      <c r="AN857" s="75"/>
      <c r="AO857" s="75"/>
      <c r="AP857" s="75"/>
      <c r="AQ857" s="75"/>
      <c r="AR857" s="75"/>
      <c r="AS857" s="75"/>
      <c r="AT857" s="75"/>
      <c r="AU857" s="75"/>
      <c r="AV857" s="75"/>
      <c r="AW857" s="75"/>
      <c r="AX857" s="75"/>
      <c r="AY857" s="75"/>
      <c r="AZ857" s="75"/>
      <c r="BA857" s="75"/>
      <c r="BB857" s="75"/>
      <c r="BC857" s="75"/>
      <c r="BD857" s="75"/>
      <c r="BE857" s="75"/>
      <c r="BF857" s="75"/>
      <c r="BG857" s="75"/>
      <c r="BH857" s="75"/>
      <c r="BI857" s="75"/>
      <c r="BJ857" s="75"/>
      <c r="BK857" s="75"/>
      <c r="BL857" s="75"/>
      <c r="BM857" s="75"/>
    </row>
    <row r="858">
      <c r="A858" s="75"/>
      <c r="B858" s="75"/>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c r="AA858" s="71"/>
      <c r="AB858" s="71"/>
      <c r="AC858" s="71"/>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5"/>
      <c r="BF858" s="75"/>
      <c r="BG858" s="75"/>
      <c r="BH858" s="75"/>
      <c r="BI858" s="75"/>
      <c r="BJ858" s="75"/>
      <c r="BK858" s="75"/>
      <c r="BL858" s="75"/>
      <c r="BM858" s="75"/>
    </row>
    <row r="859">
      <c r="A859" s="75"/>
      <c r="B859" s="75"/>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c r="AA859" s="71"/>
      <c r="AB859" s="71"/>
      <c r="AC859" s="71"/>
      <c r="AD859" s="75"/>
      <c r="AE859" s="75"/>
      <c r="AF859" s="75"/>
      <c r="AG859" s="75"/>
      <c r="AH859" s="75"/>
      <c r="AI859" s="75"/>
      <c r="AJ859" s="75"/>
      <c r="AK859" s="75"/>
      <c r="AL859" s="75"/>
      <c r="AM859" s="75"/>
      <c r="AN859" s="75"/>
      <c r="AO859" s="75"/>
      <c r="AP859" s="75"/>
      <c r="AQ859" s="75"/>
      <c r="AR859" s="75"/>
      <c r="AS859" s="75"/>
      <c r="AT859" s="75"/>
      <c r="AU859" s="75"/>
      <c r="AV859" s="75"/>
      <c r="AW859" s="75"/>
      <c r="AX859" s="75"/>
      <c r="AY859" s="75"/>
      <c r="AZ859" s="75"/>
      <c r="BA859" s="75"/>
      <c r="BB859" s="75"/>
      <c r="BC859" s="75"/>
      <c r="BD859" s="75"/>
      <c r="BE859" s="75"/>
      <c r="BF859" s="75"/>
      <c r="BG859" s="75"/>
      <c r="BH859" s="75"/>
      <c r="BI859" s="75"/>
      <c r="BJ859" s="75"/>
      <c r="BK859" s="75"/>
      <c r="BL859" s="75"/>
      <c r="BM859" s="75"/>
    </row>
    <row r="860">
      <c r="A860" s="75"/>
      <c r="B860" s="75"/>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c r="AA860" s="71"/>
      <c r="AB860" s="71"/>
      <c r="AC860" s="71"/>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c r="BA860" s="75"/>
      <c r="BB860" s="75"/>
      <c r="BC860" s="75"/>
      <c r="BD860" s="75"/>
      <c r="BE860" s="75"/>
      <c r="BF860" s="75"/>
      <c r="BG860" s="75"/>
      <c r="BH860" s="75"/>
      <c r="BI860" s="75"/>
      <c r="BJ860" s="75"/>
      <c r="BK860" s="75"/>
      <c r="BL860" s="75"/>
      <c r="BM860" s="75"/>
    </row>
    <row r="861">
      <c r="A861" s="75"/>
      <c r="B861" s="75"/>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c r="AA861" s="71"/>
      <c r="AB861" s="71"/>
      <c r="AC861" s="71"/>
      <c r="AD861" s="75"/>
      <c r="AE861" s="75"/>
      <c r="AF861" s="75"/>
      <c r="AG861" s="75"/>
      <c r="AH861" s="75"/>
      <c r="AI861" s="75"/>
      <c r="AJ861" s="75"/>
      <c r="AK861" s="75"/>
      <c r="AL861" s="75"/>
      <c r="AM861" s="75"/>
      <c r="AN861" s="75"/>
      <c r="AO861" s="75"/>
      <c r="AP861" s="75"/>
      <c r="AQ861" s="75"/>
      <c r="AR861" s="75"/>
      <c r="AS861" s="75"/>
      <c r="AT861" s="75"/>
      <c r="AU861" s="75"/>
      <c r="AV861" s="75"/>
      <c r="AW861" s="75"/>
      <c r="AX861" s="75"/>
      <c r="AY861" s="75"/>
      <c r="AZ861" s="75"/>
      <c r="BA861" s="75"/>
      <c r="BB861" s="75"/>
      <c r="BC861" s="75"/>
      <c r="BD861" s="75"/>
      <c r="BE861" s="75"/>
      <c r="BF861" s="75"/>
      <c r="BG861" s="75"/>
      <c r="BH861" s="75"/>
      <c r="BI861" s="75"/>
      <c r="BJ861" s="75"/>
      <c r="BK861" s="75"/>
      <c r="BL861" s="75"/>
      <c r="BM861" s="75"/>
    </row>
    <row r="862">
      <c r="A862" s="75"/>
      <c r="B862" s="75"/>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c r="AA862" s="71"/>
      <c r="AB862" s="71"/>
      <c r="AC862" s="71"/>
      <c r="AD862" s="75"/>
      <c r="AE862" s="75"/>
      <c r="AF862" s="75"/>
      <c r="AG862" s="75"/>
      <c r="AH862" s="75"/>
      <c r="AI862" s="75"/>
      <c r="AJ862" s="75"/>
      <c r="AK862" s="75"/>
      <c r="AL862" s="75"/>
      <c r="AM862" s="75"/>
      <c r="AN862" s="75"/>
      <c r="AO862" s="75"/>
      <c r="AP862" s="75"/>
      <c r="AQ862" s="75"/>
      <c r="AR862" s="75"/>
      <c r="AS862" s="75"/>
      <c r="AT862" s="75"/>
      <c r="AU862" s="75"/>
      <c r="AV862" s="75"/>
      <c r="AW862" s="75"/>
      <c r="AX862" s="75"/>
      <c r="AY862" s="75"/>
      <c r="AZ862" s="75"/>
      <c r="BA862" s="75"/>
      <c r="BB862" s="75"/>
      <c r="BC862" s="75"/>
      <c r="BD862" s="75"/>
      <c r="BE862" s="75"/>
      <c r="BF862" s="75"/>
      <c r="BG862" s="75"/>
      <c r="BH862" s="75"/>
      <c r="BI862" s="75"/>
      <c r="BJ862" s="75"/>
      <c r="BK862" s="75"/>
      <c r="BL862" s="75"/>
      <c r="BM862" s="75"/>
    </row>
    <row r="863">
      <c r="A863" s="75"/>
      <c r="B863" s="75"/>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c r="AA863" s="71"/>
      <c r="AB863" s="71"/>
      <c r="AC863" s="71"/>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c r="BA863" s="75"/>
      <c r="BB863" s="75"/>
      <c r="BC863" s="75"/>
      <c r="BD863" s="75"/>
      <c r="BE863" s="75"/>
      <c r="BF863" s="75"/>
      <c r="BG863" s="75"/>
      <c r="BH863" s="75"/>
      <c r="BI863" s="75"/>
      <c r="BJ863" s="75"/>
      <c r="BK863" s="75"/>
      <c r="BL863" s="75"/>
      <c r="BM863" s="75"/>
    </row>
    <row r="864">
      <c r="A864" s="75"/>
      <c r="B864" s="75"/>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c r="AA864" s="71"/>
      <c r="AB864" s="71"/>
      <c r="AC864" s="71"/>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5"/>
      <c r="BF864" s="75"/>
      <c r="BG864" s="75"/>
      <c r="BH864" s="75"/>
      <c r="BI864" s="75"/>
      <c r="BJ864" s="75"/>
      <c r="BK864" s="75"/>
      <c r="BL864" s="75"/>
      <c r="BM864" s="75"/>
    </row>
    <row r="865">
      <c r="A865" s="75"/>
      <c r="B865" s="75"/>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c r="AA865" s="71"/>
      <c r="AB865" s="71"/>
      <c r="AC865" s="71"/>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c r="BA865" s="75"/>
      <c r="BB865" s="75"/>
      <c r="BC865" s="75"/>
      <c r="BD865" s="75"/>
      <c r="BE865" s="75"/>
      <c r="BF865" s="75"/>
      <c r="BG865" s="75"/>
      <c r="BH865" s="75"/>
      <c r="BI865" s="75"/>
      <c r="BJ865" s="75"/>
      <c r="BK865" s="75"/>
      <c r="BL865" s="75"/>
      <c r="BM865" s="75"/>
    </row>
    <row r="866">
      <c r="A866" s="75"/>
      <c r="B866" s="75"/>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c r="AA866" s="71"/>
      <c r="AB866" s="71"/>
      <c r="AC866" s="71"/>
      <c r="AD866" s="75"/>
      <c r="AE866" s="75"/>
      <c r="AF866" s="75"/>
      <c r="AG866" s="75"/>
      <c r="AH866" s="75"/>
      <c r="AI866" s="75"/>
      <c r="AJ866" s="75"/>
      <c r="AK866" s="75"/>
      <c r="AL866" s="75"/>
      <c r="AM866" s="75"/>
      <c r="AN866" s="75"/>
      <c r="AO866" s="75"/>
      <c r="AP866" s="75"/>
      <c r="AQ866" s="75"/>
      <c r="AR866" s="75"/>
      <c r="AS866" s="75"/>
      <c r="AT866" s="75"/>
      <c r="AU866" s="75"/>
      <c r="AV866" s="75"/>
      <c r="AW866" s="75"/>
      <c r="AX866" s="75"/>
      <c r="AY866" s="75"/>
      <c r="AZ866" s="75"/>
      <c r="BA866" s="75"/>
      <c r="BB866" s="75"/>
      <c r="BC866" s="75"/>
      <c r="BD866" s="75"/>
      <c r="BE866" s="75"/>
      <c r="BF866" s="75"/>
      <c r="BG866" s="75"/>
      <c r="BH866" s="75"/>
      <c r="BI866" s="75"/>
      <c r="BJ866" s="75"/>
      <c r="BK866" s="75"/>
      <c r="BL866" s="75"/>
      <c r="BM866" s="75"/>
    </row>
    <row r="867">
      <c r="A867" s="75"/>
      <c r="B867" s="75"/>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c r="AA867" s="71"/>
      <c r="AB867" s="71"/>
      <c r="AC867" s="71"/>
      <c r="AD867" s="75"/>
      <c r="AE867" s="75"/>
      <c r="AF867" s="75"/>
      <c r="AG867" s="75"/>
      <c r="AH867" s="75"/>
      <c r="AI867" s="75"/>
      <c r="AJ867" s="75"/>
      <c r="AK867" s="75"/>
      <c r="AL867" s="75"/>
      <c r="AM867" s="75"/>
      <c r="AN867" s="75"/>
      <c r="AO867" s="75"/>
      <c r="AP867" s="75"/>
      <c r="AQ867" s="75"/>
      <c r="AR867" s="75"/>
      <c r="AS867" s="75"/>
      <c r="AT867" s="75"/>
      <c r="AU867" s="75"/>
      <c r="AV867" s="75"/>
      <c r="AW867" s="75"/>
      <c r="AX867" s="75"/>
      <c r="AY867" s="75"/>
      <c r="AZ867" s="75"/>
      <c r="BA867" s="75"/>
      <c r="BB867" s="75"/>
      <c r="BC867" s="75"/>
      <c r="BD867" s="75"/>
      <c r="BE867" s="75"/>
      <c r="BF867" s="75"/>
      <c r="BG867" s="75"/>
      <c r="BH867" s="75"/>
      <c r="BI867" s="75"/>
      <c r="BJ867" s="75"/>
      <c r="BK867" s="75"/>
      <c r="BL867" s="75"/>
      <c r="BM867" s="75"/>
    </row>
    <row r="868">
      <c r="A868" s="75"/>
      <c r="B868" s="75"/>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c r="AA868" s="71"/>
      <c r="AB868" s="71"/>
      <c r="AC868" s="71"/>
      <c r="AD868" s="75"/>
      <c r="AE868" s="75"/>
      <c r="AF868" s="75"/>
      <c r="AG868" s="75"/>
      <c r="AH868" s="75"/>
      <c r="AI868" s="75"/>
      <c r="AJ868" s="75"/>
      <c r="AK868" s="75"/>
      <c r="AL868" s="75"/>
      <c r="AM868" s="75"/>
      <c r="AN868" s="75"/>
      <c r="AO868" s="75"/>
      <c r="AP868" s="75"/>
      <c r="AQ868" s="75"/>
      <c r="AR868" s="75"/>
      <c r="AS868" s="75"/>
      <c r="AT868" s="75"/>
      <c r="AU868" s="75"/>
      <c r="AV868" s="75"/>
      <c r="AW868" s="75"/>
      <c r="AX868" s="75"/>
      <c r="AY868" s="75"/>
      <c r="AZ868" s="75"/>
      <c r="BA868" s="75"/>
      <c r="BB868" s="75"/>
      <c r="BC868" s="75"/>
      <c r="BD868" s="75"/>
      <c r="BE868" s="75"/>
      <c r="BF868" s="75"/>
      <c r="BG868" s="75"/>
      <c r="BH868" s="75"/>
      <c r="BI868" s="75"/>
      <c r="BJ868" s="75"/>
      <c r="BK868" s="75"/>
      <c r="BL868" s="75"/>
      <c r="BM868" s="75"/>
    </row>
    <row r="869">
      <c r="A869" s="75"/>
      <c r="B869" s="75"/>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c r="AA869" s="71"/>
      <c r="AB869" s="71"/>
      <c r="AC869" s="71"/>
      <c r="AD869" s="75"/>
      <c r="AE869" s="75"/>
      <c r="AF869" s="75"/>
      <c r="AG869" s="75"/>
      <c r="AH869" s="75"/>
      <c r="AI869" s="75"/>
      <c r="AJ869" s="75"/>
      <c r="AK869" s="75"/>
      <c r="AL869" s="75"/>
      <c r="AM869" s="75"/>
      <c r="AN869" s="75"/>
      <c r="AO869" s="75"/>
      <c r="AP869" s="75"/>
      <c r="AQ869" s="75"/>
      <c r="AR869" s="75"/>
      <c r="AS869" s="75"/>
      <c r="AT869" s="75"/>
      <c r="AU869" s="75"/>
      <c r="AV869" s="75"/>
      <c r="AW869" s="75"/>
      <c r="AX869" s="75"/>
      <c r="AY869" s="75"/>
      <c r="AZ869" s="75"/>
      <c r="BA869" s="75"/>
      <c r="BB869" s="75"/>
      <c r="BC869" s="75"/>
      <c r="BD869" s="75"/>
      <c r="BE869" s="75"/>
      <c r="BF869" s="75"/>
      <c r="BG869" s="75"/>
      <c r="BH869" s="75"/>
      <c r="BI869" s="75"/>
      <c r="BJ869" s="75"/>
      <c r="BK869" s="75"/>
      <c r="BL869" s="75"/>
      <c r="BM869" s="75"/>
    </row>
    <row r="870">
      <c r="A870" s="75"/>
      <c r="B870" s="75"/>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c r="AA870" s="71"/>
      <c r="AB870" s="71"/>
      <c r="AC870" s="71"/>
      <c r="AD870" s="75"/>
      <c r="AE870" s="75"/>
      <c r="AF870" s="75"/>
      <c r="AG870" s="75"/>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c r="BE870" s="75"/>
      <c r="BF870" s="75"/>
      <c r="BG870" s="75"/>
      <c r="BH870" s="75"/>
      <c r="BI870" s="75"/>
      <c r="BJ870" s="75"/>
      <c r="BK870" s="75"/>
      <c r="BL870" s="75"/>
      <c r="BM870" s="75"/>
    </row>
    <row r="871">
      <c r="A871" s="75"/>
      <c r="B871" s="75"/>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c r="AA871" s="71"/>
      <c r="AB871" s="71"/>
      <c r="AC871" s="71"/>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c r="BA871" s="75"/>
      <c r="BB871" s="75"/>
      <c r="BC871" s="75"/>
      <c r="BD871" s="75"/>
      <c r="BE871" s="75"/>
      <c r="BF871" s="75"/>
      <c r="BG871" s="75"/>
      <c r="BH871" s="75"/>
      <c r="BI871" s="75"/>
      <c r="BJ871" s="75"/>
      <c r="BK871" s="75"/>
      <c r="BL871" s="75"/>
      <c r="BM871" s="75"/>
    </row>
    <row r="872">
      <c r="A872" s="75"/>
      <c r="B872" s="75"/>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c r="AA872" s="71"/>
      <c r="AB872" s="71"/>
      <c r="AC872" s="71"/>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c r="BA872" s="75"/>
      <c r="BB872" s="75"/>
      <c r="BC872" s="75"/>
      <c r="BD872" s="75"/>
      <c r="BE872" s="75"/>
      <c r="BF872" s="75"/>
      <c r="BG872" s="75"/>
      <c r="BH872" s="75"/>
      <c r="BI872" s="75"/>
      <c r="BJ872" s="75"/>
      <c r="BK872" s="75"/>
      <c r="BL872" s="75"/>
      <c r="BM872" s="75"/>
    </row>
    <row r="873">
      <c r="A873" s="75"/>
      <c r="B873" s="75"/>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c r="AA873" s="71"/>
      <c r="AB873" s="71"/>
      <c r="AC873" s="71"/>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5"/>
      <c r="BF873" s="75"/>
      <c r="BG873" s="75"/>
      <c r="BH873" s="75"/>
      <c r="BI873" s="75"/>
      <c r="BJ873" s="75"/>
      <c r="BK873" s="75"/>
      <c r="BL873" s="75"/>
      <c r="BM873" s="75"/>
    </row>
    <row r="874">
      <c r="A874" s="75"/>
      <c r="B874" s="75"/>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c r="AA874" s="71"/>
      <c r="AB874" s="71"/>
      <c r="AC874" s="71"/>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c r="BA874" s="75"/>
      <c r="BB874" s="75"/>
      <c r="BC874" s="75"/>
      <c r="BD874" s="75"/>
      <c r="BE874" s="75"/>
      <c r="BF874" s="75"/>
      <c r="BG874" s="75"/>
      <c r="BH874" s="75"/>
      <c r="BI874" s="75"/>
      <c r="BJ874" s="75"/>
      <c r="BK874" s="75"/>
      <c r="BL874" s="75"/>
      <c r="BM874" s="75"/>
    </row>
    <row r="875">
      <c r="A875" s="75"/>
      <c r="B875" s="75"/>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c r="AA875" s="71"/>
      <c r="AB875" s="71"/>
      <c r="AC875" s="71"/>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c r="BA875" s="75"/>
      <c r="BB875" s="75"/>
      <c r="BC875" s="75"/>
      <c r="BD875" s="75"/>
      <c r="BE875" s="75"/>
      <c r="BF875" s="75"/>
      <c r="BG875" s="75"/>
      <c r="BH875" s="75"/>
      <c r="BI875" s="75"/>
      <c r="BJ875" s="75"/>
      <c r="BK875" s="75"/>
      <c r="BL875" s="75"/>
      <c r="BM875" s="75"/>
    </row>
    <row r="876">
      <c r="A876" s="75"/>
      <c r="B876" s="75"/>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c r="AA876" s="71"/>
      <c r="AB876" s="71"/>
      <c r="AC876" s="71"/>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5"/>
      <c r="BF876" s="75"/>
      <c r="BG876" s="75"/>
      <c r="BH876" s="75"/>
      <c r="BI876" s="75"/>
      <c r="BJ876" s="75"/>
      <c r="BK876" s="75"/>
      <c r="BL876" s="75"/>
      <c r="BM876" s="75"/>
    </row>
    <row r="877">
      <c r="A877" s="75"/>
      <c r="B877" s="75"/>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c r="AA877" s="71"/>
      <c r="AB877" s="71"/>
      <c r="AC877" s="71"/>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c r="BA877" s="75"/>
      <c r="BB877" s="75"/>
      <c r="BC877" s="75"/>
      <c r="BD877" s="75"/>
      <c r="BE877" s="75"/>
      <c r="BF877" s="75"/>
      <c r="BG877" s="75"/>
      <c r="BH877" s="75"/>
      <c r="BI877" s="75"/>
      <c r="BJ877" s="75"/>
      <c r="BK877" s="75"/>
      <c r="BL877" s="75"/>
      <c r="BM877" s="75"/>
    </row>
    <row r="878">
      <c r="A878" s="75"/>
      <c r="B878" s="75"/>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c r="AA878" s="71"/>
      <c r="AB878" s="71"/>
      <c r="AC878" s="71"/>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c r="BA878" s="75"/>
      <c r="BB878" s="75"/>
      <c r="BC878" s="75"/>
      <c r="BD878" s="75"/>
      <c r="BE878" s="75"/>
      <c r="BF878" s="75"/>
      <c r="BG878" s="75"/>
      <c r="BH878" s="75"/>
      <c r="BI878" s="75"/>
      <c r="BJ878" s="75"/>
      <c r="BK878" s="75"/>
      <c r="BL878" s="75"/>
      <c r="BM878" s="75"/>
    </row>
    <row r="879">
      <c r="A879" s="75"/>
      <c r="B879" s="75"/>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c r="AA879" s="71"/>
      <c r="AB879" s="71"/>
      <c r="AC879" s="71"/>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5"/>
      <c r="BF879" s="75"/>
      <c r="BG879" s="75"/>
      <c r="BH879" s="75"/>
      <c r="BI879" s="75"/>
      <c r="BJ879" s="75"/>
      <c r="BK879" s="75"/>
      <c r="BL879" s="75"/>
      <c r="BM879" s="75"/>
    </row>
    <row r="880">
      <c r="A880" s="75"/>
      <c r="B880" s="75"/>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c r="AA880" s="71"/>
      <c r="AB880" s="71"/>
      <c r="AC880" s="71"/>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c r="BA880" s="75"/>
      <c r="BB880" s="75"/>
      <c r="BC880" s="75"/>
      <c r="BD880" s="75"/>
      <c r="BE880" s="75"/>
      <c r="BF880" s="75"/>
      <c r="BG880" s="75"/>
      <c r="BH880" s="75"/>
      <c r="BI880" s="75"/>
      <c r="BJ880" s="75"/>
      <c r="BK880" s="75"/>
      <c r="BL880" s="75"/>
      <c r="BM880" s="75"/>
    </row>
    <row r="881">
      <c r="A881" s="75"/>
      <c r="B881" s="75"/>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c r="AA881" s="71"/>
      <c r="AB881" s="71"/>
      <c r="AC881" s="71"/>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c r="BA881" s="75"/>
      <c r="BB881" s="75"/>
      <c r="BC881" s="75"/>
      <c r="BD881" s="75"/>
      <c r="BE881" s="75"/>
      <c r="BF881" s="75"/>
      <c r="BG881" s="75"/>
      <c r="BH881" s="75"/>
      <c r="BI881" s="75"/>
      <c r="BJ881" s="75"/>
      <c r="BK881" s="75"/>
      <c r="BL881" s="75"/>
      <c r="BM881" s="75"/>
    </row>
    <row r="882">
      <c r="A882" s="75"/>
      <c r="B882" s="75"/>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c r="AA882" s="71"/>
      <c r="AB882" s="71"/>
      <c r="AC882" s="71"/>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5"/>
      <c r="BF882" s="75"/>
      <c r="BG882" s="75"/>
      <c r="BH882" s="75"/>
      <c r="BI882" s="75"/>
      <c r="BJ882" s="75"/>
      <c r="BK882" s="75"/>
      <c r="BL882" s="75"/>
      <c r="BM882" s="75"/>
    </row>
    <row r="883">
      <c r="A883" s="75"/>
      <c r="B883" s="75"/>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c r="AA883" s="71"/>
      <c r="AB883" s="71"/>
      <c r="AC883" s="71"/>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c r="BA883" s="75"/>
      <c r="BB883" s="75"/>
      <c r="BC883" s="75"/>
      <c r="BD883" s="75"/>
      <c r="BE883" s="75"/>
      <c r="BF883" s="75"/>
      <c r="BG883" s="75"/>
      <c r="BH883" s="75"/>
      <c r="BI883" s="75"/>
      <c r="BJ883" s="75"/>
      <c r="BK883" s="75"/>
      <c r="BL883" s="75"/>
      <c r="BM883" s="75"/>
    </row>
    <row r="884">
      <c r="A884" s="75"/>
      <c r="B884" s="75"/>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c r="AA884" s="71"/>
      <c r="AB884" s="71"/>
      <c r="AC884" s="71"/>
      <c r="AD884" s="75"/>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c r="BA884" s="75"/>
      <c r="BB884" s="75"/>
      <c r="BC884" s="75"/>
      <c r="BD884" s="75"/>
      <c r="BE884" s="75"/>
      <c r="BF884" s="75"/>
      <c r="BG884" s="75"/>
      <c r="BH884" s="75"/>
      <c r="BI884" s="75"/>
      <c r="BJ884" s="75"/>
      <c r="BK884" s="75"/>
      <c r="BL884" s="75"/>
      <c r="BM884" s="75"/>
    </row>
    <row r="885">
      <c r="A885" s="75"/>
      <c r="B885" s="75"/>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c r="AA885" s="71"/>
      <c r="AB885" s="71"/>
      <c r="AC885" s="71"/>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5"/>
      <c r="BF885" s="75"/>
      <c r="BG885" s="75"/>
      <c r="BH885" s="75"/>
      <c r="BI885" s="75"/>
      <c r="BJ885" s="75"/>
      <c r="BK885" s="75"/>
      <c r="BL885" s="75"/>
      <c r="BM885" s="75"/>
    </row>
    <row r="886">
      <c r="A886" s="75"/>
      <c r="B886" s="75"/>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c r="AA886" s="71"/>
      <c r="AB886" s="71"/>
      <c r="AC886" s="71"/>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c r="BA886" s="75"/>
      <c r="BB886" s="75"/>
      <c r="BC886" s="75"/>
      <c r="BD886" s="75"/>
      <c r="BE886" s="75"/>
      <c r="BF886" s="75"/>
      <c r="BG886" s="75"/>
      <c r="BH886" s="75"/>
      <c r="BI886" s="75"/>
      <c r="BJ886" s="75"/>
      <c r="BK886" s="75"/>
      <c r="BL886" s="75"/>
      <c r="BM886" s="75"/>
    </row>
    <row r="887">
      <c r="A887" s="75"/>
      <c r="B887" s="75"/>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c r="AA887" s="71"/>
      <c r="AB887" s="71"/>
      <c r="AC887" s="71"/>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c r="BA887" s="75"/>
      <c r="BB887" s="75"/>
      <c r="BC887" s="75"/>
      <c r="BD887" s="75"/>
      <c r="BE887" s="75"/>
      <c r="BF887" s="75"/>
      <c r="BG887" s="75"/>
      <c r="BH887" s="75"/>
      <c r="BI887" s="75"/>
      <c r="BJ887" s="75"/>
      <c r="BK887" s="75"/>
      <c r="BL887" s="75"/>
      <c r="BM887" s="75"/>
    </row>
    <row r="888">
      <c r="A888" s="75"/>
      <c r="B888" s="75"/>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c r="AA888" s="71"/>
      <c r="AB888" s="71"/>
      <c r="AC888" s="71"/>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5"/>
      <c r="BF888" s="75"/>
      <c r="BG888" s="75"/>
      <c r="BH888" s="75"/>
      <c r="BI888" s="75"/>
      <c r="BJ888" s="75"/>
      <c r="BK888" s="75"/>
      <c r="BL888" s="75"/>
      <c r="BM888" s="75"/>
    </row>
    <row r="889">
      <c r="A889" s="75"/>
      <c r="B889" s="75"/>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c r="AA889" s="71"/>
      <c r="AB889" s="71"/>
      <c r="AC889" s="71"/>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c r="BA889" s="75"/>
      <c r="BB889" s="75"/>
      <c r="BC889" s="75"/>
      <c r="BD889" s="75"/>
      <c r="BE889" s="75"/>
      <c r="BF889" s="75"/>
      <c r="BG889" s="75"/>
      <c r="BH889" s="75"/>
      <c r="BI889" s="75"/>
      <c r="BJ889" s="75"/>
      <c r="BK889" s="75"/>
      <c r="BL889" s="75"/>
      <c r="BM889" s="75"/>
    </row>
    <row r="890">
      <c r="A890" s="75"/>
      <c r="B890" s="75"/>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c r="AA890" s="71"/>
      <c r="AB890" s="71"/>
      <c r="AC890" s="71"/>
      <c r="AD890" s="75"/>
      <c r="AE890" s="75"/>
      <c r="AF890" s="75"/>
      <c r="AG890" s="75"/>
      <c r="AH890" s="75"/>
      <c r="AI890" s="75"/>
      <c r="AJ890" s="75"/>
      <c r="AK890" s="75"/>
      <c r="AL890" s="75"/>
      <c r="AM890" s="75"/>
      <c r="AN890" s="75"/>
      <c r="AO890" s="75"/>
      <c r="AP890" s="75"/>
      <c r="AQ890" s="75"/>
      <c r="AR890" s="75"/>
      <c r="AS890" s="75"/>
      <c r="AT890" s="75"/>
      <c r="AU890" s="75"/>
      <c r="AV890" s="75"/>
      <c r="AW890" s="75"/>
      <c r="AX890" s="75"/>
      <c r="AY890" s="75"/>
      <c r="AZ890" s="75"/>
      <c r="BA890" s="75"/>
      <c r="BB890" s="75"/>
      <c r="BC890" s="75"/>
      <c r="BD890" s="75"/>
      <c r="BE890" s="75"/>
      <c r="BF890" s="75"/>
      <c r="BG890" s="75"/>
      <c r="BH890" s="75"/>
      <c r="BI890" s="75"/>
      <c r="BJ890" s="75"/>
      <c r="BK890" s="75"/>
      <c r="BL890" s="75"/>
      <c r="BM890" s="75"/>
    </row>
    <row r="891">
      <c r="A891" s="75"/>
      <c r="B891" s="75"/>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c r="AA891" s="71"/>
      <c r="AB891" s="71"/>
      <c r="AC891" s="71"/>
      <c r="AD891" s="75"/>
      <c r="AE891" s="75"/>
      <c r="AF891" s="75"/>
      <c r="AG891" s="75"/>
      <c r="AH891" s="75"/>
      <c r="AI891" s="75"/>
      <c r="AJ891" s="75"/>
      <c r="AK891" s="75"/>
      <c r="AL891" s="75"/>
      <c r="AM891" s="75"/>
      <c r="AN891" s="75"/>
      <c r="AO891" s="75"/>
      <c r="AP891" s="75"/>
      <c r="AQ891" s="75"/>
      <c r="AR891" s="75"/>
      <c r="AS891" s="75"/>
      <c r="AT891" s="75"/>
      <c r="AU891" s="75"/>
      <c r="AV891" s="75"/>
      <c r="AW891" s="75"/>
      <c r="AX891" s="75"/>
      <c r="AY891" s="75"/>
      <c r="AZ891" s="75"/>
      <c r="BA891" s="75"/>
      <c r="BB891" s="75"/>
      <c r="BC891" s="75"/>
      <c r="BD891" s="75"/>
      <c r="BE891" s="75"/>
      <c r="BF891" s="75"/>
      <c r="BG891" s="75"/>
      <c r="BH891" s="75"/>
      <c r="BI891" s="75"/>
      <c r="BJ891" s="75"/>
      <c r="BK891" s="75"/>
      <c r="BL891" s="75"/>
      <c r="BM891" s="75"/>
    </row>
    <row r="892">
      <c r="A892" s="75"/>
      <c r="B892" s="75"/>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1"/>
      <c r="AB892" s="71"/>
      <c r="AC892" s="71"/>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c r="BA892" s="75"/>
      <c r="BB892" s="75"/>
      <c r="BC892" s="75"/>
      <c r="BD892" s="75"/>
      <c r="BE892" s="75"/>
      <c r="BF892" s="75"/>
      <c r="BG892" s="75"/>
      <c r="BH892" s="75"/>
      <c r="BI892" s="75"/>
      <c r="BJ892" s="75"/>
      <c r="BK892" s="75"/>
      <c r="BL892" s="75"/>
      <c r="BM892" s="75"/>
    </row>
    <row r="893">
      <c r="A893" s="75"/>
      <c r="B893" s="75"/>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c r="AA893" s="71"/>
      <c r="AB893" s="71"/>
      <c r="AC893" s="71"/>
      <c r="AD893" s="75"/>
      <c r="AE893" s="75"/>
      <c r="AF893" s="75"/>
      <c r="AG893" s="75"/>
      <c r="AH893" s="75"/>
      <c r="AI893" s="75"/>
      <c r="AJ893" s="75"/>
      <c r="AK893" s="75"/>
      <c r="AL893" s="75"/>
      <c r="AM893" s="75"/>
      <c r="AN893" s="75"/>
      <c r="AO893" s="75"/>
      <c r="AP893" s="75"/>
      <c r="AQ893" s="75"/>
      <c r="AR893" s="75"/>
      <c r="AS893" s="75"/>
      <c r="AT893" s="75"/>
      <c r="AU893" s="75"/>
      <c r="AV893" s="75"/>
      <c r="AW893" s="75"/>
      <c r="AX893" s="75"/>
      <c r="AY893" s="75"/>
      <c r="AZ893" s="75"/>
      <c r="BA893" s="75"/>
      <c r="BB893" s="75"/>
      <c r="BC893" s="75"/>
      <c r="BD893" s="75"/>
      <c r="BE893" s="75"/>
      <c r="BF893" s="75"/>
      <c r="BG893" s="75"/>
      <c r="BH893" s="75"/>
      <c r="BI893" s="75"/>
      <c r="BJ893" s="75"/>
      <c r="BK893" s="75"/>
      <c r="BL893" s="75"/>
      <c r="BM893" s="75"/>
    </row>
    <row r="894">
      <c r="A894" s="75"/>
      <c r="B894" s="75"/>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c r="AA894" s="71"/>
      <c r="AB894" s="71"/>
      <c r="AC894" s="71"/>
      <c r="AD894" s="75"/>
      <c r="AE894" s="75"/>
      <c r="AF894" s="75"/>
      <c r="AG894" s="75"/>
      <c r="AH894" s="75"/>
      <c r="AI894" s="75"/>
      <c r="AJ894" s="75"/>
      <c r="AK894" s="75"/>
      <c r="AL894" s="75"/>
      <c r="AM894" s="75"/>
      <c r="AN894" s="75"/>
      <c r="AO894" s="75"/>
      <c r="AP894" s="75"/>
      <c r="AQ894" s="75"/>
      <c r="AR894" s="75"/>
      <c r="AS894" s="75"/>
      <c r="AT894" s="75"/>
      <c r="AU894" s="75"/>
      <c r="AV894" s="75"/>
      <c r="AW894" s="75"/>
      <c r="AX894" s="75"/>
      <c r="AY894" s="75"/>
      <c r="AZ894" s="75"/>
      <c r="BA894" s="75"/>
      <c r="BB894" s="75"/>
      <c r="BC894" s="75"/>
      <c r="BD894" s="75"/>
      <c r="BE894" s="75"/>
      <c r="BF894" s="75"/>
      <c r="BG894" s="75"/>
      <c r="BH894" s="75"/>
      <c r="BI894" s="75"/>
      <c r="BJ894" s="75"/>
      <c r="BK894" s="75"/>
      <c r="BL894" s="75"/>
      <c r="BM894" s="75"/>
    </row>
    <row r="895">
      <c r="A895" s="75"/>
      <c r="B895" s="75"/>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c r="AA895" s="71"/>
      <c r="AB895" s="71"/>
      <c r="AC895" s="71"/>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c r="BA895" s="75"/>
      <c r="BB895" s="75"/>
      <c r="BC895" s="75"/>
      <c r="BD895" s="75"/>
      <c r="BE895" s="75"/>
      <c r="BF895" s="75"/>
      <c r="BG895" s="75"/>
      <c r="BH895" s="75"/>
      <c r="BI895" s="75"/>
      <c r="BJ895" s="75"/>
      <c r="BK895" s="75"/>
      <c r="BL895" s="75"/>
      <c r="BM895" s="75"/>
    </row>
    <row r="896">
      <c r="A896" s="75"/>
      <c r="B896" s="75"/>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c r="AA896" s="71"/>
      <c r="AB896" s="71"/>
      <c r="AC896" s="71"/>
      <c r="AD896" s="75"/>
      <c r="AE896" s="75"/>
      <c r="AF896" s="75"/>
      <c r="AG896" s="75"/>
      <c r="AH896" s="75"/>
      <c r="AI896" s="75"/>
      <c r="AJ896" s="75"/>
      <c r="AK896" s="75"/>
      <c r="AL896" s="75"/>
      <c r="AM896" s="75"/>
      <c r="AN896" s="75"/>
      <c r="AO896" s="75"/>
      <c r="AP896" s="75"/>
      <c r="AQ896" s="75"/>
      <c r="AR896" s="75"/>
      <c r="AS896" s="75"/>
      <c r="AT896" s="75"/>
      <c r="AU896" s="75"/>
      <c r="AV896" s="75"/>
      <c r="AW896" s="75"/>
      <c r="AX896" s="75"/>
      <c r="AY896" s="75"/>
      <c r="AZ896" s="75"/>
      <c r="BA896" s="75"/>
      <c r="BB896" s="75"/>
      <c r="BC896" s="75"/>
      <c r="BD896" s="75"/>
      <c r="BE896" s="75"/>
      <c r="BF896" s="75"/>
      <c r="BG896" s="75"/>
      <c r="BH896" s="75"/>
      <c r="BI896" s="75"/>
      <c r="BJ896" s="75"/>
      <c r="BK896" s="75"/>
      <c r="BL896" s="75"/>
      <c r="BM896" s="75"/>
    </row>
    <row r="897">
      <c r="A897" s="75"/>
      <c r="B897" s="75"/>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c r="AA897" s="71"/>
      <c r="AB897" s="71"/>
      <c r="AC897" s="71"/>
      <c r="AD897" s="75"/>
      <c r="AE897" s="75"/>
      <c r="AF897" s="75"/>
      <c r="AG897" s="75"/>
      <c r="AH897" s="75"/>
      <c r="AI897" s="75"/>
      <c r="AJ897" s="75"/>
      <c r="AK897" s="75"/>
      <c r="AL897" s="75"/>
      <c r="AM897" s="75"/>
      <c r="AN897" s="75"/>
      <c r="AO897" s="75"/>
      <c r="AP897" s="75"/>
      <c r="AQ897" s="75"/>
      <c r="AR897" s="75"/>
      <c r="AS897" s="75"/>
      <c r="AT897" s="75"/>
      <c r="AU897" s="75"/>
      <c r="AV897" s="75"/>
      <c r="AW897" s="75"/>
      <c r="AX897" s="75"/>
      <c r="AY897" s="75"/>
      <c r="AZ897" s="75"/>
      <c r="BA897" s="75"/>
      <c r="BB897" s="75"/>
      <c r="BC897" s="75"/>
      <c r="BD897" s="75"/>
      <c r="BE897" s="75"/>
      <c r="BF897" s="75"/>
      <c r="BG897" s="75"/>
      <c r="BH897" s="75"/>
      <c r="BI897" s="75"/>
      <c r="BJ897" s="75"/>
      <c r="BK897" s="75"/>
      <c r="BL897" s="75"/>
      <c r="BM897" s="75"/>
    </row>
    <row r="898">
      <c r="A898" s="75"/>
      <c r="B898" s="75"/>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c r="AA898" s="71"/>
      <c r="AB898" s="71"/>
      <c r="AC898" s="71"/>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c r="BA898" s="75"/>
      <c r="BB898" s="75"/>
      <c r="BC898" s="75"/>
      <c r="BD898" s="75"/>
      <c r="BE898" s="75"/>
      <c r="BF898" s="75"/>
      <c r="BG898" s="75"/>
      <c r="BH898" s="75"/>
      <c r="BI898" s="75"/>
      <c r="BJ898" s="75"/>
      <c r="BK898" s="75"/>
      <c r="BL898" s="75"/>
      <c r="BM898" s="75"/>
    </row>
    <row r="899">
      <c r="A899" s="75"/>
      <c r="B899" s="75"/>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c r="AA899" s="71"/>
      <c r="AB899" s="71"/>
      <c r="AC899" s="71"/>
      <c r="AD899" s="75"/>
      <c r="AE899" s="75"/>
      <c r="AF899" s="75"/>
      <c r="AG899" s="75"/>
      <c r="AH899" s="75"/>
      <c r="AI899" s="75"/>
      <c r="AJ899" s="75"/>
      <c r="AK899" s="75"/>
      <c r="AL899" s="75"/>
      <c r="AM899" s="75"/>
      <c r="AN899" s="75"/>
      <c r="AO899" s="75"/>
      <c r="AP899" s="75"/>
      <c r="AQ899" s="75"/>
      <c r="AR899" s="75"/>
      <c r="AS899" s="75"/>
      <c r="AT899" s="75"/>
      <c r="AU899" s="75"/>
      <c r="AV899" s="75"/>
      <c r="AW899" s="75"/>
      <c r="AX899" s="75"/>
      <c r="AY899" s="75"/>
      <c r="AZ899" s="75"/>
      <c r="BA899" s="75"/>
      <c r="BB899" s="75"/>
      <c r="BC899" s="75"/>
      <c r="BD899" s="75"/>
      <c r="BE899" s="75"/>
      <c r="BF899" s="75"/>
      <c r="BG899" s="75"/>
      <c r="BH899" s="75"/>
      <c r="BI899" s="75"/>
      <c r="BJ899" s="75"/>
      <c r="BK899" s="75"/>
      <c r="BL899" s="75"/>
      <c r="BM899" s="75"/>
    </row>
    <row r="900">
      <c r="A900" s="75"/>
      <c r="B900" s="75"/>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c r="AA900" s="71"/>
      <c r="AB900" s="71"/>
      <c r="AC900" s="71"/>
      <c r="AD900" s="75"/>
      <c r="AE900" s="75"/>
      <c r="AF900" s="75"/>
      <c r="AG900" s="75"/>
      <c r="AH900" s="75"/>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c r="BE900" s="75"/>
      <c r="BF900" s="75"/>
      <c r="BG900" s="75"/>
      <c r="BH900" s="75"/>
      <c r="BI900" s="75"/>
      <c r="BJ900" s="75"/>
      <c r="BK900" s="75"/>
      <c r="BL900" s="75"/>
      <c r="BM900" s="75"/>
    </row>
    <row r="901">
      <c r="A901" s="75"/>
      <c r="B901" s="75"/>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c r="AA901" s="71"/>
      <c r="AB901" s="71"/>
      <c r="AC901" s="71"/>
      <c r="AD901" s="75"/>
      <c r="AE901" s="75"/>
      <c r="AF901" s="75"/>
      <c r="AG901" s="75"/>
      <c r="AH901" s="75"/>
      <c r="AI901" s="75"/>
      <c r="AJ901" s="75"/>
      <c r="AK901" s="75"/>
      <c r="AL901" s="75"/>
      <c r="AM901" s="75"/>
      <c r="AN901" s="75"/>
      <c r="AO901" s="75"/>
      <c r="AP901" s="75"/>
      <c r="AQ901" s="75"/>
      <c r="AR901" s="75"/>
      <c r="AS901" s="75"/>
      <c r="AT901" s="75"/>
      <c r="AU901" s="75"/>
      <c r="AV901" s="75"/>
      <c r="AW901" s="75"/>
      <c r="AX901" s="75"/>
      <c r="AY901" s="75"/>
      <c r="AZ901" s="75"/>
      <c r="BA901" s="75"/>
      <c r="BB901" s="75"/>
      <c r="BC901" s="75"/>
      <c r="BD901" s="75"/>
      <c r="BE901" s="75"/>
      <c r="BF901" s="75"/>
      <c r="BG901" s="75"/>
      <c r="BH901" s="75"/>
      <c r="BI901" s="75"/>
      <c r="BJ901" s="75"/>
      <c r="BK901" s="75"/>
      <c r="BL901" s="75"/>
      <c r="BM901" s="75"/>
    </row>
    <row r="902">
      <c r="A902" s="75"/>
      <c r="B902" s="75"/>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c r="AA902" s="71"/>
      <c r="AB902" s="71"/>
      <c r="AC902" s="71"/>
      <c r="AD902" s="75"/>
      <c r="AE902" s="75"/>
      <c r="AF902" s="75"/>
      <c r="AG902" s="75"/>
      <c r="AH902" s="75"/>
      <c r="AI902" s="75"/>
      <c r="AJ902" s="75"/>
      <c r="AK902" s="75"/>
      <c r="AL902" s="75"/>
      <c r="AM902" s="75"/>
      <c r="AN902" s="75"/>
      <c r="AO902" s="75"/>
      <c r="AP902" s="75"/>
      <c r="AQ902" s="75"/>
      <c r="AR902" s="75"/>
      <c r="AS902" s="75"/>
      <c r="AT902" s="75"/>
      <c r="AU902" s="75"/>
      <c r="AV902" s="75"/>
      <c r="AW902" s="75"/>
      <c r="AX902" s="75"/>
      <c r="AY902" s="75"/>
      <c r="AZ902" s="75"/>
      <c r="BA902" s="75"/>
      <c r="BB902" s="75"/>
      <c r="BC902" s="75"/>
      <c r="BD902" s="75"/>
      <c r="BE902" s="75"/>
      <c r="BF902" s="75"/>
      <c r="BG902" s="75"/>
      <c r="BH902" s="75"/>
      <c r="BI902" s="75"/>
      <c r="BJ902" s="75"/>
      <c r="BK902" s="75"/>
      <c r="BL902" s="75"/>
      <c r="BM902" s="75"/>
    </row>
    <row r="903">
      <c r="A903" s="75"/>
      <c r="B903" s="75"/>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c r="AA903" s="71"/>
      <c r="AB903" s="71"/>
      <c r="AC903" s="71"/>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c r="BE903" s="75"/>
      <c r="BF903" s="75"/>
      <c r="BG903" s="75"/>
      <c r="BH903" s="75"/>
      <c r="BI903" s="75"/>
      <c r="BJ903" s="75"/>
      <c r="BK903" s="75"/>
      <c r="BL903" s="75"/>
      <c r="BM903" s="75"/>
    </row>
    <row r="904">
      <c r="A904" s="75"/>
      <c r="B904" s="75"/>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c r="AA904" s="71"/>
      <c r="AB904" s="71"/>
      <c r="AC904" s="71"/>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c r="BA904" s="75"/>
      <c r="BB904" s="75"/>
      <c r="BC904" s="75"/>
      <c r="BD904" s="75"/>
      <c r="BE904" s="75"/>
      <c r="BF904" s="75"/>
      <c r="BG904" s="75"/>
      <c r="BH904" s="75"/>
      <c r="BI904" s="75"/>
      <c r="BJ904" s="75"/>
      <c r="BK904" s="75"/>
      <c r="BL904" s="75"/>
      <c r="BM904" s="75"/>
    </row>
    <row r="905">
      <c r="A905" s="75"/>
      <c r="B905" s="75"/>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c r="AA905" s="71"/>
      <c r="AB905" s="71"/>
      <c r="AC905" s="71"/>
      <c r="AD905" s="75"/>
      <c r="AE905" s="75"/>
      <c r="AF905" s="75"/>
      <c r="AG905" s="75"/>
      <c r="AH905" s="75"/>
      <c r="AI905" s="75"/>
      <c r="AJ905" s="75"/>
      <c r="AK905" s="75"/>
      <c r="AL905" s="75"/>
      <c r="AM905" s="75"/>
      <c r="AN905" s="75"/>
      <c r="AO905" s="75"/>
      <c r="AP905" s="75"/>
      <c r="AQ905" s="75"/>
      <c r="AR905" s="75"/>
      <c r="AS905" s="75"/>
      <c r="AT905" s="75"/>
      <c r="AU905" s="75"/>
      <c r="AV905" s="75"/>
      <c r="AW905" s="75"/>
      <c r="AX905" s="75"/>
      <c r="AY905" s="75"/>
      <c r="AZ905" s="75"/>
      <c r="BA905" s="75"/>
      <c r="BB905" s="75"/>
      <c r="BC905" s="75"/>
      <c r="BD905" s="75"/>
      <c r="BE905" s="75"/>
      <c r="BF905" s="75"/>
      <c r="BG905" s="75"/>
      <c r="BH905" s="75"/>
      <c r="BI905" s="75"/>
      <c r="BJ905" s="75"/>
      <c r="BK905" s="75"/>
      <c r="BL905" s="75"/>
      <c r="BM905" s="75"/>
    </row>
    <row r="906">
      <c r="A906" s="75"/>
      <c r="B906" s="75"/>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c r="AA906" s="71"/>
      <c r="AB906" s="71"/>
      <c r="AC906" s="71"/>
      <c r="AD906" s="75"/>
      <c r="AE906" s="75"/>
      <c r="AF906" s="75"/>
      <c r="AG906" s="75"/>
      <c r="AH906" s="75"/>
      <c r="AI906" s="75"/>
      <c r="AJ906" s="75"/>
      <c r="AK906" s="75"/>
      <c r="AL906" s="75"/>
      <c r="AM906" s="75"/>
      <c r="AN906" s="75"/>
      <c r="AO906" s="75"/>
      <c r="AP906" s="75"/>
      <c r="AQ906" s="75"/>
      <c r="AR906" s="75"/>
      <c r="AS906" s="75"/>
      <c r="AT906" s="75"/>
      <c r="AU906" s="75"/>
      <c r="AV906" s="75"/>
      <c r="AW906" s="75"/>
      <c r="AX906" s="75"/>
      <c r="AY906" s="75"/>
      <c r="AZ906" s="75"/>
      <c r="BA906" s="75"/>
      <c r="BB906" s="75"/>
      <c r="BC906" s="75"/>
      <c r="BD906" s="75"/>
      <c r="BE906" s="75"/>
      <c r="BF906" s="75"/>
      <c r="BG906" s="75"/>
      <c r="BH906" s="75"/>
      <c r="BI906" s="75"/>
      <c r="BJ906" s="75"/>
      <c r="BK906" s="75"/>
      <c r="BL906" s="75"/>
      <c r="BM906" s="75"/>
    </row>
    <row r="907">
      <c r="A907" s="75"/>
      <c r="B907" s="75"/>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c r="AA907" s="71"/>
      <c r="AB907" s="71"/>
      <c r="AC907" s="71"/>
      <c r="AD907" s="75"/>
      <c r="AE907" s="75"/>
      <c r="AF907" s="75"/>
      <c r="AG907" s="75"/>
      <c r="AH907" s="75"/>
      <c r="AI907" s="75"/>
      <c r="AJ907" s="75"/>
      <c r="AK907" s="75"/>
      <c r="AL907" s="75"/>
      <c r="AM907" s="75"/>
      <c r="AN907" s="75"/>
      <c r="AO907" s="75"/>
      <c r="AP907" s="75"/>
      <c r="AQ907" s="75"/>
      <c r="AR907" s="75"/>
      <c r="AS907" s="75"/>
      <c r="AT907" s="75"/>
      <c r="AU907" s="75"/>
      <c r="AV907" s="75"/>
      <c r="AW907" s="75"/>
      <c r="AX907" s="75"/>
      <c r="AY907" s="75"/>
      <c r="AZ907" s="75"/>
      <c r="BA907" s="75"/>
      <c r="BB907" s="75"/>
      <c r="BC907" s="75"/>
      <c r="BD907" s="75"/>
      <c r="BE907" s="75"/>
      <c r="BF907" s="75"/>
      <c r="BG907" s="75"/>
      <c r="BH907" s="75"/>
      <c r="BI907" s="75"/>
      <c r="BJ907" s="75"/>
      <c r="BK907" s="75"/>
      <c r="BL907" s="75"/>
      <c r="BM907" s="75"/>
    </row>
    <row r="908">
      <c r="A908" s="75"/>
      <c r="B908" s="75"/>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c r="AA908" s="71"/>
      <c r="AB908" s="71"/>
      <c r="AC908" s="71"/>
      <c r="AD908" s="75"/>
      <c r="AE908" s="75"/>
      <c r="AF908" s="75"/>
      <c r="AG908" s="75"/>
      <c r="AH908" s="75"/>
      <c r="AI908" s="75"/>
      <c r="AJ908" s="75"/>
      <c r="AK908" s="75"/>
      <c r="AL908" s="75"/>
      <c r="AM908" s="75"/>
      <c r="AN908" s="75"/>
      <c r="AO908" s="75"/>
      <c r="AP908" s="75"/>
      <c r="AQ908" s="75"/>
      <c r="AR908" s="75"/>
      <c r="AS908" s="75"/>
      <c r="AT908" s="75"/>
      <c r="AU908" s="75"/>
      <c r="AV908" s="75"/>
      <c r="AW908" s="75"/>
      <c r="AX908" s="75"/>
      <c r="AY908" s="75"/>
      <c r="AZ908" s="75"/>
      <c r="BA908" s="75"/>
      <c r="BB908" s="75"/>
      <c r="BC908" s="75"/>
      <c r="BD908" s="75"/>
      <c r="BE908" s="75"/>
      <c r="BF908" s="75"/>
      <c r="BG908" s="75"/>
      <c r="BH908" s="75"/>
      <c r="BI908" s="75"/>
      <c r="BJ908" s="75"/>
      <c r="BK908" s="75"/>
      <c r="BL908" s="75"/>
      <c r="BM908" s="75"/>
    </row>
    <row r="909">
      <c r="A909" s="75"/>
      <c r="B909" s="75"/>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c r="AA909" s="71"/>
      <c r="AB909" s="71"/>
      <c r="AC909" s="71"/>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5"/>
      <c r="BF909" s="75"/>
      <c r="BG909" s="75"/>
      <c r="BH909" s="75"/>
      <c r="BI909" s="75"/>
      <c r="BJ909" s="75"/>
      <c r="BK909" s="75"/>
      <c r="BL909" s="75"/>
      <c r="BM909" s="75"/>
    </row>
    <row r="910">
      <c r="A910" s="75"/>
      <c r="B910" s="75"/>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c r="AA910" s="71"/>
      <c r="AB910" s="71"/>
      <c r="AC910" s="71"/>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c r="BA910" s="75"/>
      <c r="BB910" s="75"/>
      <c r="BC910" s="75"/>
      <c r="BD910" s="75"/>
      <c r="BE910" s="75"/>
      <c r="BF910" s="75"/>
      <c r="BG910" s="75"/>
      <c r="BH910" s="75"/>
      <c r="BI910" s="75"/>
      <c r="BJ910" s="75"/>
      <c r="BK910" s="75"/>
      <c r="BL910" s="75"/>
      <c r="BM910" s="75"/>
    </row>
    <row r="911">
      <c r="A911" s="75"/>
      <c r="B911" s="75"/>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c r="AA911" s="71"/>
      <c r="AB911" s="71"/>
      <c r="AC911" s="71"/>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c r="BA911" s="75"/>
      <c r="BB911" s="75"/>
      <c r="BC911" s="75"/>
      <c r="BD911" s="75"/>
      <c r="BE911" s="75"/>
      <c r="BF911" s="75"/>
      <c r="BG911" s="75"/>
      <c r="BH911" s="75"/>
      <c r="BI911" s="75"/>
      <c r="BJ911" s="75"/>
      <c r="BK911" s="75"/>
      <c r="BL911" s="75"/>
      <c r="BM911" s="75"/>
    </row>
    <row r="912">
      <c r="A912" s="75"/>
      <c r="B912" s="75"/>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c r="AA912" s="71"/>
      <c r="AB912" s="71"/>
      <c r="AC912" s="71"/>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5"/>
      <c r="BF912" s="75"/>
      <c r="BG912" s="75"/>
      <c r="BH912" s="75"/>
      <c r="BI912" s="75"/>
      <c r="BJ912" s="75"/>
      <c r="BK912" s="75"/>
      <c r="BL912" s="75"/>
      <c r="BM912" s="75"/>
    </row>
    <row r="913">
      <c r="A913" s="75"/>
      <c r="B913" s="75"/>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c r="AA913" s="71"/>
      <c r="AB913" s="71"/>
      <c r="AC913" s="71"/>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c r="BA913" s="75"/>
      <c r="BB913" s="75"/>
      <c r="BC913" s="75"/>
      <c r="BD913" s="75"/>
      <c r="BE913" s="75"/>
      <c r="BF913" s="75"/>
      <c r="BG913" s="75"/>
      <c r="BH913" s="75"/>
      <c r="BI913" s="75"/>
      <c r="BJ913" s="75"/>
      <c r="BK913" s="75"/>
      <c r="BL913" s="75"/>
      <c r="BM913" s="75"/>
    </row>
    <row r="914">
      <c r="A914" s="75"/>
      <c r="B914" s="75"/>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c r="AA914" s="71"/>
      <c r="AB914" s="71"/>
      <c r="AC914" s="71"/>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c r="BA914" s="75"/>
      <c r="BB914" s="75"/>
      <c r="BC914" s="75"/>
      <c r="BD914" s="75"/>
      <c r="BE914" s="75"/>
      <c r="BF914" s="75"/>
      <c r="BG914" s="75"/>
      <c r="BH914" s="75"/>
      <c r="BI914" s="75"/>
      <c r="BJ914" s="75"/>
      <c r="BK914" s="75"/>
      <c r="BL914" s="75"/>
      <c r="BM914" s="75"/>
    </row>
    <row r="915">
      <c r="A915" s="75"/>
      <c r="B915" s="75"/>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c r="AA915" s="71"/>
      <c r="AB915" s="71"/>
      <c r="AC915" s="71"/>
      <c r="AD915" s="75"/>
      <c r="AE915" s="75"/>
      <c r="AF915" s="75"/>
      <c r="AG915" s="75"/>
      <c r="AH915" s="75"/>
      <c r="AI915" s="75"/>
      <c r="AJ915" s="75"/>
      <c r="AK915" s="75"/>
      <c r="AL915" s="75"/>
      <c r="AM915" s="75"/>
      <c r="AN915" s="75"/>
      <c r="AO915" s="75"/>
      <c r="AP915" s="75"/>
      <c r="AQ915" s="75"/>
      <c r="AR915" s="75"/>
      <c r="AS915" s="75"/>
      <c r="AT915" s="75"/>
      <c r="AU915" s="75"/>
      <c r="AV915" s="75"/>
      <c r="AW915" s="75"/>
      <c r="AX915" s="75"/>
      <c r="AY915" s="75"/>
      <c r="AZ915" s="75"/>
      <c r="BA915" s="75"/>
      <c r="BB915" s="75"/>
      <c r="BC915" s="75"/>
      <c r="BD915" s="75"/>
      <c r="BE915" s="75"/>
      <c r="BF915" s="75"/>
      <c r="BG915" s="75"/>
      <c r="BH915" s="75"/>
      <c r="BI915" s="75"/>
      <c r="BJ915" s="75"/>
      <c r="BK915" s="75"/>
      <c r="BL915" s="75"/>
      <c r="BM915" s="75"/>
    </row>
    <row r="916">
      <c r="A916" s="75"/>
      <c r="B916" s="75"/>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c r="AA916" s="71"/>
      <c r="AB916" s="71"/>
      <c r="AC916" s="71"/>
      <c r="AD916" s="75"/>
      <c r="AE916" s="75"/>
      <c r="AF916" s="75"/>
      <c r="AG916" s="75"/>
      <c r="AH916" s="75"/>
      <c r="AI916" s="75"/>
      <c r="AJ916" s="75"/>
      <c r="AK916" s="75"/>
      <c r="AL916" s="75"/>
      <c r="AM916" s="75"/>
      <c r="AN916" s="75"/>
      <c r="AO916" s="75"/>
      <c r="AP916" s="75"/>
      <c r="AQ916" s="75"/>
      <c r="AR916" s="75"/>
      <c r="AS916" s="75"/>
      <c r="AT916" s="75"/>
      <c r="AU916" s="75"/>
      <c r="AV916" s="75"/>
      <c r="AW916" s="75"/>
      <c r="AX916" s="75"/>
      <c r="AY916" s="75"/>
      <c r="AZ916" s="75"/>
      <c r="BA916" s="75"/>
      <c r="BB916" s="75"/>
      <c r="BC916" s="75"/>
      <c r="BD916" s="75"/>
      <c r="BE916" s="75"/>
      <c r="BF916" s="75"/>
      <c r="BG916" s="75"/>
      <c r="BH916" s="75"/>
      <c r="BI916" s="75"/>
      <c r="BJ916" s="75"/>
      <c r="BK916" s="75"/>
      <c r="BL916" s="75"/>
      <c r="BM916" s="75"/>
    </row>
    <row r="917">
      <c r="A917" s="75"/>
      <c r="B917" s="75"/>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c r="AA917" s="71"/>
      <c r="AB917" s="71"/>
      <c r="AC917" s="71"/>
      <c r="AD917" s="75"/>
      <c r="AE917" s="75"/>
      <c r="AF917" s="75"/>
      <c r="AG917" s="75"/>
      <c r="AH917" s="75"/>
      <c r="AI917" s="75"/>
      <c r="AJ917" s="75"/>
      <c r="AK917" s="75"/>
      <c r="AL917" s="75"/>
      <c r="AM917" s="75"/>
      <c r="AN917" s="75"/>
      <c r="AO917" s="75"/>
      <c r="AP917" s="75"/>
      <c r="AQ917" s="75"/>
      <c r="AR917" s="75"/>
      <c r="AS917" s="75"/>
      <c r="AT917" s="75"/>
      <c r="AU917" s="75"/>
      <c r="AV917" s="75"/>
      <c r="AW917" s="75"/>
      <c r="AX917" s="75"/>
      <c r="AY917" s="75"/>
      <c r="AZ917" s="75"/>
      <c r="BA917" s="75"/>
      <c r="BB917" s="75"/>
      <c r="BC917" s="75"/>
      <c r="BD917" s="75"/>
      <c r="BE917" s="75"/>
      <c r="BF917" s="75"/>
      <c r="BG917" s="75"/>
      <c r="BH917" s="75"/>
      <c r="BI917" s="75"/>
      <c r="BJ917" s="75"/>
      <c r="BK917" s="75"/>
      <c r="BL917" s="75"/>
      <c r="BM917" s="75"/>
    </row>
    <row r="918">
      <c r="A918" s="75"/>
      <c r="B918" s="75"/>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c r="AA918" s="71"/>
      <c r="AB918" s="71"/>
      <c r="AC918" s="71"/>
      <c r="AD918" s="75"/>
      <c r="AE918" s="75"/>
      <c r="AF918" s="75"/>
      <c r="AG918" s="75"/>
      <c r="AH918" s="75"/>
      <c r="AI918" s="75"/>
      <c r="AJ918" s="75"/>
      <c r="AK918" s="75"/>
      <c r="AL918" s="75"/>
      <c r="AM918" s="75"/>
      <c r="AN918" s="75"/>
      <c r="AO918" s="75"/>
      <c r="AP918" s="75"/>
      <c r="AQ918" s="75"/>
      <c r="AR918" s="75"/>
      <c r="AS918" s="75"/>
      <c r="AT918" s="75"/>
      <c r="AU918" s="75"/>
      <c r="AV918" s="75"/>
      <c r="AW918" s="75"/>
      <c r="AX918" s="75"/>
      <c r="AY918" s="75"/>
      <c r="AZ918" s="75"/>
      <c r="BA918" s="75"/>
      <c r="BB918" s="75"/>
      <c r="BC918" s="75"/>
      <c r="BD918" s="75"/>
      <c r="BE918" s="75"/>
      <c r="BF918" s="75"/>
      <c r="BG918" s="75"/>
      <c r="BH918" s="75"/>
      <c r="BI918" s="75"/>
      <c r="BJ918" s="75"/>
      <c r="BK918" s="75"/>
      <c r="BL918" s="75"/>
      <c r="BM918" s="75"/>
    </row>
    <row r="919">
      <c r="A919" s="75"/>
      <c r="B919" s="75"/>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c r="AA919" s="71"/>
      <c r="AB919" s="71"/>
      <c r="AC919" s="71"/>
      <c r="AD919" s="75"/>
      <c r="AE919" s="75"/>
      <c r="AF919" s="75"/>
      <c r="AG919" s="75"/>
      <c r="AH919" s="75"/>
      <c r="AI919" s="75"/>
      <c r="AJ919" s="75"/>
      <c r="AK919" s="75"/>
      <c r="AL919" s="75"/>
      <c r="AM919" s="75"/>
      <c r="AN919" s="75"/>
      <c r="AO919" s="75"/>
      <c r="AP919" s="75"/>
      <c r="AQ919" s="75"/>
      <c r="AR919" s="75"/>
      <c r="AS919" s="75"/>
      <c r="AT919" s="75"/>
      <c r="AU919" s="75"/>
      <c r="AV919" s="75"/>
      <c r="AW919" s="75"/>
      <c r="AX919" s="75"/>
      <c r="AY919" s="75"/>
      <c r="AZ919" s="75"/>
      <c r="BA919" s="75"/>
      <c r="BB919" s="75"/>
      <c r="BC919" s="75"/>
      <c r="BD919" s="75"/>
      <c r="BE919" s="75"/>
      <c r="BF919" s="75"/>
      <c r="BG919" s="75"/>
      <c r="BH919" s="75"/>
      <c r="BI919" s="75"/>
      <c r="BJ919" s="75"/>
      <c r="BK919" s="75"/>
      <c r="BL919" s="75"/>
      <c r="BM919" s="75"/>
    </row>
    <row r="920">
      <c r="A920" s="75"/>
      <c r="B920" s="75"/>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c r="AA920" s="71"/>
      <c r="AB920" s="71"/>
      <c r="AC920" s="71"/>
      <c r="AD920" s="75"/>
      <c r="AE920" s="75"/>
      <c r="AF920" s="75"/>
      <c r="AG920" s="75"/>
      <c r="AH920" s="75"/>
      <c r="AI920" s="75"/>
      <c r="AJ920" s="75"/>
      <c r="AK920" s="75"/>
      <c r="AL920" s="75"/>
      <c r="AM920" s="75"/>
      <c r="AN920" s="75"/>
      <c r="AO920" s="75"/>
      <c r="AP920" s="75"/>
      <c r="AQ920" s="75"/>
      <c r="AR920" s="75"/>
      <c r="AS920" s="75"/>
      <c r="AT920" s="75"/>
      <c r="AU920" s="75"/>
      <c r="AV920" s="75"/>
      <c r="AW920" s="75"/>
      <c r="AX920" s="75"/>
      <c r="AY920" s="75"/>
      <c r="AZ920" s="75"/>
      <c r="BA920" s="75"/>
      <c r="BB920" s="75"/>
      <c r="BC920" s="75"/>
      <c r="BD920" s="75"/>
      <c r="BE920" s="75"/>
      <c r="BF920" s="75"/>
      <c r="BG920" s="75"/>
      <c r="BH920" s="75"/>
      <c r="BI920" s="75"/>
      <c r="BJ920" s="75"/>
      <c r="BK920" s="75"/>
      <c r="BL920" s="75"/>
      <c r="BM920" s="75"/>
    </row>
    <row r="921">
      <c r="A921" s="75"/>
      <c r="B921" s="75"/>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c r="AA921" s="71"/>
      <c r="AB921" s="71"/>
      <c r="AC921" s="71"/>
      <c r="AD921" s="75"/>
      <c r="AE921" s="75"/>
      <c r="AF921" s="75"/>
      <c r="AG921" s="75"/>
      <c r="AH921" s="75"/>
      <c r="AI921" s="75"/>
      <c r="AJ921" s="75"/>
      <c r="AK921" s="75"/>
      <c r="AL921" s="75"/>
      <c r="AM921" s="75"/>
      <c r="AN921" s="75"/>
      <c r="AO921" s="75"/>
      <c r="AP921" s="75"/>
      <c r="AQ921" s="75"/>
      <c r="AR921" s="75"/>
      <c r="AS921" s="75"/>
      <c r="AT921" s="75"/>
      <c r="AU921" s="75"/>
      <c r="AV921" s="75"/>
      <c r="AW921" s="75"/>
      <c r="AX921" s="75"/>
      <c r="AY921" s="75"/>
      <c r="AZ921" s="75"/>
      <c r="BA921" s="75"/>
      <c r="BB921" s="75"/>
      <c r="BC921" s="75"/>
      <c r="BD921" s="75"/>
      <c r="BE921" s="75"/>
      <c r="BF921" s="75"/>
      <c r="BG921" s="75"/>
      <c r="BH921" s="75"/>
      <c r="BI921" s="75"/>
      <c r="BJ921" s="75"/>
      <c r="BK921" s="75"/>
      <c r="BL921" s="75"/>
      <c r="BM921" s="75"/>
    </row>
    <row r="922">
      <c r="A922" s="75"/>
      <c r="B922" s="75"/>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c r="AA922" s="71"/>
      <c r="AB922" s="71"/>
      <c r="AC922" s="71"/>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c r="BA922" s="75"/>
      <c r="BB922" s="75"/>
      <c r="BC922" s="75"/>
      <c r="BD922" s="75"/>
      <c r="BE922" s="75"/>
      <c r="BF922" s="75"/>
      <c r="BG922" s="75"/>
      <c r="BH922" s="75"/>
      <c r="BI922" s="75"/>
      <c r="BJ922" s="75"/>
      <c r="BK922" s="75"/>
      <c r="BL922" s="75"/>
      <c r="BM922" s="75"/>
    </row>
    <row r="923">
      <c r="A923" s="75"/>
      <c r="B923" s="75"/>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c r="AA923" s="71"/>
      <c r="AB923" s="71"/>
      <c r="AC923" s="71"/>
      <c r="AD923" s="75"/>
      <c r="AE923" s="75"/>
      <c r="AF923" s="75"/>
      <c r="AG923" s="75"/>
      <c r="AH923" s="75"/>
      <c r="AI923" s="75"/>
      <c r="AJ923" s="75"/>
      <c r="AK923" s="75"/>
      <c r="AL923" s="75"/>
      <c r="AM923" s="75"/>
      <c r="AN923" s="75"/>
      <c r="AO923" s="75"/>
      <c r="AP923" s="75"/>
      <c r="AQ923" s="75"/>
      <c r="AR923" s="75"/>
      <c r="AS923" s="75"/>
      <c r="AT923" s="75"/>
      <c r="AU923" s="75"/>
      <c r="AV923" s="75"/>
      <c r="AW923" s="75"/>
      <c r="AX923" s="75"/>
      <c r="AY923" s="75"/>
      <c r="AZ923" s="75"/>
      <c r="BA923" s="75"/>
      <c r="BB923" s="75"/>
      <c r="BC923" s="75"/>
      <c r="BD923" s="75"/>
      <c r="BE923" s="75"/>
      <c r="BF923" s="75"/>
      <c r="BG923" s="75"/>
      <c r="BH923" s="75"/>
      <c r="BI923" s="75"/>
      <c r="BJ923" s="75"/>
      <c r="BK923" s="75"/>
      <c r="BL923" s="75"/>
      <c r="BM923" s="75"/>
    </row>
    <row r="924">
      <c r="A924" s="75"/>
      <c r="B924" s="75"/>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c r="AA924" s="71"/>
      <c r="AB924" s="71"/>
      <c r="AC924" s="71"/>
      <c r="AD924" s="75"/>
      <c r="AE924" s="75"/>
      <c r="AF924" s="75"/>
      <c r="AG924" s="75"/>
      <c r="AH924" s="75"/>
      <c r="AI924" s="75"/>
      <c r="AJ924" s="75"/>
      <c r="AK924" s="75"/>
      <c r="AL924" s="75"/>
      <c r="AM924" s="75"/>
      <c r="AN924" s="75"/>
      <c r="AO924" s="75"/>
      <c r="AP924" s="75"/>
      <c r="AQ924" s="75"/>
      <c r="AR924" s="75"/>
      <c r="AS924" s="75"/>
      <c r="AT924" s="75"/>
      <c r="AU924" s="75"/>
      <c r="AV924" s="75"/>
      <c r="AW924" s="75"/>
      <c r="AX924" s="75"/>
      <c r="AY924" s="75"/>
      <c r="AZ924" s="75"/>
      <c r="BA924" s="75"/>
      <c r="BB924" s="75"/>
      <c r="BC924" s="75"/>
      <c r="BD924" s="75"/>
      <c r="BE924" s="75"/>
      <c r="BF924" s="75"/>
      <c r="BG924" s="75"/>
      <c r="BH924" s="75"/>
      <c r="BI924" s="75"/>
      <c r="BJ924" s="75"/>
      <c r="BK924" s="75"/>
      <c r="BL924" s="75"/>
      <c r="BM924" s="75"/>
    </row>
    <row r="925">
      <c r="A925" s="75"/>
      <c r="B925" s="75"/>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c r="AA925" s="71"/>
      <c r="AB925" s="71"/>
      <c r="AC925" s="71"/>
      <c r="AD925" s="75"/>
      <c r="AE925" s="75"/>
      <c r="AF925" s="75"/>
      <c r="AG925" s="75"/>
      <c r="AH925" s="75"/>
      <c r="AI925" s="75"/>
      <c r="AJ925" s="75"/>
      <c r="AK925" s="75"/>
      <c r="AL925" s="75"/>
      <c r="AM925" s="75"/>
      <c r="AN925" s="75"/>
      <c r="AO925" s="75"/>
      <c r="AP925" s="75"/>
      <c r="AQ925" s="75"/>
      <c r="AR925" s="75"/>
      <c r="AS925" s="75"/>
      <c r="AT925" s="75"/>
      <c r="AU925" s="75"/>
      <c r="AV925" s="75"/>
      <c r="AW925" s="75"/>
      <c r="AX925" s="75"/>
      <c r="AY925" s="75"/>
      <c r="AZ925" s="75"/>
      <c r="BA925" s="75"/>
      <c r="BB925" s="75"/>
      <c r="BC925" s="75"/>
      <c r="BD925" s="75"/>
      <c r="BE925" s="75"/>
      <c r="BF925" s="75"/>
      <c r="BG925" s="75"/>
      <c r="BH925" s="75"/>
      <c r="BI925" s="75"/>
      <c r="BJ925" s="75"/>
      <c r="BK925" s="75"/>
      <c r="BL925" s="75"/>
      <c r="BM925" s="75"/>
    </row>
    <row r="926">
      <c r="A926" s="75"/>
      <c r="B926" s="75"/>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c r="AA926" s="71"/>
      <c r="AB926" s="71"/>
      <c r="AC926" s="71"/>
      <c r="AD926" s="75"/>
      <c r="AE926" s="75"/>
      <c r="AF926" s="75"/>
      <c r="AG926" s="75"/>
      <c r="AH926" s="75"/>
      <c r="AI926" s="75"/>
      <c r="AJ926" s="75"/>
      <c r="AK926" s="75"/>
      <c r="AL926" s="75"/>
      <c r="AM926" s="75"/>
      <c r="AN926" s="75"/>
      <c r="AO926" s="75"/>
      <c r="AP926" s="75"/>
      <c r="AQ926" s="75"/>
      <c r="AR926" s="75"/>
      <c r="AS926" s="75"/>
      <c r="AT926" s="75"/>
      <c r="AU926" s="75"/>
      <c r="AV926" s="75"/>
      <c r="AW926" s="75"/>
      <c r="AX926" s="75"/>
      <c r="AY926" s="75"/>
      <c r="AZ926" s="75"/>
      <c r="BA926" s="75"/>
      <c r="BB926" s="75"/>
      <c r="BC926" s="75"/>
      <c r="BD926" s="75"/>
      <c r="BE926" s="75"/>
      <c r="BF926" s="75"/>
      <c r="BG926" s="75"/>
      <c r="BH926" s="75"/>
      <c r="BI926" s="75"/>
      <c r="BJ926" s="75"/>
      <c r="BK926" s="75"/>
      <c r="BL926" s="75"/>
      <c r="BM926" s="75"/>
    </row>
    <row r="927">
      <c r="A927" s="75"/>
      <c r="B927" s="75"/>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c r="AA927" s="71"/>
      <c r="AB927" s="71"/>
      <c r="AC927" s="71"/>
      <c r="AD927" s="75"/>
      <c r="AE927" s="75"/>
      <c r="AF927" s="75"/>
      <c r="AG927" s="75"/>
      <c r="AH927" s="75"/>
      <c r="AI927" s="75"/>
      <c r="AJ927" s="75"/>
      <c r="AK927" s="75"/>
      <c r="AL927" s="75"/>
      <c r="AM927" s="75"/>
      <c r="AN927" s="75"/>
      <c r="AO927" s="75"/>
      <c r="AP927" s="75"/>
      <c r="AQ927" s="75"/>
      <c r="AR927" s="75"/>
      <c r="AS927" s="75"/>
      <c r="AT927" s="75"/>
      <c r="AU927" s="75"/>
      <c r="AV927" s="75"/>
      <c r="AW927" s="75"/>
      <c r="AX927" s="75"/>
      <c r="AY927" s="75"/>
      <c r="AZ927" s="75"/>
      <c r="BA927" s="75"/>
      <c r="BB927" s="75"/>
      <c r="BC927" s="75"/>
      <c r="BD927" s="75"/>
      <c r="BE927" s="75"/>
      <c r="BF927" s="75"/>
      <c r="BG927" s="75"/>
      <c r="BH927" s="75"/>
      <c r="BI927" s="75"/>
      <c r="BJ927" s="75"/>
      <c r="BK927" s="75"/>
      <c r="BL927" s="75"/>
      <c r="BM927" s="75"/>
    </row>
    <row r="928">
      <c r="A928" s="75"/>
      <c r="B928" s="75"/>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c r="AA928" s="71"/>
      <c r="AB928" s="71"/>
      <c r="AC928" s="71"/>
      <c r="AD928" s="75"/>
      <c r="AE928" s="75"/>
      <c r="AF928" s="75"/>
      <c r="AG928" s="75"/>
      <c r="AH928" s="75"/>
      <c r="AI928" s="75"/>
      <c r="AJ928" s="75"/>
      <c r="AK928" s="75"/>
      <c r="AL928" s="75"/>
      <c r="AM928" s="75"/>
      <c r="AN928" s="75"/>
      <c r="AO928" s="75"/>
      <c r="AP928" s="75"/>
      <c r="AQ928" s="75"/>
      <c r="AR928" s="75"/>
      <c r="AS928" s="75"/>
      <c r="AT928" s="75"/>
      <c r="AU928" s="75"/>
      <c r="AV928" s="75"/>
      <c r="AW928" s="75"/>
      <c r="AX928" s="75"/>
      <c r="AY928" s="75"/>
      <c r="AZ928" s="75"/>
      <c r="BA928" s="75"/>
      <c r="BB928" s="75"/>
      <c r="BC928" s="75"/>
      <c r="BD928" s="75"/>
      <c r="BE928" s="75"/>
      <c r="BF928" s="75"/>
      <c r="BG928" s="75"/>
      <c r="BH928" s="75"/>
      <c r="BI928" s="75"/>
      <c r="BJ928" s="75"/>
      <c r="BK928" s="75"/>
      <c r="BL928" s="75"/>
      <c r="BM928" s="75"/>
    </row>
    <row r="929">
      <c r="A929" s="75"/>
      <c r="B929" s="75"/>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c r="AA929" s="71"/>
      <c r="AB929" s="71"/>
      <c r="AC929" s="71"/>
      <c r="AD929" s="75"/>
      <c r="AE929" s="75"/>
      <c r="AF929" s="75"/>
      <c r="AG929" s="75"/>
      <c r="AH929" s="75"/>
      <c r="AI929" s="75"/>
      <c r="AJ929" s="75"/>
      <c r="AK929" s="75"/>
      <c r="AL929" s="75"/>
      <c r="AM929" s="75"/>
      <c r="AN929" s="75"/>
      <c r="AO929" s="75"/>
      <c r="AP929" s="75"/>
      <c r="AQ929" s="75"/>
      <c r="AR929" s="75"/>
      <c r="AS929" s="75"/>
      <c r="AT929" s="75"/>
      <c r="AU929" s="75"/>
      <c r="AV929" s="75"/>
      <c r="AW929" s="75"/>
      <c r="AX929" s="75"/>
      <c r="AY929" s="75"/>
      <c r="AZ929" s="75"/>
      <c r="BA929" s="75"/>
      <c r="BB929" s="75"/>
      <c r="BC929" s="75"/>
      <c r="BD929" s="75"/>
      <c r="BE929" s="75"/>
      <c r="BF929" s="75"/>
      <c r="BG929" s="75"/>
      <c r="BH929" s="75"/>
      <c r="BI929" s="75"/>
      <c r="BJ929" s="75"/>
      <c r="BK929" s="75"/>
      <c r="BL929" s="75"/>
      <c r="BM929" s="75"/>
    </row>
    <row r="930">
      <c r="A930" s="75"/>
      <c r="B930" s="75"/>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c r="AA930" s="71"/>
      <c r="AB930" s="71"/>
      <c r="AC930" s="71"/>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c r="BA930" s="75"/>
      <c r="BB930" s="75"/>
      <c r="BC930" s="75"/>
      <c r="BD930" s="75"/>
      <c r="BE930" s="75"/>
      <c r="BF930" s="75"/>
      <c r="BG930" s="75"/>
      <c r="BH930" s="75"/>
      <c r="BI930" s="75"/>
      <c r="BJ930" s="75"/>
      <c r="BK930" s="75"/>
      <c r="BL930" s="75"/>
      <c r="BM930" s="75"/>
    </row>
    <row r="931">
      <c r="A931" s="75"/>
      <c r="B931" s="75"/>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c r="AA931" s="71"/>
      <c r="AB931" s="71"/>
      <c r="AC931" s="71"/>
      <c r="AD931" s="75"/>
      <c r="AE931" s="75"/>
      <c r="AF931" s="75"/>
      <c r="AG931" s="75"/>
      <c r="AH931" s="75"/>
      <c r="AI931" s="75"/>
      <c r="AJ931" s="75"/>
      <c r="AK931" s="75"/>
      <c r="AL931" s="75"/>
      <c r="AM931" s="75"/>
      <c r="AN931" s="75"/>
      <c r="AO931" s="75"/>
      <c r="AP931" s="75"/>
      <c r="AQ931" s="75"/>
      <c r="AR931" s="75"/>
      <c r="AS931" s="75"/>
      <c r="AT931" s="75"/>
      <c r="AU931" s="75"/>
      <c r="AV931" s="75"/>
      <c r="AW931" s="75"/>
      <c r="AX931" s="75"/>
      <c r="AY931" s="75"/>
      <c r="AZ931" s="75"/>
      <c r="BA931" s="75"/>
      <c r="BB931" s="75"/>
      <c r="BC931" s="75"/>
      <c r="BD931" s="75"/>
      <c r="BE931" s="75"/>
      <c r="BF931" s="75"/>
      <c r="BG931" s="75"/>
      <c r="BH931" s="75"/>
      <c r="BI931" s="75"/>
      <c r="BJ931" s="75"/>
      <c r="BK931" s="75"/>
      <c r="BL931" s="75"/>
      <c r="BM931" s="75"/>
    </row>
    <row r="932">
      <c r="A932" s="75"/>
      <c r="B932" s="75"/>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c r="AA932" s="71"/>
      <c r="AB932" s="71"/>
      <c r="AC932" s="71"/>
      <c r="AD932" s="75"/>
      <c r="AE932" s="75"/>
      <c r="AF932" s="75"/>
      <c r="AG932" s="75"/>
      <c r="AH932" s="75"/>
      <c r="AI932" s="75"/>
      <c r="AJ932" s="75"/>
      <c r="AK932" s="75"/>
      <c r="AL932" s="75"/>
      <c r="AM932" s="75"/>
      <c r="AN932" s="75"/>
      <c r="AO932" s="75"/>
      <c r="AP932" s="75"/>
      <c r="AQ932" s="75"/>
      <c r="AR932" s="75"/>
      <c r="AS932" s="75"/>
      <c r="AT932" s="75"/>
      <c r="AU932" s="75"/>
      <c r="AV932" s="75"/>
      <c r="AW932" s="75"/>
      <c r="AX932" s="75"/>
      <c r="AY932" s="75"/>
      <c r="AZ932" s="75"/>
      <c r="BA932" s="75"/>
      <c r="BB932" s="75"/>
      <c r="BC932" s="75"/>
      <c r="BD932" s="75"/>
      <c r="BE932" s="75"/>
      <c r="BF932" s="75"/>
      <c r="BG932" s="75"/>
      <c r="BH932" s="75"/>
      <c r="BI932" s="75"/>
      <c r="BJ932" s="75"/>
      <c r="BK932" s="75"/>
      <c r="BL932" s="75"/>
      <c r="BM932" s="75"/>
    </row>
    <row r="933">
      <c r="A933" s="75"/>
      <c r="B933" s="75"/>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c r="AA933" s="71"/>
      <c r="AB933" s="71"/>
      <c r="AC933" s="71"/>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c r="BA933" s="75"/>
      <c r="BB933" s="75"/>
      <c r="BC933" s="75"/>
      <c r="BD933" s="75"/>
      <c r="BE933" s="75"/>
      <c r="BF933" s="75"/>
      <c r="BG933" s="75"/>
      <c r="BH933" s="75"/>
      <c r="BI933" s="75"/>
      <c r="BJ933" s="75"/>
      <c r="BK933" s="75"/>
      <c r="BL933" s="75"/>
      <c r="BM933" s="75"/>
    </row>
    <row r="934">
      <c r="A934" s="75"/>
      <c r="B934" s="75"/>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c r="AA934" s="71"/>
      <c r="AB934" s="71"/>
      <c r="AC934" s="71"/>
      <c r="AD934" s="75"/>
      <c r="AE934" s="75"/>
      <c r="AF934" s="75"/>
      <c r="AG934" s="75"/>
      <c r="AH934" s="75"/>
      <c r="AI934" s="75"/>
      <c r="AJ934" s="75"/>
      <c r="AK934" s="75"/>
      <c r="AL934" s="75"/>
      <c r="AM934" s="75"/>
      <c r="AN934" s="75"/>
      <c r="AO934" s="75"/>
      <c r="AP934" s="75"/>
      <c r="AQ934" s="75"/>
      <c r="AR934" s="75"/>
      <c r="AS934" s="75"/>
      <c r="AT934" s="75"/>
      <c r="AU934" s="75"/>
      <c r="AV934" s="75"/>
      <c r="AW934" s="75"/>
      <c r="AX934" s="75"/>
      <c r="AY934" s="75"/>
      <c r="AZ934" s="75"/>
      <c r="BA934" s="75"/>
      <c r="BB934" s="75"/>
      <c r="BC934" s="75"/>
      <c r="BD934" s="75"/>
      <c r="BE934" s="75"/>
      <c r="BF934" s="75"/>
      <c r="BG934" s="75"/>
      <c r="BH934" s="75"/>
      <c r="BI934" s="75"/>
      <c r="BJ934" s="75"/>
      <c r="BK934" s="75"/>
      <c r="BL934" s="75"/>
      <c r="BM934" s="75"/>
    </row>
    <row r="935">
      <c r="A935" s="75"/>
      <c r="B935" s="75"/>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c r="AA935" s="71"/>
      <c r="AB935" s="71"/>
      <c r="AC935" s="71"/>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c r="BA935" s="75"/>
      <c r="BB935" s="75"/>
      <c r="BC935" s="75"/>
      <c r="BD935" s="75"/>
      <c r="BE935" s="75"/>
      <c r="BF935" s="75"/>
      <c r="BG935" s="75"/>
      <c r="BH935" s="75"/>
      <c r="BI935" s="75"/>
      <c r="BJ935" s="75"/>
      <c r="BK935" s="75"/>
      <c r="BL935" s="75"/>
      <c r="BM935" s="75"/>
    </row>
    <row r="936">
      <c r="A936" s="75"/>
      <c r="B936" s="75"/>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c r="AA936" s="71"/>
      <c r="AB936" s="71"/>
      <c r="AC936" s="71"/>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c r="BA936" s="75"/>
      <c r="BB936" s="75"/>
      <c r="BC936" s="75"/>
      <c r="BD936" s="75"/>
      <c r="BE936" s="75"/>
      <c r="BF936" s="75"/>
      <c r="BG936" s="75"/>
      <c r="BH936" s="75"/>
      <c r="BI936" s="75"/>
      <c r="BJ936" s="75"/>
      <c r="BK936" s="75"/>
      <c r="BL936" s="75"/>
      <c r="BM936" s="75"/>
    </row>
    <row r="937">
      <c r="A937" s="75"/>
      <c r="B937" s="75"/>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c r="AA937" s="71"/>
      <c r="AB937" s="71"/>
      <c r="AC937" s="71"/>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c r="BA937" s="75"/>
      <c r="BB937" s="75"/>
      <c r="BC937" s="75"/>
      <c r="BD937" s="75"/>
      <c r="BE937" s="75"/>
      <c r="BF937" s="75"/>
      <c r="BG937" s="75"/>
      <c r="BH937" s="75"/>
      <c r="BI937" s="75"/>
      <c r="BJ937" s="75"/>
      <c r="BK937" s="75"/>
      <c r="BL937" s="75"/>
      <c r="BM937" s="75"/>
    </row>
    <row r="938">
      <c r="A938" s="75"/>
      <c r="B938" s="75"/>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c r="AA938" s="71"/>
      <c r="AB938" s="71"/>
      <c r="AC938" s="71"/>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c r="BA938" s="75"/>
      <c r="BB938" s="75"/>
      <c r="BC938" s="75"/>
      <c r="BD938" s="75"/>
      <c r="BE938" s="75"/>
      <c r="BF938" s="75"/>
      <c r="BG938" s="75"/>
      <c r="BH938" s="75"/>
      <c r="BI938" s="75"/>
      <c r="BJ938" s="75"/>
      <c r="BK938" s="75"/>
      <c r="BL938" s="75"/>
      <c r="BM938" s="75"/>
    </row>
    <row r="939">
      <c r="A939" s="75"/>
      <c r="B939" s="75"/>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c r="AA939" s="71"/>
      <c r="AB939" s="71"/>
      <c r="AC939" s="71"/>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c r="BA939" s="75"/>
      <c r="BB939" s="75"/>
      <c r="BC939" s="75"/>
      <c r="BD939" s="75"/>
      <c r="BE939" s="75"/>
      <c r="BF939" s="75"/>
      <c r="BG939" s="75"/>
      <c r="BH939" s="75"/>
      <c r="BI939" s="75"/>
      <c r="BJ939" s="75"/>
      <c r="BK939" s="75"/>
      <c r="BL939" s="75"/>
      <c r="BM939" s="75"/>
    </row>
    <row r="940">
      <c r="A940" s="75"/>
      <c r="B940" s="75"/>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c r="AA940" s="71"/>
      <c r="AB940" s="71"/>
      <c r="AC940" s="71"/>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c r="BA940" s="75"/>
      <c r="BB940" s="75"/>
      <c r="BC940" s="75"/>
      <c r="BD940" s="75"/>
      <c r="BE940" s="75"/>
      <c r="BF940" s="75"/>
      <c r="BG940" s="75"/>
      <c r="BH940" s="75"/>
      <c r="BI940" s="75"/>
      <c r="BJ940" s="75"/>
      <c r="BK940" s="75"/>
      <c r="BL940" s="75"/>
      <c r="BM940" s="75"/>
    </row>
    <row r="941">
      <c r="A941" s="75"/>
      <c r="B941" s="75"/>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c r="AA941" s="71"/>
      <c r="AB941" s="71"/>
      <c r="AC941" s="71"/>
      <c r="AD941" s="75"/>
      <c r="AE941" s="75"/>
      <c r="AF941" s="75"/>
      <c r="AG941" s="75"/>
      <c r="AH941" s="75"/>
      <c r="AI941" s="75"/>
      <c r="AJ941" s="75"/>
      <c r="AK941" s="75"/>
      <c r="AL941" s="75"/>
      <c r="AM941" s="75"/>
      <c r="AN941" s="75"/>
      <c r="AO941" s="75"/>
      <c r="AP941" s="75"/>
      <c r="AQ941" s="75"/>
      <c r="AR941" s="75"/>
      <c r="AS941" s="75"/>
      <c r="AT941" s="75"/>
      <c r="AU941" s="75"/>
      <c r="AV941" s="75"/>
      <c r="AW941" s="75"/>
      <c r="AX941" s="75"/>
      <c r="AY941" s="75"/>
      <c r="AZ941" s="75"/>
      <c r="BA941" s="75"/>
      <c r="BB941" s="75"/>
      <c r="BC941" s="75"/>
      <c r="BD941" s="75"/>
      <c r="BE941" s="75"/>
      <c r="BF941" s="75"/>
      <c r="BG941" s="75"/>
      <c r="BH941" s="75"/>
      <c r="BI941" s="75"/>
      <c r="BJ941" s="75"/>
      <c r="BK941" s="75"/>
      <c r="BL941" s="75"/>
      <c r="BM941" s="75"/>
    </row>
    <row r="942">
      <c r="A942" s="75"/>
      <c r="B942" s="75"/>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1"/>
      <c r="AB942" s="71"/>
      <c r="AC942" s="71"/>
      <c r="AD942" s="75"/>
      <c r="AE942" s="75"/>
      <c r="AF942" s="75"/>
      <c r="AG942" s="75"/>
      <c r="AH942" s="75"/>
      <c r="AI942" s="75"/>
      <c r="AJ942" s="75"/>
      <c r="AK942" s="75"/>
      <c r="AL942" s="75"/>
      <c r="AM942" s="75"/>
      <c r="AN942" s="75"/>
      <c r="AO942" s="75"/>
      <c r="AP942" s="75"/>
      <c r="AQ942" s="75"/>
      <c r="AR942" s="75"/>
      <c r="AS942" s="75"/>
      <c r="AT942" s="75"/>
      <c r="AU942" s="75"/>
      <c r="AV942" s="75"/>
      <c r="AW942" s="75"/>
      <c r="AX942" s="75"/>
      <c r="AY942" s="75"/>
      <c r="AZ942" s="75"/>
      <c r="BA942" s="75"/>
      <c r="BB942" s="75"/>
      <c r="BC942" s="75"/>
      <c r="BD942" s="75"/>
      <c r="BE942" s="75"/>
      <c r="BF942" s="75"/>
      <c r="BG942" s="75"/>
      <c r="BH942" s="75"/>
      <c r="BI942" s="75"/>
      <c r="BJ942" s="75"/>
      <c r="BK942" s="75"/>
      <c r="BL942" s="75"/>
      <c r="BM942" s="75"/>
    </row>
    <row r="943">
      <c r="A943" s="75"/>
      <c r="B943" s="75"/>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c r="AA943" s="71"/>
      <c r="AB943" s="71"/>
      <c r="AC943" s="71"/>
      <c r="AD943" s="75"/>
      <c r="AE943" s="75"/>
      <c r="AF943" s="75"/>
      <c r="AG943" s="75"/>
      <c r="AH943" s="75"/>
      <c r="AI943" s="75"/>
      <c r="AJ943" s="75"/>
      <c r="AK943" s="75"/>
      <c r="AL943" s="75"/>
      <c r="AM943" s="75"/>
      <c r="AN943" s="75"/>
      <c r="AO943" s="75"/>
      <c r="AP943" s="75"/>
      <c r="AQ943" s="75"/>
      <c r="AR943" s="75"/>
      <c r="AS943" s="75"/>
      <c r="AT943" s="75"/>
      <c r="AU943" s="75"/>
      <c r="AV943" s="75"/>
      <c r="AW943" s="75"/>
      <c r="AX943" s="75"/>
      <c r="AY943" s="75"/>
      <c r="AZ943" s="75"/>
      <c r="BA943" s="75"/>
      <c r="BB943" s="75"/>
      <c r="BC943" s="75"/>
      <c r="BD943" s="75"/>
      <c r="BE943" s="75"/>
      <c r="BF943" s="75"/>
      <c r="BG943" s="75"/>
      <c r="BH943" s="75"/>
      <c r="BI943" s="75"/>
      <c r="BJ943" s="75"/>
      <c r="BK943" s="75"/>
      <c r="BL943" s="75"/>
      <c r="BM943" s="75"/>
    </row>
    <row r="944">
      <c r="A944" s="75"/>
      <c r="B944" s="75"/>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c r="AA944" s="71"/>
      <c r="AB944" s="71"/>
      <c r="AC944" s="71"/>
      <c r="AD944" s="75"/>
      <c r="AE944" s="75"/>
      <c r="AF944" s="75"/>
      <c r="AG944" s="75"/>
      <c r="AH944" s="75"/>
      <c r="AI944" s="75"/>
      <c r="AJ944" s="75"/>
      <c r="AK944" s="75"/>
      <c r="AL944" s="75"/>
      <c r="AM944" s="75"/>
      <c r="AN944" s="75"/>
      <c r="AO944" s="75"/>
      <c r="AP944" s="75"/>
      <c r="AQ944" s="75"/>
      <c r="AR944" s="75"/>
      <c r="AS944" s="75"/>
      <c r="AT944" s="75"/>
      <c r="AU944" s="75"/>
      <c r="AV944" s="75"/>
      <c r="AW944" s="75"/>
      <c r="AX944" s="75"/>
      <c r="AY944" s="75"/>
      <c r="AZ944" s="75"/>
      <c r="BA944" s="75"/>
      <c r="BB944" s="75"/>
      <c r="BC944" s="75"/>
      <c r="BD944" s="75"/>
      <c r="BE944" s="75"/>
      <c r="BF944" s="75"/>
      <c r="BG944" s="75"/>
      <c r="BH944" s="75"/>
      <c r="BI944" s="75"/>
      <c r="BJ944" s="75"/>
      <c r="BK944" s="75"/>
      <c r="BL944" s="75"/>
      <c r="BM944" s="75"/>
    </row>
    <row r="945">
      <c r="A945" s="75"/>
      <c r="B945" s="75"/>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c r="AA945" s="71"/>
      <c r="AB945" s="71"/>
      <c r="AC945" s="71"/>
      <c r="AD945" s="75"/>
      <c r="AE945" s="75"/>
      <c r="AF945" s="75"/>
      <c r="AG945" s="75"/>
      <c r="AH945" s="75"/>
      <c r="AI945" s="75"/>
      <c r="AJ945" s="75"/>
      <c r="AK945" s="75"/>
      <c r="AL945" s="75"/>
      <c r="AM945" s="75"/>
      <c r="AN945" s="75"/>
      <c r="AO945" s="75"/>
      <c r="AP945" s="75"/>
      <c r="AQ945" s="75"/>
      <c r="AR945" s="75"/>
      <c r="AS945" s="75"/>
      <c r="AT945" s="75"/>
      <c r="AU945" s="75"/>
      <c r="AV945" s="75"/>
      <c r="AW945" s="75"/>
      <c r="AX945" s="75"/>
      <c r="AY945" s="75"/>
      <c r="AZ945" s="75"/>
      <c r="BA945" s="75"/>
      <c r="BB945" s="75"/>
      <c r="BC945" s="75"/>
      <c r="BD945" s="75"/>
      <c r="BE945" s="75"/>
      <c r="BF945" s="75"/>
      <c r="BG945" s="75"/>
      <c r="BH945" s="75"/>
      <c r="BI945" s="75"/>
      <c r="BJ945" s="75"/>
      <c r="BK945" s="75"/>
      <c r="BL945" s="75"/>
      <c r="BM945" s="75"/>
    </row>
    <row r="946">
      <c r="A946" s="75"/>
      <c r="B946" s="75"/>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c r="AA946" s="71"/>
      <c r="AB946" s="71"/>
      <c r="AC946" s="71"/>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c r="BA946" s="75"/>
      <c r="BB946" s="75"/>
      <c r="BC946" s="75"/>
      <c r="BD946" s="75"/>
      <c r="BE946" s="75"/>
      <c r="BF946" s="75"/>
      <c r="BG946" s="75"/>
      <c r="BH946" s="75"/>
      <c r="BI946" s="75"/>
      <c r="BJ946" s="75"/>
      <c r="BK946" s="75"/>
      <c r="BL946" s="75"/>
      <c r="BM946" s="75"/>
    </row>
    <row r="947">
      <c r="A947" s="75"/>
      <c r="B947" s="75"/>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c r="AA947" s="71"/>
      <c r="AB947" s="71"/>
      <c r="AC947" s="71"/>
      <c r="AD947" s="75"/>
      <c r="AE947" s="75"/>
      <c r="AF947" s="75"/>
      <c r="AG947" s="75"/>
      <c r="AH947" s="75"/>
      <c r="AI947" s="75"/>
      <c r="AJ947" s="75"/>
      <c r="AK947" s="75"/>
      <c r="AL947" s="75"/>
      <c r="AM947" s="75"/>
      <c r="AN947" s="75"/>
      <c r="AO947" s="75"/>
      <c r="AP947" s="75"/>
      <c r="AQ947" s="75"/>
      <c r="AR947" s="75"/>
      <c r="AS947" s="75"/>
      <c r="AT947" s="75"/>
      <c r="AU947" s="75"/>
      <c r="AV947" s="75"/>
      <c r="AW947" s="75"/>
      <c r="AX947" s="75"/>
      <c r="AY947" s="75"/>
      <c r="AZ947" s="75"/>
      <c r="BA947" s="75"/>
      <c r="BB947" s="75"/>
      <c r="BC947" s="75"/>
      <c r="BD947" s="75"/>
      <c r="BE947" s="75"/>
      <c r="BF947" s="75"/>
      <c r="BG947" s="75"/>
      <c r="BH947" s="75"/>
      <c r="BI947" s="75"/>
      <c r="BJ947" s="75"/>
      <c r="BK947" s="75"/>
      <c r="BL947" s="75"/>
      <c r="BM947" s="75"/>
    </row>
    <row r="948">
      <c r="A948" s="75"/>
      <c r="B948" s="75"/>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c r="AA948" s="71"/>
      <c r="AB948" s="71"/>
      <c r="AC948" s="71"/>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c r="BA948" s="75"/>
      <c r="BB948" s="75"/>
      <c r="BC948" s="75"/>
      <c r="BD948" s="75"/>
      <c r="BE948" s="75"/>
      <c r="BF948" s="75"/>
      <c r="BG948" s="75"/>
      <c r="BH948" s="75"/>
      <c r="BI948" s="75"/>
      <c r="BJ948" s="75"/>
      <c r="BK948" s="75"/>
      <c r="BL948" s="75"/>
      <c r="BM948" s="75"/>
    </row>
    <row r="949">
      <c r="A949" s="75"/>
      <c r="B949" s="75"/>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c r="AA949" s="71"/>
      <c r="AB949" s="71"/>
      <c r="AC949" s="71"/>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c r="BA949" s="75"/>
      <c r="BB949" s="75"/>
      <c r="BC949" s="75"/>
      <c r="BD949" s="75"/>
      <c r="BE949" s="75"/>
      <c r="BF949" s="75"/>
      <c r="BG949" s="75"/>
      <c r="BH949" s="75"/>
      <c r="BI949" s="75"/>
      <c r="BJ949" s="75"/>
      <c r="BK949" s="75"/>
      <c r="BL949" s="75"/>
      <c r="BM949" s="75"/>
    </row>
    <row r="950">
      <c r="A950" s="75"/>
      <c r="B950" s="75"/>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c r="AA950" s="71"/>
      <c r="AB950" s="71"/>
      <c r="AC950" s="71"/>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c r="BA950" s="75"/>
      <c r="BB950" s="75"/>
      <c r="BC950" s="75"/>
      <c r="BD950" s="75"/>
      <c r="BE950" s="75"/>
      <c r="BF950" s="75"/>
      <c r="BG950" s="75"/>
      <c r="BH950" s="75"/>
      <c r="BI950" s="75"/>
      <c r="BJ950" s="75"/>
      <c r="BK950" s="75"/>
      <c r="BL950" s="75"/>
      <c r="BM950" s="75"/>
    </row>
    <row r="951">
      <c r="A951" s="75"/>
      <c r="B951" s="75"/>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c r="AA951" s="71"/>
      <c r="AB951" s="71"/>
      <c r="AC951" s="71"/>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c r="BA951" s="75"/>
      <c r="BB951" s="75"/>
      <c r="BC951" s="75"/>
      <c r="BD951" s="75"/>
      <c r="BE951" s="75"/>
      <c r="BF951" s="75"/>
      <c r="BG951" s="75"/>
      <c r="BH951" s="75"/>
      <c r="BI951" s="75"/>
      <c r="BJ951" s="75"/>
      <c r="BK951" s="75"/>
      <c r="BL951" s="75"/>
      <c r="BM951" s="75"/>
    </row>
    <row r="952">
      <c r="A952" s="75"/>
      <c r="B952" s="75"/>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c r="AA952" s="71"/>
      <c r="AB952" s="71"/>
      <c r="AC952" s="71"/>
      <c r="AD952" s="75"/>
      <c r="AE952" s="75"/>
      <c r="AF952" s="75"/>
      <c r="AG952" s="75"/>
      <c r="AH952" s="75"/>
      <c r="AI952" s="75"/>
      <c r="AJ952" s="75"/>
      <c r="AK952" s="75"/>
      <c r="AL952" s="75"/>
      <c r="AM952" s="75"/>
      <c r="AN952" s="75"/>
      <c r="AO952" s="75"/>
      <c r="AP952" s="75"/>
      <c r="AQ952" s="75"/>
      <c r="AR952" s="75"/>
      <c r="AS952" s="75"/>
      <c r="AT952" s="75"/>
      <c r="AU952" s="75"/>
      <c r="AV952" s="75"/>
      <c r="AW952" s="75"/>
      <c r="AX952" s="75"/>
      <c r="AY952" s="75"/>
      <c r="AZ952" s="75"/>
      <c r="BA952" s="75"/>
      <c r="BB952" s="75"/>
      <c r="BC952" s="75"/>
      <c r="BD952" s="75"/>
      <c r="BE952" s="75"/>
      <c r="BF952" s="75"/>
      <c r="BG952" s="75"/>
      <c r="BH952" s="75"/>
      <c r="BI952" s="75"/>
      <c r="BJ952" s="75"/>
      <c r="BK952" s="75"/>
      <c r="BL952" s="75"/>
      <c r="BM952" s="75"/>
    </row>
    <row r="953">
      <c r="A953" s="75"/>
      <c r="B953" s="75"/>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c r="AA953" s="71"/>
      <c r="AB953" s="71"/>
      <c r="AC953" s="71"/>
      <c r="AD953" s="75"/>
      <c r="AE953" s="75"/>
      <c r="AF953" s="75"/>
      <c r="AG953" s="75"/>
      <c r="AH953" s="75"/>
      <c r="AI953" s="75"/>
      <c r="AJ953" s="75"/>
      <c r="AK953" s="75"/>
      <c r="AL953" s="75"/>
      <c r="AM953" s="75"/>
      <c r="AN953" s="75"/>
      <c r="AO953" s="75"/>
      <c r="AP953" s="75"/>
      <c r="AQ953" s="75"/>
      <c r="AR953" s="75"/>
      <c r="AS953" s="75"/>
      <c r="AT953" s="75"/>
      <c r="AU953" s="75"/>
      <c r="AV953" s="75"/>
      <c r="AW953" s="75"/>
      <c r="AX953" s="75"/>
      <c r="AY953" s="75"/>
      <c r="AZ953" s="75"/>
      <c r="BA953" s="75"/>
      <c r="BB953" s="75"/>
      <c r="BC953" s="75"/>
      <c r="BD953" s="75"/>
      <c r="BE953" s="75"/>
      <c r="BF953" s="75"/>
      <c r="BG953" s="75"/>
      <c r="BH953" s="75"/>
      <c r="BI953" s="75"/>
      <c r="BJ953" s="75"/>
      <c r="BK953" s="75"/>
      <c r="BL953" s="75"/>
      <c r="BM953" s="75"/>
    </row>
    <row r="954">
      <c r="A954" s="75"/>
      <c r="B954" s="75"/>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c r="AA954" s="71"/>
      <c r="AB954" s="71"/>
      <c r="AC954" s="71"/>
      <c r="AD954" s="75"/>
      <c r="AE954" s="75"/>
      <c r="AF954" s="75"/>
      <c r="AG954" s="75"/>
      <c r="AH954" s="75"/>
      <c r="AI954" s="75"/>
      <c r="AJ954" s="75"/>
      <c r="AK954" s="75"/>
      <c r="AL954" s="75"/>
      <c r="AM954" s="75"/>
      <c r="AN954" s="75"/>
      <c r="AO954" s="75"/>
      <c r="AP954" s="75"/>
      <c r="AQ954" s="75"/>
      <c r="AR954" s="75"/>
      <c r="AS954" s="75"/>
      <c r="AT954" s="75"/>
      <c r="AU954" s="75"/>
      <c r="AV954" s="75"/>
      <c r="AW954" s="75"/>
      <c r="AX954" s="75"/>
      <c r="AY954" s="75"/>
      <c r="AZ954" s="75"/>
      <c r="BA954" s="75"/>
      <c r="BB954" s="75"/>
      <c r="BC954" s="75"/>
      <c r="BD954" s="75"/>
      <c r="BE954" s="75"/>
      <c r="BF954" s="75"/>
      <c r="BG954" s="75"/>
      <c r="BH954" s="75"/>
      <c r="BI954" s="75"/>
      <c r="BJ954" s="75"/>
      <c r="BK954" s="75"/>
      <c r="BL954" s="75"/>
      <c r="BM954" s="75"/>
    </row>
    <row r="955">
      <c r="A955" s="75"/>
      <c r="B955" s="75"/>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c r="AA955" s="71"/>
      <c r="AB955" s="71"/>
      <c r="AC955" s="71"/>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c r="BA955" s="75"/>
      <c r="BB955" s="75"/>
      <c r="BC955" s="75"/>
      <c r="BD955" s="75"/>
      <c r="BE955" s="75"/>
      <c r="BF955" s="75"/>
      <c r="BG955" s="75"/>
      <c r="BH955" s="75"/>
      <c r="BI955" s="75"/>
      <c r="BJ955" s="75"/>
      <c r="BK955" s="75"/>
      <c r="BL955" s="75"/>
      <c r="BM955" s="75"/>
    </row>
    <row r="956">
      <c r="A956" s="75"/>
      <c r="B956" s="75"/>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c r="AA956" s="71"/>
      <c r="AB956" s="71"/>
      <c r="AC956" s="71"/>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c r="BA956" s="75"/>
      <c r="BB956" s="75"/>
      <c r="BC956" s="75"/>
      <c r="BD956" s="75"/>
      <c r="BE956" s="75"/>
      <c r="BF956" s="75"/>
      <c r="BG956" s="75"/>
      <c r="BH956" s="75"/>
      <c r="BI956" s="75"/>
      <c r="BJ956" s="75"/>
      <c r="BK956" s="75"/>
      <c r="BL956" s="75"/>
      <c r="BM956" s="75"/>
    </row>
    <row r="957">
      <c r="A957" s="75"/>
      <c r="B957" s="75"/>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c r="AA957" s="71"/>
      <c r="AB957" s="71"/>
      <c r="AC957" s="71"/>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c r="BA957" s="75"/>
      <c r="BB957" s="75"/>
      <c r="BC957" s="75"/>
      <c r="BD957" s="75"/>
      <c r="BE957" s="75"/>
      <c r="BF957" s="75"/>
      <c r="BG957" s="75"/>
      <c r="BH957" s="75"/>
      <c r="BI957" s="75"/>
      <c r="BJ957" s="75"/>
      <c r="BK957" s="75"/>
      <c r="BL957" s="75"/>
      <c r="BM957" s="75"/>
    </row>
    <row r="958">
      <c r="A958" s="75"/>
      <c r="B958" s="75"/>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c r="AA958" s="71"/>
      <c r="AB958" s="71"/>
      <c r="AC958" s="71"/>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5"/>
      <c r="BF958" s="75"/>
      <c r="BG958" s="75"/>
      <c r="BH958" s="75"/>
      <c r="BI958" s="75"/>
      <c r="BJ958" s="75"/>
      <c r="BK958" s="75"/>
      <c r="BL958" s="75"/>
      <c r="BM958" s="75"/>
    </row>
    <row r="959">
      <c r="A959" s="75"/>
      <c r="B959" s="75"/>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c r="AA959" s="71"/>
      <c r="AB959" s="71"/>
      <c r="AC959" s="71"/>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c r="BA959" s="75"/>
      <c r="BB959" s="75"/>
      <c r="BC959" s="75"/>
      <c r="BD959" s="75"/>
      <c r="BE959" s="75"/>
      <c r="BF959" s="75"/>
      <c r="BG959" s="75"/>
      <c r="BH959" s="75"/>
      <c r="BI959" s="75"/>
      <c r="BJ959" s="75"/>
      <c r="BK959" s="75"/>
      <c r="BL959" s="75"/>
      <c r="BM959" s="75"/>
    </row>
    <row r="960">
      <c r="A960" s="75"/>
      <c r="B960" s="75"/>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1"/>
      <c r="AB960" s="71"/>
      <c r="AC960" s="71"/>
      <c r="AD960" s="75"/>
      <c r="AE960" s="75"/>
      <c r="AF960" s="75"/>
      <c r="AG960" s="75"/>
      <c r="AH960" s="75"/>
      <c r="AI960" s="75"/>
      <c r="AJ960" s="75"/>
      <c r="AK960" s="75"/>
      <c r="AL960" s="75"/>
      <c r="AM960" s="75"/>
      <c r="AN960" s="75"/>
      <c r="AO960" s="75"/>
      <c r="AP960" s="75"/>
      <c r="AQ960" s="75"/>
      <c r="AR960" s="75"/>
      <c r="AS960" s="75"/>
      <c r="AT960" s="75"/>
      <c r="AU960" s="75"/>
      <c r="AV960" s="75"/>
      <c r="AW960" s="75"/>
      <c r="AX960" s="75"/>
      <c r="AY960" s="75"/>
      <c r="AZ960" s="75"/>
      <c r="BA960" s="75"/>
      <c r="BB960" s="75"/>
      <c r="BC960" s="75"/>
      <c r="BD960" s="75"/>
      <c r="BE960" s="75"/>
      <c r="BF960" s="75"/>
      <c r="BG960" s="75"/>
      <c r="BH960" s="75"/>
      <c r="BI960" s="75"/>
      <c r="BJ960" s="75"/>
      <c r="BK960" s="75"/>
      <c r="BL960" s="75"/>
      <c r="BM960" s="75"/>
    </row>
    <row r="961">
      <c r="A961" s="75"/>
      <c r="B961" s="75"/>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c r="AA961" s="71"/>
      <c r="AB961" s="71"/>
      <c r="AC961" s="71"/>
      <c r="AD961" s="75"/>
      <c r="AE961" s="75"/>
      <c r="AF961" s="75"/>
      <c r="AG961" s="75"/>
      <c r="AH961" s="75"/>
      <c r="AI961" s="75"/>
      <c r="AJ961" s="75"/>
      <c r="AK961" s="75"/>
      <c r="AL961" s="75"/>
      <c r="AM961" s="75"/>
      <c r="AN961" s="75"/>
      <c r="AO961" s="75"/>
      <c r="AP961" s="75"/>
      <c r="AQ961" s="75"/>
      <c r="AR961" s="75"/>
      <c r="AS961" s="75"/>
      <c r="AT961" s="75"/>
      <c r="AU961" s="75"/>
      <c r="AV961" s="75"/>
      <c r="AW961" s="75"/>
      <c r="AX961" s="75"/>
      <c r="AY961" s="75"/>
      <c r="AZ961" s="75"/>
      <c r="BA961" s="75"/>
      <c r="BB961" s="75"/>
      <c r="BC961" s="75"/>
      <c r="BD961" s="75"/>
      <c r="BE961" s="75"/>
      <c r="BF961" s="75"/>
      <c r="BG961" s="75"/>
      <c r="BH961" s="75"/>
      <c r="BI961" s="75"/>
      <c r="BJ961" s="75"/>
      <c r="BK961" s="75"/>
      <c r="BL961" s="75"/>
      <c r="BM961" s="75"/>
    </row>
    <row r="962">
      <c r="A962" s="75"/>
      <c r="B962" s="75"/>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c r="AA962" s="71"/>
      <c r="AB962" s="71"/>
      <c r="AC962" s="71"/>
      <c r="AD962" s="75"/>
      <c r="AE962" s="75"/>
      <c r="AF962" s="75"/>
      <c r="AG962" s="75"/>
      <c r="AH962" s="75"/>
      <c r="AI962" s="75"/>
      <c r="AJ962" s="75"/>
      <c r="AK962" s="75"/>
      <c r="AL962" s="75"/>
      <c r="AM962" s="75"/>
      <c r="AN962" s="75"/>
      <c r="AO962" s="75"/>
      <c r="AP962" s="75"/>
      <c r="AQ962" s="75"/>
      <c r="AR962" s="75"/>
      <c r="AS962" s="75"/>
      <c r="AT962" s="75"/>
      <c r="AU962" s="75"/>
      <c r="AV962" s="75"/>
      <c r="AW962" s="75"/>
      <c r="AX962" s="75"/>
      <c r="AY962" s="75"/>
      <c r="AZ962" s="75"/>
      <c r="BA962" s="75"/>
      <c r="BB962" s="75"/>
      <c r="BC962" s="75"/>
      <c r="BD962" s="75"/>
      <c r="BE962" s="75"/>
      <c r="BF962" s="75"/>
      <c r="BG962" s="75"/>
      <c r="BH962" s="75"/>
      <c r="BI962" s="75"/>
      <c r="BJ962" s="75"/>
      <c r="BK962" s="75"/>
      <c r="BL962" s="75"/>
      <c r="BM962" s="75"/>
    </row>
    <row r="963">
      <c r="A963" s="75"/>
      <c r="B963" s="75"/>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c r="AA963" s="71"/>
      <c r="AB963" s="71"/>
      <c r="AC963" s="71"/>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c r="BA963" s="75"/>
      <c r="BB963" s="75"/>
      <c r="BC963" s="75"/>
      <c r="BD963" s="75"/>
      <c r="BE963" s="75"/>
      <c r="BF963" s="75"/>
      <c r="BG963" s="75"/>
      <c r="BH963" s="75"/>
      <c r="BI963" s="75"/>
      <c r="BJ963" s="75"/>
      <c r="BK963" s="75"/>
      <c r="BL963" s="75"/>
      <c r="BM963" s="75"/>
    </row>
    <row r="964">
      <c r="A964" s="75"/>
      <c r="B964" s="75"/>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c r="AA964" s="71"/>
      <c r="AB964" s="71"/>
      <c r="AC964" s="71"/>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c r="BA964" s="75"/>
      <c r="BB964" s="75"/>
      <c r="BC964" s="75"/>
      <c r="BD964" s="75"/>
      <c r="BE964" s="75"/>
      <c r="BF964" s="75"/>
      <c r="BG964" s="75"/>
      <c r="BH964" s="75"/>
      <c r="BI964" s="75"/>
      <c r="BJ964" s="75"/>
      <c r="BK964" s="75"/>
      <c r="BL964" s="75"/>
      <c r="BM964" s="75"/>
    </row>
    <row r="965">
      <c r="A965" s="75"/>
      <c r="B965" s="75"/>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c r="AA965" s="71"/>
      <c r="AB965" s="71"/>
      <c r="AC965" s="71"/>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c r="BA965" s="75"/>
      <c r="BB965" s="75"/>
      <c r="BC965" s="75"/>
      <c r="BD965" s="75"/>
      <c r="BE965" s="75"/>
      <c r="BF965" s="75"/>
      <c r="BG965" s="75"/>
      <c r="BH965" s="75"/>
      <c r="BI965" s="75"/>
      <c r="BJ965" s="75"/>
      <c r="BK965" s="75"/>
      <c r="BL965" s="75"/>
      <c r="BM965" s="75"/>
    </row>
    <row r="966">
      <c r="A966" s="75"/>
      <c r="B966" s="75"/>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c r="AA966" s="71"/>
      <c r="AB966" s="71"/>
      <c r="AC966" s="71"/>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c r="BA966" s="75"/>
      <c r="BB966" s="75"/>
      <c r="BC966" s="75"/>
      <c r="BD966" s="75"/>
      <c r="BE966" s="75"/>
      <c r="BF966" s="75"/>
      <c r="BG966" s="75"/>
      <c r="BH966" s="75"/>
      <c r="BI966" s="75"/>
      <c r="BJ966" s="75"/>
      <c r="BK966" s="75"/>
      <c r="BL966" s="75"/>
      <c r="BM966" s="75"/>
    </row>
    <row r="967">
      <c r="A967" s="75"/>
      <c r="B967" s="75"/>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c r="AA967" s="71"/>
      <c r="AB967" s="71"/>
      <c r="AC967" s="71"/>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c r="BA967" s="75"/>
      <c r="BB967" s="75"/>
      <c r="BC967" s="75"/>
      <c r="BD967" s="75"/>
      <c r="BE967" s="75"/>
      <c r="BF967" s="75"/>
      <c r="BG967" s="75"/>
      <c r="BH967" s="75"/>
      <c r="BI967" s="75"/>
      <c r="BJ967" s="75"/>
      <c r="BK967" s="75"/>
      <c r="BL967" s="75"/>
      <c r="BM967" s="75"/>
    </row>
    <row r="968">
      <c r="A968" s="75"/>
      <c r="B968" s="75"/>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c r="AA968" s="71"/>
      <c r="AB968" s="71"/>
      <c r="AC968" s="71"/>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c r="BA968" s="75"/>
      <c r="BB968" s="75"/>
      <c r="BC968" s="75"/>
      <c r="BD968" s="75"/>
      <c r="BE968" s="75"/>
      <c r="BF968" s="75"/>
      <c r="BG968" s="75"/>
      <c r="BH968" s="75"/>
      <c r="BI968" s="75"/>
      <c r="BJ968" s="75"/>
      <c r="BK968" s="75"/>
      <c r="BL968" s="75"/>
      <c r="BM968" s="75"/>
    </row>
    <row r="969">
      <c r="A969" s="75"/>
      <c r="B969" s="75"/>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c r="AA969" s="71"/>
      <c r="AB969" s="71"/>
      <c r="AC969" s="71"/>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c r="BA969" s="75"/>
      <c r="BB969" s="75"/>
      <c r="BC969" s="75"/>
      <c r="BD969" s="75"/>
      <c r="BE969" s="75"/>
      <c r="BF969" s="75"/>
      <c r="BG969" s="75"/>
      <c r="BH969" s="75"/>
      <c r="BI969" s="75"/>
      <c r="BJ969" s="75"/>
      <c r="BK969" s="75"/>
      <c r="BL969" s="75"/>
      <c r="BM969" s="75"/>
    </row>
    <row r="970">
      <c r="A970" s="75"/>
      <c r="B970" s="75"/>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c r="AA970" s="71"/>
      <c r="AB970" s="71"/>
      <c r="AC970" s="71"/>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c r="BA970" s="75"/>
      <c r="BB970" s="75"/>
      <c r="BC970" s="75"/>
      <c r="BD970" s="75"/>
      <c r="BE970" s="75"/>
      <c r="BF970" s="75"/>
      <c r="BG970" s="75"/>
      <c r="BH970" s="75"/>
      <c r="BI970" s="75"/>
      <c r="BJ970" s="75"/>
      <c r="BK970" s="75"/>
      <c r="BL970" s="75"/>
      <c r="BM970" s="75"/>
    </row>
    <row r="971">
      <c r="A971" s="75"/>
      <c r="B971" s="75"/>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c r="AA971" s="71"/>
      <c r="AB971" s="71"/>
      <c r="AC971" s="71"/>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c r="BA971" s="75"/>
      <c r="BB971" s="75"/>
      <c r="BC971" s="75"/>
      <c r="BD971" s="75"/>
      <c r="BE971" s="75"/>
      <c r="BF971" s="75"/>
      <c r="BG971" s="75"/>
      <c r="BH971" s="75"/>
      <c r="BI971" s="75"/>
      <c r="BJ971" s="75"/>
      <c r="BK971" s="75"/>
      <c r="BL971" s="75"/>
      <c r="BM971" s="75"/>
    </row>
    <row r="972">
      <c r="A972" s="75"/>
      <c r="B972" s="75"/>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c r="AA972" s="71"/>
      <c r="AB972" s="71"/>
      <c r="AC972" s="71"/>
      <c r="AD972" s="75"/>
      <c r="AE972" s="75"/>
      <c r="AF972" s="75"/>
      <c r="AG972" s="75"/>
      <c r="AH972" s="75"/>
      <c r="AI972" s="75"/>
      <c r="AJ972" s="75"/>
      <c r="AK972" s="75"/>
      <c r="AL972" s="75"/>
      <c r="AM972" s="75"/>
      <c r="AN972" s="75"/>
      <c r="AO972" s="75"/>
      <c r="AP972" s="75"/>
      <c r="AQ972" s="75"/>
      <c r="AR972" s="75"/>
      <c r="AS972" s="75"/>
      <c r="AT972" s="75"/>
      <c r="AU972" s="75"/>
      <c r="AV972" s="75"/>
      <c r="AW972" s="75"/>
      <c r="AX972" s="75"/>
      <c r="AY972" s="75"/>
      <c r="AZ972" s="75"/>
      <c r="BA972" s="75"/>
      <c r="BB972" s="75"/>
      <c r="BC972" s="75"/>
      <c r="BD972" s="75"/>
      <c r="BE972" s="75"/>
      <c r="BF972" s="75"/>
      <c r="BG972" s="75"/>
      <c r="BH972" s="75"/>
      <c r="BI972" s="75"/>
      <c r="BJ972" s="75"/>
      <c r="BK972" s="75"/>
      <c r="BL972" s="75"/>
      <c r="BM972" s="75"/>
    </row>
    <row r="973">
      <c r="A973" s="75"/>
      <c r="B973" s="75"/>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c r="AA973" s="71"/>
      <c r="AB973" s="71"/>
      <c r="AC973" s="71"/>
      <c r="AD973" s="75"/>
      <c r="AE973" s="75"/>
      <c r="AF973" s="75"/>
      <c r="AG973" s="75"/>
      <c r="AH973" s="75"/>
      <c r="AI973" s="75"/>
      <c r="AJ973" s="75"/>
      <c r="AK973" s="75"/>
      <c r="AL973" s="75"/>
      <c r="AM973" s="75"/>
      <c r="AN973" s="75"/>
      <c r="AO973" s="75"/>
      <c r="AP973" s="75"/>
      <c r="AQ973" s="75"/>
      <c r="AR973" s="75"/>
      <c r="AS973" s="75"/>
      <c r="AT973" s="75"/>
      <c r="AU973" s="75"/>
      <c r="AV973" s="75"/>
      <c r="AW973" s="75"/>
      <c r="AX973" s="75"/>
      <c r="AY973" s="75"/>
      <c r="AZ973" s="75"/>
      <c r="BA973" s="75"/>
      <c r="BB973" s="75"/>
      <c r="BC973" s="75"/>
      <c r="BD973" s="75"/>
      <c r="BE973" s="75"/>
      <c r="BF973" s="75"/>
      <c r="BG973" s="75"/>
      <c r="BH973" s="75"/>
      <c r="BI973" s="75"/>
      <c r="BJ973" s="75"/>
      <c r="BK973" s="75"/>
      <c r="BL973" s="75"/>
      <c r="BM973" s="75"/>
    </row>
    <row r="974">
      <c r="A974" s="75"/>
      <c r="B974" s="75"/>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c r="AA974" s="71"/>
      <c r="AB974" s="71"/>
      <c r="AC974" s="71"/>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c r="BA974" s="75"/>
      <c r="BB974" s="75"/>
      <c r="BC974" s="75"/>
      <c r="BD974" s="75"/>
      <c r="BE974" s="75"/>
      <c r="BF974" s="75"/>
      <c r="BG974" s="75"/>
      <c r="BH974" s="75"/>
      <c r="BI974" s="75"/>
      <c r="BJ974" s="75"/>
      <c r="BK974" s="75"/>
      <c r="BL974" s="75"/>
      <c r="BM974" s="75"/>
    </row>
    <row r="975">
      <c r="A975" s="75"/>
      <c r="B975" s="75"/>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c r="AA975" s="71"/>
      <c r="AB975" s="71"/>
      <c r="AC975" s="71"/>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c r="BA975" s="75"/>
      <c r="BB975" s="75"/>
      <c r="BC975" s="75"/>
      <c r="BD975" s="75"/>
      <c r="BE975" s="75"/>
      <c r="BF975" s="75"/>
      <c r="BG975" s="75"/>
      <c r="BH975" s="75"/>
      <c r="BI975" s="75"/>
      <c r="BJ975" s="75"/>
      <c r="BK975" s="75"/>
      <c r="BL975" s="75"/>
      <c r="BM975" s="75"/>
    </row>
    <row r="976">
      <c r="A976" s="75"/>
      <c r="B976" s="75"/>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c r="AA976" s="71"/>
      <c r="AB976" s="71"/>
      <c r="AC976" s="71"/>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c r="BA976" s="75"/>
      <c r="BB976" s="75"/>
      <c r="BC976" s="75"/>
      <c r="BD976" s="75"/>
      <c r="BE976" s="75"/>
      <c r="BF976" s="75"/>
      <c r="BG976" s="75"/>
      <c r="BH976" s="75"/>
      <c r="BI976" s="75"/>
      <c r="BJ976" s="75"/>
      <c r="BK976" s="75"/>
      <c r="BL976" s="75"/>
      <c r="BM976" s="75"/>
    </row>
    <row r="977">
      <c r="A977" s="75"/>
      <c r="B977" s="75"/>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c r="AA977" s="71"/>
      <c r="AB977" s="71"/>
      <c r="AC977" s="71"/>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c r="BA977" s="75"/>
      <c r="BB977" s="75"/>
      <c r="BC977" s="75"/>
      <c r="BD977" s="75"/>
      <c r="BE977" s="75"/>
      <c r="BF977" s="75"/>
      <c r="BG977" s="75"/>
      <c r="BH977" s="75"/>
      <c r="BI977" s="75"/>
      <c r="BJ977" s="75"/>
      <c r="BK977" s="75"/>
      <c r="BL977" s="75"/>
      <c r="BM977" s="75"/>
    </row>
    <row r="978">
      <c r="A978" s="75"/>
      <c r="B978" s="75"/>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c r="AA978" s="71"/>
      <c r="AB978" s="71"/>
      <c r="AC978" s="71"/>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c r="BA978" s="75"/>
      <c r="BB978" s="75"/>
      <c r="BC978" s="75"/>
      <c r="BD978" s="75"/>
      <c r="BE978" s="75"/>
      <c r="BF978" s="75"/>
      <c r="BG978" s="75"/>
      <c r="BH978" s="75"/>
      <c r="BI978" s="75"/>
      <c r="BJ978" s="75"/>
      <c r="BK978" s="75"/>
      <c r="BL978" s="75"/>
      <c r="BM978" s="75"/>
    </row>
    <row r="979">
      <c r="A979" s="75"/>
      <c r="B979" s="75"/>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c r="AA979" s="71"/>
      <c r="AB979" s="71"/>
      <c r="AC979" s="71"/>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c r="BA979" s="75"/>
      <c r="BB979" s="75"/>
      <c r="BC979" s="75"/>
      <c r="BD979" s="75"/>
      <c r="BE979" s="75"/>
      <c r="BF979" s="75"/>
      <c r="BG979" s="75"/>
      <c r="BH979" s="75"/>
      <c r="BI979" s="75"/>
      <c r="BJ979" s="75"/>
      <c r="BK979" s="75"/>
      <c r="BL979" s="75"/>
      <c r="BM979" s="75"/>
    </row>
    <row r="980">
      <c r="A980" s="75"/>
      <c r="B980" s="75"/>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c r="AA980" s="71"/>
      <c r="AB980" s="71"/>
      <c r="AC980" s="71"/>
      <c r="AD980" s="75"/>
      <c r="AE980" s="75"/>
      <c r="AF980" s="75"/>
      <c r="AG980" s="75"/>
      <c r="AH980" s="75"/>
      <c r="AI980" s="75"/>
      <c r="AJ980" s="75"/>
      <c r="AK980" s="75"/>
      <c r="AL980" s="75"/>
      <c r="AM980" s="75"/>
      <c r="AN980" s="75"/>
      <c r="AO980" s="75"/>
      <c r="AP980" s="75"/>
      <c r="AQ980" s="75"/>
      <c r="AR980" s="75"/>
      <c r="AS980" s="75"/>
      <c r="AT980" s="75"/>
      <c r="AU980" s="75"/>
      <c r="AV980" s="75"/>
      <c r="AW980" s="75"/>
      <c r="AX980" s="75"/>
      <c r="AY980" s="75"/>
      <c r="AZ980" s="75"/>
      <c r="BA980" s="75"/>
      <c r="BB980" s="75"/>
      <c r="BC980" s="75"/>
      <c r="BD980" s="75"/>
      <c r="BE980" s="75"/>
      <c r="BF980" s="75"/>
      <c r="BG980" s="75"/>
      <c r="BH980" s="75"/>
      <c r="BI980" s="75"/>
      <c r="BJ980" s="75"/>
      <c r="BK980" s="75"/>
      <c r="BL980" s="75"/>
      <c r="BM980" s="75"/>
    </row>
    <row r="981">
      <c r="A981" s="75"/>
      <c r="B981" s="75"/>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c r="AA981" s="71"/>
      <c r="AB981" s="71"/>
      <c r="AC981" s="71"/>
      <c r="AD981" s="75"/>
      <c r="AE981" s="75"/>
      <c r="AF981" s="75"/>
      <c r="AG981" s="75"/>
      <c r="AH981" s="75"/>
      <c r="AI981" s="75"/>
      <c r="AJ981" s="75"/>
      <c r="AK981" s="75"/>
      <c r="AL981" s="75"/>
      <c r="AM981" s="75"/>
      <c r="AN981" s="75"/>
      <c r="AO981" s="75"/>
      <c r="AP981" s="75"/>
      <c r="AQ981" s="75"/>
      <c r="AR981" s="75"/>
      <c r="AS981" s="75"/>
      <c r="AT981" s="75"/>
      <c r="AU981" s="75"/>
      <c r="AV981" s="75"/>
      <c r="AW981" s="75"/>
      <c r="AX981" s="75"/>
      <c r="AY981" s="75"/>
      <c r="AZ981" s="75"/>
      <c r="BA981" s="75"/>
      <c r="BB981" s="75"/>
      <c r="BC981" s="75"/>
      <c r="BD981" s="75"/>
      <c r="BE981" s="75"/>
      <c r="BF981" s="75"/>
      <c r="BG981" s="75"/>
      <c r="BH981" s="75"/>
      <c r="BI981" s="75"/>
      <c r="BJ981" s="75"/>
      <c r="BK981" s="75"/>
      <c r="BL981" s="75"/>
      <c r="BM981" s="75"/>
    </row>
    <row r="982">
      <c r="A982" s="75"/>
      <c r="B982" s="75"/>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c r="AA982" s="71"/>
      <c r="AB982" s="71"/>
      <c r="AC982" s="71"/>
      <c r="AD982" s="75"/>
      <c r="AE982" s="75"/>
      <c r="AF982" s="75"/>
      <c r="AG982" s="75"/>
      <c r="AH982" s="75"/>
      <c r="AI982" s="75"/>
      <c r="AJ982" s="75"/>
      <c r="AK982" s="75"/>
      <c r="AL982" s="75"/>
      <c r="AM982" s="75"/>
      <c r="AN982" s="75"/>
      <c r="AO982" s="75"/>
      <c r="AP982" s="75"/>
      <c r="AQ982" s="75"/>
      <c r="AR982" s="75"/>
      <c r="AS982" s="75"/>
      <c r="AT982" s="75"/>
      <c r="AU982" s="75"/>
      <c r="AV982" s="75"/>
      <c r="AW982" s="75"/>
      <c r="AX982" s="75"/>
      <c r="AY982" s="75"/>
      <c r="AZ982" s="75"/>
      <c r="BA982" s="75"/>
      <c r="BB982" s="75"/>
      <c r="BC982" s="75"/>
      <c r="BD982" s="75"/>
      <c r="BE982" s="75"/>
      <c r="BF982" s="75"/>
      <c r="BG982" s="75"/>
      <c r="BH982" s="75"/>
      <c r="BI982" s="75"/>
      <c r="BJ982" s="75"/>
      <c r="BK982" s="75"/>
      <c r="BL982" s="75"/>
      <c r="BM982" s="75"/>
    </row>
    <row r="983">
      <c r="A983" s="75"/>
      <c r="B983" s="75"/>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c r="AA983" s="71"/>
      <c r="AB983" s="71"/>
      <c r="AC983" s="71"/>
      <c r="AD983" s="75"/>
      <c r="AE983" s="75"/>
      <c r="AF983" s="75"/>
      <c r="AG983" s="75"/>
      <c r="AH983" s="75"/>
      <c r="AI983" s="75"/>
      <c r="AJ983" s="75"/>
      <c r="AK983" s="75"/>
      <c r="AL983" s="75"/>
      <c r="AM983" s="75"/>
      <c r="AN983" s="75"/>
      <c r="AO983" s="75"/>
      <c r="AP983" s="75"/>
      <c r="AQ983" s="75"/>
      <c r="AR983" s="75"/>
      <c r="AS983" s="75"/>
      <c r="AT983" s="75"/>
      <c r="AU983" s="75"/>
      <c r="AV983" s="75"/>
      <c r="AW983" s="75"/>
      <c r="AX983" s="75"/>
      <c r="AY983" s="75"/>
      <c r="AZ983" s="75"/>
      <c r="BA983" s="75"/>
      <c r="BB983" s="75"/>
      <c r="BC983" s="75"/>
      <c r="BD983" s="75"/>
      <c r="BE983" s="75"/>
      <c r="BF983" s="75"/>
      <c r="BG983" s="75"/>
      <c r="BH983" s="75"/>
      <c r="BI983" s="75"/>
      <c r="BJ983" s="75"/>
      <c r="BK983" s="75"/>
      <c r="BL983" s="75"/>
      <c r="BM983" s="75"/>
    </row>
    <row r="984">
      <c r="A984" s="75"/>
      <c r="B984" s="75"/>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c r="AA984" s="71"/>
      <c r="AB984" s="71"/>
      <c r="AC984" s="71"/>
      <c r="AD984" s="75"/>
      <c r="AE984" s="75"/>
      <c r="AF984" s="75"/>
      <c r="AG984" s="75"/>
      <c r="AH984" s="75"/>
      <c r="AI984" s="75"/>
      <c r="AJ984" s="75"/>
      <c r="AK984" s="75"/>
      <c r="AL984" s="75"/>
      <c r="AM984" s="75"/>
      <c r="AN984" s="75"/>
      <c r="AO984" s="75"/>
      <c r="AP984" s="75"/>
      <c r="AQ984" s="75"/>
      <c r="AR984" s="75"/>
      <c r="AS984" s="75"/>
      <c r="AT984" s="75"/>
      <c r="AU984" s="75"/>
      <c r="AV984" s="75"/>
      <c r="AW984" s="75"/>
      <c r="AX984" s="75"/>
      <c r="AY984" s="75"/>
      <c r="AZ984" s="75"/>
      <c r="BA984" s="75"/>
      <c r="BB984" s="75"/>
      <c r="BC984" s="75"/>
      <c r="BD984" s="75"/>
      <c r="BE984" s="75"/>
      <c r="BF984" s="75"/>
      <c r="BG984" s="75"/>
      <c r="BH984" s="75"/>
      <c r="BI984" s="75"/>
      <c r="BJ984" s="75"/>
      <c r="BK984" s="75"/>
      <c r="BL984" s="75"/>
      <c r="BM984" s="75"/>
    </row>
    <row r="985">
      <c r="A985" s="75"/>
      <c r="B985" s="75"/>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c r="AA985" s="71"/>
      <c r="AB985" s="71"/>
      <c r="AC985" s="71"/>
      <c r="AD985" s="75"/>
      <c r="AE985" s="75"/>
      <c r="AF985" s="75"/>
      <c r="AG985" s="75"/>
      <c r="AH985" s="75"/>
      <c r="AI985" s="75"/>
      <c r="AJ985" s="75"/>
      <c r="AK985" s="75"/>
      <c r="AL985" s="75"/>
      <c r="AM985" s="75"/>
      <c r="AN985" s="75"/>
      <c r="AO985" s="75"/>
      <c r="AP985" s="75"/>
      <c r="AQ985" s="75"/>
      <c r="AR985" s="75"/>
      <c r="AS985" s="75"/>
      <c r="AT985" s="75"/>
      <c r="AU985" s="75"/>
      <c r="AV985" s="75"/>
      <c r="AW985" s="75"/>
      <c r="AX985" s="75"/>
      <c r="AY985" s="75"/>
      <c r="AZ985" s="75"/>
      <c r="BA985" s="75"/>
      <c r="BB985" s="75"/>
      <c r="BC985" s="75"/>
      <c r="BD985" s="75"/>
      <c r="BE985" s="75"/>
      <c r="BF985" s="75"/>
      <c r="BG985" s="75"/>
      <c r="BH985" s="75"/>
      <c r="BI985" s="75"/>
      <c r="BJ985" s="75"/>
      <c r="BK985" s="75"/>
      <c r="BL985" s="75"/>
      <c r="BM985" s="75"/>
    </row>
    <row r="986">
      <c r="A986" s="75"/>
      <c r="B986" s="75"/>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c r="AA986" s="71"/>
      <c r="AB986" s="71"/>
      <c r="AC986" s="71"/>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c r="BA986" s="75"/>
      <c r="BB986" s="75"/>
      <c r="BC986" s="75"/>
      <c r="BD986" s="75"/>
      <c r="BE986" s="75"/>
      <c r="BF986" s="75"/>
      <c r="BG986" s="75"/>
      <c r="BH986" s="75"/>
      <c r="BI986" s="75"/>
      <c r="BJ986" s="75"/>
      <c r="BK986" s="75"/>
      <c r="BL986" s="75"/>
      <c r="BM986" s="75"/>
    </row>
    <row r="987">
      <c r="A987" s="75"/>
      <c r="B987" s="75"/>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c r="AA987" s="71"/>
      <c r="AB987" s="71"/>
      <c r="AC987" s="71"/>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c r="BA987" s="75"/>
      <c r="BB987" s="75"/>
      <c r="BC987" s="75"/>
      <c r="BD987" s="75"/>
      <c r="BE987" s="75"/>
      <c r="BF987" s="75"/>
      <c r="BG987" s="75"/>
      <c r="BH987" s="75"/>
      <c r="BI987" s="75"/>
      <c r="BJ987" s="75"/>
      <c r="BK987" s="75"/>
      <c r="BL987" s="75"/>
      <c r="BM987" s="75"/>
    </row>
    <row r="988">
      <c r="A988" s="75"/>
      <c r="B988" s="75"/>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c r="AA988" s="71"/>
      <c r="AB988" s="71"/>
      <c r="AC988" s="71"/>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c r="BA988" s="75"/>
      <c r="BB988" s="75"/>
      <c r="BC988" s="75"/>
      <c r="BD988" s="75"/>
      <c r="BE988" s="75"/>
      <c r="BF988" s="75"/>
      <c r="BG988" s="75"/>
      <c r="BH988" s="75"/>
      <c r="BI988" s="75"/>
      <c r="BJ988" s="75"/>
      <c r="BK988" s="75"/>
      <c r="BL988" s="75"/>
      <c r="BM988" s="75"/>
    </row>
    <row r="989">
      <c r="A989" s="75"/>
      <c r="B989" s="75"/>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c r="AA989" s="71"/>
      <c r="AB989" s="71"/>
      <c r="AC989" s="71"/>
      <c r="AD989" s="75"/>
      <c r="AE989" s="75"/>
      <c r="AF989" s="75"/>
      <c r="AG989" s="75"/>
      <c r="AH989" s="75"/>
      <c r="AI989" s="75"/>
      <c r="AJ989" s="75"/>
      <c r="AK989" s="75"/>
      <c r="AL989" s="75"/>
      <c r="AM989" s="75"/>
      <c r="AN989" s="75"/>
      <c r="AO989" s="75"/>
      <c r="AP989" s="75"/>
      <c r="AQ989" s="75"/>
      <c r="AR989" s="75"/>
      <c r="AS989" s="75"/>
      <c r="AT989" s="75"/>
      <c r="AU989" s="75"/>
      <c r="AV989" s="75"/>
      <c r="AW989" s="75"/>
      <c r="AX989" s="75"/>
      <c r="AY989" s="75"/>
      <c r="AZ989" s="75"/>
      <c r="BA989" s="75"/>
      <c r="BB989" s="75"/>
      <c r="BC989" s="75"/>
      <c r="BD989" s="75"/>
      <c r="BE989" s="75"/>
      <c r="BF989" s="75"/>
      <c r="BG989" s="75"/>
      <c r="BH989" s="75"/>
      <c r="BI989" s="75"/>
      <c r="BJ989" s="75"/>
      <c r="BK989" s="75"/>
      <c r="BL989" s="75"/>
      <c r="BM989" s="75"/>
    </row>
    <row r="990">
      <c r="A990" s="75"/>
      <c r="B990" s="75"/>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c r="AA990" s="71"/>
      <c r="AB990" s="71"/>
      <c r="AC990" s="71"/>
      <c r="AD990" s="75"/>
      <c r="AE990" s="75"/>
      <c r="AF990" s="75"/>
      <c r="AG990" s="75"/>
      <c r="AH990" s="75"/>
      <c r="AI990" s="75"/>
      <c r="AJ990" s="75"/>
      <c r="AK990" s="75"/>
      <c r="AL990" s="75"/>
      <c r="AM990" s="75"/>
      <c r="AN990" s="75"/>
      <c r="AO990" s="75"/>
      <c r="AP990" s="75"/>
      <c r="AQ990" s="75"/>
      <c r="AR990" s="75"/>
      <c r="AS990" s="75"/>
      <c r="AT990" s="75"/>
      <c r="AU990" s="75"/>
      <c r="AV990" s="75"/>
      <c r="AW990" s="75"/>
      <c r="AX990" s="75"/>
      <c r="AY990" s="75"/>
      <c r="AZ990" s="75"/>
      <c r="BA990" s="75"/>
      <c r="BB990" s="75"/>
      <c r="BC990" s="75"/>
      <c r="BD990" s="75"/>
      <c r="BE990" s="75"/>
      <c r="BF990" s="75"/>
      <c r="BG990" s="75"/>
      <c r="BH990" s="75"/>
      <c r="BI990" s="75"/>
      <c r="BJ990" s="75"/>
      <c r="BK990" s="75"/>
      <c r="BL990" s="75"/>
      <c r="BM990" s="75"/>
    </row>
    <row r="991">
      <c r="A991" s="75"/>
      <c r="B991" s="75"/>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c r="AA991" s="71"/>
      <c r="AB991" s="71"/>
      <c r="AC991" s="71"/>
      <c r="AD991" s="75"/>
      <c r="AE991" s="75"/>
      <c r="AF991" s="75"/>
      <c r="AG991" s="75"/>
      <c r="AH991" s="75"/>
      <c r="AI991" s="75"/>
      <c r="AJ991" s="75"/>
      <c r="AK991" s="75"/>
      <c r="AL991" s="75"/>
      <c r="AM991" s="75"/>
      <c r="AN991" s="75"/>
      <c r="AO991" s="75"/>
      <c r="AP991" s="75"/>
      <c r="AQ991" s="75"/>
      <c r="AR991" s="75"/>
      <c r="AS991" s="75"/>
      <c r="AT991" s="75"/>
      <c r="AU991" s="75"/>
      <c r="AV991" s="75"/>
      <c r="AW991" s="75"/>
      <c r="AX991" s="75"/>
      <c r="AY991" s="75"/>
      <c r="AZ991" s="75"/>
      <c r="BA991" s="75"/>
      <c r="BB991" s="75"/>
      <c r="BC991" s="75"/>
      <c r="BD991" s="75"/>
      <c r="BE991" s="75"/>
      <c r="BF991" s="75"/>
      <c r="BG991" s="75"/>
      <c r="BH991" s="75"/>
      <c r="BI991" s="75"/>
      <c r="BJ991" s="75"/>
      <c r="BK991" s="75"/>
      <c r="BL991" s="75"/>
      <c r="BM991" s="75"/>
    </row>
    <row r="992">
      <c r="A992" s="75"/>
      <c r="B992" s="75"/>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c r="AA992" s="71"/>
      <c r="AB992" s="71"/>
      <c r="AC992" s="71"/>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c r="AZ992" s="75"/>
      <c r="BA992" s="75"/>
      <c r="BB992" s="75"/>
      <c r="BC992" s="75"/>
      <c r="BD992" s="75"/>
      <c r="BE992" s="75"/>
      <c r="BF992" s="75"/>
      <c r="BG992" s="75"/>
      <c r="BH992" s="75"/>
      <c r="BI992" s="75"/>
      <c r="BJ992" s="75"/>
      <c r="BK992" s="75"/>
      <c r="BL992" s="75"/>
      <c r="BM992" s="75"/>
    </row>
    <row r="993">
      <c r="A993" s="75"/>
      <c r="B993" s="75"/>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c r="AA993" s="71"/>
      <c r="AB993" s="71"/>
      <c r="AC993" s="71"/>
      <c r="AD993" s="75"/>
      <c r="AE993" s="75"/>
      <c r="AF993" s="75"/>
      <c r="AG993" s="75"/>
      <c r="AH993" s="75"/>
      <c r="AI993" s="75"/>
      <c r="AJ993" s="75"/>
      <c r="AK993" s="75"/>
      <c r="AL993" s="75"/>
      <c r="AM993" s="75"/>
      <c r="AN993" s="75"/>
      <c r="AO993" s="75"/>
      <c r="AP993" s="75"/>
      <c r="AQ993" s="75"/>
      <c r="AR993" s="75"/>
      <c r="AS993" s="75"/>
      <c r="AT993" s="75"/>
      <c r="AU993" s="75"/>
      <c r="AV993" s="75"/>
      <c r="AW993" s="75"/>
      <c r="AX993" s="75"/>
      <c r="AY993" s="75"/>
      <c r="AZ993" s="75"/>
      <c r="BA993" s="75"/>
      <c r="BB993" s="75"/>
      <c r="BC993" s="75"/>
      <c r="BD993" s="75"/>
      <c r="BE993" s="75"/>
      <c r="BF993" s="75"/>
      <c r="BG993" s="75"/>
      <c r="BH993" s="75"/>
      <c r="BI993" s="75"/>
      <c r="BJ993" s="75"/>
      <c r="BK993" s="75"/>
      <c r="BL993" s="75"/>
      <c r="BM993" s="75"/>
    </row>
    <row r="994">
      <c r="A994" s="75"/>
      <c r="B994" s="75"/>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c r="AA994" s="71"/>
      <c r="AB994" s="71"/>
      <c r="AC994" s="71"/>
      <c r="AD994" s="75"/>
      <c r="AE994" s="75"/>
      <c r="AF994" s="75"/>
      <c r="AG994" s="75"/>
      <c r="AH994" s="75"/>
      <c r="AI994" s="75"/>
      <c r="AJ994" s="75"/>
      <c r="AK994" s="75"/>
      <c r="AL994" s="75"/>
      <c r="AM994" s="75"/>
      <c r="AN994" s="75"/>
      <c r="AO994" s="75"/>
      <c r="AP994" s="75"/>
      <c r="AQ994" s="75"/>
      <c r="AR994" s="75"/>
      <c r="AS994" s="75"/>
      <c r="AT994" s="75"/>
      <c r="AU994" s="75"/>
      <c r="AV994" s="75"/>
      <c r="AW994" s="75"/>
      <c r="AX994" s="75"/>
      <c r="AY994" s="75"/>
      <c r="AZ994" s="75"/>
      <c r="BA994" s="75"/>
      <c r="BB994" s="75"/>
      <c r="BC994" s="75"/>
      <c r="BD994" s="75"/>
      <c r="BE994" s="75"/>
      <c r="BF994" s="75"/>
      <c r="BG994" s="75"/>
      <c r="BH994" s="75"/>
      <c r="BI994" s="75"/>
      <c r="BJ994" s="75"/>
      <c r="BK994" s="75"/>
      <c r="BL994" s="75"/>
      <c r="BM994" s="75"/>
    </row>
    <row r="995">
      <c r="A995" s="75"/>
      <c r="B995" s="75"/>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c r="AA995" s="71"/>
      <c r="AB995" s="71"/>
      <c r="AC995" s="71"/>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c r="BA995" s="75"/>
      <c r="BB995" s="75"/>
      <c r="BC995" s="75"/>
      <c r="BD995" s="75"/>
      <c r="BE995" s="75"/>
      <c r="BF995" s="75"/>
      <c r="BG995" s="75"/>
      <c r="BH995" s="75"/>
      <c r="BI995" s="75"/>
      <c r="BJ995" s="75"/>
      <c r="BK995" s="75"/>
      <c r="BL995" s="75"/>
      <c r="BM995" s="75"/>
    </row>
    <row r="996">
      <c r="A996" s="75"/>
      <c r="B996" s="75"/>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c r="AA996" s="71"/>
      <c r="AB996" s="71"/>
      <c r="AC996" s="71"/>
      <c r="AD996" s="75"/>
      <c r="AE996" s="75"/>
      <c r="AF996" s="75"/>
      <c r="AG996" s="75"/>
      <c r="AH996" s="75"/>
      <c r="AI996" s="75"/>
      <c r="AJ996" s="75"/>
      <c r="AK996" s="75"/>
      <c r="AL996" s="75"/>
      <c r="AM996" s="75"/>
      <c r="AN996" s="75"/>
      <c r="AO996" s="75"/>
      <c r="AP996" s="75"/>
      <c r="AQ996" s="75"/>
      <c r="AR996" s="75"/>
      <c r="AS996" s="75"/>
      <c r="AT996" s="75"/>
      <c r="AU996" s="75"/>
      <c r="AV996" s="75"/>
      <c r="AW996" s="75"/>
      <c r="AX996" s="75"/>
      <c r="AY996" s="75"/>
      <c r="AZ996" s="75"/>
      <c r="BA996" s="75"/>
      <c r="BB996" s="75"/>
      <c r="BC996" s="75"/>
      <c r="BD996" s="75"/>
      <c r="BE996" s="75"/>
      <c r="BF996" s="75"/>
      <c r="BG996" s="75"/>
      <c r="BH996" s="75"/>
      <c r="BI996" s="75"/>
      <c r="BJ996" s="75"/>
      <c r="BK996" s="75"/>
      <c r="BL996" s="75"/>
      <c r="BM996" s="75"/>
    </row>
    <row r="997">
      <c r="A997" s="75"/>
      <c r="B997" s="75"/>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c r="AA997" s="71"/>
      <c r="AB997" s="71"/>
      <c r="AC997" s="71"/>
      <c r="AD997" s="75"/>
      <c r="AE997" s="75"/>
      <c r="AF997" s="75"/>
      <c r="AG997" s="75"/>
      <c r="AH997" s="75"/>
      <c r="AI997" s="75"/>
      <c r="AJ997" s="75"/>
      <c r="AK997" s="75"/>
      <c r="AL997" s="75"/>
      <c r="AM997" s="75"/>
      <c r="AN997" s="75"/>
      <c r="AO997" s="75"/>
      <c r="AP997" s="75"/>
      <c r="AQ997" s="75"/>
      <c r="AR997" s="75"/>
      <c r="AS997" s="75"/>
      <c r="AT997" s="75"/>
      <c r="AU997" s="75"/>
      <c r="AV997" s="75"/>
      <c r="AW997" s="75"/>
      <c r="AX997" s="75"/>
      <c r="AY997" s="75"/>
      <c r="AZ997" s="75"/>
      <c r="BA997" s="75"/>
      <c r="BB997" s="75"/>
      <c r="BC997" s="75"/>
      <c r="BD997" s="75"/>
      <c r="BE997" s="75"/>
      <c r="BF997" s="75"/>
      <c r="BG997" s="75"/>
      <c r="BH997" s="75"/>
      <c r="BI997" s="75"/>
      <c r="BJ997" s="75"/>
      <c r="BK997" s="75"/>
      <c r="BL997" s="75"/>
      <c r="BM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c r="AA998" s="75"/>
      <c r="AB998" s="75"/>
      <c r="AC998" s="75"/>
      <c r="AD998" s="75"/>
      <c r="AE998" s="75"/>
      <c r="AF998" s="75"/>
      <c r="AG998" s="75"/>
      <c r="AH998" s="75"/>
      <c r="AI998" s="75"/>
      <c r="AJ998" s="75"/>
      <c r="AK998" s="75"/>
      <c r="AL998" s="75"/>
      <c r="AM998" s="75"/>
      <c r="AN998" s="75"/>
      <c r="AO998" s="75"/>
      <c r="AP998" s="75"/>
      <c r="AQ998" s="75"/>
      <c r="AR998" s="75"/>
      <c r="AS998" s="75"/>
      <c r="AT998" s="75"/>
      <c r="AU998" s="75"/>
      <c r="AV998" s="75"/>
      <c r="AW998" s="75"/>
      <c r="AX998" s="75"/>
      <c r="AY998" s="75"/>
      <c r="AZ998" s="75"/>
      <c r="BA998" s="75"/>
      <c r="BB998" s="75"/>
      <c r="BC998" s="75"/>
      <c r="BD998" s="75"/>
      <c r="BE998" s="75"/>
      <c r="BF998" s="75"/>
      <c r="BG998" s="75"/>
      <c r="BH998" s="75"/>
      <c r="BI998" s="75"/>
      <c r="BJ998" s="75"/>
      <c r="BK998" s="75"/>
      <c r="BL998" s="75"/>
      <c r="BM998" s="75"/>
    </row>
    <row r="999">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c r="AA999" s="75"/>
      <c r="AB999" s="75"/>
      <c r="AC999" s="75"/>
      <c r="AD999" s="75"/>
      <c r="AE999" s="75"/>
      <c r="AF999" s="75"/>
      <c r="AG999" s="75"/>
      <c r="AH999" s="75"/>
      <c r="AI999" s="75"/>
      <c r="AJ999" s="75"/>
      <c r="AK999" s="75"/>
      <c r="AL999" s="75"/>
      <c r="AM999" s="75"/>
      <c r="AN999" s="75"/>
      <c r="AO999" s="75"/>
      <c r="AP999" s="75"/>
      <c r="AQ999" s="75"/>
      <c r="AR999" s="75"/>
      <c r="AS999" s="75"/>
      <c r="AT999" s="75"/>
      <c r="AU999" s="75"/>
      <c r="AV999" s="75"/>
      <c r="AW999" s="75"/>
      <c r="AX999" s="75"/>
      <c r="AY999" s="75"/>
      <c r="AZ999" s="75"/>
      <c r="BA999" s="75"/>
      <c r="BB999" s="75"/>
      <c r="BC999" s="75"/>
      <c r="BD999" s="75"/>
      <c r="BE999" s="75"/>
      <c r="BF999" s="75"/>
      <c r="BG999" s="75"/>
      <c r="BH999" s="75"/>
      <c r="BI999" s="75"/>
      <c r="BJ999" s="75"/>
      <c r="BK999" s="75"/>
      <c r="BL999" s="75"/>
      <c r="BM999" s="75"/>
    </row>
    <row r="1000">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c r="AC1000" s="75"/>
      <c r="AD1000" s="75"/>
      <c r="AE1000" s="75"/>
      <c r="AF1000" s="75"/>
      <c r="AG1000" s="75"/>
      <c r="AH1000" s="75"/>
      <c r="AI1000" s="75"/>
      <c r="AJ1000" s="75"/>
      <c r="AK1000" s="75"/>
      <c r="AL1000" s="75"/>
      <c r="AM1000" s="75"/>
      <c r="AN1000" s="75"/>
      <c r="AO1000" s="75"/>
      <c r="AP1000" s="75"/>
      <c r="AQ1000" s="75"/>
      <c r="AR1000" s="75"/>
      <c r="AS1000" s="75"/>
      <c r="AT1000" s="75"/>
      <c r="AU1000" s="75"/>
      <c r="AV1000" s="75"/>
      <c r="AW1000" s="75"/>
      <c r="AX1000" s="75"/>
      <c r="AY1000" s="75"/>
      <c r="AZ1000" s="75"/>
      <c r="BA1000" s="75"/>
      <c r="BB1000" s="75"/>
      <c r="BC1000" s="75"/>
      <c r="BD1000" s="75"/>
      <c r="BE1000" s="75"/>
      <c r="BF1000" s="75"/>
      <c r="BG1000" s="75"/>
      <c r="BH1000" s="75"/>
      <c r="BI1000" s="75"/>
      <c r="BJ1000" s="75"/>
      <c r="BK1000" s="75"/>
      <c r="BL1000" s="75"/>
      <c r="BM1000" s="7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75"/>
    <col customWidth="1" min="2" max="2" width="49.63"/>
    <col customWidth="1" min="3" max="65" width="27.75"/>
  </cols>
  <sheetData>
    <row r="1">
      <c r="A1" s="78" t="s">
        <v>48</v>
      </c>
      <c r="B1" s="78" t="s">
        <v>2</v>
      </c>
      <c r="C1" s="78" t="s">
        <v>4</v>
      </c>
      <c r="D1" s="78" t="s">
        <v>5</v>
      </c>
      <c r="E1" s="78" t="s">
        <v>6</v>
      </c>
      <c r="F1" s="78" t="s">
        <v>7</v>
      </c>
      <c r="G1" s="78" t="s">
        <v>8</v>
      </c>
      <c r="H1" s="78" t="s">
        <v>9</v>
      </c>
      <c r="I1" s="78" t="s">
        <v>10</v>
      </c>
      <c r="J1" s="78" t="s">
        <v>11</v>
      </c>
      <c r="K1" s="78" t="s">
        <v>12</v>
      </c>
      <c r="L1" s="78" t="s">
        <v>13</v>
      </c>
      <c r="M1" s="78" t="s">
        <v>49</v>
      </c>
      <c r="N1" s="78" t="s">
        <v>15</v>
      </c>
      <c r="O1" s="78" t="s">
        <v>16</v>
      </c>
      <c r="P1" s="78" t="s">
        <v>17</v>
      </c>
      <c r="Q1" s="78" t="s">
        <v>18</v>
      </c>
      <c r="R1" s="78" t="s">
        <v>19</v>
      </c>
      <c r="S1" s="78" t="s">
        <v>20</v>
      </c>
      <c r="T1" s="78" t="s">
        <v>21</v>
      </c>
      <c r="U1" s="78" t="s">
        <v>22</v>
      </c>
      <c r="V1" s="78" t="s">
        <v>23</v>
      </c>
      <c r="W1" s="78" t="s">
        <v>24</v>
      </c>
      <c r="X1" s="78" t="s">
        <v>25</v>
      </c>
      <c r="Y1" s="78" t="s">
        <v>26</v>
      </c>
      <c r="Z1" s="78" t="s">
        <v>27</v>
      </c>
      <c r="AA1" s="78" t="s">
        <v>28</v>
      </c>
      <c r="AB1" s="78" t="s">
        <v>29</v>
      </c>
      <c r="AC1" s="78" t="s">
        <v>3</v>
      </c>
      <c r="AD1" s="19"/>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1"/>
      <c r="BK1" s="21"/>
      <c r="BL1" s="21"/>
      <c r="BM1" s="21"/>
    </row>
    <row r="2">
      <c r="A2" s="78" t="s">
        <v>108</v>
      </c>
      <c r="B2" s="78" t="s">
        <v>109</v>
      </c>
      <c r="C2" s="79" t="s">
        <v>110</v>
      </c>
      <c r="D2" s="78" t="s">
        <v>111</v>
      </c>
      <c r="E2" s="78" t="s">
        <v>112</v>
      </c>
      <c r="F2" s="78" t="s">
        <v>113</v>
      </c>
      <c r="G2" s="78" t="s">
        <v>114</v>
      </c>
      <c r="H2" s="78" t="s">
        <v>115</v>
      </c>
      <c r="I2" s="78" t="s">
        <v>116</v>
      </c>
      <c r="J2" s="78" t="s">
        <v>117</v>
      </c>
      <c r="K2" s="80" t="s">
        <v>118</v>
      </c>
      <c r="L2" s="78" t="s">
        <v>119</v>
      </c>
      <c r="M2" s="78" t="s">
        <v>120</v>
      </c>
      <c r="N2" s="81" t="s">
        <v>121</v>
      </c>
      <c r="O2" s="82" t="s">
        <v>122</v>
      </c>
      <c r="P2" s="83" t="s">
        <v>123</v>
      </c>
      <c r="Q2" s="84" t="s">
        <v>124</v>
      </c>
      <c r="R2" s="85" t="s">
        <v>125</v>
      </c>
      <c r="S2" s="78" t="s">
        <v>126</v>
      </c>
      <c r="T2" s="78" t="s">
        <v>127</v>
      </c>
      <c r="U2" s="78" t="s">
        <v>128</v>
      </c>
      <c r="V2" s="78" t="s">
        <v>129</v>
      </c>
      <c r="W2" s="78" t="s">
        <v>114</v>
      </c>
      <c r="X2" s="78" t="s">
        <v>130</v>
      </c>
      <c r="Y2" s="86" t="s">
        <v>131</v>
      </c>
      <c r="Z2" s="78" t="s">
        <v>132</v>
      </c>
      <c r="AA2" s="78" t="s">
        <v>133</v>
      </c>
      <c r="AB2" s="81" t="s">
        <v>134</v>
      </c>
      <c r="AC2" s="78" t="s">
        <v>135</v>
      </c>
      <c r="AD2" s="19"/>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1"/>
      <c r="BK2" s="21"/>
      <c r="BL2" s="21"/>
      <c r="BM2" s="21"/>
    </row>
    <row r="3">
      <c r="A3" s="78" t="s">
        <v>136</v>
      </c>
      <c r="B3" s="78" t="s">
        <v>137</v>
      </c>
      <c r="C3" s="79" t="s">
        <v>138</v>
      </c>
      <c r="D3" s="78" t="s">
        <v>139</v>
      </c>
      <c r="E3" s="78" t="s">
        <v>140</v>
      </c>
      <c r="F3" s="78" t="s">
        <v>141</v>
      </c>
      <c r="G3" s="78" t="s">
        <v>142</v>
      </c>
      <c r="H3" s="78" t="s">
        <v>143</v>
      </c>
      <c r="I3" s="78" t="s">
        <v>144</v>
      </c>
      <c r="J3" s="78" t="s">
        <v>145</v>
      </c>
      <c r="K3" s="80" t="s">
        <v>146</v>
      </c>
      <c r="L3" s="78" t="s">
        <v>147</v>
      </c>
      <c r="M3" s="78" t="s">
        <v>148</v>
      </c>
      <c r="N3" s="81" t="s">
        <v>149</v>
      </c>
      <c r="O3" s="82" t="s">
        <v>150</v>
      </c>
      <c r="P3" s="83" t="s">
        <v>151</v>
      </c>
      <c r="Q3" s="84" t="s">
        <v>152</v>
      </c>
      <c r="R3" s="85" t="s">
        <v>153</v>
      </c>
      <c r="S3" s="78" t="s">
        <v>154</v>
      </c>
      <c r="T3" s="78" t="s">
        <v>147</v>
      </c>
      <c r="U3" s="78" t="s">
        <v>155</v>
      </c>
      <c r="V3" s="78" t="s">
        <v>156</v>
      </c>
      <c r="W3" s="78" t="s">
        <v>157</v>
      </c>
      <c r="X3" s="78" t="s">
        <v>158</v>
      </c>
      <c r="Y3" s="86" t="s">
        <v>159</v>
      </c>
      <c r="Z3" s="78" t="s">
        <v>160</v>
      </c>
      <c r="AA3" s="78" t="s">
        <v>161</v>
      </c>
      <c r="AB3" s="81" t="s">
        <v>162</v>
      </c>
      <c r="AC3" s="78" t="s">
        <v>163</v>
      </c>
      <c r="AD3" s="19"/>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1"/>
      <c r="BK3" s="21"/>
      <c r="BL3" s="21"/>
      <c r="BM3" s="21"/>
    </row>
    <row r="4">
      <c r="A4" s="78" t="s">
        <v>164</v>
      </c>
      <c r="B4" s="78" t="s">
        <v>165</v>
      </c>
      <c r="C4" s="79" t="s">
        <v>166</v>
      </c>
      <c r="D4" s="78" t="s">
        <v>167</v>
      </c>
      <c r="E4" s="78" t="s">
        <v>168</v>
      </c>
      <c r="F4" s="78" t="s">
        <v>169</v>
      </c>
      <c r="G4" s="78" t="s">
        <v>170</v>
      </c>
      <c r="H4" s="78" t="s">
        <v>171</v>
      </c>
      <c r="I4" s="78" t="s">
        <v>172</v>
      </c>
      <c r="J4" s="78" t="s">
        <v>173</v>
      </c>
      <c r="K4" s="80" t="s">
        <v>174</v>
      </c>
      <c r="L4" s="78" t="s">
        <v>175</v>
      </c>
      <c r="M4" s="78" t="s">
        <v>176</v>
      </c>
      <c r="N4" s="81" t="s">
        <v>177</v>
      </c>
      <c r="O4" s="82" t="s">
        <v>178</v>
      </c>
      <c r="P4" s="83" t="s">
        <v>179</v>
      </c>
      <c r="Q4" s="84" t="s">
        <v>180</v>
      </c>
      <c r="R4" s="85" t="s">
        <v>181</v>
      </c>
      <c r="S4" s="78" t="s">
        <v>182</v>
      </c>
      <c r="T4" s="78" t="s">
        <v>183</v>
      </c>
      <c r="U4" s="78" t="s">
        <v>184</v>
      </c>
      <c r="V4" s="78" t="s">
        <v>185</v>
      </c>
      <c r="W4" s="78" t="s">
        <v>170</v>
      </c>
      <c r="X4" s="78" t="s">
        <v>186</v>
      </c>
      <c r="Y4" s="86" t="s">
        <v>187</v>
      </c>
      <c r="Z4" s="78" t="s">
        <v>188</v>
      </c>
      <c r="AA4" s="78" t="s">
        <v>189</v>
      </c>
      <c r="AB4" s="81" t="s">
        <v>190</v>
      </c>
      <c r="AC4" s="78" t="s">
        <v>191</v>
      </c>
      <c r="AD4" s="19"/>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1"/>
      <c r="BK4" s="21"/>
      <c r="BL4" s="21"/>
      <c r="BM4" s="21"/>
    </row>
    <row r="5">
      <c r="A5" s="78" t="s">
        <v>192</v>
      </c>
      <c r="B5" s="78" t="s">
        <v>193</v>
      </c>
      <c r="C5" s="79" t="s">
        <v>194</v>
      </c>
      <c r="D5" s="78" t="s">
        <v>193</v>
      </c>
      <c r="E5" s="78" t="s">
        <v>193</v>
      </c>
      <c r="F5" s="78" t="s">
        <v>195</v>
      </c>
      <c r="G5" s="78" t="s">
        <v>196</v>
      </c>
      <c r="H5" s="78" t="s">
        <v>197</v>
      </c>
      <c r="I5" s="78" t="s">
        <v>198</v>
      </c>
      <c r="J5" s="78" t="s">
        <v>199</v>
      </c>
      <c r="K5" s="80" t="s">
        <v>200</v>
      </c>
      <c r="L5" s="78" t="s">
        <v>201</v>
      </c>
      <c r="M5" s="78" t="s">
        <v>193</v>
      </c>
      <c r="N5" s="81" t="s">
        <v>202</v>
      </c>
      <c r="O5" s="82" t="s">
        <v>203</v>
      </c>
      <c r="P5" s="83" t="s">
        <v>204</v>
      </c>
      <c r="Q5" s="84" t="s">
        <v>205</v>
      </c>
      <c r="R5" s="85" t="s">
        <v>206</v>
      </c>
      <c r="S5" s="78" t="s">
        <v>207</v>
      </c>
      <c r="T5" s="78" t="s">
        <v>208</v>
      </c>
      <c r="U5" s="78" t="s">
        <v>193</v>
      </c>
      <c r="V5" s="78" t="s">
        <v>193</v>
      </c>
      <c r="W5" s="78" t="s">
        <v>193</v>
      </c>
      <c r="X5" s="78" t="s">
        <v>209</v>
      </c>
      <c r="Y5" s="86" t="s">
        <v>210</v>
      </c>
      <c r="Z5" s="78" t="s">
        <v>211</v>
      </c>
      <c r="AA5" s="78" t="s">
        <v>212</v>
      </c>
      <c r="AB5" s="81" t="s">
        <v>213</v>
      </c>
      <c r="AC5" s="78" t="s">
        <v>214</v>
      </c>
      <c r="AD5" s="19"/>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1"/>
      <c r="BK5" s="21"/>
      <c r="BL5" s="21"/>
      <c r="BM5" s="21"/>
    </row>
    <row r="6">
      <c r="A6" s="78" t="s">
        <v>215</v>
      </c>
      <c r="B6" s="78" t="s">
        <v>216</v>
      </c>
      <c r="C6" s="79" t="s">
        <v>217</v>
      </c>
      <c r="D6" s="78" t="s">
        <v>218</v>
      </c>
      <c r="E6" s="78" t="s">
        <v>219</v>
      </c>
      <c r="F6" s="78" t="s">
        <v>220</v>
      </c>
      <c r="G6" s="78" t="s">
        <v>221</v>
      </c>
      <c r="H6" s="78" t="s">
        <v>222</v>
      </c>
      <c r="I6" s="78" t="s">
        <v>223</v>
      </c>
      <c r="J6" s="78" t="s">
        <v>224</v>
      </c>
      <c r="K6" s="80" t="s">
        <v>225</v>
      </c>
      <c r="L6" s="78" t="s">
        <v>216</v>
      </c>
      <c r="M6" s="78" t="s">
        <v>226</v>
      </c>
      <c r="N6" s="81" t="s">
        <v>227</v>
      </c>
      <c r="O6" s="82" t="s">
        <v>228</v>
      </c>
      <c r="P6" s="83" t="s">
        <v>229</v>
      </c>
      <c r="Q6" s="84" t="s">
        <v>230</v>
      </c>
      <c r="R6" s="85" t="s">
        <v>231</v>
      </c>
      <c r="S6" s="78" t="s">
        <v>232</v>
      </c>
      <c r="T6" s="78" t="s">
        <v>216</v>
      </c>
      <c r="U6" s="78" t="s">
        <v>233</v>
      </c>
      <c r="V6" s="78" t="s">
        <v>234</v>
      </c>
      <c r="W6" s="78" t="s">
        <v>221</v>
      </c>
      <c r="X6" s="78" t="s">
        <v>235</v>
      </c>
      <c r="Y6" s="86" t="s">
        <v>236</v>
      </c>
      <c r="Z6" s="78" t="s">
        <v>237</v>
      </c>
      <c r="AA6" s="78" t="s">
        <v>238</v>
      </c>
      <c r="AB6" s="81" t="s">
        <v>239</v>
      </c>
      <c r="AC6" s="78" t="s">
        <v>240</v>
      </c>
      <c r="AD6" s="19"/>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1"/>
      <c r="BK6" s="21"/>
      <c r="BL6" s="21"/>
      <c r="BM6" s="21"/>
    </row>
    <row r="7">
      <c r="A7" s="78" t="s">
        <v>241</v>
      </c>
      <c r="B7" s="78" t="s">
        <v>242</v>
      </c>
      <c r="C7" s="79" t="s">
        <v>243</v>
      </c>
      <c r="D7" s="78" t="s">
        <v>244</v>
      </c>
      <c r="E7" s="78" t="s">
        <v>245</v>
      </c>
      <c r="F7" s="78" t="s">
        <v>246</v>
      </c>
      <c r="G7" s="78" t="s">
        <v>247</v>
      </c>
      <c r="H7" s="78" t="s">
        <v>248</v>
      </c>
      <c r="I7" s="78" t="s">
        <v>249</v>
      </c>
      <c r="J7" s="78" t="s">
        <v>250</v>
      </c>
      <c r="K7" s="80" t="s">
        <v>251</v>
      </c>
      <c r="L7" s="78" t="s">
        <v>252</v>
      </c>
      <c r="M7" s="78" t="s">
        <v>253</v>
      </c>
      <c r="N7" s="81" t="s">
        <v>254</v>
      </c>
      <c r="O7" s="82" t="s">
        <v>255</v>
      </c>
      <c r="P7" s="83" t="s">
        <v>256</v>
      </c>
      <c r="Q7" s="84" t="s">
        <v>257</v>
      </c>
      <c r="R7" s="85" t="s">
        <v>258</v>
      </c>
      <c r="S7" s="78" t="s">
        <v>259</v>
      </c>
      <c r="T7" s="78" t="s">
        <v>252</v>
      </c>
      <c r="U7" s="78" t="s">
        <v>260</v>
      </c>
      <c r="V7" s="78" t="s">
        <v>261</v>
      </c>
      <c r="W7" s="78" t="s">
        <v>262</v>
      </c>
      <c r="X7" s="78" t="s">
        <v>263</v>
      </c>
      <c r="Y7" s="86" t="s">
        <v>264</v>
      </c>
      <c r="Z7" s="78" t="s">
        <v>265</v>
      </c>
      <c r="AA7" s="78" t="s">
        <v>266</v>
      </c>
      <c r="AB7" s="81" t="s">
        <v>267</v>
      </c>
      <c r="AC7" s="78" t="s">
        <v>268</v>
      </c>
      <c r="AD7" s="19"/>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1"/>
      <c r="BK7" s="21"/>
      <c r="BL7" s="21"/>
      <c r="BM7" s="21"/>
    </row>
    <row r="8">
      <c r="A8" s="78" t="s">
        <v>269</v>
      </c>
      <c r="B8" s="78" t="s">
        <v>270</v>
      </c>
      <c r="C8" s="79" t="s">
        <v>271</v>
      </c>
      <c r="D8" s="78" t="s">
        <v>272</v>
      </c>
      <c r="E8" s="78" t="s">
        <v>273</v>
      </c>
      <c r="F8" s="78" t="s">
        <v>274</v>
      </c>
      <c r="G8" s="78" t="s">
        <v>275</v>
      </c>
      <c r="H8" s="78" t="s">
        <v>276</v>
      </c>
      <c r="I8" s="78" t="s">
        <v>277</v>
      </c>
      <c r="J8" s="78" t="s">
        <v>278</v>
      </c>
      <c r="K8" s="80" t="s">
        <v>279</v>
      </c>
      <c r="L8" s="78" t="s">
        <v>280</v>
      </c>
      <c r="M8" s="78" t="s">
        <v>281</v>
      </c>
      <c r="N8" s="81" t="s">
        <v>282</v>
      </c>
      <c r="O8" s="82" t="s">
        <v>283</v>
      </c>
      <c r="P8" s="83" t="s">
        <v>284</v>
      </c>
      <c r="Q8" s="84" t="s">
        <v>285</v>
      </c>
      <c r="R8" s="85" t="s">
        <v>286</v>
      </c>
      <c r="S8" s="78" t="s">
        <v>287</v>
      </c>
      <c r="T8" s="78" t="s">
        <v>288</v>
      </c>
      <c r="U8" s="78" t="s">
        <v>289</v>
      </c>
      <c r="V8" s="78" t="s">
        <v>290</v>
      </c>
      <c r="W8" s="78" t="s">
        <v>291</v>
      </c>
      <c r="X8" s="78" t="s">
        <v>292</v>
      </c>
      <c r="Y8" s="86" t="s">
        <v>293</v>
      </c>
      <c r="Z8" s="78" t="s">
        <v>294</v>
      </c>
      <c r="AA8" s="78" t="s">
        <v>266</v>
      </c>
      <c r="AB8" s="81" t="s">
        <v>295</v>
      </c>
      <c r="AC8" s="78" t="s">
        <v>296</v>
      </c>
      <c r="AD8" s="19"/>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1"/>
      <c r="BK8" s="21"/>
      <c r="BL8" s="21"/>
      <c r="BM8" s="21"/>
    </row>
    <row r="9">
      <c r="A9" s="78" t="s">
        <v>297</v>
      </c>
      <c r="B9" s="78" t="s">
        <v>298</v>
      </c>
      <c r="C9" s="79" t="s">
        <v>299</v>
      </c>
      <c r="D9" s="78" t="s">
        <v>300</v>
      </c>
      <c r="E9" s="78" t="s">
        <v>301</v>
      </c>
      <c r="F9" s="78" t="s">
        <v>302</v>
      </c>
      <c r="G9" s="78" t="s">
        <v>303</v>
      </c>
      <c r="H9" s="78" t="s">
        <v>304</v>
      </c>
      <c r="I9" s="78" t="s">
        <v>305</v>
      </c>
      <c r="J9" s="78" t="s">
        <v>306</v>
      </c>
      <c r="K9" s="80" t="s">
        <v>307</v>
      </c>
      <c r="L9" s="78" t="s">
        <v>308</v>
      </c>
      <c r="M9" s="78" t="s">
        <v>309</v>
      </c>
      <c r="N9" s="81" t="s">
        <v>310</v>
      </c>
      <c r="O9" s="82" t="s">
        <v>311</v>
      </c>
      <c r="P9" s="83" t="s">
        <v>312</v>
      </c>
      <c r="Q9" s="84" t="s">
        <v>313</v>
      </c>
      <c r="R9" s="85" t="s">
        <v>314</v>
      </c>
      <c r="S9" s="78" t="s">
        <v>315</v>
      </c>
      <c r="T9" s="78" t="s">
        <v>316</v>
      </c>
      <c r="U9" s="78" t="s">
        <v>317</v>
      </c>
      <c r="V9" s="78" t="s">
        <v>318</v>
      </c>
      <c r="W9" s="78" t="s">
        <v>319</v>
      </c>
      <c r="X9" s="78" t="s">
        <v>320</v>
      </c>
      <c r="Y9" s="86" t="s">
        <v>321</v>
      </c>
      <c r="Z9" s="78" t="s">
        <v>322</v>
      </c>
      <c r="AA9" s="78" t="s">
        <v>323</v>
      </c>
      <c r="AB9" s="81" t="s">
        <v>324</v>
      </c>
      <c r="AC9" s="78" t="s">
        <v>325</v>
      </c>
      <c r="AD9" s="19"/>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1"/>
      <c r="BK9" s="21"/>
      <c r="BL9" s="21"/>
      <c r="BM9" s="21"/>
    </row>
    <row r="10">
      <c r="A10" s="78" t="s">
        <v>326</v>
      </c>
      <c r="B10" s="78" t="s">
        <v>327</v>
      </c>
      <c r="C10" s="79" t="s">
        <v>328</v>
      </c>
      <c r="D10" s="78" t="s">
        <v>329</v>
      </c>
      <c r="E10" s="78" t="s">
        <v>330</v>
      </c>
      <c r="F10" s="78" t="s">
        <v>331</v>
      </c>
      <c r="G10" s="78" t="s">
        <v>332</v>
      </c>
      <c r="H10" s="78" t="s">
        <v>333</v>
      </c>
      <c r="I10" s="78" t="s">
        <v>334</v>
      </c>
      <c r="J10" s="78" t="s">
        <v>335</v>
      </c>
      <c r="K10" s="80" t="s">
        <v>336</v>
      </c>
      <c r="L10" s="78" t="s">
        <v>337</v>
      </c>
      <c r="M10" s="78" t="s">
        <v>338</v>
      </c>
      <c r="N10" s="81" t="s">
        <v>339</v>
      </c>
      <c r="O10" s="82" t="s">
        <v>340</v>
      </c>
      <c r="P10" s="83" t="s">
        <v>341</v>
      </c>
      <c r="Q10" s="84" t="s">
        <v>342</v>
      </c>
      <c r="R10" s="85" t="s">
        <v>343</v>
      </c>
      <c r="S10" s="78" t="s">
        <v>344</v>
      </c>
      <c r="T10" s="78" t="s">
        <v>345</v>
      </c>
      <c r="U10" s="78" t="s">
        <v>346</v>
      </c>
      <c r="V10" s="78" t="s">
        <v>347</v>
      </c>
      <c r="W10" s="78" t="s">
        <v>348</v>
      </c>
      <c r="X10" s="78" t="s">
        <v>349</v>
      </c>
      <c r="Y10" s="86" t="s">
        <v>350</v>
      </c>
      <c r="Z10" s="78" t="s">
        <v>351</v>
      </c>
      <c r="AA10" s="78" t="s">
        <v>352</v>
      </c>
      <c r="AB10" s="81" t="s">
        <v>353</v>
      </c>
      <c r="AC10" s="78" t="s">
        <v>354</v>
      </c>
      <c r="AD10" s="19"/>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1"/>
      <c r="BK10" s="21"/>
      <c r="BL10" s="21"/>
      <c r="BM10" s="21"/>
    </row>
    <row r="11">
      <c r="A11" s="78" t="s">
        <v>355</v>
      </c>
      <c r="B11" s="78" t="s">
        <v>356</v>
      </c>
      <c r="C11" s="79" t="s">
        <v>357</v>
      </c>
      <c r="D11" s="78" t="s">
        <v>358</v>
      </c>
      <c r="E11" s="78" t="s">
        <v>359</v>
      </c>
      <c r="F11" s="78" t="s">
        <v>360</v>
      </c>
      <c r="G11" s="78" t="s">
        <v>361</v>
      </c>
      <c r="H11" s="78" t="s">
        <v>362</v>
      </c>
      <c r="I11" s="78" t="s">
        <v>362</v>
      </c>
      <c r="J11" s="78" t="s">
        <v>363</v>
      </c>
      <c r="K11" s="80" t="s">
        <v>364</v>
      </c>
      <c r="L11" s="78" t="s">
        <v>365</v>
      </c>
      <c r="M11" s="78" t="s">
        <v>366</v>
      </c>
      <c r="N11" s="81" t="s">
        <v>367</v>
      </c>
      <c r="O11" s="82" t="s">
        <v>368</v>
      </c>
      <c r="P11" s="83" t="s">
        <v>369</v>
      </c>
      <c r="Q11" s="84" t="s">
        <v>370</v>
      </c>
      <c r="R11" s="85" t="s">
        <v>371</v>
      </c>
      <c r="S11" s="78" t="s">
        <v>372</v>
      </c>
      <c r="T11" s="78" t="s">
        <v>373</v>
      </c>
      <c r="U11" s="78" t="s">
        <v>374</v>
      </c>
      <c r="V11" s="78" t="s">
        <v>375</v>
      </c>
      <c r="W11" s="78" t="s">
        <v>376</v>
      </c>
      <c r="X11" s="78" t="s">
        <v>377</v>
      </c>
      <c r="Y11" s="86" t="s">
        <v>378</v>
      </c>
      <c r="Z11" s="78" t="s">
        <v>379</v>
      </c>
      <c r="AA11" s="78" t="s">
        <v>380</v>
      </c>
      <c r="AB11" s="81" t="s">
        <v>381</v>
      </c>
      <c r="AC11" s="78" t="s">
        <v>382</v>
      </c>
      <c r="AD11" s="19"/>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1"/>
      <c r="BK11" s="21"/>
      <c r="BL11" s="21"/>
      <c r="BM11" s="21"/>
    </row>
    <row r="12">
      <c r="A12" s="78" t="s">
        <v>383</v>
      </c>
      <c r="B12" s="78" t="s">
        <v>384</v>
      </c>
      <c r="C12" s="79" t="s">
        <v>385</v>
      </c>
      <c r="D12" s="78" t="s">
        <v>386</v>
      </c>
      <c r="E12" s="78" t="s">
        <v>387</v>
      </c>
      <c r="F12" s="78" t="s">
        <v>388</v>
      </c>
      <c r="G12" s="78" t="s">
        <v>389</v>
      </c>
      <c r="H12" s="78" t="s">
        <v>390</v>
      </c>
      <c r="I12" s="78" t="s">
        <v>391</v>
      </c>
      <c r="J12" s="78" t="s">
        <v>392</v>
      </c>
      <c r="K12" s="80" t="s">
        <v>393</v>
      </c>
      <c r="L12" s="78" t="s">
        <v>394</v>
      </c>
      <c r="M12" s="78" t="s">
        <v>395</v>
      </c>
      <c r="N12" s="81" t="s">
        <v>396</v>
      </c>
      <c r="O12" s="82" t="s">
        <v>397</v>
      </c>
      <c r="P12" s="83" t="s">
        <v>398</v>
      </c>
      <c r="Q12" s="84" t="s">
        <v>399</v>
      </c>
      <c r="R12" s="85" t="s">
        <v>400</v>
      </c>
      <c r="S12" s="78" t="s">
        <v>401</v>
      </c>
      <c r="T12" s="78" t="s">
        <v>402</v>
      </c>
      <c r="U12" s="78" t="s">
        <v>403</v>
      </c>
      <c r="V12" s="78" t="s">
        <v>404</v>
      </c>
      <c r="W12" s="78" t="s">
        <v>405</v>
      </c>
      <c r="X12" s="78" t="s">
        <v>406</v>
      </c>
      <c r="Y12" s="86" t="s">
        <v>407</v>
      </c>
      <c r="Z12" s="78" t="s">
        <v>408</v>
      </c>
      <c r="AA12" s="78" t="s">
        <v>409</v>
      </c>
      <c r="AB12" s="81" t="s">
        <v>410</v>
      </c>
      <c r="AC12" s="78" t="s">
        <v>411</v>
      </c>
      <c r="AD12" s="19"/>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1"/>
      <c r="BK12" s="21"/>
      <c r="BL12" s="21"/>
      <c r="BM12" s="21"/>
    </row>
    <row r="13">
      <c r="A13" s="78" t="s">
        <v>412</v>
      </c>
      <c r="B13" s="78" t="s">
        <v>413</v>
      </c>
      <c r="C13" s="79" t="s">
        <v>414</v>
      </c>
      <c r="D13" s="78" t="s">
        <v>415</v>
      </c>
      <c r="E13" s="78" t="s">
        <v>416</v>
      </c>
      <c r="F13" s="78" t="s">
        <v>417</v>
      </c>
      <c r="G13" s="78" t="s">
        <v>418</v>
      </c>
      <c r="H13" s="78" t="s">
        <v>419</v>
      </c>
      <c r="I13" s="78" t="s">
        <v>420</v>
      </c>
      <c r="J13" s="78" t="s">
        <v>421</v>
      </c>
      <c r="K13" s="80" t="s">
        <v>422</v>
      </c>
      <c r="L13" s="78" t="s">
        <v>423</v>
      </c>
      <c r="M13" s="78" t="s">
        <v>424</v>
      </c>
      <c r="N13" s="81" t="s">
        <v>425</v>
      </c>
      <c r="O13" s="82" t="s">
        <v>426</v>
      </c>
      <c r="P13" s="83" t="s">
        <v>427</v>
      </c>
      <c r="Q13" s="84" t="s">
        <v>428</v>
      </c>
      <c r="R13" s="85" t="s">
        <v>429</v>
      </c>
      <c r="S13" s="78" t="s">
        <v>430</v>
      </c>
      <c r="T13" s="78" t="s">
        <v>431</v>
      </c>
      <c r="U13" s="78" t="s">
        <v>432</v>
      </c>
      <c r="V13" s="78" t="s">
        <v>433</v>
      </c>
      <c r="W13" s="78" t="s">
        <v>434</v>
      </c>
      <c r="X13" s="78" t="s">
        <v>435</v>
      </c>
      <c r="Y13" s="86" t="s">
        <v>436</v>
      </c>
      <c r="Z13" s="78" t="s">
        <v>437</v>
      </c>
      <c r="AA13" s="78" t="s">
        <v>438</v>
      </c>
      <c r="AB13" s="81" t="s">
        <v>439</v>
      </c>
      <c r="AC13" s="78" t="s">
        <v>440</v>
      </c>
      <c r="AD13" s="19"/>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1"/>
      <c r="BK13" s="21"/>
      <c r="BL13" s="21"/>
      <c r="BM13" s="21"/>
    </row>
    <row r="14">
      <c r="A14" s="78" t="s">
        <v>35</v>
      </c>
      <c r="B14" s="78" t="s">
        <v>36</v>
      </c>
      <c r="C14" s="79" t="s">
        <v>692</v>
      </c>
      <c r="D14" s="78" t="s">
        <v>693</v>
      </c>
      <c r="E14" s="78" t="s">
        <v>694</v>
      </c>
      <c r="F14" s="78" t="s">
        <v>695</v>
      </c>
      <c r="G14" s="78" t="s">
        <v>696</v>
      </c>
      <c r="H14" s="78" t="s">
        <v>697</v>
      </c>
      <c r="I14" s="78" t="s">
        <v>698</v>
      </c>
      <c r="J14" s="78" t="s">
        <v>699</v>
      </c>
      <c r="K14" s="80" t="s">
        <v>700</v>
      </c>
      <c r="L14" s="78" t="s">
        <v>701</v>
      </c>
      <c r="M14" s="78" t="s">
        <v>702</v>
      </c>
      <c r="N14" s="81" t="s">
        <v>703</v>
      </c>
      <c r="O14" s="82" t="s">
        <v>704</v>
      </c>
      <c r="P14" s="83" t="s">
        <v>705</v>
      </c>
      <c r="Q14" s="84" t="s">
        <v>706</v>
      </c>
      <c r="R14" s="85" t="s">
        <v>707</v>
      </c>
      <c r="S14" s="78" t="s">
        <v>708</v>
      </c>
      <c r="T14" s="78" t="s">
        <v>709</v>
      </c>
      <c r="U14" s="78" t="s">
        <v>710</v>
      </c>
      <c r="V14" s="78" t="s">
        <v>711</v>
      </c>
      <c r="W14" s="78" t="s">
        <v>712</v>
      </c>
      <c r="X14" s="78" t="s">
        <v>713</v>
      </c>
      <c r="Y14" s="86" t="s">
        <v>714</v>
      </c>
      <c r="Z14" s="78" t="s">
        <v>715</v>
      </c>
      <c r="AA14" s="78" t="s">
        <v>716</v>
      </c>
      <c r="AB14" s="81" t="s">
        <v>717</v>
      </c>
      <c r="AC14" s="78" t="s">
        <v>718</v>
      </c>
      <c r="AD14" s="19"/>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1"/>
      <c r="BK14" s="21"/>
      <c r="BL14" s="21"/>
      <c r="BM14" s="21"/>
    </row>
    <row r="15">
      <c r="A15" s="78" t="s">
        <v>719</v>
      </c>
      <c r="B15" s="78" t="s">
        <v>720</v>
      </c>
      <c r="C15" s="79" t="s">
        <v>721</v>
      </c>
      <c r="D15" s="78" t="s">
        <v>722</v>
      </c>
      <c r="E15" s="78" t="s">
        <v>723</v>
      </c>
      <c r="F15" s="78" t="s">
        <v>724</v>
      </c>
      <c r="G15" s="78" t="s">
        <v>725</v>
      </c>
      <c r="H15" s="78" t="s">
        <v>726</v>
      </c>
      <c r="I15" s="78" t="s">
        <v>727</v>
      </c>
      <c r="J15" s="78" t="s">
        <v>720</v>
      </c>
      <c r="K15" s="80" t="s">
        <v>728</v>
      </c>
      <c r="L15" s="78" t="s">
        <v>729</v>
      </c>
      <c r="M15" s="78" t="s">
        <v>730</v>
      </c>
      <c r="N15" s="81" t="s">
        <v>731</v>
      </c>
      <c r="O15" s="82" t="s">
        <v>732</v>
      </c>
      <c r="P15" s="83" t="s">
        <v>733</v>
      </c>
      <c r="Q15" s="84" t="s">
        <v>734</v>
      </c>
      <c r="R15" s="85" t="s">
        <v>735</v>
      </c>
      <c r="S15" s="78" t="s">
        <v>736</v>
      </c>
      <c r="T15" s="78" t="s">
        <v>737</v>
      </c>
      <c r="U15" s="78" t="s">
        <v>738</v>
      </c>
      <c r="V15" s="78" t="s">
        <v>739</v>
      </c>
      <c r="W15" s="78" t="s">
        <v>740</v>
      </c>
      <c r="X15" s="78" t="s">
        <v>741</v>
      </c>
      <c r="Y15" s="86" t="s">
        <v>742</v>
      </c>
      <c r="Z15" s="78" t="s">
        <v>743</v>
      </c>
      <c r="AA15" s="78" t="s">
        <v>744</v>
      </c>
      <c r="AB15" s="81" t="s">
        <v>745</v>
      </c>
      <c r="AC15" s="78" t="s">
        <v>746</v>
      </c>
      <c r="AD15" s="19"/>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1"/>
      <c r="BK15" s="21"/>
      <c r="BL15" s="21"/>
      <c r="BM15" s="21"/>
    </row>
    <row r="16">
      <c r="A16" s="78" t="s">
        <v>834</v>
      </c>
      <c r="B16" s="78" t="s">
        <v>835</v>
      </c>
      <c r="C16" s="79" t="s">
        <v>836</v>
      </c>
      <c r="D16" s="78" t="s">
        <v>837</v>
      </c>
      <c r="E16" s="78" t="s">
        <v>838</v>
      </c>
      <c r="F16" s="78" t="s">
        <v>839</v>
      </c>
      <c r="G16" s="78" t="s">
        <v>840</v>
      </c>
      <c r="H16" s="78" t="s">
        <v>841</v>
      </c>
      <c r="I16" s="78" t="s">
        <v>842</v>
      </c>
      <c r="J16" s="78" t="s">
        <v>843</v>
      </c>
      <c r="K16" s="80" t="s">
        <v>844</v>
      </c>
      <c r="L16" s="78" t="s">
        <v>651</v>
      </c>
      <c r="M16" s="78" t="s">
        <v>845</v>
      </c>
      <c r="N16" s="81" t="s">
        <v>653</v>
      </c>
      <c r="O16" s="82" t="s">
        <v>846</v>
      </c>
      <c r="P16" s="83" t="s">
        <v>847</v>
      </c>
      <c r="Q16" s="84" t="s">
        <v>656</v>
      </c>
      <c r="R16" s="85" t="s">
        <v>657</v>
      </c>
      <c r="S16" s="78" t="s">
        <v>848</v>
      </c>
      <c r="T16" s="78" t="s">
        <v>659</v>
      </c>
      <c r="U16" s="78" t="s">
        <v>849</v>
      </c>
      <c r="V16" s="78" t="s">
        <v>850</v>
      </c>
      <c r="W16" s="78" t="s">
        <v>851</v>
      </c>
      <c r="X16" s="78" t="s">
        <v>852</v>
      </c>
      <c r="Y16" s="86" t="s">
        <v>664</v>
      </c>
      <c r="Z16" s="78" t="s">
        <v>853</v>
      </c>
      <c r="AA16" s="78" t="s">
        <v>852</v>
      </c>
      <c r="AB16" s="81" t="s">
        <v>667</v>
      </c>
      <c r="AC16" s="78" t="s">
        <v>668</v>
      </c>
      <c r="AD16" s="19"/>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1"/>
      <c r="BK16" s="21"/>
      <c r="BL16" s="21"/>
      <c r="BM16" s="21"/>
    </row>
    <row r="17">
      <c r="A17" s="78" t="s">
        <v>1156</v>
      </c>
      <c r="B17" s="78" t="s">
        <v>1157</v>
      </c>
      <c r="C17" s="79" t="s">
        <v>1158</v>
      </c>
      <c r="D17" s="78" t="s">
        <v>1159</v>
      </c>
      <c r="E17" s="78" t="s">
        <v>1160</v>
      </c>
      <c r="F17" s="78" t="s">
        <v>1161</v>
      </c>
      <c r="G17" s="78" t="s">
        <v>1162</v>
      </c>
      <c r="H17" s="78" t="s">
        <v>1163</v>
      </c>
      <c r="I17" s="78" t="s">
        <v>1164</v>
      </c>
      <c r="J17" s="78" t="s">
        <v>1165</v>
      </c>
      <c r="K17" s="80" t="s">
        <v>1166</v>
      </c>
      <c r="L17" s="78" t="s">
        <v>1167</v>
      </c>
      <c r="M17" s="78" t="s">
        <v>1168</v>
      </c>
      <c r="N17" s="81" t="s">
        <v>1169</v>
      </c>
      <c r="O17" s="82" t="s">
        <v>1170</v>
      </c>
      <c r="P17" s="83" t="s">
        <v>1171</v>
      </c>
      <c r="Q17" s="84" t="s">
        <v>1172</v>
      </c>
      <c r="R17" s="85" t="s">
        <v>1173</v>
      </c>
      <c r="S17" s="78" t="s">
        <v>1174</v>
      </c>
      <c r="T17" s="78" t="s">
        <v>1175</v>
      </c>
      <c r="U17" s="78" t="s">
        <v>1176</v>
      </c>
      <c r="V17" s="78" t="s">
        <v>1177</v>
      </c>
      <c r="W17" s="78" t="s">
        <v>1178</v>
      </c>
      <c r="X17" s="78" t="s">
        <v>1179</v>
      </c>
      <c r="Y17" s="86" t="s">
        <v>1180</v>
      </c>
      <c r="Z17" s="78" t="s">
        <v>1181</v>
      </c>
      <c r="AA17" s="78" t="s">
        <v>1182</v>
      </c>
      <c r="AB17" s="81" t="s">
        <v>1183</v>
      </c>
      <c r="AC17" s="78" t="s">
        <v>1184</v>
      </c>
      <c r="AD17" s="19"/>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1"/>
      <c r="BK17" s="21"/>
      <c r="BL17" s="21"/>
      <c r="BM17" s="21"/>
    </row>
    <row r="18">
      <c r="A18" s="78" t="s">
        <v>1185</v>
      </c>
      <c r="B18" s="78" t="s">
        <v>1186</v>
      </c>
      <c r="C18" s="79" t="s">
        <v>1187</v>
      </c>
      <c r="D18" s="78" t="s">
        <v>1188</v>
      </c>
      <c r="E18" s="78" t="s">
        <v>1189</v>
      </c>
      <c r="F18" s="78" t="s">
        <v>1190</v>
      </c>
      <c r="G18" s="78" t="s">
        <v>1191</v>
      </c>
      <c r="H18" s="78" t="s">
        <v>1192</v>
      </c>
      <c r="I18" s="78" t="s">
        <v>1193</v>
      </c>
      <c r="J18" s="78" t="s">
        <v>1194</v>
      </c>
      <c r="K18" s="80" t="s">
        <v>1195</v>
      </c>
      <c r="L18" s="78" t="s">
        <v>1196</v>
      </c>
      <c r="M18" s="78" t="s">
        <v>1197</v>
      </c>
      <c r="N18" s="81" t="s">
        <v>1198</v>
      </c>
      <c r="O18" s="82" t="s">
        <v>1199</v>
      </c>
      <c r="P18" s="83" t="s">
        <v>1200</v>
      </c>
      <c r="Q18" s="78" t="s">
        <v>1201</v>
      </c>
      <c r="R18" s="85" t="s">
        <v>1202</v>
      </c>
      <c r="S18" s="78" t="s">
        <v>1203</v>
      </c>
      <c r="T18" s="78" t="s">
        <v>1196</v>
      </c>
      <c r="U18" s="78" t="s">
        <v>1204</v>
      </c>
      <c r="V18" s="78" t="s">
        <v>1205</v>
      </c>
      <c r="W18" s="78" t="s">
        <v>1191</v>
      </c>
      <c r="X18" s="78" t="s">
        <v>1206</v>
      </c>
      <c r="Y18" s="86" t="s">
        <v>1207</v>
      </c>
      <c r="Z18" s="78" t="s">
        <v>1208</v>
      </c>
      <c r="AA18" s="78" t="s">
        <v>1206</v>
      </c>
      <c r="AB18" s="81" t="s">
        <v>1209</v>
      </c>
      <c r="AC18" s="78" t="s">
        <v>1210</v>
      </c>
      <c r="AD18" s="19"/>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1"/>
      <c r="BK18" s="21"/>
      <c r="BL18" s="21"/>
      <c r="BM18" s="21"/>
    </row>
    <row r="19">
      <c r="A19" s="78" t="s">
        <v>1298</v>
      </c>
      <c r="B19" s="78" t="s">
        <v>1299</v>
      </c>
      <c r="C19" s="79" t="s">
        <v>1300</v>
      </c>
      <c r="D19" s="78" t="s">
        <v>1301</v>
      </c>
      <c r="E19" s="78" t="s">
        <v>1301</v>
      </c>
      <c r="F19" s="78" t="s">
        <v>1302</v>
      </c>
      <c r="G19" s="78" t="s">
        <v>1303</v>
      </c>
      <c r="H19" s="78" t="s">
        <v>1301</v>
      </c>
      <c r="I19" s="78" t="s">
        <v>1304</v>
      </c>
      <c r="J19" s="78" t="s">
        <v>1305</v>
      </c>
      <c r="K19" s="80" t="s">
        <v>1306</v>
      </c>
      <c r="L19" s="78" t="s">
        <v>1307</v>
      </c>
      <c r="M19" s="78" t="s">
        <v>1308</v>
      </c>
      <c r="N19" s="81" t="s">
        <v>1113</v>
      </c>
      <c r="O19" s="82" t="s">
        <v>1309</v>
      </c>
      <c r="P19" s="83" t="s">
        <v>1310</v>
      </c>
      <c r="Q19" s="84" t="s">
        <v>1311</v>
      </c>
      <c r="R19" s="85" t="s">
        <v>1312</v>
      </c>
      <c r="S19" s="78" t="s">
        <v>1313</v>
      </c>
      <c r="T19" s="78" t="s">
        <v>1301</v>
      </c>
      <c r="U19" s="78" t="s">
        <v>1314</v>
      </c>
      <c r="V19" s="78" t="s">
        <v>1301</v>
      </c>
      <c r="W19" s="78" t="s">
        <v>1315</v>
      </c>
      <c r="X19" s="78" t="s">
        <v>1316</v>
      </c>
      <c r="Y19" s="86" t="s">
        <v>1317</v>
      </c>
      <c r="Z19" s="78" t="s">
        <v>1301</v>
      </c>
      <c r="AA19" s="78" t="s">
        <v>1316</v>
      </c>
      <c r="AB19" s="81" t="s">
        <v>1318</v>
      </c>
      <c r="AC19" s="78" t="s">
        <v>1319</v>
      </c>
      <c r="AD19" s="19"/>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1"/>
      <c r="BK19" s="21"/>
      <c r="BL19" s="21"/>
      <c r="BM19" s="21"/>
    </row>
    <row r="20">
      <c r="A20" s="78" t="s">
        <v>1320</v>
      </c>
      <c r="B20" s="78" t="s">
        <v>1321</v>
      </c>
      <c r="C20" s="79" t="s">
        <v>1322</v>
      </c>
      <c r="D20" s="78" t="s">
        <v>1323</v>
      </c>
      <c r="E20" s="78" t="s">
        <v>1324</v>
      </c>
      <c r="F20" s="78" t="s">
        <v>1325</v>
      </c>
      <c r="G20" s="78" t="s">
        <v>1326</v>
      </c>
      <c r="H20" s="78" t="s">
        <v>1327</v>
      </c>
      <c r="I20" s="78" t="s">
        <v>1328</v>
      </c>
      <c r="J20" s="78" t="s">
        <v>1329</v>
      </c>
      <c r="K20" s="80" t="s">
        <v>1330</v>
      </c>
      <c r="L20" s="78" t="s">
        <v>1331</v>
      </c>
      <c r="M20" s="78" t="s">
        <v>1332</v>
      </c>
      <c r="N20" s="81" t="s">
        <v>1333</v>
      </c>
      <c r="O20" s="82" t="s">
        <v>1334</v>
      </c>
      <c r="P20" s="83" t="s">
        <v>1335</v>
      </c>
      <c r="Q20" s="84" t="s">
        <v>1336</v>
      </c>
      <c r="R20" s="85" t="s">
        <v>1337</v>
      </c>
      <c r="S20" s="78" t="s">
        <v>1338</v>
      </c>
      <c r="T20" s="78" t="s">
        <v>1339</v>
      </c>
      <c r="U20" s="78" t="s">
        <v>1340</v>
      </c>
      <c r="V20" s="78" t="s">
        <v>1341</v>
      </c>
      <c r="W20" s="78" t="s">
        <v>1342</v>
      </c>
      <c r="X20" s="78" t="s">
        <v>1343</v>
      </c>
      <c r="Y20" s="86" t="s">
        <v>1344</v>
      </c>
      <c r="Z20" s="78" t="s">
        <v>1345</v>
      </c>
      <c r="AA20" s="78" t="s">
        <v>1346</v>
      </c>
      <c r="AB20" s="81" t="s">
        <v>1347</v>
      </c>
      <c r="AC20" s="78" t="s">
        <v>1348</v>
      </c>
      <c r="AD20" s="19"/>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1"/>
      <c r="BK20" s="21"/>
      <c r="BL20" s="21"/>
      <c r="BM20" s="21"/>
    </row>
    <row r="21">
      <c r="A21" s="78" t="s">
        <v>1462</v>
      </c>
      <c r="B21" s="78" t="s">
        <v>1463</v>
      </c>
      <c r="C21" s="79" t="s">
        <v>1464</v>
      </c>
      <c r="D21" s="78" t="s">
        <v>1465</v>
      </c>
      <c r="E21" s="78" t="s">
        <v>1466</v>
      </c>
      <c r="F21" s="78" t="s">
        <v>1467</v>
      </c>
      <c r="G21" s="78" t="s">
        <v>1468</v>
      </c>
      <c r="H21" s="78" t="s">
        <v>1469</v>
      </c>
      <c r="I21" s="78" t="s">
        <v>1470</v>
      </c>
      <c r="J21" s="78" t="s">
        <v>1471</v>
      </c>
      <c r="K21" s="80" t="s">
        <v>1472</v>
      </c>
      <c r="L21" s="78" t="s">
        <v>1473</v>
      </c>
      <c r="M21" s="78" t="s">
        <v>1474</v>
      </c>
      <c r="N21" s="81" t="s">
        <v>1475</v>
      </c>
      <c r="O21" s="82" t="s">
        <v>1476</v>
      </c>
      <c r="P21" s="83" t="s">
        <v>1477</v>
      </c>
      <c r="Q21" s="84" t="s">
        <v>1478</v>
      </c>
      <c r="R21" s="85" t="s">
        <v>1479</v>
      </c>
      <c r="S21" s="78" t="s">
        <v>1480</v>
      </c>
      <c r="T21" s="78" t="s">
        <v>1473</v>
      </c>
      <c r="U21" s="78" t="s">
        <v>1481</v>
      </c>
      <c r="V21" s="78" t="s">
        <v>1482</v>
      </c>
      <c r="W21" s="78" t="s">
        <v>1483</v>
      </c>
      <c r="X21" s="78" t="s">
        <v>1484</v>
      </c>
      <c r="Y21" s="86" t="s">
        <v>1485</v>
      </c>
      <c r="Z21" s="78" t="s">
        <v>1486</v>
      </c>
      <c r="AA21" s="78" t="s">
        <v>1487</v>
      </c>
      <c r="AB21" s="81" t="s">
        <v>1475</v>
      </c>
      <c r="AC21" s="78" t="s">
        <v>1488</v>
      </c>
      <c r="AD21" s="19"/>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1"/>
      <c r="BK21" s="21"/>
      <c r="BL21" s="21"/>
      <c r="BM21" s="21"/>
    </row>
    <row r="22">
      <c r="A22" s="78" t="s">
        <v>2618</v>
      </c>
      <c r="B22" s="78" t="s">
        <v>2619</v>
      </c>
      <c r="C22" s="79" t="s">
        <v>2620</v>
      </c>
      <c r="D22" s="78" t="s">
        <v>2621</v>
      </c>
      <c r="E22" s="78" t="s">
        <v>2622</v>
      </c>
      <c r="F22" s="78" t="s">
        <v>2623</v>
      </c>
      <c r="G22" s="78" t="s">
        <v>2624</v>
      </c>
      <c r="H22" s="78" t="s">
        <v>2625</v>
      </c>
      <c r="I22" s="78" t="s">
        <v>2626</v>
      </c>
      <c r="J22" s="78" t="s">
        <v>2627</v>
      </c>
      <c r="K22" s="80" t="s">
        <v>2628</v>
      </c>
      <c r="L22" s="78" t="s">
        <v>2629</v>
      </c>
      <c r="M22" s="78" t="s">
        <v>2630</v>
      </c>
      <c r="N22" s="81" t="s">
        <v>2631</v>
      </c>
      <c r="O22" s="82" t="s">
        <v>2632</v>
      </c>
      <c r="P22" s="83" t="s">
        <v>2633</v>
      </c>
      <c r="Q22" s="84" t="s">
        <v>2634</v>
      </c>
      <c r="R22" s="85" t="s">
        <v>2635</v>
      </c>
      <c r="S22" s="78" t="s">
        <v>2636</v>
      </c>
      <c r="T22" s="78" t="s">
        <v>2637</v>
      </c>
      <c r="U22" s="78" t="s">
        <v>2638</v>
      </c>
      <c r="V22" s="78" t="s">
        <v>2639</v>
      </c>
      <c r="W22" s="78" t="s">
        <v>2640</v>
      </c>
      <c r="X22" s="78" t="s">
        <v>2641</v>
      </c>
      <c r="Y22" s="86" t="s">
        <v>2642</v>
      </c>
      <c r="Z22" s="78" t="s">
        <v>2643</v>
      </c>
      <c r="AA22" s="78" t="s">
        <v>2644</v>
      </c>
      <c r="AB22" s="81" t="s">
        <v>2645</v>
      </c>
      <c r="AC22" s="78" t="s">
        <v>2646</v>
      </c>
      <c r="AD22" s="19"/>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1"/>
      <c r="BK22" s="21"/>
      <c r="BL22" s="21"/>
      <c r="BM22" s="21"/>
    </row>
    <row r="23">
      <c r="A23" s="78" t="s">
        <v>2647</v>
      </c>
      <c r="B23" s="78" t="s">
        <v>2648</v>
      </c>
      <c r="C23" s="79" t="s">
        <v>2649</v>
      </c>
      <c r="D23" s="78" t="s">
        <v>2650</v>
      </c>
      <c r="E23" s="78" t="s">
        <v>2651</v>
      </c>
      <c r="F23" s="78" t="s">
        <v>2652</v>
      </c>
      <c r="G23" s="78" t="s">
        <v>2653</v>
      </c>
      <c r="H23" s="78" t="s">
        <v>2654</v>
      </c>
      <c r="I23" s="78" t="s">
        <v>2655</v>
      </c>
      <c r="J23" s="78" t="s">
        <v>2656</v>
      </c>
      <c r="K23" s="80" t="s">
        <v>2657</v>
      </c>
      <c r="L23" s="78" t="s">
        <v>2658</v>
      </c>
      <c r="M23" s="78" t="s">
        <v>2648</v>
      </c>
      <c r="N23" s="81" t="s">
        <v>2659</v>
      </c>
      <c r="O23" s="82" t="s">
        <v>2660</v>
      </c>
      <c r="P23" s="83" t="s">
        <v>2661</v>
      </c>
      <c r="Q23" s="84" t="s">
        <v>2662</v>
      </c>
      <c r="R23" s="85" t="s">
        <v>2663</v>
      </c>
      <c r="S23" s="78" t="s">
        <v>2664</v>
      </c>
      <c r="T23" s="78" t="s">
        <v>2665</v>
      </c>
      <c r="U23" s="78" t="s">
        <v>2648</v>
      </c>
      <c r="V23" s="78" t="s">
        <v>2666</v>
      </c>
      <c r="W23" s="78" t="s">
        <v>2667</v>
      </c>
      <c r="X23" s="78" t="s">
        <v>2668</v>
      </c>
      <c r="Y23" s="86" t="s">
        <v>2669</v>
      </c>
      <c r="Z23" s="78" t="s">
        <v>2670</v>
      </c>
      <c r="AA23" s="78" t="s">
        <v>2671</v>
      </c>
      <c r="AB23" s="81" t="s">
        <v>2672</v>
      </c>
      <c r="AC23" s="78" t="s">
        <v>2673</v>
      </c>
      <c r="AD23" s="19"/>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1"/>
      <c r="BK23" s="21"/>
      <c r="BL23" s="21"/>
      <c r="BM23" s="21"/>
    </row>
    <row r="24">
      <c r="A24" s="78" t="s">
        <v>2674</v>
      </c>
      <c r="B24" s="78" t="s">
        <v>327</v>
      </c>
      <c r="C24" s="79" t="s">
        <v>328</v>
      </c>
      <c r="D24" s="78" t="s">
        <v>329</v>
      </c>
      <c r="E24" s="78" t="s">
        <v>330</v>
      </c>
      <c r="F24" s="78" t="s">
        <v>331</v>
      </c>
      <c r="G24" s="78" t="s">
        <v>332</v>
      </c>
      <c r="H24" s="78" t="s">
        <v>333</v>
      </c>
      <c r="I24" s="78" t="s">
        <v>334</v>
      </c>
      <c r="J24" s="78" t="s">
        <v>335</v>
      </c>
      <c r="K24" s="80" t="s">
        <v>336</v>
      </c>
      <c r="L24" s="78" t="s">
        <v>337</v>
      </c>
      <c r="M24" s="78" t="s">
        <v>338</v>
      </c>
      <c r="N24" s="81" t="s">
        <v>339</v>
      </c>
      <c r="O24" s="82" t="s">
        <v>340</v>
      </c>
      <c r="P24" s="83" t="s">
        <v>341</v>
      </c>
      <c r="Q24" s="84" t="s">
        <v>342</v>
      </c>
      <c r="R24" s="85" t="s">
        <v>343</v>
      </c>
      <c r="S24" s="78" t="s">
        <v>344</v>
      </c>
      <c r="T24" s="78" t="s">
        <v>345</v>
      </c>
      <c r="U24" s="78" t="s">
        <v>346</v>
      </c>
      <c r="V24" s="78" t="s">
        <v>347</v>
      </c>
      <c r="W24" s="78" t="s">
        <v>348</v>
      </c>
      <c r="X24" s="78" t="s">
        <v>349</v>
      </c>
      <c r="Y24" s="86" t="s">
        <v>350</v>
      </c>
      <c r="Z24" s="78" t="s">
        <v>351</v>
      </c>
      <c r="AA24" s="78" t="s">
        <v>352</v>
      </c>
      <c r="AB24" s="81" t="s">
        <v>353</v>
      </c>
      <c r="AC24" s="78" t="s">
        <v>354</v>
      </c>
      <c r="AD24" s="19"/>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1"/>
      <c r="BK24" s="21"/>
      <c r="BL24" s="21"/>
      <c r="BM24" s="21"/>
    </row>
    <row r="25">
      <c r="A25" s="78" t="s">
        <v>2675</v>
      </c>
      <c r="B25" s="78" t="s">
        <v>2676</v>
      </c>
      <c r="C25" s="79" t="s">
        <v>2677</v>
      </c>
      <c r="D25" s="78" t="s">
        <v>2678</v>
      </c>
      <c r="E25" s="78" t="s">
        <v>2676</v>
      </c>
      <c r="F25" s="78" t="s">
        <v>2679</v>
      </c>
      <c r="G25" s="78" t="s">
        <v>2680</v>
      </c>
      <c r="H25" s="78" t="s">
        <v>2681</v>
      </c>
      <c r="I25" s="78" t="s">
        <v>2682</v>
      </c>
      <c r="J25" s="78" t="s">
        <v>2683</v>
      </c>
      <c r="K25" s="80" t="s">
        <v>2684</v>
      </c>
      <c r="L25" s="78" t="s">
        <v>2685</v>
      </c>
      <c r="M25" s="78" t="s">
        <v>2686</v>
      </c>
      <c r="N25" s="81" t="s">
        <v>2687</v>
      </c>
      <c r="O25" s="82" t="s">
        <v>2688</v>
      </c>
      <c r="P25" s="83" t="s">
        <v>2689</v>
      </c>
      <c r="Q25" s="84" t="s">
        <v>2690</v>
      </c>
      <c r="R25" s="85" t="s">
        <v>2691</v>
      </c>
      <c r="S25" s="78" t="s">
        <v>2692</v>
      </c>
      <c r="T25" s="78" t="s">
        <v>2693</v>
      </c>
      <c r="U25" s="78" t="s">
        <v>2694</v>
      </c>
      <c r="V25" s="78" t="s">
        <v>2695</v>
      </c>
      <c r="W25" s="78" t="s">
        <v>2696</v>
      </c>
      <c r="X25" s="78" t="s">
        <v>2697</v>
      </c>
      <c r="Y25" s="86" t="s">
        <v>2698</v>
      </c>
      <c r="Z25" s="78" t="s">
        <v>2699</v>
      </c>
      <c r="AA25" s="78" t="s">
        <v>2700</v>
      </c>
      <c r="AB25" s="81" t="s">
        <v>2701</v>
      </c>
      <c r="AC25" s="78" t="s">
        <v>2702</v>
      </c>
      <c r="AD25" s="19"/>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1"/>
      <c r="BK25" s="21"/>
      <c r="BL25" s="21"/>
      <c r="BM25" s="21"/>
    </row>
    <row r="26">
      <c r="A26" s="78" t="s">
        <v>2703</v>
      </c>
      <c r="B26" s="78" t="s">
        <v>2704</v>
      </c>
      <c r="C26" s="79" t="s">
        <v>2705</v>
      </c>
      <c r="D26" s="78" t="s">
        <v>2706</v>
      </c>
      <c r="E26" s="78" t="s">
        <v>2707</v>
      </c>
      <c r="F26" s="78" t="s">
        <v>2708</v>
      </c>
      <c r="G26" s="78" t="s">
        <v>2709</v>
      </c>
      <c r="H26" s="78" t="s">
        <v>2710</v>
      </c>
      <c r="I26" s="78" t="s">
        <v>2711</v>
      </c>
      <c r="J26" s="78" t="s">
        <v>2712</v>
      </c>
      <c r="K26" s="80" t="s">
        <v>2713</v>
      </c>
      <c r="L26" s="78" t="s">
        <v>2714</v>
      </c>
      <c r="M26" s="78" t="s">
        <v>2715</v>
      </c>
      <c r="N26" s="81" t="s">
        <v>2716</v>
      </c>
      <c r="O26" s="82" t="s">
        <v>2717</v>
      </c>
      <c r="P26" s="83" t="s">
        <v>2718</v>
      </c>
      <c r="Q26" s="84" t="s">
        <v>2719</v>
      </c>
      <c r="R26" s="85" t="s">
        <v>2720</v>
      </c>
      <c r="S26" s="78" t="s">
        <v>2721</v>
      </c>
      <c r="T26" s="78" t="s">
        <v>2722</v>
      </c>
      <c r="U26" s="78" t="s">
        <v>2723</v>
      </c>
      <c r="V26" s="78" t="s">
        <v>2724</v>
      </c>
      <c r="W26" s="78" t="s">
        <v>2725</v>
      </c>
      <c r="X26" s="78" t="s">
        <v>2726</v>
      </c>
      <c r="Y26" s="86" t="s">
        <v>2727</v>
      </c>
      <c r="Z26" s="78" t="s">
        <v>2728</v>
      </c>
      <c r="AA26" s="78" t="s">
        <v>2729</v>
      </c>
      <c r="AB26" s="81" t="s">
        <v>2730</v>
      </c>
      <c r="AC26" s="78" t="s">
        <v>2731</v>
      </c>
      <c r="AD26" s="19"/>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1"/>
      <c r="BK26" s="21"/>
      <c r="BL26" s="21"/>
      <c r="BM26" s="21"/>
    </row>
    <row r="27">
      <c r="A27" s="78" t="s">
        <v>2732</v>
      </c>
      <c r="B27" s="78" t="s">
        <v>2733</v>
      </c>
      <c r="C27" s="79" t="s">
        <v>2734</v>
      </c>
      <c r="D27" s="78" t="s">
        <v>2735</v>
      </c>
      <c r="E27" s="78" t="s">
        <v>2736</v>
      </c>
      <c r="F27" s="78" t="s">
        <v>2737</v>
      </c>
      <c r="G27" s="78" t="s">
        <v>2738</v>
      </c>
      <c r="H27" s="78" t="s">
        <v>2739</v>
      </c>
      <c r="I27" s="78" t="s">
        <v>2740</v>
      </c>
      <c r="J27" s="78" t="s">
        <v>2741</v>
      </c>
      <c r="K27" s="80" t="s">
        <v>2742</v>
      </c>
      <c r="L27" s="78" t="s">
        <v>2743</v>
      </c>
      <c r="M27" s="78" t="s">
        <v>2744</v>
      </c>
      <c r="N27" s="81" t="s">
        <v>2745</v>
      </c>
      <c r="O27" s="82" t="s">
        <v>2746</v>
      </c>
      <c r="P27" s="83" t="s">
        <v>2747</v>
      </c>
      <c r="Q27" s="84" t="s">
        <v>2748</v>
      </c>
      <c r="R27" s="85" t="s">
        <v>2749</v>
      </c>
      <c r="S27" s="78" t="s">
        <v>2750</v>
      </c>
      <c r="T27" s="78" t="s">
        <v>2751</v>
      </c>
      <c r="U27" s="78" t="s">
        <v>2752</v>
      </c>
      <c r="V27" s="78" t="s">
        <v>2753</v>
      </c>
      <c r="W27" s="78" t="s">
        <v>2754</v>
      </c>
      <c r="X27" s="78" t="s">
        <v>2755</v>
      </c>
      <c r="Y27" s="86" t="s">
        <v>2756</v>
      </c>
      <c r="Z27" s="78" t="s">
        <v>2757</v>
      </c>
      <c r="AA27" s="78" t="s">
        <v>2758</v>
      </c>
      <c r="AB27" s="81" t="s">
        <v>2759</v>
      </c>
      <c r="AC27" s="78" t="s">
        <v>2760</v>
      </c>
      <c r="AD27" s="19"/>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1"/>
      <c r="BK27" s="21"/>
      <c r="BL27" s="21"/>
      <c r="BM27" s="21"/>
    </row>
    <row r="28">
      <c r="A28" s="78" t="s">
        <v>3048</v>
      </c>
      <c r="B28" s="78" t="s">
        <v>3049</v>
      </c>
      <c r="C28" s="79" t="s">
        <v>3050</v>
      </c>
      <c r="D28" s="78" t="s">
        <v>3051</v>
      </c>
      <c r="E28" s="78" t="s">
        <v>3052</v>
      </c>
      <c r="F28" s="78" t="s">
        <v>3053</v>
      </c>
      <c r="G28" s="78" t="s">
        <v>3054</v>
      </c>
      <c r="H28" s="78" t="s">
        <v>3055</v>
      </c>
      <c r="I28" s="78" t="s">
        <v>3056</v>
      </c>
      <c r="J28" s="78" t="s">
        <v>3057</v>
      </c>
      <c r="K28" s="80" t="s">
        <v>3058</v>
      </c>
      <c r="L28" s="78" t="s">
        <v>3059</v>
      </c>
      <c r="M28" s="78" t="s">
        <v>3060</v>
      </c>
      <c r="N28" s="81" t="s">
        <v>3061</v>
      </c>
      <c r="O28" s="82" t="s">
        <v>3062</v>
      </c>
      <c r="P28" s="83" t="s">
        <v>3063</v>
      </c>
      <c r="Q28" s="84" t="s">
        <v>3064</v>
      </c>
      <c r="R28" s="85" t="s">
        <v>3065</v>
      </c>
      <c r="S28" s="78" t="s">
        <v>3066</v>
      </c>
      <c r="T28" s="78" t="s">
        <v>3067</v>
      </c>
      <c r="U28" s="78" t="s">
        <v>3068</v>
      </c>
      <c r="V28" s="78" t="s">
        <v>3069</v>
      </c>
      <c r="W28" s="78" t="s">
        <v>3070</v>
      </c>
      <c r="X28" s="78" t="s">
        <v>3071</v>
      </c>
      <c r="Y28" s="86" t="s">
        <v>3072</v>
      </c>
      <c r="Z28" s="78" t="s">
        <v>3073</v>
      </c>
      <c r="AA28" s="78" t="s">
        <v>3074</v>
      </c>
      <c r="AB28" s="81" t="s">
        <v>3075</v>
      </c>
      <c r="AC28" s="78" t="s">
        <v>3076</v>
      </c>
      <c r="AD28" s="19"/>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1"/>
      <c r="BK28" s="21"/>
      <c r="BL28" s="21"/>
      <c r="BM28" s="21"/>
    </row>
    <row r="29">
      <c r="A29" s="78" t="s">
        <v>5109</v>
      </c>
      <c r="B29" s="78" t="s">
        <v>5110</v>
      </c>
      <c r="C29" s="79" t="s">
        <v>5111</v>
      </c>
      <c r="D29" s="78" t="s">
        <v>5112</v>
      </c>
      <c r="E29" s="78" t="s">
        <v>5113</v>
      </c>
      <c r="F29" s="78" t="s">
        <v>5114</v>
      </c>
      <c r="G29" s="78" t="s">
        <v>5115</v>
      </c>
      <c r="H29" s="78" t="s">
        <v>5116</v>
      </c>
      <c r="I29" s="78" t="s">
        <v>5117</v>
      </c>
      <c r="J29" s="78" t="s">
        <v>5118</v>
      </c>
      <c r="K29" s="80" t="s">
        <v>5119</v>
      </c>
      <c r="L29" s="78" t="s">
        <v>5120</v>
      </c>
      <c r="M29" s="78" t="s">
        <v>5121</v>
      </c>
      <c r="N29" s="81" t="s">
        <v>5122</v>
      </c>
      <c r="O29" s="82" t="s">
        <v>5123</v>
      </c>
      <c r="P29" s="83" t="s">
        <v>5124</v>
      </c>
      <c r="Q29" s="84" t="s">
        <v>5125</v>
      </c>
      <c r="R29" s="85" t="s">
        <v>5126</v>
      </c>
      <c r="S29" s="78" t="s">
        <v>5127</v>
      </c>
      <c r="T29" s="78" t="s">
        <v>5120</v>
      </c>
      <c r="U29" s="78" t="s">
        <v>5128</v>
      </c>
      <c r="V29" s="78" t="s">
        <v>5129</v>
      </c>
      <c r="W29" s="78" t="s">
        <v>5130</v>
      </c>
      <c r="X29" s="78" t="s">
        <v>5131</v>
      </c>
      <c r="Y29" s="86" t="s">
        <v>5132</v>
      </c>
      <c r="Z29" s="78" t="s">
        <v>5133</v>
      </c>
      <c r="AA29" s="78" t="s">
        <v>5134</v>
      </c>
      <c r="AB29" s="81" t="s">
        <v>5135</v>
      </c>
      <c r="AC29" s="78" t="s">
        <v>5136</v>
      </c>
      <c r="AD29" s="19"/>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1"/>
      <c r="BK29" s="21"/>
      <c r="BL29" s="21"/>
      <c r="BM29" s="21"/>
    </row>
    <row r="30">
      <c r="A30" s="78" t="s">
        <v>3190</v>
      </c>
      <c r="B30" s="78" t="s">
        <v>3191</v>
      </c>
      <c r="C30" s="79" t="s">
        <v>3192</v>
      </c>
      <c r="D30" s="78" t="s">
        <v>3193</v>
      </c>
      <c r="E30" s="78" t="s">
        <v>3194</v>
      </c>
      <c r="F30" s="78" t="s">
        <v>3195</v>
      </c>
      <c r="G30" s="78" t="s">
        <v>3196</v>
      </c>
      <c r="H30" s="78" t="s">
        <v>3197</v>
      </c>
      <c r="I30" s="78" t="s">
        <v>3198</v>
      </c>
      <c r="J30" s="78" t="s">
        <v>3199</v>
      </c>
      <c r="K30" s="80" t="s">
        <v>3200</v>
      </c>
      <c r="L30" s="78" t="s">
        <v>3201</v>
      </c>
      <c r="M30" s="78" t="s">
        <v>3202</v>
      </c>
      <c r="N30" s="81" t="s">
        <v>3203</v>
      </c>
      <c r="O30" s="82" t="s">
        <v>3204</v>
      </c>
      <c r="P30" s="83" t="s">
        <v>3205</v>
      </c>
      <c r="Q30" s="84" t="s">
        <v>3206</v>
      </c>
      <c r="R30" s="85" t="s">
        <v>3207</v>
      </c>
      <c r="S30" s="78" t="s">
        <v>3208</v>
      </c>
      <c r="T30" s="78" t="s">
        <v>3209</v>
      </c>
      <c r="U30" s="78" t="s">
        <v>3210</v>
      </c>
      <c r="V30" s="78" t="s">
        <v>3211</v>
      </c>
      <c r="W30" s="78" t="s">
        <v>3212</v>
      </c>
      <c r="X30" s="78" t="s">
        <v>3213</v>
      </c>
      <c r="Y30" s="86" t="s">
        <v>3214</v>
      </c>
      <c r="Z30" s="78" t="s">
        <v>3215</v>
      </c>
      <c r="AA30" s="78" t="s">
        <v>3216</v>
      </c>
      <c r="AB30" s="81" t="s">
        <v>3217</v>
      </c>
      <c r="AC30" s="78" t="s">
        <v>3218</v>
      </c>
      <c r="AD30" s="19"/>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1"/>
      <c r="BK30" s="21"/>
      <c r="BL30" s="21"/>
      <c r="BM30" s="21"/>
    </row>
    <row r="31">
      <c r="A31" s="78" t="s">
        <v>3219</v>
      </c>
      <c r="B31" s="78" t="s">
        <v>3220</v>
      </c>
      <c r="C31" s="79" t="s">
        <v>3221</v>
      </c>
      <c r="D31" s="78" t="s">
        <v>3222</v>
      </c>
      <c r="E31" s="78" t="s">
        <v>3223</v>
      </c>
      <c r="F31" s="78" t="s">
        <v>3224</v>
      </c>
      <c r="G31" s="78" t="s">
        <v>3225</v>
      </c>
      <c r="H31" s="78" t="s">
        <v>3226</v>
      </c>
      <c r="I31" s="78" t="s">
        <v>3227</v>
      </c>
      <c r="J31" s="78" t="s">
        <v>3228</v>
      </c>
      <c r="K31" s="80" t="s">
        <v>3229</v>
      </c>
      <c r="L31" s="78" t="s">
        <v>3230</v>
      </c>
      <c r="M31" s="78" t="s">
        <v>3225</v>
      </c>
      <c r="N31" s="81" t="s">
        <v>3231</v>
      </c>
      <c r="O31" s="82" t="s">
        <v>3232</v>
      </c>
      <c r="P31" s="83" t="s">
        <v>3233</v>
      </c>
      <c r="Q31" s="84" t="s">
        <v>3234</v>
      </c>
      <c r="R31" s="85" t="s">
        <v>3235</v>
      </c>
      <c r="S31" s="78" t="s">
        <v>3236</v>
      </c>
      <c r="T31" s="78" t="s">
        <v>3237</v>
      </c>
      <c r="U31" s="78" t="s">
        <v>3238</v>
      </c>
      <c r="V31" s="78" t="s">
        <v>3239</v>
      </c>
      <c r="W31" s="78" t="s">
        <v>3225</v>
      </c>
      <c r="X31" s="78" t="s">
        <v>3240</v>
      </c>
      <c r="Y31" s="86" t="s">
        <v>3241</v>
      </c>
      <c r="Z31" s="78" t="s">
        <v>3237</v>
      </c>
      <c r="AA31" s="78" t="s">
        <v>3242</v>
      </c>
      <c r="AB31" s="81" t="s">
        <v>3243</v>
      </c>
      <c r="AC31" s="78" t="s">
        <v>3244</v>
      </c>
      <c r="AD31" s="19"/>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1"/>
      <c r="BK31" s="21"/>
      <c r="BL31" s="21"/>
      <c r="BM31" s="21"/>
    </row>
    <row r="32">
      <c r="A32" s="78" t="s">
        <v>4443</v>
      </c>
      <c r="B32" s="78" t="s">
        <v>4444</v>
      </c>
      <c r="C32" s="79" t="s">
        <v>4445</v>
      </c>
      <c r="D32" s="78" t="s">
        <v>4446</v>
      </c>
      <c r="E32" s="78" t="s">
        <v>4447</v>
      </c>
      <c r="F32" s="78" t="s">
        <v>4448</v>
      </c>
      <c r="G32" s="78" t="s">
        <v>4449</v>
      </c>
      <c r="H32" s="78" t="s">
        <v>4450</v>
      </c>
      <c r="I32" s="78" t="s">
        <v>4451</v>
      </c>
      <c r="J32" s="78" t="s">
        <v>4452</v>
      </c>
      <c r="K32" s="80" t="s">
        <v>4453</v>
      </c>
      <c r="L32" s="78" t="s">
        <v>4454</v>
      </c>
      <c r="M32" s="78" t="s">
        <v>4455</v>
      </c>
      <c r="N32" s="81" t="s">
        <v>4456</v>
      </c>
      <c r="O32" s="82" t="s">
        <v>4457</v>
      </c>
      <c r="P32" s="83" t="s">
        <v>4458</v>
      </c>
      <c r="Q32" s="84" t="s">
        <v>4459</v>
      </c>
      <c r="R32" s="85" t="s">
        <v>4460</v>
      </c>
      <c r="S32" s="78" t="s">
        <v>4461</v>
      </c>
      <c r="T32" s="78" t="s">
        <v>4462</v>
      </c>
      <c r="U32" s="78" t="s">
        <v>4463</v>
      </c>
      <c r="V32" s="78" t="s">
        <v>4464</v>
      </c>
      <c r="W32" s="78" t="s">
        <v>4449</v>
      </c>
      <c r="X32" s="78" t="s">
        <v>4465</v>
      </c>
      <c r="Y32" s="86" t="s">
        <v>4466</v>
      </c>
      <c r="Z32" s="78" t="s">
        <v>4467</v>
      </c>
      <c r="AA32" s="78" t="s">
        <v>4468</v>
      </c>
      <c r="AB32" s="81" t="s">
        <v>4469</v>
      </c>
      <c r="AC32" s="78" t="s">
        <v>4470</v>
      </c>
      <c r="AD32" s="19"/>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1"/>
      <c r="BK32" s="21"/>
      <c r="BL32" s="21"/>
      <c r="BM32" s="21"/>
    </row>
    <row r="33">
      <c r="A33" s="78" t="s">
        <v>4545</v>
      </c>
      <c r="B33" s="78" t="s">
        <v>4545</v>
      </c>
      <c r="C33" s="79" t="s">
        <v>4546</v>
      </c>
      <c r="D33" s="78" t="s">
        <v>4547</v>
      </c>
      <c r="E33" s="78" t="s">
        <v>4548</v>
      </c>
      <c r="F33" s="78" t="s">
        <v>4549</v>
      </c>
      <c r="G33" s="78" t="s">
        <v>4550</v>
      </c>
      <c r="H33" s="78" t="s">
        <v>4551</v>
      </c>
      <c r="I33" s="78" t="s">
        <v>4552</v>
      </c>
      <c r="J33" s="78" t="s">
        <v>4553</v>
      </c>
      <c r="K33" s="80" t="s">
        <v>4554</v>
      </c>
      <c r="L33" s="78" t="s">
        <v>4555</v>
      </c>
      <c r="M33" s="78" t="s">
        <v>4556</v>
      </c>
      <c r="N33" s="81" t="s">
        <v>4557</v>
      </c>
      <c r="O33" s="82" t="s">
        <v>4558</v>
      </c>
      <c r="P33" s="83" t="s">
        <v>4559</v>
      </c>
      <c r="Q33" s="84" t="s">
        <v>4560</v>
      </c>
      <c r="R33" s="85" t="s">
        <v>4561</v>
      </c>
      <c r="S33" s="78" t="s">
        <v>4562</v>
      </c>
      <c r="T33" s="78" t="s">
        <v>4563</v>
      </c>
      <c r="U33" s="78" t="s">
        <v>4564</v>
      </c>
      <c r="V33" s="78" t="s">
        <v>4565</v>
      </c>
      <c r="W33" s="78" t="s">
        <v>4566</v>
      </c>
      <c r="X33" s="78" t="s">
        <v>4567</v>
      </c>
      <c r="Y33" s="86" t="s">
        <v>4568</v>
      </c>
      <c r="Z33" s="78" t="s">
        <v>4569</v>
      </c>
      <c r="AA33" s="78" t="s">
        <v>4570</v>
      </c>
      <c r="AB33" s="81" t="s">
        <v>4557</v>
      </c>
      <c r="AC33" s="78" t="s">
        <v>4571</v>
      </c>
      <c r="AD33" s="19"/>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1"/>
      <c r="BK33" s="21"/>
      <c r="BL33" s="21"/>
      <c r="BM33" s="21"/>
    </row>
    <row r="34">
      <c r="A34" s="78" t="s">
        <v>4848</v>
      </c>
      <c r="B34" s="78" t="s">
        <v>4849</v>
      </c>
      <c r="C34" s="79" t="s">
        <v>4850</v>
      </c>
      <c r="D34" s="78" t="s">
        <v>4851</v>
      </c>
      <c r="E34" s="78" t="s">
        <v>4852</v>
      </c>
      <c r="F34" s="78" t="s">
        <v>4853</v>
      </c>
      <c r="G34" s="78" t="s">
        <v>4854</v>
      </c>
      <c r="H34" s="78" t="s">
        <v>4855</v>
      </c>
      <c r="I34" s="78" t="s">
        <v>4856</v>
      </c>
      <c r="J34" s="78" t="s">
        <v>4857</v>
      </c>
      <c r="K34" s="80" t="s">
        <v>4858</v>
      </c>
      <c r="L34" s="78" t="s">
        <v>4859</v>
      </c>
      <c r="M34" s="78" t="s">
        <v>4860</v>
      </c>
      <c r="N34" s="81" t="s">
        <v>4861</v>
      </c>
      <c r="O34" s="82" t="s">
        <v>4862</v>
      </c>
      <c r="P34" s="83" t="s">
        <v>4863</v>
      </c>
      <c r="Q34" s="84" t="s">
        <v>4864</v>
      </c>
      <c r="R34" s="85" t="s">
        <v>4865</v>
      </c>
      <c r="S34" s="78" t="s">
        <v>4866</v>
      </c>
      <c r="T34" s="78" t="s">
        <v>4867</v>
      </c>
      <c r="U34" s="78" t="s">
        <v>4868</v>
      </c>
      <c r="V34" s="78" t="s">
        <v>4869</v>
      </c>
      <c r="W34" s="78" t="s">
        <v>4870</v>
      </c>
      <c r="X34" s="78" t="s">
        <v>4871</v>
      </c>
      <c r="Y34" s="86" t="s">
        <v>4872</v>
      </c>
      <c r="Z34" s="78" t="s">
        <v>4873</v>
      </c>
      <c r="AA34" s="78" t="s">
        <v>4874</v>
      </c>
      <c r="AB34" s="81" t="s">
        <v>4875</v>
      </c>
      <c r="AC34" s="78" t="s">
        <v>4876</v>
      </c>
      <c r="AD34" s="19"/>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1"/>
      <c r="BK34" s="21"/>
      <c r="BL34" s="21"/>
      <c r="BM34" s="21"/>
    </row>
    <row r="35">
      <c r="A35" s="78" t="s">
        <v>4877</v>
      </c>
      <c r="B35" s="78" t="s">
        <v>4878</v>
      </c>
      <c r="C35" s="79" t="s">
        <v>4879</v>
      </c>
      <c r="D35" s="78" t="s">
        <v>4880</v>
      </c>
      <c r="E35" s="78" t="s">
        <v>4881</v>
      </c>
      <c r="F35" s="78" t="s">
        <v>4882</v>
      </c>
      <c r="G35" s="78" t="s">
        <v>4883</v>
      </c>
      <c r="H35" s="78" t="s">
        <v>4884</v>
      </c>
      <c r="I35" s="78" t="s">
        <v>4885</v>
      </c>
      <c r="J35" s="78" t="s">
        <v>4886</v>
      </c>
      <c r="K35" s="80" t="s">
        <v>4887</v>
      </c>
      <c r="L35" s="78" t="s">
        <v>4888</v>
      </c>
      <c r="M35" s="78" t="s">
        <v>4889</v>
      </c>
      <c r="N35" s="81" t="s">
        <v>4890</v>
      </c>
      <c r="O35" s="82" t="s">
        <v>4891</v>
      </c>
      <c r="P35" s="83" t="s">
        <v>4892</v>
      </c>
      <c r="Q35" s="84" t="s">
        <v>4893</v>
      </c>
      <c r="R35" s="85" t="s">
        <v>4894</v>
      </c>
      <c r="S35" s="78" t="s">
        <v>4895</v>
      </c>
      <c r="T35" s="78" t="s">
        <v>4896</v>
      </c>
      <c r="U35" s="78" t="s">
        <v>4897</v>
      </c>
      <c r="V35" s="78" t="s">
        <v>4898</v>
      </c>
      <c r="W35" s="78" t="s">
        <v>4899</v>
      </c>
      <c r="X35" s="78" t="s">
        <v>4900</v>
      </c>
      <c r="Y35" s="86" t="s">
        <v>4901</v>
      </c>
      <c r="Z35" s="78" t="s">
        <v>4902</v>
      </c>
      <c r="AA35" s="78" t="s">
        <v>4903</v>
      </c>
      <c r="AB35" s="81" t="s">
        <v>4904</v>
      </c>
      <c r="AC35" s="78" t="s">
        <v>4905</v>
      </c>
      <c r="AD35" s="19"/>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1"/>
      <c r="BK35" s="21"/>
      <c r="BL35" s="21"/>
      <c r="BM35" s="21"/>
    </row>
    <row r="36">
      <c r="A36" s="78" t="s">
        <v>5449</v>
      </c>
      <c r="B36" s="78" t="s">
        <v>5449</v>
      </c>
      <c r="C36" s="79" t="s">
        <v>5450</v>
      </c>
      <c r="D36" s="78" t="s">
        <v>5451</v>
      </c>
      <c r="E36" s="78" t="s">
        <v>5452</v>
      </c>
      <c r="F36" s="78" t="s">
        <v>5453</v>
      </c>
      <c r="G36" s="78" t="s">
        <v>5454</v>
      </c>
      <c r="H36" s="78" t="s">
        <v>5455</v>
      </c>
      <c r="I36" s="78" t="s">
        <v>5456</v>
      </c>
      <c r="J36" s="78" t="s">
        <v>5457</v>
      </c>
      <c r="K36" s="80" t="s">
        <v>5458</v>
      </c>
      <c r="L36" s="78" t="s">
        <v>5459</v>
      </c>
      <c r="M36" s="78" t="s">
        <v>5460</v>
      </c>
      <c r="N36" s="81" t="s">
        <v>5461</v>
      </c>
      <c r="O36" s="82" t="s">
        <v>5462</v>
      </c>
      <c r="P36" s="83" t="s">
        <v>5463</v>
      </c>
      <c r="Q36" s="84" t="s">
        <v>5464</v>
      </c>
      <c r="R36" s="85" t="s">
        <v>5465</v>
      </c>
      <c r="S36" s="78" t="s">
        <v>5466</v>
      </c>
      <c r="T36" s="78" t="s">
        <v>5467</v>
      </c>
      <c r="U36" s="78" t="s">
        <v>5468</v>
      </c>
      <c r="V36" s="78" t="s">
        <v>5469</v>
      </c>
      <c r="W36" s="78" t="s">
        <v>5470</v>
      </c>
      <c r="X36" s="78" t="s">
        <v>5471</v>
      </c>
      <c r="Y36" s="86" t="s">
        <v>5472</v>
      </c>
      <c r="Z36" s="78" t="s">
        <v>5473</v>
      </c>
      <c r="AA36" s="78" t="s">
        <v>5474</v>
      </c>
      <c r="AB36" s="81" t="s">
        <v>5475</v>
      </c>
      <c r="AC36" s="78" t="s">
        <v>5476</v>
      </c>
      <c r="AD36" s="19"/>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1"/>
      <c r="BK36" s="21"/>
      <c r="BL36" s="21"/>
      <c r="BM36" s="21"/>
    </row>
    <row r="37">
      <c r="A37" s="78" t="s">
        <v>5477</v>
      </c>
      <c r="B37" s="78" t="s">
        <v>5477</v>
      </c>
      <c r="C37" s="79" t="s">
        <v>5478</v>
      </c>
      <c r="D37" s="78" t="s">
        <v>5479</v>
      </c>
      <c r="E37" s="78" t="s">
        <v>5480</v>
      </c>
      <c r="F37" s="78" t="s">
        <v>5481</v>
      </c>
      <c r="G37" s="78" t="s">
        <v>5482</v>
      </c>
      <c r="H37" s="78" t="s">
        <v>5483</v>
      </c>
      <c r="I37" s="78" t="s">
        <v>5484</v>
      </c>
      <c r="J37" s="78" t="s">
        <v>5485</v>
      </c>
      <c r="K37" s="80" t="s">
        <v>5486</v>
      </c>
      <c r="L37" s="78" t="s">
        <v>5477</v>
      </c>
      <c r="M37" s="78" t="s">
        <v>5477</v>
      </c>
      <c r="N37" s="81" t="s">
        <v>5487</v>
      </c>
      <c r="O37" s="82" t="s">
        <v>5488</v>
      </c>
      <c r="P37" s="83" t="s">
        <v>5489</v>
      </c>
      <c r="Q37" s="84" t="s">
        <v>5490</v>
      </c>
      <c r="R37" s="85" t="s">
        <v>5491</v>
      </c>
      <c r="S37" s="78" t="s">
        <v>5492</v>
      </c>
      <c r="T37" s="78" t="s">
        <v>5477</v>
      </c>
      <c r="U37" s="78" t="s">
        <v>5493</v>
      </c>
      <c r="V37" s="78" t="s">
        <v>5494</v>
      </c>
      <c r="W37" s="78" t="s">
        <v>5495</v>
      </c>
      <c r="X37" s="78" t="s">
        <v>5496</v>
      </c>
      <c r="Y37" s="86" t="s">
        <v>5497</v>
      </c>
      <c r="Z37" s="78" t="s">
        <v>5498</v>
      </c>
      <c r="AA37" s="78" t="s">
        <v>5499</v>
      </c>
      <c r="AB37" s="81" t="s">
        <v>5500</v>
      </c>
      <c r="AC37" s="78" t="s">
        <v>5501</v>
      </c>
      <c r="AD37" s="19"/>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1"/>
      <c r="BK37" s="21"/>
      <c r="BL37" s="21"/>
      <c r="BM37" s="21"/>
    </row>
    <row r="38">
      <c r="A38" s="78" t="s">
        <v>5502</v>
      </c>
      <c r="B38" s="78" t="s">
        <v>5502</v>
      </c>
      <c r="C38" s="79" t="s">
        <v>5503</v>
      </c>
      <c r="D38" s="78" t="s">
        <v>5504</v>
      </c>
      <c r="E38" s="78" t="s">
        <v>5505</v>
      </c>
      <c r="F38" s="78" t="s">
        <v>5506</v>
      </c>
      <c r="G38" s="78" t="s">
        <v>5507</v>
      </c>
      <c r="H38" s="78" t="s">
        <v>5508</v>
      </c>
      <c r="I38" s="78" t="s">
        <v>5509</v>
      </c>
      <c r="J38" s="78" t="s">
        <v>5510</v>
      </c>
      <c r="K38" s="80" t="s">
        <v>5511</v>
      </c>
      <c r="L38" s="78" t="s">
        <v>5512</v>
      </c>
      <c r="M38" s="78" t="s">
        <v>5513</v>
      </c>
      <c r="N38" s="81" t="s">
        <v>5514</v>
      </c>
      <c r="O38" s="82" t="s">
        <v>5515</v>
      </c>
      <c r="P38" s="83" t="s">
        <v>5516</v>
      </c>
      <c r="Q38" s="84" t="s">
        <v>5517</v>
      </c>
      <c r="R38" s="85" t="s">
        <v>5518</v>
      </c>
      <c r="S38" s="78" t="s">
        <v>5519</v>
      </c>
      <c r="T38" s="78" t="s">
        <v>5520</v>
      </c>
      <c r="U38" s="78" t="s">
        <v>5521</v>
      </c>
      <c r="V38" s="78" t="s">
        <v>5522</v>
      </c>
      <c r="W38" s="78" t="s">
        <v>5507</v>
      </c>
      <c r="X38" s="78" t="s">
        <v>5523</v>
      </c>
      <c r="Y38" s="86" t="s">
        <v>5524</v>
      </c>
      <c r="Z38" s="78" t="s">
        <v>5525</v>
      </c>
      <c r="AA38" s="78" t="s">
        <v>5526</v>
      </c>
      <c r="AB38" s="81" t="s">
        <v>5527</v>
      </c>
      <c r="AC38" s="78" t="s">
        <v>5528</v>
      </c>
      <c r="AD38" s="19"/>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1"/>
      <c r="BK38" s="21"/>
      <c r="BL38" s="21"/>
      <c r="BM38" s="21"/>
    </row>
    <row r="39">
      <c r="A39" s="78" t="s">
        <v>5587</v>
      </c>
      <c r="B39" s="78" t="s">
        <v>5587</v>
      </c>
      <c r="C39" s="79" t="s">
        <v>5588</v>
      </c>
      <c r="D39" s="78" t="s">
        <v>5589</v>
      </c>
      <c r="E39" s="78" t="s">
        <v>5590</v>
      </c>
      <c r="F39" s="78" t="s">
        <v>5591</v>
      </c>
      <c r="G39" s="78" t="s">
        <v>5592</v>
      </c>
      <c r="H39" s="78" t="s">
        <v>5593</v>
      </c>
      <c r="I39" s="78" t="s">
        <v>5594</v>
      </c>
      <c r="J39" s="78" t="s">
        <v>5595</v>
      </c>
      <c r="K39" s="80" t="s">
        <v>5596</v>
      </c>
      <c r="L39" s="78" t="s">
        <v>5597</v>
      </c>
      <c r="M39" s="78" t="s">
        <v>5598</v>
      </c>
      <c r="N39" s="81" t="s">
        <v>5599</v>
      </c>
      <c r="O39" s="82" t="s">
        <v>5600</v>
      </c>
      <c r="P39" s="83" t="s">
        <v>5601</v>
      </c>
      <c r="Q39" s="84" t="s">
        <v>5602</v>
      </c>
      <c r="R39" s="85" t="s">
        <v>5603</v>
      </c>
      <c r="S39" s="78" t="s">
        <v>5604</v>
      </c>
      <c r="T39" s="78" t="s">
        <v>5605</v>
      </c>
      <c r="U39" s="78" t="s">
        <v>5606</v>
      </c>
      <c r="V39" s="78" t="s">
        <v>5607</v>
      </c>
      <c r="W39" s="78" t="s">
        <v>5592</v>
      </c>
      <c r="X39" s="78" t="s">
        <v>5608</v>
      </c>
      <c r="Y39" s="86" t="s">
        <v>5609</v>
      </c>
      <c r="Z39" s="78" t="s">
        <v>5610</v>
      </c>
      <c r="AA39" s="78" t="s">
        <v>5611</v>
      </c>
      <c r="AB39" s="81" t="s">
        <v>5612</v>
      </c>
      <c r="AC39" s="78" t="s">
        <v>5613</v>
      </c>
      <c r="AD39" s="19"/>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1"/>
      <c r="BK39" s="21"/>
      <c r="BL39" s="21"/>
      <c r="BM39" s="21"/>
    </row>
    <row r="40">
      <c r="A40" s="78" t="s">
        <v>5614</v>
      </c>
      <c r="B40" s="78" t="s">
        <v>5614</v>
      </c>
      <c r="C40" s="79" t="s">
        <v>5615</v>
      </c>
      <c r="D40" s="78" t="s">
        <v>5616</v>
      </c>
      <c r="E40" s="78" t="s">
        <v>5617</v>
      </c>
      <c r="F40" s="78" t="s">
        <v>5618</v>
      </c>
      <c r="G40" s="78" t="s">
        <v>5619</v>
      </c>
      <c r="H40" s="78" t="s">
        <v>5620</v>
      </c>
      <c r="I40" s="78" t="s">
        <v>5621</v>
      </c>
      <c r="J40" s="78" t="s">
        <v>5622</v>
      </c>
      <c r="K40" s="80" t="s">
        <v>5623</v>
      </c>
      <c r="L40" s="78" t="s">
        <v>5624</v>
      </c>
      <c r="M40" s="78" t="s">
        <v>5625</v>
      </c>
      <c r="N40" s="81" t="s">
        <v>5626</v>
      </c>
      <c r="O40" s="82" t="s">
        <v>5627</v>
      </c>
      <c r="P40" s="83" t="s">
        <v>5628</v>
      </c>
      <c r="Q40" s="84" t="s">
        <v>5629</v>
      </c>
      <c r="R40" s="85" t="s">
        <v>5630</v>
      </c>
      <c r="S40" s="78" t="s">
        <v>5631</v>
      </c>
      <c r="T40" s="78" t="s">
        <v>5624</v>
      </c>
      <c r="U40" s="78" t="s">
        <v>5632</v>
      </c>
      <c r="V40" s="78" t="s">
        <v>5616</v>
      </c>
      <c r="W40" s="78" t="s">
        <v>5633</v>
      </c>
      <c r="X40" s="78" t="s">
        <v>5634</v>
      </c>
      <c r="Y40" s="86" t="s">
        <v>5635</v>
      </c>
      <c r="Z40" s="78" t="s">
        <v>5636</v>
      </c>
      <c r="AA40" s="78" t="s">
        <v>5637</v>
      </c>
      <c r="AB40" s="81" t="s">
        <v>5638</v>
      </c>
      <c r="AC40" s="78" t="s">
        <v>5639</v>
      </c>
      <c r="AD40" s="19"/>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1"/>
      <c r="BK40" s="21"/>
      <c r="BL40" s="21"/>
      <c r="BM40" s="21"/>
    </row>
    <row r="41">
      <c r="A41" s="78" t="s">
        <v>5909</v>
      </c>
      <c r="B41" s="78" t="s">
        <v>5910</v>
      </c>
      <c r="C41" s="79" t="s">
        <v>5911</v>
      </c>
      <c r="D41" s="78" t="s">
        <v>5912</v>
      </c>
      <c r="E41" s="78" t="s">
        <v>5913</v>
      </c>
      <c r="F41" s="78" t="s">
        <v>5914</v>
      </c>
      <c r="G41" s="78" t="s">
        <v>5915</v>
      </c>
      <c r="H41" s="78" t="s">
        <v>5916</v>
      </c>
      <c r="I41" s="78" t="s">
        <v>5917</v>
      </c>
      <c r="J41" s="78" t="s">
        <v>5918</v>
      </c>
      <c r="K41" s="80" t="s">
        <v>5919</v>
      </c>
      <c r="L41" s="78" t="s">
        <v>5920</v>
      </c>
      <c r="M41" s="78" t="s">
        <v>5921</v>
      </c>
      <c r="N41" s="81" t="s">
        <v>5922</v>
      </c>
      <c r="O41" s="82" t="s">
        <v>5923</v>
      </c>
      <c r="P41" s="83" t="s">
        <v>5924</v>
      </c>
      <c r="Q41" s="84" t="s">
        <v>5925</v>
      </c>
      <c r="R41" s="85" t="s">
        <v>5926</v>
      </c>
      <c r="S41" s="78" t="s">
        <v>5927</v>
      </c>
      <c r="T41" s="78" t="s">
        <v>5928</v>
      </c>
      <c r="U41" s="78" t="s">
        <v>5929</v>
      </c>
      <c r="V41" s="78" t="s">
        <v>5930</v>
      </c>
      <c r="W41" s="78" t="s">
        <v>5931</v>
      </c>
      <c r="X41" s="78" t="s">
        <v>5932</v>
      </c>
      <c r="Y41" s="86" t="s">
        <v>5933</v>
      </c>
      <c r="Z41" s="78" t="s">
        <v>5934</v>
      </c>
      <c r="AA41" s="78" t="s">
        <v>5935</v>
      </c>
      <c r="AB41" s="81" t="s">
        <v>5936</v>
      </c>
      <c r="AC41" s="78" t="s">
        <v>5937</v>
      </c>
      <c r="AD41" s="19"/>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1"/>
      <c r="BK41" s="21"/>
      <c r="BL41" s="21"/>
      <c r="BM41" s="21"/>
    </row>
    <row r="42">
      <c r="A42" s="78" t="s">
        <v>5938</v>
      </c>
      <c r="B42" s="78" t="s">
        <v>5939</v>
      </c>
      <c r="C42" s="79" t="s">
        <v>5940</v>
      </c>
      <c r="D42" s="78" t="s">
        <v>5941</v>
      </c>
      <c r="E42" s="78" t="s">
        <v>5942</v>
      </c>
      <c r="F42" s="78" t="s">
        <v>5943</v>
      </c>
      <c r="G42" s="78" t="s">
        <v>5944</v>
      </c>
      <c r="H42" s="78" t="s">
        <v>5945</v>
      </c>
      <c r="I42" s="78" t="s">
        <v>5946</v>
      </c>
      <c r="J42" s="78" t="s">
        <v>5947</v>
      </c>
      <c r="K42" s="80" t="s">
        <v>5948</v>
      </c>
      <c r="L42" s="78" t="s">
        <v>5949</v>
      </c>
      <c r="M42" s="78" t="s">
        <v>5950</v>
      </c>
      <c r="N42" s="81" t="s">
        <v>5951</v>
      </c>
      <c r="O42" s="82" t="s">
        <v>5952</v>
      </c>
      <c r="P42" s="83" t="s">
        <v>5953</v>
      </c>
      <c r="Q42" s="84" t="s">
        <v>5954</v>
      </c>
      <c r="R42" s="85" t="s">
        <v>5955</v>
      </c>
      <c r="S42" s="78" t="s">
        <v>5956</v>
      </c>
      <c r="T42" s="78" t="s">
        <v>5957</v>
      </c>
      <c r="U42" s="78" t="s">
        <v>5958</v>
      </c>
      <c r="V42" s="78" t="s">
        <v>5959</v>
      </c>
      <c r="W42" s="78" t="s">
        <v>5960</v>
      </c>
      <c r="X42" s="78" t="s">
        <v>5961</v>
      </c>
      <c r="Y42" s="86" t="s">
        <v>5962</v>
      </c>
      <c r="Z42" s="78" t="s">
        <v>5963</v>
      </c>
      <c r="AA42" s="78" t="s">
        <v>5964</v>
      </c>
      <c r="AB42" s="81" t="s">
        <v>5965</v>
      </c>
      <c r="AC42" s="78" t="s">
        <v>5966</v>
      </c>
      <c r="AD42" s="19"/>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1"/>
      <c r="BK42" s="21"/>
      <c r="BL42" s="21"/>
      <c r="BM42" s="21"/>
    </row>
    <row r="43">
      <c r="A43" s="78" t="s">
        <v>6102</v>
      </c>
      <c r="B43" s="78" t="s">
        <v>6102</v>
      </c>
      <c r="C43" s="79" t="s">
        <v>6103</v>
      </c>
      <c r="D43" s="78" t="s">
        <v>6104</v>
      </c>
      <c r="E43" s="78" t="s">
        <v>6105</v>
      </c>
      <c r="F43" s="78" t="s">
        <v>6106</v>
      </c>
      <c r="G43" s="78" t="s">
        <v>4577</v>
      </c>
      <c r="H43" s="78" t="s">
        <v>6107</v>
      </c>
      <c r="I43" s="78" t="s">
        <v>6102</v>
      </c>
      <c r="J43" s="78" t="s">
        <v>6108</v>
      </c>
      <c r="K43" s="80" t="s">
        <v>6109</v>
      </c>
      <c r="L43" s="78" t="s">
        <v>6110</v>
      </c>
      <c r="M43" s="78" t="s">
        <v>6111</v>
      </c>
      <c r="N43" s="81" t="s">
        <v>6112</v>
      </c>
      <c r="O43" s="82" t="s">
        <v>6113</v>
      </c>
      <c r="P43" s="83" t="s">
        <v>6114</v>
      </c>
      <c r="Q43" s="78" t="s">
        <v>6115</v>
      </c>
      <c r="R43" s="85" t="s">
        <v>6116</v>
      </c>
      <c r="S43" s="78" t="s">
        <v>6117</v>
      </c>
      <c r="T43" s="78" t="s">
        <v>6110</v>
      </c>
      <c r="U43" s="78" t="s">
        <v>6118</v>
      </c>
      <c r="V43" s="78" t="s">
        <v>6119</v>
      </c>
      <c r="W43" s="78" t="s">
        <v>6120</v>
      </c>
      <c r="X43" s="78" t="s">
        <v>4592</v>
      </c>
      <c r="Y43" s="86" t="s">
        <v>6121</v>
      </c>
      <c r="Z43" s="78" t="s">
        <v>6122</v>
      </c>
      <c r="AA43" s="78" t="s">
        <v>4592</v>
      </c>
      <c r="AB43" s="81" t="s">
        <v>6123</v>
      </c>
      <c r="AC43" s="78" t="s">
        <v>6124</v>
      </c>
      <c r="AD43" s="19"/>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1"/>
      <c r="BK43" s="21"/>
      <c r="BL43" s="21"/>
      <c r="BM43" s="21"/>
    </row>
    <row r="44">
      <c r="A44" s="78" t="s">
        <v>6836</v>
      </c>
      <c r="B44" s="78" t="s">
        <v>6837</v>
      </c>
      <c r="C44" s="79" t="s">
        <v>6838</v>
      </c>
      <c r="D44" s="78" t="s">
        <v>6839</v>
      </c>
      <c r="E44" s="78" t="s">
        <v>6840</v>
      </c>
      <c r="F44" s="78" t="s">
        <v>6841</v>
      </c>
      <c r="G44" s="78" t="s">
        <v>6842</v>
      </c>
      <c r="H44" s="78" t="s">
        <v>6843</v>
      </c>
      <c r="I44" s="78" t="s">
        <v>6844</v>
      </c>
      <c r="J44" s="78" t="s">
        <v>6845</v>
      </c>
      <c r="K44" s="80" t="s">
        <v>6846</v>
      </c>
      <c r="L44" s="78" t="s">
        <v>6847</v>
      </c>
      <c r="M44" s="78" t="s">
        <v>6848</v>
      </c>
      <c r="N44" s="81" t="s">
        <v>6849</v>
      </c>
      <c r="O44" s="82" t="s">
        <v>6850</v>
      </c>
      <c r="P44" s="83" t="s">
        <v>6851</v>
      </c>
      <c r="Q44" s="84" t="s">
        <v>6852</v>
      </c>
      <c r="R44" s="85" t="s">
        <v>6853</v>
      </c>
      <c r="S44" s="78" t="s">
        <v>6854</v>
      </c>
      <c r="T44" s="78" t="s">
        <v>6855</v>
      </c>
      <c r="U44" s="78" t="s">
        <v>6856</v>
      </c>
      <c r="V44" s="78" t="s">
        <v>6857</v>
      </c>
      <c r="W44" s="78" t="s">
        <v>6858</v>
      </c>
      <c r="X44" s="78" t="s">
        <v>6859</v>
      </c>
      <c r="Y44" s="86" t="s">
        <v>6860</v>
      </c>
      <c r="Z44" s="78" t="s">
        <v>6861</v>
      </c>
      <c r="AA44" s="78" t="s">
        <v>6862</v>
      </c>
      <c r="AB44" s="81" t="s">
        <v>6863</v>
      </c>
      <c r="AC44" s="78" t="s">
        <v>6864</v>
      </c>
      <c r="AD44" s="19"/>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1"/>
      <c r="BK44" s="21"/>
      <c r="BL44" s="21"/>
      <c r="BM44" s="21"/>
    </row>
    <row r="45">
      <c r="A45" s="78" t="s">
        <v>6865</v>
      </c>
      <c r="B45" s="78" t="s">
        <v>6866</v>
      </c>
      <c r="C45" s="79" t="s">
        <v>6867</v>
      </c>
      <c r="D45" s="78" t="s">
        <v>6868</v>
      </c>
      <c r="E45" s="78" t="s">
        <v>6869</v>
      </c>
      <c r="F45" s="78" t="s">
        <v>6870</v>
      </c>
      <c r="G45" s="78" t="s">
        <v>6871</v>
      </c>
      <c r="H45" s="78" t="s">
        <v>6872</v>
      </c>
      <c r="I45" s="78" t="s">
        <v>6873</v>
      </c>
      <c r="J45" s="78" t="s">
        <v>6874</v>
      </c>
      <c r="K45" s="80" t="s">
        <v>6875</v>
      </c>
      <c r="L45" s="78" t="s">
        <v>6876</v>
      </c>
      <c r="M45" s="78" t="s">
        <v>6877</v>
      </c>
      <c r="N45" s="81" t="s">
        <v>6878</v>
      </c>
      <c r="O45" s="82" t="s">
        <v>6879</v>
      </c>
      <c r="P45" s="83" t="s">
        <v>6880</v>
      </c>
      <c r="Q45" s="84" t="s">
        <v>6881</v>
      </c>
      <c r="R45" s="85" t="s">
        <v>6882</v>
      </c>
      <c r="S45" s="78" t="s">
        <v>6883</v>
      </c>
      <c r="T45" s="78" t="s">
        <v>6876</v>
      </c>
      <c r="U45" s="78" t="s">
        <v>6869</v>
      </c>
      <c r="V45" s="78" t="s">
        <v>6884</v>
      </c>
      <c r="W45" s="78" t="s">
        <v>6885</v>
      </c>
      <c r="X45" s="78" t="s">
        <v>6886</v>
      </c>
      <c r="Y45" s="86" t="s">
        <v>6887</v>
      </c>
      <c r="Z45" s="78" t="s">
        <v>6888</v>
      </c>
      <c r="AA45" s="78" t="s">
        <v>6886</v>
      </c>
      <c r="AB45" s="81" t="s">
        <v>6889</v>
      </c>
      <c r="AC45" s="78" t="s">
        <v>6890</v>
      </c>
      <c r="AD45" s="19"/>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1"/>
      <c r="BK45" s="21"/>
      <c r="BL45" s="21"/>
      <c r="BM45" s="21"/>
    </row>
    <row r="46">
      <c r="A46" s="78" t="s">
        <v>6949</v>
      </c>
      <c r="B46" s="78" t="s">
        <v>6950</v>
      </c>
      <c r="C46" s="79" t="s">
        <v>6951</v>
      </c>
      <c r="D46" s="78" t="s">
        <v>6952</v>
      </c>
      <c r="E46" s="78" t="s">
        <v>6953</v>
      </c>
      <c r="F46" s="78" t="s">
        <v>6954</v>
      </c>
      <c r="G46" s="78" t="s">
        <v>6955</v>
      </c>
      <c r="H46" s="78" t="s">
        <v>6956</v>
      </c>
      <c r="I46" s="78" t="s">
        <v>6957</v>
      </c>
      <c r="J46" s="78" t="s">
        <v>6958</v>
      </c>
      <c r="K46" s="80" t="s">
        <v>6959</v>
      </c>
      <c r="L46" s="78" t="s">
        <v>6960</v>
      </c>
      <c r="M46" s="78" t="s">
        <v>6961</v>
      </c>
      <c r="N46" s="81" t="s">
        <v>6962</v>
      </c>
      <c r="O46" s="82" t="s">
        <v>6963</v>
      </c>
      <c r="P46" s="83" t="s">
        <v>6964</v>
      </c>
      <c r="Q46" s="84" t="s">
        <v>6965</v>
      </c>
      <c r="R46" s="85" t="s">
        <v>6966</v>
      </c>
      <c r="S46" s="78" t="s">
        <v>6967</v>
      </c>
      <c r="T46" s="78" t="s">
        <v>6960</v>
      </c>
      <c r="U46" s="78" t="s">
        <v>6968</v>
      </c>
      <c r="V46" s="78" t="s">
        <v>6969</v>
      </c>
      <c r="W46" s="78" t="s">
        <v>6970</v>
      </c>
      <c r="X46" s="78" t="s">
        <v>6971</v>
      </c>
      <c r="Y46" s="86" t="s">
        <v>6972</v>
      </c>
      <c r="Z46" s="78" t="s">
        <v>6973</v>
      </c>
      <c r="AA46" s="78" t="s">
        <v>6974</v>
      </c>
      <c r="AB46" s="81" t="s">
        <v>6975</v>
      </c>
      <c r="AC46" s="78" t="s">
        <v>6976</v>
      </c>
      <c r="AD46" s="19"/>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1"/>
      <c r="BK46" s="21"/>
      <c r="BL46" s="21"/>
      <c r="BM46" s="21"/>
    </row>
    <row r="47">
      <c r="A47" s="78" t="s">
        <v>7034</v>
      </c>
      <c r="B47" s="78" t="s">
        <v>7035</v>
      </c>
      <c r="C47" s="79" t="s">
        <v>7036</v>
      </c>
      <c r="D47" s="78" t="s">
        <v>7037</v>
      </c>
      <c r="E47" s="78" t="s">
        <v>7038</v>
      </c>
      <c r="F47" s="78" t="s">
        <v>7039</v>
      </c>
      <c r="G47" s="78" t="s">
        <v>7040</v>
      </c>
      <c r="H47" s="78" t="s">
        <v>7041</v>
      </c>
      <c r="I47" s="78" t="s">
        <v>7042</v>
      </c>
      <c r="J47" s="78" t="s">
        <v>7043</v>
      </c>
      <c r="K47" s="80" t="s">
        <v>7044</v>
      </c>
      <c r="L47" s="78" t="s">
        <v>7045</v>
      </c>
      <c r="M47" s="78" t="s">
        <v>7046</v>
      </c>
      <c r="N47" s="81" t="s">
        <v>7047</v>
      </c>
      <c r="O47" s="82" t="s">
        <v>7048</v>
      </c>
      <c r="P47" s="83" t="s">
        <v>7049</v>
      </c>
      <c r="Q47" s="84" t="s">
        <v>7050</v>
      </c>
      <c r="R47" s="85" t="s">
        <v>7051</v>
      </c>
      <c r="S47" s="78" t="s">
        <v>7052</v>
      </c>
      <c r="T47" s="78" t="s">
        <v>7053</v>
      </c>
      <c r="U47" s="78" t="s">
        <v>7054</v>
      </c>
      <c r="V47" s="78" t="s">
        <v>7055</v>
      </c>
      <c r="W47" s="78" t="s">
        <v>7035</v>
      </c>
      <c r="X47" s="78" t="s">
        <v>7056</v>
      </c>
      <c r="Y47" s="86" t="s">
        <v>7057</v>
      </c>
      <c r="Z47" s="78" t="s">
        <v>7058</v>
      </c>
      <c r="AA47" s="78" t="s">
        <v>7059</v>
      </c>
      <c r="AB47" s="81" t="s">
        <v>7060</v>
      </c>
      <c r="AC47" s="78" t="s">
        <v>7061</v>
      </c>
      <c r="AD47" s="19"/>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1"/>
      <c r="BK47" s="21"/>
      <c r="BL47" s="21"/>
      <c r="BM47" s="21"/>
    </row>
    <row r="48">
      <c r="A48" s="78" t="s">
        <v>7091</v>
      </c>
      <c r="B48" s="78" t="s">
        <v>7092</v>
      </c>
      <c r="C48" s="79" t="s">
        <v>7093</v>
      </c>
      <c r="D48" s="78" t="s">
        <v>7094</v>
      </c>
      <c r="E48" s="78" t="s">
        <v>7095</v>
      </c>
      <c r="F48" s="78" t="s">
        <v>7096</v>
      </c>
      <c r="G48" s="78" t="s">
        <v>7097</v>
      </c>
      <c r="H48" s="78" t="s">
        <v>7098</v>
      </c>
      <c r="I48" s="78" t="s">
        <v>7099</v>
      </c>
      <c r="J48" s="78" t="s">
        <v>7100</v>
      </c>
      <c r="K48" s="80" t="s">
        <v>7101</v>
      </c>
      <c r="L48" s="78" t="s">
        <v>7102</v>
      </c>
      <c r="M48" s="78" t="s">
        <v>7103</v>
      </c>
      <c r="N48" s="81" t="s">
        <v>7104</v>
      </c>
      <c r="O48" s="82" t="s">
        <v>7105</v>
      </c>
      <c r="P48" s="83" t="s">
        <v>7106</v>
      </c>
      <c r="Q48" s="84" t="s">
        <v>7107</v>
      </c>
      <c r="R48" s="85" t="s">
        <v>7108</v>
      </c>
      <c r="S48" s="78" t="s">
        <v>7109</v>
      </c>
      <c r="T48" s="78" t="s">
        <v>7102</v>
      </c>
      <c r="U48" s="78" t="s">
        <v>7110</v>
      </c>
      <c r="V48" s="78" t="s">
        <v>7111</v>
      </c>
      <c r="W48" s="78" t="s">
        <v>7112</v>
      </c>
      <c r="X48" s="78" t="s">
        <v>7113</v>
      </c>
      <c r="Y48" s="86" t="s">
        <v>7114</v>
      </c>
      <c r="Z48" s="78" t="s">
        <v>7115</v>
      </c>
      <c r="AA48" s="78" t="s">
        <v>7116</v>
      </c>
      <c r="AB48" s="81" t="s">
        <v>7117</v>
      </c>
      <c r="AC48" s="78" t="s">
        <v>7118</v>
      </c>
      <c r="AD48" s="19"/>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1"/>
      <c r="BK48" s="21"/>
      <c r="BL48" s="21"/>
      <c r="BM48" s="21"/>
    </row>
    <row r="49">
      <c r="A49" s="78" t="s">
        <v>7119</v>
      </c>
      <c r="B49" s="78" t="s">
        <v>7120</v>
      </c>
      <c r="C49" s="79" t="s">
        <v>7121</v>
      </c>
      <c r="D49" s="78" t="s">
        <v>7122</v>
      </c>
      <c r="E49" s="78" t="s">
        <v>7123</v>
      </c>
      <c r="F49" s="78" t="s">
        <v>7124</v>
      </c>
      <c r="G49" s="78" t="s">
        <v>7125</v>
      </c>
      <c r="H49" s="78" t="s">
        <v>7126</v>
      </c>
      <c r="I49" s="78" t="s">
        <v>7127</v>
      </c>
      <c r="J49" s="78" t="s">
        <v>7128</v>
      </c>
      <c r="K49" s="80" t="s">
        <v>7129</v>
      </c>
      <c r="L49" s="78" t="s">
        <v>7130</v>
      </c>
      <c r="M49" s="78" t="s">
        <v>7131</v>
      </c>
      <c r="N49" s="81" t="s">
        <v>7132</v>
      </c>
      <c r="O49" s="82" t="s">
        <v>7133</v>
      </c>
      <c r="P49" s="83" t="s">
        <v>7134</v>
      </c>
      <c r="Q49" s="84" t="s">
        <v>7135</v>
      </c>
      <c r="R49" s="85" t="s">
        <v>7136</v>
      </c>
      <c r="S49" s="78" t="s">
        <v>7137</v>
      </c>
      <c r="T49" s="78" t="s">
        <v>7138</v>
      </c>
      <c r="U49" s="78" t="s">
        <v>7139</v>
      </c>
      <c r="V49" s="78" t="s">
        <v>7140</v>
      </c>
      <c r="W49" s="78" t="s">
        <v>7141</v>
      </c>
      <c r="X49" s="78" t="s">
        <v>7142</v>
      </c>
      <c r="Y49" s="86" t="s">
        <v>7143</v>
      </c>
      <c r="Z49" s="78" t="s">
        <v>7144</v>
      </c>
      <c r="AA49" s="78" t="s">
        <v>7145</v>
      </c>
      <c r="AB49" s="81" t="s">
        <v>7146</v>
      </c>
      <c r="AC49" s="78" t="s">
        <v>7147</v>
      </c>
      <c r="AD49" s="19"/>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1"/>
      <c r="BK49" s="21"/>
      <c r="BL49" s="21"/>
      <c r="BM49" s="21"/>
    </row>
    <row r="50">
      <c r="A50" s="78" t="s">
        <v>7148</v>
      </c>
      <c r="B50" s="78" t="s">
        <v>7149</v>
      </c>
      <c r="C50" s="79" t="s">
        <v>7150</v>
      </c>
      <c r="D50" s="78" t="s">
        <v>7151</v>
      </c>
      <c r="E50" s="78" t="s">
        <v>7152</v>
      </c>
      <c r="F50" s="78" t="s">
        <v>7153</v>
      </c>
      <c r="G50" s="78" t="s">
        <v>7154</v>
      </c>
      <c r="H50" s="78" t="s">
        <v>7155</v>
      </c>
      <c r="I50" s="78" t="s">
        <v>7156</v>
      </c>
      <c r="J50" s="78" t="s">
        <v>7157</v>
      </c>
      <c r="K50" s="80" t="s">
        <v>7158</v>
      </c>
      <c r="L50" s="78" t="s">
        <v>7159</v>
      </c>
      <c r="M50" s="78" t="s">
        <v>7160</v>
      </c>
      <c r="N50" s="81" t="s">
        <v>7161</v>
      </c>
      <c r="O50" s="82" t="s">
        <v>7162</v>
      </c>
      <c r="P50" s="83" t="s">
        <v>7163</v>
      </c>
      <c r="Q50" s="84" t="s">
        <v>7164</v>
      </c>
      <c r="R50" s="85" t="s">
        <v>7165</v>
      </c>
      <c r="S50" s="78" t="s">
        <v>7166</v>
      </c>
      <c r="T50" s="78" t="s">
        <v>7167</v>
      </c>
      <c r="U50" s="78" t="s">
        <v>7168</v>
      </c>
      <c r="V50" s="78" t="s">
        <v>7169</v>
      </c>
      <c r="W50" s="78" t="s">
        <v>7170</v>
      </c>
      <c r="X50" s="78" t="s">
        <v>7171</v>
      </c>
      <c r="Y50" s="86" t="s">
        <v>7172</v>
      </c>
      <c r="Z50" s="78" t="s">
        <v>7173</v>
      </c>
      <c r="AA50" s="78" t="s">
        <v>7174</v>
      </c>
      <c r="AB50" s="81" t="s">
        <v>7175</v>
      </c>
      <c r="AC50" s="78" t="s">
        <v>7176</v>
      </c>
      <c r="AD50" s="19"/>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1"/>
      <c r="BK50" s="21"/>
      <c r="BL50" s="21"/>
      <c r="BM50" s="21"/>
    </row>
    <row r="51">
      <c r="A51" s="78" t="s">
        <v>7177</v>
      </c>
      <c r="B51" s="78" t="s">
        <v>7178</v>
      </c>
      <c r="C51" s="79" t="s">
        <v>7179</v>
      </c>
      <c r="D51" s="78" t="s">
        <v>7180</v>
      </c>
      <c r="E51" s="78" t="s">
        <v>7181</v>
      </c>
      <c r="F51" s="78" t="s">
        <v>7182</v>
      </c>
      <c r="G51" s="78" t="s">
        <v>7183</v>
      </c>
      <c r="H51" s="78" t="s">
        <v>7184</v>
      </c>
      <c r="I51" s="78" t="s">
        <v>7185</v>
      </c>
      <c r="J51" s="78" t="s">
        <v>7186</v>
      </c>
      <c r="K51" s="80" t="s">
        <v>7187</v>
      </c>
      <c r="L51" s="78" t="s">
        <v>7188</v>
      </c>
      <c r="M51" s="78" t="s">
        <v>7189</v>
      </c>
      <c r="N51" s="81" t="s">
        <v>7190</v>
      </c>
      <c r="O51" s="82" t="s">
        <v>7191</v>
      </c>
      <c r="P51" s="83" t="s">
        <v>7192</v>
      </c>
      <c r="Q51" s="84" t="s">
        <v>7193</v>
      </c>
      <c r="R51" s="85" t="s">
        <v>7194</v>
      </c>
      <c r="S51" s="78" t="s">
        <v>7195</v>
      </c>
      <c r="T51" s="78" t="s">
        <v>7196</v>
      </c>
      <c r="U51" s="78" t="s">
        <v>7197</v>
      </c>
      <c r="V51" s="78" t="s">
        <v>7198</v>
      </c>
      <c r="W51" s="78" t="s">
        <v>7199</v>
      </c>
      <c r="X51" s="78" t="s">
        <v>7200</v>
      </c>
      <c r="Y51" s="86" t="s">
        <v>7201</v>
      </c>
      <c r="Z51" s="78" t="s">
        <v>7202</v>
      </c>
      <c r="AA51" s="78" t="s">
        <v>7203</v>
      </c>
      <c r="AB51" s="81" t="s">
        <v>7190</v>
      </c>
      <c r="AC51" s="78" t="s">
        <v>7204</v>
      </c>
      <c r="AD51" s="19"/>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1"/>
      <c r="BK51" s="21"/>
      <c r="BL51" s="21"/>
      <c r="BM51" s="21"/>
    </row>
    <row r="52">
      <c r="A52" s="78" t="s">
        <v>7205</v>
      </c>
      <c r="B52" s="78" t="s">
        <v>7206</v>
      </c>
      <c r="C52" s="79" t="s">
        <v>7207</v>
      </c>
      <c r="D52" s="78" t="s">
        <v>7208</v>
      </c>
      <c r="E52" s="78" t="s">
        <v>7209</v>
      </c>
      <c r="F52" s="78" t="s">
        <v>7210</v>
      </c>
      <c r="G52" s="78" t="s">
        <v>7211</v>
      </c>
      <c r="H52" s="78" t="s">
        <v>7212</v>
      </c>
      <c r="I52" s="78" t="s">
        <v>7213</v>
      </c>
      <c r="J52" s="78" t="s">
        <v>7214</v>
      </c>
      <c r="K52" s="80" t="s">
        <v>7215</v>
      </c>
      <c r="L52" s="78" t="s">
        <v>7216</v>
      </c>
      <c r="M52" s="78" t="s">
        <v>7217</v>
      </c>
      <c r="N52" s="81" t="s">
        <v>7218</v>
      </c>
      <c r="O52" s="82" t="s">
        <v>7219</v>
      </c>
      <c r="P52" s="83" t="s">
        <v>7220</v>
      </c>
      <c r="Q52" s="84" t="s">
        <v>7221</v>
      </c>
      <c r="R52" s="85" t="s">
        <v>7222</v>
      </c>
      <c r="S52" s="78" t="s">
        <v>7223</v>
      </c>
      <c r="T52" s="78" t="s">
        <v>7224</v>
      </c>
      <c r="U52" s="78" t="s">
        <v>7225</v>
      </c>
      <c r="V52" s="78" t="s">
        <v>7226</v>
      </c>
      <c r="W52" s="78" t="s">
        <v>7227</v>
      </c>
      <c r="X52" s="78" t="s">
        <v>7228</v>
      </c>
      <c r="Y52" s="86" t="s">
        <v>7229</v>
      </c>
      <c r="Z52" s="78" t="s">
        <v>7230</v>
      </c>
      <c r="AA52" s="78" t="s">
        <v>7231</v>
      </c>
      <c r="AB52" s="81" t="s">
        <v>7232</v>
      </c>
      <c r="AC52" s="78" t="s">
        <v>7233</v>
      </c>
      <c r="AD52" s="19"/>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1"/>
      <c r="BK52" s="21"/>
      <c r="BL52" s="21"/>
      <c r="BM52" s="21"/>
    </row>
    <row r="53">
      <c r="A53" s="78" t="s">
        <v>7234</v>
      </c>
      <c r="B53" s="78" t="s">
        <v>7235</v>
      </c>
      <c r="C53" s="79" t="s">
        <v>7236</v>
      </c>
      <c r="D53" s="78" t="s">
        <v>7237</v>
      </c>
      <c r="E53" s="78" t="s">
        <v>7238</v>
      </c>
      <c r="F53" s="78" t="s">
        <v>7239</v>
      </c>
      <c r="G53" s="78" t="s">
        <v>7240</v>
      </c>
      <c r="H53" s="78" t="s">
        <v>7241</v>
      </c>
      <c r="I53" s="78" t="s">
        <v>7242</v>
      </c>
      <c r="J53" s="78" t="s">
        <v>7243</v>
      </c>
      <c r="K53" s="80" t="s">
        <v>7244</v>
      </c>
      <c r="L53" s="78" t="s">
        <v>7245</v>
      </c>
      <c r="M53" s="78" t="s">
        <v>7246</v>
      </c>
      <c r="N53" s="81" t="s">
        <v>7247</v>
      </c>
      <c r="O53" s="82" t="s">
        <v>7248</v>
      </c>
      <c r="P53" s="83" t="s">
        <v>7249</v>
      </c>
      <c r="Q53" s="84" t="s">
        <v>7250</v>
      </c>
      <c r="R53" s="85" t="s">
        <v>7251</v>
      </c>
      <c r="S53" s="78" t="s">
        <v>7252</v>
      </c>
      <c r="T53" s="78" t="s">
        <v>7253</v>
      </c>
      <c r="U53" s="78" t="s">
        <v>7254</v>
      </c>
      <c r="V53" s="78" t="s">
        <v>7255</v>
      </c>
      <c r="W53" s="78" t="s">
        <v>7256</v>
      </c>
      <c r="X53" s="78" t="s">
        <v>7257</v>
      </c>
      <c r="Y53" s="86" t="s">
        <v>7258</v>
      </c>
      <c r="Z53" s="78" t="s">
        <v>7259</v>
      </c>
      <c r="AA53" s="78" t="s">
        <v>7260</v>
      </c>
      <c r="AB53" s="81" t="s">
        <v>7261</v>
      </c>
      <c r="AC53" s="78" t="s">
        <v>7262</v>
      </c>
      <c r="AD53" s="19"/>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1"/>
      <c r="BK53" s="21"/>
      <c r="BL53" s="21"/>
      <c r="BM53" s="21"/>
    </row>
    <row r="54">
      <c r="A54" s="78" t="s">
        <v>7321</v>
      </c>
      <c r="B54" s="78" t="s">
        <v>7322</v>
      </c>
      <c r="C54" s="79" t="s">
        <v>7323</v>
      </c>
      <c r="D54" s="78" t="s">
        <v>7324</v>
      </c>
      <c r="E54" s="78" t="s">
        <v>7325</v>
      </c>
      <c r="F54" s="78" t="s">
        <v>7326</v>
      </c>
      <c r="G54" s="78" t="s">
        <v>7327</v>
      </c>
      <c r="H54" s="78" t="s">
        <v>7328</v>
      </c>
      <c r="I54" s="78" t="s">
        <v>7329</v>
      </c>
      <c r="J54" s="78" t="s">
        <v>7330</v>
      </c>
      <c r="K54" s="80" t="s">
        <v>7331</v>
      </c>
      <c r="L54" s="78" t="s">
        <v>7332</v>
      </c>
      <c r="M54" s="78" t="s">
        <v>7333</v>
      </c>
      <c r="N54" s="81" t="s">
        <v>7334</v>
      </c>
      <c r="O54" s="82" t="s">
        <v>7335</v>
      </c>
      <c r="P54" s="83" t="s">
        <v>7336</v>
      </c>
      <c r="Q54" s="84" t="s">
        <v>7337</v>
      </c>
      <c r="R54" s="85" t="s">
        <v>7338</v>
      </c>
      <c r="S54" s="78" t="s">
        <v>7339</v>
      </c>
      <c r="T54" s="78" t="s">
        <v>7332</v>
      </c>
      <c r="U54" s="78" t="s">
        <v>7340</v>
      </c>
      <c r="V54" s="78" t="s">
        <v>7341</v>
      </c>
      <c r="W54" s="78" t="s">
        <v>7342</v>
      </c>
      <c r="X54" s="78" t="s">
        <v>7343</v>
      </c>
      <c r="Y54" s="86" t="s">
        <v>7344</v>
      </c>
      <c r="Z54" s="78" t="s">
        <v>7345</v>
      </c>
      <c r="AA54" s="78" t="s">
        <v>7346</v>
      </c>
      <c r="AB54" s="81" t="s">
        <v>7347</v>
      </c>
      <c r="AC54" s="78" t="s">
        <v>7348</v>
      </c>
      <c r="AD54" s="19"/>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1"/>
      <c r="BK54" s="21"/>
      <c r="BL54" s="21"/>
      <c r="BM54" s="21"/>
    </row>
    <row r="55">
      <c r="A55" s="78" t="s">
        <v>7349</v>
      </c>
      <c r="B55" s="78" t="s">
        <v>7350</v>
      </c>
      <c r="C55" s="79" t="s">
        <v>7351</v>
      </c>
      <c r="D55" s="78" t="s">
        <v>7352</v>
      </c>
      <c r="E55" s="78" t="s">
        <v>7353</v>
      </c>
      <c r="F55" s="78" t="s">
        <v>7354</v>
      </c>
      <c r="G55" s="78" t="s">
        <v>7355</v>
      </c>
      <c r="H55" s="78" t="s">
        <v>7356</v>
      </c>
      <c r="I55" s="78" t="s">
        <v>7357</v>
      </c>
      <c r="J55" s="78" t="s">
        <v>7358</v>
      </c>
      <c r="K55" s="80" t="s">
        <v>7359</v>
      </c>
      <c r="L55" s="78" t="s">
        <v>7360</v>
      </c>
      <c r="M55" s="78" t="s">
        <v>7361</v>
      </c>
      <c r="N55" s="81" t="s">
        <v>7362</v>
      </c>
      <c r="O55" s="82" t="s">
        <v>7363</v>
      </c>
      <c r="P55" s="83" t="s">
        <v>7364</v>
      </c>
      <c r="Q55" s="84" t="s">
        <v>7365</v>
      </c>
      <c r="R55" s="85" t="s">
        <v>7366</v>
      </c>
      <c r="S55" s="78" t="s">
        <v>7367</v>
      </c>
      <c r="T55" s="78" t="s">
        <v>7368</v>
      </c>
      <c r="U55" s="78" t="s">
        <v>7369</v>
      </c>
      <c r="V55" s="78" t="s">
        <v>7370</v>
      </c>
      <c r="W55" s="78" t="s">
        <v>7371</v>
      </c>
      <c r="X55" s="78" t="s">
        <v>7372</v>
      </c>
      <c r="Y55" s="86" t="s">
        <v>7373</v>
      </c>
      <c r="Z55" s="78" t="s">
        <v>7374</v>
      </c>
      <c r="AA55" s="78" t="s">
        <v>7375</v>
      </c>
      <c r="AB55" s="81" t="s">
        <v>7362</v>
      </c>
      <c r="AC55" s="78" t="s">
        <v>7376</v>
      </c>
      <c r="AD55" s="19"/>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1"/>
      <c r="BK55" s="21"/>
      <c r="BL55" s="21"/>
      <c r="BM55" s="21"/>
    </row>
    <row r="56">
      <c r="A56" s="78" t="s">
        <v>7377</v>
      </c>
      <c r="B56" s="78" t="s">
        <v>7378</v>
      </c>
      <c r="C56" s="79" t="s">
        <v>7379</v>
      </c>
      <c r="D56" s="78" t="s">
        <v>7380</v>
      </c>
      <c r="E56" s="78" t="s">
        <v>7381</v>
      </c>
      <c r="F56" s="78" t="s">
        <v>7382</v>
      </c>
      <c r="G56" s="78" t="s">
        <v>7383</v>
      </c>
      <c r="H56" s="78" t="s">
        <v>7384</v>
      </c>
      <c r="I56" s="78" t="s">
        <v>7385</v>
      </c>
      <c r="J56" s="78" t="s">
        <v>7386</v>
      </c>
      <c r="K56" s="80" t="s">
        <v>7387</v>
      </c>
      <c r="L56" s="78" t="s">
        <v>7388</v>
      </c>
      <c r="M56" s="78" t="s">
        <v>7389</v>
      </c>
      <c r="N56" s="81" t="s">
        <v>7390</v>
      </c>
      <c r="O56" s="82" t="s">
        <v>7391</v>
      </c>
      <c r="P56" s="83" t="s">
        <v>7392</v>
      </c>
      <c r="Q56" s="84" t="s">
        <v>7393</v>
      </c>
      <c r="R56" s="85" t="s">
        <v>7394</v>
      </c>
      <c r="S56" s="78" t="s">
        <v>7395</v>
      </c>
      <c r="T56" s="78" t="s">
        <v>7388</v>
      </c>
      <c r="U56" s="78" t="s">
        <v>7381</v>
      </c>
      <c r="V56" s="78" t="s">
        <v>7396</v>
      </c>
      <c r="W56" s="78" t="s">
        <v>7397</v>
      </c>
      <c r="X56" s="78" t="s">
        <v>7398</v>
      </c>
      <c r="Y56" s="86" t="s">
        <v>7399</v>
      </c>
      <c r="Z56" s="78" t="s">
        <v>7400</v>
      </c>
      <c r="AA56" s="78" t="s">
        <v>7401</v>
      </c>
      <c r="AB56" s="81" t="s">
        <v>7402</v>
      </c>
      <c r="AC56" s="78" t="s">
        <v>7403</v>
      </c>
      <c r="AD56" s="19"/>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1"/>
      <c r="BK56" s="21"/>
      <c r="BL56" s="21"/>
      <c r="BM56" s="21"/>
    </row>
    <row r="57">
      <c r="A57" s="78" t="s">
        <v>7404</v>
      </c>
      <c r="B57" s="78" t="s">
        <v>7405</v>
      </c>
      <c r="C57" s="79" t="s">
        <v>7406</v>
      </c>
      <c r="D57" s="78" t="s">
        <v>7407</v>
      </c>
      <c r="E57" s="78" t="s">
        <v>7408</v>
      </c>
      <c r="F57" s="78" t="s">
        <v>7409</v>
      </c>
      <c r="G57" s="78" t="s">
        <v>7410</v>
      </c>
      <c r="H57" s="78" t="s">
        <v>7411</v>
      </c>
      <c r="I57" s="78" t="s">
        <v>7412</v>
      </c>
      <c r="J57" s="78" t="s">
        <v>7413</v>
      </c>
      <c r="K57" s="80" t="s">
        <v>7414</v>
      </c>
      <c r="L57" s="78" t="s">
        <v>7415</v>
      </c>
      <c r="M57" s="78" t="s">
        <v>7416</v>
      </c>
      <c r="N57" s="81" t="s">
        <v>7417</v>
      </c>
      <c r="O57" s="82" t="s">
        <v>7418</v>
      </c>
      <c r="P57" s="83" t="s">
        <v>7419</v>
      </c>
      <c r="Q57" s="84" t="s">
        <v>7420</v>
      </c>
      <c r="R57" s="85" t="s">
        <v>7421</v>
      </c>
      <c r="S57" s="78" t="s">
        <v>7422</v>
      </c>
      <c r="T57" s="78" t="s">
        <v>7423</v>
      </c>
      <c r="U57" s="78" t="s">
        <v>7424</v>
      </c>
      <c r="V57" s="78" t="s">
        <v>7425</v>
      </c>
      <c r="W57" s="78" t="s">
        <v>7426</v>
      </c>
      <c r="X57" s="78" t="s">
        <v>7427</v>
      </c>
      <c r="Y57" s="86" t="s">
        <v>7428</v>
      </c>
      <c r="Z57" s="78" t="s">
        <v>7429</v>
      </c>
      <c r="AA57" s="78" t="s">
        <v>7430</v>
      </c>
      <c r="AB57" s="81" t="s">
        <v>7431</v>
      </c>
      <c r="AC57" s="78" t="s">
        <v>7432</v>
      </c>
      <c r="AD57" s="19"/>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1"/>
      <c r="BK57" s="21"/>
      <c r="BL57" s="21"/>
      <c r="BM57" s="21"/>
    </row>
    <row r="58">
      <c r="A58" s="78" t="s">
        <v>7433</v>
      </c>
      <c r="B58" s="78" t="s">
        <v>7434</v>
      </c>
      <c r="C58" s="79" t="s">
        <v>7435</v>
      </c>
      <c r="D58" s="78" t="s">
        <v>7436</v>
      </c>
      <c r="E58" s="78" t="s">
        <v>7437</v>
      </c>
      <c r="F58" s="78" t="s">
        <v>7438</v>
      </c>
      <c r="G58" s="78" t="s">
        <v>7439</v>
      </c>
      <c r="H58" s="78" t="s">
        <v>7440</v>
      </c>
      <c r="I58" s="78" t="s">
        <v>7441</v>
      </c>
      <c r="J58" s="78" t="s">
        <v>7442</v>
      </c>
      <c r="K58" s="80" t="s">
        <v>7443</v>
      </c>
      <c r="L58" s="78" t="s">
        <v>7444</v>
      </c>
      <c r="M58" s="78" t="s">
        <v>7445</v>
      </c>
      <c r="N58" s="81" t="s">
        <v>7446</v>
      </c>
      <c r="O58" s="82" t="s">
        <v>7447</v>
      </c>
      <c r="P58" s="83" t="s">
        <v>7448</v>
      </c>
      <c r="Q58" s="84" t="s">
        <v>7449</v>
      </c>
      <c r="R58" s="85" t="s">
        <v>7450</v>
      </c>
      <c r="S58" s="78" t="s">
        <v>7451</v>
      </c>
      <c r="T58" s="78" t="s">
        <v>7444</v>
      </c>
      <c r="U58" s="78" t="s">
        <v>7452</v>
      </c>
      <c r="V58" s="78" t="s">
        <v>7453</v>
      </c>
      <c r="W58" s="78" t="s">
        <v>7439</v>
      </c>
      <c r="X58" s="78" t="s">
        <v>7454</v>
      </c>
      <c r="Y58" s="86" t="s">
        <v>7455</v>
      </c>
      <c r="Z58" s="78" t="s">
        <v>7456</v>
      </c>
      <c r="AA58" s="78" t="s">
        <v>7457</v>
      </c>
      <c r="AB58" s="81" t="s">
        <v>7458</v>
      </c>
      <c r="AC58" s="78" t="s">
        <v>7459</v>
      </c>
      <c r="AD58" s="19"/>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1"/>
      <c r="BK58" s="21"/>
      <c r="BL58" s="21"/>
      <c r="BM58" s="21"/>
    </row>
    <row r="59">
      <c r="A59" s="78" t="s">
        <v>7460</v>
      </c>
      <c r="B59" s="78" t="s">
        <v>7461</v>
      </c>
      <c r="C59" s="79" t="s">
        <v>7462</v>
      </c>
      <c r="D59" s="78" t="s">
        <v>7461</v>
      </c>
      <c r="E59" s="78" t="s">
        <v>7461</v>
      </c>
      <c r="F59" s="78" t="s">
        <v>7463</v>
      </c>
      <c r="G59" s="78" t="s">
        <v>7464</v>
      </c>
      <c r="H59" s="78" t="s">
        <v>7465</v>
      </c>
      <c r="I59" s="78" t="s">
        <v>7466</v>
      </c>
      <c r="J59" s="78" t="s">
        <v>7467</v>
      </c>
      <c r="K59" s="80" t="s">
        <v>7468</v>
      </c>
      <c r="L59" s="78" t="s">
        <v>7461</v>
      </c>
      <c r="M59" s="78" t="s">
        <v>7469</v>
      </c>
      <c r="N59" s="81" t="s">
        <v>7470</v>
      </c>
      <c r="O59" s="82" t="s">
        <v>7471</v>
      </c>
      <c r="P59" s="83" t="s">
        <v>7472</v>
      </c>
      <c r="Q59" s="84" t="s">
        <v>7473</v>
      </c>
      <c r="R59" s="85" t="s">
        <v>7474</v>
      </c>
      <c r="S59" s="78" t="s">
        <v>7475</v>
      </c>
      <c r="T59" s="78" t="s">
        <v>7461</v>
      </c>
      <c r="U59" s="78" t="s">
        <v>7476</v>
      </c>
      <c r="V59" s="78" t="s">
        <v>7477</v>
      </c>
      <c r="W59" s="78" t="s">
        <v>7478</v>
      </c>
      <c r="X59" s="78" t="s">
        <v>7479</v>
      </c>
      <c r="Y59" s="86" t="s">
        <v>7480</v>
      </c>
      <c r="Z59" s="78" t="s">
        <v>7481</v>
      </c>
      <c r="AA59" s="78" t="s">
        <v>7482</v>
      </c>
      <c r="AB59" s="81" t="s">
        <v>7483</v>
      </c>
      <c r="AC59" s="78" t="s">
        <v>7484</v>
      </c>
      <c r="AD59" s="19"/>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1"/>
      <c r="BK59" s="21"/>
      <c r="BL59" s="21"/>
      <c r="BM59" s="21"/>
    </row>
    <row r="60">
      <c r="A60" s="78" t="s">
        <v>7485</v>
      </c>
      <c r="B60" s="78" t="s">
        <v>7486</v>
      </c>
      <c r="C60" s="79" t="s">
        <v>7487</v>
      </c>
      <c r="D60" s="78" t="s">
        <v>7488</v>
      </c>
      <c r="E60" s="78" t="s">
        <v>7489</v>
      </c>
      <c r="F60" s="78" t="s">
        <v>7490</v>
      </c>
      <c r="G60" s="78" t="s">
        <v>7491</v>
      </c>
      <c r="H60" s="78" t="s">
        <v>7492</v>
      </c>
      <c r="I60" s="78" t="s">
        <v>7493</v>
      </c>
      <c r="J60" s="78" t="s">
        <v>7494</v>
      </c>
      <c r="K60" s="80" t="s">
        <v>7495</v>
      </c>
      <c r="L60" s="78" t="s">
        <v>7496</v>
      </c>
      <c r="M60" s="78" t="s">
        <v>7497</v>
      </c>
      <c r="N60" s="81" t="s">
        <v>7498</v>
      </c>
      <c r="O60" s="82" t="s">
        <v>7499</v>
      </c>
      <c r="P60" s="83" t="s">
        <v>7500</v>
      </c>
      <c r="Q60" s="84" t="s">
        <v>7501</v>
      </c>
      <c r="R60" s="85" t="s">
        <v>7502</v>
      </c>
      <c r="S60" s="78" t="s">
        <v>7503</v>
      </c>
      <c r="T60" s="78" t="s">
        <v>7504</v>
      </c>
      <c r="U60" s="78" t="s">
        <v>7505</v>
      </c>
      <c r="V60" s="78" t="s">
        <v>7506</v>
      </c>
      <c r="W60" s="78" t="s">
        <v>7507</v>
      </c>
      <c r="X60" s="78" t="s">
        <v>7508</v>
      </c>
      <c r="Y60" s="86" t="s">
        <v>7509</v>
      </c>
      <c r="Z60" s="78" t="s">
        <v>7510</v>
      </c>
      <c r="AA60" s="78" t="s">
        <v>7511</v>
      </c>
      <c r="AB60" s="81" t="s">
        <v>7512</v>
      </c>
      <c r="AC60" s="78" t="s">
        <v>7513</v>
      </c>
      <c r="AD60" s="19"/>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1"/>
      <c r="BK60" s="21"/>
      <c r="BL60" s="21"/>
      <c r="BM60" s="21"/>
    </row>
    <row r="61">
      <c r="A61" s="78" t="s">
        <v>7514</v>
      </c>
      <c r="B61" s="78" t="s">
        <v>7515</v>
      </c>
      <c r="C61" s="79" t="s">
        <v>7516</v>
      </c>
      <c r="D61" s="78" t="s">
        <v>7517</v>
      </c>
      <c r="E61" s="78" t="s">
        <v>7518</v>
      </c>
      <c r="F61" s="78" t="s">
        <v>7519</v>
      </c>
      <c r="G61" s="78" t="s">
        <v>7520</v>
      </c>
      <c r="H61" s="78" t="s">
        <v>7521</v>
      </c>
      <c r="I61" s="78" t="s">
        <v>7522</v>
      </c>
      <c r="J61" s="78" t="s">
        <v>7523</v>
      </c>
      <c r="K61" s="80" t="s">
        <v>7524</v>
      </c>
      <c r="L61" s="78" t="s">
        <v>7525</v>
      </c>
      <c r="M61" s="78" t="s">
        <v>7526</v>
      </c>
      <c r="N61" s="81" t="s">
        <v>7527</v>
      </c>
      <c r="O61" s="82" t="s">
        <v>7528</v>
      </c>
      <c r="P61" s="83" t="s">
        <v>7529</v>
      </c>
      <c r="Q61" s="84" t="s">
        <v>7530</v>
      </c>
      <c r="R61" s="85" t="s">
        <v>7531</v>
      </c>
      <c r="S61" s="78" t="s">
        <v>7532</v>
      </c>
      <c r="T61" s="78" t="s">
        <v>7525</v>
      </c>
      <c r="U61" s="78" t="s">
        <v>7518</v>
      </c>
      <c r="V61" s="78" t="s">
        <v>7533</v>
      </c>
      <c r="W61" s="78" t="s">
        <v>7526</v>
      </c>
      <c r="X61" s="78" t="s">
        <v>7534</v>
      </c>
      <c r="Y61" s="86" t="s">
        <v>7535</v>
      </c>
      <c r="Z61" s="78" t="s">
        <v>7536</v>
      </c>
      <c r="AA61" s="78" t="s">
        <v>7537</v>
      </c>
      <c r="AB61" s="81" t="s">
        <v>7538</v>
      </c>
      <c r="AC61" s="78" t="s">
        <v>7539</v>
      </c>
      <c r="AD61" s="19"/>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1"/>
      <c r="BK61" s="21"/>
      <c r="BL61" s="21"/>
      <c r="BM61" s="21"/>
    </row>
    <row r="62">
      <c r="A62" s="78" t="s">
        <v>7540</v>
      </c>
      <c r="B62" s="78" t="s">
        <v>7541</v>
      </c>
      <c r="C62" s="79" t="s">
        <v>7542</v>
      </c>
      <c r="D62" s="78" t="s">
        <v>7543</v>
      </c>
      <c r="E62" s="78" t="s">
        <v>7544</v>
      </c>
      <c r="F62" s="78" t="s">
        <v>7545</v>
      </c>
      <c r="G62" s="78" t="s">
        <v>7546</v>
      </c>
      <c r="H62" s="78" t="s">
        <v>7547</v>
      </c>
      <c r="I62" s="78" t="s">
        <v>7548</v>
      </c>
      <c r="J62" s="78" t="s">
        <v>7549</v>
      </c>
      <c r="K62" s="80" t="s">
        <v>7550</v>
      </c>
      <c r="L62" s="78" t="s">
        <v>7551</v>
      </c>
      <c r="M62" s="78" t="s">
        <v>7552</v>
      </c>
      <c r="N62" s="81" t="s">
        <v>7553</v>
      </c>
      <c r="O62" s="82" t="s">
        <v>7554</v>
      </c>
      <c r="P62" s="83" t="s">
        <v>7555</v>
      </c>
      <c r="Q62" s="84" t="s">
        <v>7556</v>
      </c>
      <c r="R62" s="85" t="s">
        <v>7557</v>
      </c>
      <c r="S62" s="78" t="s">
        <v>7558</v>
      </c>
      <c r="T62" s="78" t="s">
        <v>7551</v>
      </c>
      <c r="U62" s="78" t="s">
        <v>7559</v>
      </c>
      <c r="V62" s="78" t="s">
        <v>7560</v>
      </c>
      <c r="W62" s="78" t="s">
        <v>7561</v>
      </c>
      <c r="X62" s="78" t="s">
        <v>7562</v>
      </c>
      <c r="Y62" s="86" t="s">
        <v>7563</v>
      </c>
      <c r="Z62" s="78" t="s">
        <v>7564</v>
      </c>
      <c r="AA62" s="78" t="s">
        <v>7565</v>
      </c>
      <c r="AB62" s="81" t="s">
        <v>7566</v>
      </c>
      <c r="AC62" s="78" t="s">
        <v>7567</v>
      </c>
      <c r="AD62" s="19"/>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1"/>
      <c r="BK62" s="21"/>
      <c r="BL62" s="21"/>
      <c r="BM62" s="21"/>
    </row>
    <row r="63">
      <c r="A63" s="78" t="s">
        <v>7568</v>
      </c>
      <c r="B63" s="78" t="s">
        <v>7569</v>
      </c>
      <c r="C63" s="79" t="s">
        <v>7570</v>
      </c>
      <c r="D63" s="78" t="s">
        <v>7571</v>
      </c>
      <c r="E63" s="78" t="s">
        <v>7572</v>
      </c>
      <c r="F63" s="78" t="s">
        <v>7573</v>
      </c>
      <c r="G63" s="78" t="s">
        <v>7574</v>
      </c>
      <c r="H63" s="78" t="s">
        <v>7575</v>
      </c>
      <c r="I63" s="78" t="s">
        <v>7576</v>
      </c>
      <c r="J63" s="78" t="s">
        <v>7577</v>
      </c>
      <c r="K63" s="80" t="s">
        <v>7578</v>
      </c>
      <c r="L63" s="78" t="s">
        <v>7579</v>
      </c>
      <c r="M63" s="78" t="s">
        <v>7580</v>
      </c>
      <c r="N63" s="81" t="s">
        <v>7581</v>
      </c>
      <c r="O63" s="82" t="s">
        <v>7582</v>
      </c>
      <c r="P63" s="83" t="s">
        <v>7583</v>
      </c>
      <c r="Q63" s="84" t="s">
        <v>7584</v>
      </c>
      <c r="R63" s="85" t="s">
        <v>7585</v>
      </c>
      <c r="S63" s="78" t="s">
        <v>7586</v>
      </c>
      <c r="T63" s="78" t="s">
        <v>7587</v>
      </c>
      <c r="U63" s="78" t="s">
        <v>7588</v>
      </c>
      <c r="V63" s="78" t="s">
        <v>7589</v>
      </c>
      <c r="W63" s="78" t="s">
        <v>7590</v>
      </c>
      <c r="X63" s="78" t="s">
        <v>7591</v>
      </c>
      <c r="Y63" s="86" t="s">
        <v>7592</v>
      </c>
      <c r="Z63" s="78" t="s">
        <v>7593</v>
      </c>
      <c r="AA63" s="78" t="s">
        <v>7594</v>
      </c>
      <c r="AB63" s="81" t="s">
        <v>7595</v>
      </c>
      <c r="AC63" s="78" t="s">
        <v>7596</v>
      </c>
      <c r="AD63" s="19"/>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1"/>
      <c r="BK63" s="21"/>
      <c r="BL63" s="21"/>
      <c r="BM63" s="21"/>
    </row>
    <row r="64">
      <c r="A64" s="78" t="s">
        <v>7597</v>
      </c>
      <c r="B64" s="78" t="s">
        <v>7598</v>
      </c>
      <c r="C64" s="79" t="s">
        <v>7599</v>
      </c>
      <c r="D64" s="78" t="s">
        <v>7600</v>
      </c>
      <c r="E64" s="78" t="s">
        <v>7601</v>
      </c>
      <c r="F64" s="78" t="s">
        <v>7602</v>
      </c>
      <c r="G64" s="78" t="s">
        <v>7603</v>
      </c>
      <c r="H64" s="78" t="s">
        <v>7604</v>
      </c>
      <c r="I64" s="78" t="s">
        <v>7605</v>
      </c>
      <c r="J64" s="78" t="s">
        <v>7606</v>
      </c>
      <c r="K64" s="80" t="s">
        <v>7607</v>
      </c>
      <c r="L64" s="78" t="s">
        <v>7608</v>
      </c>
      <c r="M64" s="78" t="s">
        <v>7609</v>
      </c>
      <c r="N64" s="81" t="s">
        <v>7610</v>
      </c>
      <c r="O64" s="82" t="s">
        <v>7611</v>
      </c>
      <c r="P64" s="83" t="s">
        <v>7612</v>
      </c>
      <c r="Q64" s="84" t="s">
        <v>7613</v>
      </c>
      <c r="R64" s="85" t="s">
        <v>7614</v>
      </c>
      <c r="S64" s="78" t="s">
        <v>7615</v>
      </c>
      <c r="T64" s="78" t="s">
        <v>7598</v>
      </c>
      <c r="U64" s="78" t="s">
        <v>7616</v>
      </c>
      <c r="V64" s="78" t="s">
        <v>7617</v>
      </c>
      <c r="W64" s="78" t="s">
        <v>7618</v>
      </c>
      <c r="X64" s="78" t="s">
        <v>7619</v>
      </c>
      <c r="Y64" s="86" t="s">
        <v>7620</v>
      </c>
      <c r="Z64" s="78" t="s">
        <v>7621</v>
      </c>
      <c r="AA64" s="78" t="s">
        <v>7622</v>
      </c>
      <c r="AB64" s="81" t="s">
        <v>7623</v>
      </c>
      <c r="AC64" s="78" t="s">
        <v>7624</v>
      </c>
      <c r="AD64" s="19"/>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1"/>
      <c r="BK64" s="21"/>
      <c r="BL64" s="21"/>
      <c r="BM64" s="21"/>
    </row>
    <row r="65">
      <c r="A65" s="78" t="s">
        <v>7625</v>
      </c>
      <c r="B65" s="78" t="s">
        <v>7626</v>
      </c>
      <c r="C65" s="79" t="s">
        <v>7627</v>
      </c>
      <c r="D65" s="78" t="s">
        <v>7626</v>
      </c>
      <c r="E65" s="78" t="s">
        <v>7626</v>
      </c>
      <c r="F65" s="78" t="s">
        <v>7628</v>
      </c>
      <c r="G65" s="78" t="s">
        <v>7626</v>
      </c>
      <c r="H65" s="78" t="s">
        <v>7626</v>
      </c>
      <c r="I65" s="78" t="s">
        <v>7626</v>
      </c>
      <c r="J65" s="78" t="s">
        <v>7626</v>
      </c>
      <c r="K65" s="80" t="s">
        <v>7629</v>
      </c>
      <c r="L65" s="78" t="s">
        <v>7626</v>
      </c>
      <c r="M65" s="78" t="s">
        <v>7626</v>
      </c>
      <c r="N65" s="81" t="s">
        <v>7630</v>
      </c>
      <c r="O65" s="82" t="s">
        <v>7631</v>
      </c>
      <c r="P65" s="83" t="s">
        <v>7632</v>
      </c>
      <c r="Q65" s="84" t="s">
        <v>7633</v>
      </c>
      <c r="R65" s="85" t="s">
        <v>7634</v>
      </c>
      <c r="S65" s="78" t="s">
        <v>7626</v>
      </c>
      <c r="T65" s="78" t="s">
        <v>7626</v>
      </c>
      <c r="U65" s="78" t="s">
        <v>7626</v>
      </c>
      <c r="V65" s="78" t="s">
        <v>7626</v>
      </c>
      <c r="W65" s="78" t="s">
        <v>7635</v>
      </c>
      <c r="X65" s="78" t="s">
        <v>7636</v>
      </c>
      <c r="Y65" s="86" t="s">
        <v>7637</v>
      </c>
      <c r="Z65" s="78" t="s">
        <v>7626</v>
      </c>
      <c r="AA65" s="78" t="s">
        <v>7638</v>
      </c>
      <c r="AB65" s="81" t="s">
        <v>7639</v>
      </c>
      <c r="AC65" s="78" t="s">
        <v>7640</v>
      </c>
      <c r="AD65" s="19"/>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1"/>
      <c r="BK65" s="21"/>
      <c r="BL65" s="21"/>
      <c r="BM65" s="21"/>
    </row>
    <row r="66">
      <c r="A66" s="78" t="s">
        <v>7641</v>
      </c>
      <c r="B66" s="78" t="s">
        <v>7642</v>
      </c>
      <c r="C66" s="79" t="s">
        <v>7643</v>
      </c>
      <c r="D66" s="78" t="s">
        <v>7642</v>
      </c>
      <c r="E66" s="78" t="s">
        <v>7644</v>
      </c>
      <c r="F66" s="78" t="s">
        <v>7645</v>
      </c>
      <c r="G66" s="78" t="s">
        <v>7646</v>
      </c>
      <c r="H66" s="78" t="s">
        <v>7647</v>
      </c>
      <c r="I66" s="78" t="s">
        <v>7648</v>
      </c>
      <c r="J66" s="78" t="s">
        <v>7649</v>
      </c>
      <c r="K66" s="80" t="s">
        <v>7650</v>
      </c>
      <c r="L66" s="78" t="s">
        <v>7651</v>
      </c>
      <c r="M66" s="78" t="s">
        <v>7652</v>
      </c>
      <c r="N66" s="81" t="s">
        <v>7653</v>
      </c>
      <c r="O66" s="82" t="s">
        <v>7654</v>
      </c>
      <c r="P66" s="83" t="s">
        <v>7655</v>
      </c>
      <c r="Q66" s="84" t="s">
        <v>7656</v>
      </c>
      <c r="R66" s="85" t="s">
        <v>7657</v>
      </c>
      <c r="S66" s="78" t="s">
        <v>7658</v>
      </c>
      <c r="T66" s="78" t="s">
        <v>7651</v>
      </c>
      <c r="U66" s="78" t="s">
        <v>7659</v>
      </c>
      <c r="V66" s="78" t="s">
        <v>7660</v>
      </c>
      <c r="W66" s="78" t="s">
        <v>7661</v>
      </c>
      <c r="X66" s="78" t="s">
        <v>7662</v>
      </c>
      <c r="Y66" s="86" t="s">
        <v>7663</v>
      </c>
      <c r="Z66" s="78" t="s">
        <v>7642</v>
      </c>
      <c r="AA66" s="78" t="s">
        <v>7664</v>
      </c>
      <c r="AB66" s="81" t="s">
        <v>7665</v>
      </c>
      <c r="AC66" s="78" t="s">
        <v>7666</v>
      </c>
      <c r="AD66" s="19"/>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1"/>
      <c r="BK66" s="21"/>
      <c r="BL66" s="21"/>
      <c r="BM66" s="21"/>
    </row>
    <row r="67">
      <c r="A67" s="78" t="s">
        <v>7667</v>
      </c>
      <c r="B67" s="78" t="s">
        <v>7668</v>
      </c>
      <c r="C67" s="79" t="s">
        <v>7669</v>
      </c>
      <c r="D67" s="78" t="s">
        <v>7670</v>
      </c>
      <c r="E67" s="78" t="s">
        <v>7671</v>
      </c>
      <c r="F67" s="78" t="s">
        <v>7672</v>
      </c>
      <c r="G67" s="78" t="s">
        <v>7673</v>
      </c>
      <c r="H67" s="78" t="s">
        <v>7674</v>
      </c>
      <c r="I67" s="78" t="s">
        <v>7675</v>
      </c>
      <c r="J67" s="78" t="s">
        <v>7676</v>
      </c>
      <c r="K67" s="80" t="s">
        <v>7677</v>
      </c>
      <c r="L67" s="78" t="s">
        <v>7674</v>
      </c>
      <c r="M67" s="78" t="s">
        <v>7673</v>
      </c>
      <c r="N67" s="81" t="s">
        <v>7678</v>
      </c>
      <c r="O67" s="82" t="s">
        <v>7679</v>
      </c>
      <c r="P67" s="83" t="s">
        <v>7680</v>
      </c>
      <c r="Q67" s="84" t="s">
        <v>7681</v>
      </c>
      <c r="R67" s="85" t="s">
        <v>7682</v>
      </c>
      <c r="S67" s="78" t="s">
        <v>7683</v>
      </c>
      <c r="T67" s="78" t="s">
        <v>7674</v>
      </c>
      <c r="U67" s="78" t="s">
        <v>7684</v>
      </c>
      <c r="V67" s="78" t="s">
        <v>7685</v>
      </c>
      <c r="W67" s="78" t="s">
        <v>7673</v>
      </c>
      <c r="X67" s="78" t="s">
        <v>7686</v>
      </c>
      <c r="Y67" s="86" t="s">
        <v>7687</v>
      </c>
      <c r="Z67" s="78" t="s">
        <v>7688</v>
      </c>
      <c r="AA67" s="78" t="s">
        <v>7689</v>
      </c>
      <c r="AB67" s="81" t="s">
        <v>7690</v>
      </c>
      <c r="AC67" s="78" t="s">
        <v>7691</v>
      </c>
      <c r="AD67" s="19"/>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1"/>
      <c r="BK67" s="21"/>
      <c r="BL67" s="21"/>
      <c r="BM67" s="21"/>
    </row>
    <row r="68">
      <c r="A68" s="78" t="s">
        <v>7692</v>
      </c>
      <c r="B68" s="78" t="s">
        <v>7693</v>
      </c>
      <c r="C68" s="79" t="s">
        <v>7694</v>
      </c>
      <c r="D68" s="78" t="s">
        <v>7693</v>
      </c>
      <c r="E68" s="78" t="s">
        <v>7693</v>
      </c>
      <c r="F68" s="78" t="s">
        <v>7695</v>
      </c>
      <c r="G68" s="78" t="s">
        <v>7696</v>
      </c>
      <c r="H68" s="78" t="s">
        <v>7697</v>
      </c>
      <c r="I68" s="78" t="s">
        <v>7693</v>
      </c>
      <c r="J68" s="78" t="s">
        <v>7693</v>
      </c>
      <c r="K68" s="80" t="s">
        <v>7698</v>
      </c>
      <c r="L68" s="78" t="s">
        <v>7693</v>
      </c>
      <c r="M68" s="78" t="s">
        <v>7693</v>
      </c>
      <c r="N68" s="81" t="s">
        <v>7699</v>
      </c>
      <c r="O68" s="82" t="s">
        <v>7700</v>
      </c>
      <c r="P68" s="83" t="s">
        <v>7701</v>
      </c>
      <c r="Q68" s="84" t="s">
        <v>7702</v>
      </c>
      <c r="R68" s="85" t="s">
        <v>7703</v>
      </c>
      <c r="S68" s="78" t="s">
        <v>7704</v>
      </c>
      <c r="T68" s="78" t="s">
        <v>7693</v>
      </c>
      <c r="U68" s="78" t="s">
        <v>7693</v>
      </c>
      <c r="V68" s="78" t="s">
        <v>7693</v>
      </c>
      <c r="W68" s="78" t="s">
        <v>7693</v>
      </c>
      <c r="X68" s="78" t="s">
        <v>7705</v>
      </c>
      <c r="Y68" s="86" t="s">
        <v>7706</v>
      </c>
      <c r="Z68" s="78" t="s">
        <v>7693</v>
      </c>
      <c r="AA68" s="78" t="s">
        <v>7705</v>
      </c>
      <c r="AB68" s="81" t="s">
        <v>7707</v>
      </c>
      <c r="AC68" s="78" t="s">
        <v>7708</v>
      </c>
      <c r="AD68" s="19"/>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1"/>
      <c r="BK68" s="21"/>
      <c r="BL68" s="21"/>
      <c r="BM68" s="21"/>
    </row>
    <row r="69">
      <c r="A69" s="78" t="s">
        <v>7709</v>
      </c>
      <c r="B69" s="78" t="s">
        <v>7710</v>
      </c>
      <c r="C69" s="79" t="s">
        <v>7711</v>
      </c>
      <c r="D69" s="78" t="s">
        <v>7710</v>
      </c>
      <c r="E69" s="78" t="s">
        <v>7710</v>
      </c>
      <c r="F69" s="78" t="s">
        <v>7712</v>
      </c>
      <c r="G69" s="78" t="s">
        <v>7710</v>
      </c>
      <c r="H69" s="78" t="s">
        <v>7710</v>
      </c>
      <c r="I69" s="78" t="s">
        <v>7710</v>
      </c>
      <c r="J69" s="78" t="s">
        <v>7710</v>
      </c>
      <c r="K69" s="80" t="s">
        <v>7713</v>
      </c>
      <c r="L69" s="78" t="s">
        <v>7710</v>
      </c>
      <c r="M69" s="78" t="s">
        <v>7710</v>
      </c>
      <c r="N69" s="81" t="s">
        <v>7714</v>
      </c>
      <c r="O69" s="78" t="s">
        <v>7710</v>
      </c>
      <c r="P69" s="83" t="s">
        <v>7715</v>
      </c>
      <c r="Q69" s="84" t="s">
        <v>7716</v>
      </c>
      <c r="R69" s="78" t="s">
        <v>7710</v>
      </c>
      <c r="S69" s="78" t="s">
        <v>7717</v>
      </c>
      <c r="T69" s="78" t="s">
        <v>7710</v>
      </c>
      <c r="U69" s="78" t="s">
        <v>7710</v>
      </c>
      <c r="V69" s="78" t="s">
        <v>7710</v>
      </c>
      <c r="W69" s="78" t="s">
        <v>7710</v>
      </c>
      <c r="X69" s="78" t="s">
        <v>7718</v>
      </c>
      <c r="Y69" s="86" t="s">
        <v>7719</v>
      </c>
      <c r="Z69" s="78" t="s">
        <v>7710</v>
      </c>
      <c r="AA69" s="78" t="s">
        <v>7720</v>
      </c>
      <c r="AB69" s="81" t="s">
        <v>7721</v>
      </c>
      <c r="AC69" s="78" t="s">
        <v>7722</v>
      </c>
      <c r="AD69" s="19"/>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1"/>
      <c r="BK69" s="21"/>
      <c r="BL69" s="21"/>
      <c r="BM69" s="21"/>
    </row>
    <row r="70">
      <c r="A70" s="78" t="s">
        <v>7723</v>
      </c>
      <c r="B70" s="78" t="s">
        <v>7724</v>
      </c>
      <c r="C70" s="79" t="s">
        <v>7725</v>
      </c>
      <c r="D70" s="78" t="s">
        <v>7726</v>
      </c>
      <c r="E70" s="78" t="s">
        <v>7727</v>
      </c>
      <c r="F70" s="78" t="s">
        <v>7728</v>
      </c>
      <c r="G70" s="78" t="s">
        <v>7729</v>
      </c>
      <c r="H70" s="78" t="s">
        <v>7730</v>
      </c>
      <c r="I70" s="78" t="s">
        <v>7731</v>
      </c>
      <c r="J70" s="78" t="s">
        <v>7732</v>
      </c>
      <c r="K70" s="80" t="s">
        <v>7733</v>
      </c>
      <c r="L70" s="78" t="s">
        <v>7734</v>
      </c>
      <c r="M70" s="78" t="s">
        <v>7735</v>
      </c>
      <c r="N70" s="81" t="s">
        <v>7736</v>
      </c>
      <c r="O70" s="82" t="s">
        <v>7737</v>
      </c>
      <c r="P70" s="83" t="s">
        <v>7738</v>
      </c>
      <c r="Q70" s="84" t="s">
        <v>7739</v>
      </c>
      <c r="R70" s="85" t="s">
        <v>7740</v>
      </c>
      <c r="S70" s="78" t="s">
        <v>7741</v>
      </c>
      <c r="T70" s="78" t="s">
        <v>7742</v>
      </c>
      <c r="U70" s="78" t="s">
        <v>7743</v>
      </c>
      <c r="V70" s="78" t="s">
        <v>7744</v>
      </c>
      <c r="W70" s="78" t="s">
        <v>7745</v>
      </c>
      <c r="X70" s="78" t="s">
        <v>7746</v>
      </c>
      <c r="Y70" s="86" t="s">
        <v>7747</v>
      </c>
      <c r="Z70" s="78" t="s">
        <v>7748</v>
      </c>
      <c r="AA70" s="78" t="s">
        <v>7749</v>
      </c>
      <c r="AB70" s="81" t="s">
        <v>7750</v>
      </c>
      <c r="AC70" s="78" t="s">
        <v>11703</v>
      </c>
      <c r="AD70" s="19"/>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1"/>
      <c r="BK70" s="21"/>
      <c r="BL70" s="21"/>
      <c r="BM70" s="21"/>
    </row>
    <row r="71">
      <c r="A71" s="78" t="s">
        <v>7752</v>
      </c>
      <c r="B71" s="78" t="s">
        <v>7753</v>
      </c>
      <c r="C71" s="79" t="s">
        <v>7754</v>
      </c>
      <c r="D71" s="78" t="s">
        <v>7755</v>
      </c>
      <c r="E71" s="78" t="s">
        <v>7756</v>
      </c>
      <c r="F71" s="78" t="s">
        <v>7757</v>
      </c>
      <c r="G71" s="78" t="s">
        <v>7758</v>
      </c>
      <c r="H71" s="78" t="s">
        <v>7759</v>
      </c>
      <c r="I71" s="78" t="s">
        <v>7760</v>
      </c>
      <c r="J71" s="78" t="s">
        <v>7761</v>
      </c>
      <c r="K71" s="80" t="s">
        <v>7762</v>
      </c>
      <c r="L71" s="78" t="s">
        <v>7763</v>
      </c>
      <c r="M71" s="78" t="s">
        <v>7764</v>
      </c>
      <c r="N71" s="81" t="s">
        <v>7765</v>
      </c>
      <c r="O71" s="82" t="s">
        <v>7766</v>
      </c>
      <c r="P71" s="83" t="s">
        <v>7767</v>
      </c>
      <c r="Q71" s="84" t="s">
        <v>7768</v>
      </c>
      <c r="R71" s="85" t="s">
        <v>7769</v>
      </c>
      <c r="S71" s="78" t="s">
        <v>7770</v>
      </c>
      <c r="T71" s="78" t="s">
        <v>7771</v>
      </c>
      <c r="U71" s="78" t="s">
        <v>7772</v>
      </c>
      <c r="V71" s="78" t="s">
        <v>7773</v>
      </c>
      <c r="W71" s="78" t="s">
        <v>7758</v>
      </c>
      <c r="X71" s="78" t="s">
        <v>7774</v>
      </c>
      <c r="Y71" s="86" t="s">
        <v>7775</v>
      </c>
      <c r="Z71" s="78" t="s">
        <v>7776</v>
      </c>
      <c r="AA71" s="78" t="s">
        <v>7777</v>
      </c>
      <c r="AB71" s="81" t="s">
        <v>7778</v>
      </c>
      <c r="AC71" s="78" t="s">
        <v>7779</v>
      </c>
      <c r="AD71" s="19"/>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1"/>
      <c r="BK71" s="21"/>
      <c r="BL71" s="21"/>
      <c r="BM71" s="21"/>
    </row>
    <row r="72">
      <c r="A72" s="78" t="s">
        <v>7780</v>
      </c>
      <c r="B72" s="78" t="s">
        <v>7781</v>
      </c>
      <c r="C72" s="79" t="s">
        <v>7782</v>
      </c>
      <c r="D72" s="78" t="s">
        <v>7783</v>
      </c>
      <c r="E72" s="78" t="s">
        <v>7784</v>
      </c>
      <c r="F72" s="78" t="s">
        <v>7785</v>
      </c>
      <c r="G72" s="78" t="s">
        <v>7786</v>
      </c>
      <c r="H72" s="78" t="s">
        <v>7787</v>
      </c>
      <c r="I72" s="78" t="s">
        <v>7788</v>
      </c>
      <c r="J72" s="78" t="s">
        <v>7789</v>
      </c>
      <c r="K72" s="80" t="s">
        <v>7790</v>
      </c>
      <c r="L72" s="78" t="s">
        <v>7791</v>
      </c>
      <c r="M72" s="78" t="s">
        <v>7792</v>
      </c>
      <c r="N72" s="81" t="s">
        <v>7793</v>
      </c>
      <c r="O72" s="82" t="s">
        <v>7794</v>
      </c>
      <c r="P72" s="83" t="s">
        <v>7795</v>
      </c>
      <c r="Q72" s="84" t="s">
        <v>7796</v>
      </c>
      <c r="R72" s="85" t="s">
        <v>7797</v>
      </c>
      <c r="S72" s="78" t="s">
        <v>7798</v>
      </c>
      <c r="T72" s="78" t="s">
        <v>7799</v>
      </c>
      <c r="U72" s="78" t="s">
        <v>7784</v>
      </c>
      <c r="V72" s="78" t="s">
        <v>7800</v>
      </c>
      <c r="W72" s="78" t="s">
        <v>7801</v>
      </c>
      <c r="X72" s="78" t="s">
        <v>7802</v>
      </c>
      <c r="Y72" s="86" t="s">
        <v>7803</v>
      </c>
      <c r="Z72" s="78" t="s">
        <v>7804</v>
      </c>
      <c r="AA72" s="78" t="s">
        <v>7805</v>
      </c>
      <c r="AB72" s="81" t="s">
        <v>7806</v>
      </c>
      <c r="AC72" s="78" t="s">
        <v>7807</v>
      </c>
      <c r="AD72" s="19"/>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1"/>
      <c r="BK72" s="21"/>
      <c r="BL72" s="21"/>
      <c r="BM72" s="21"/>
    </row>
    <row r="73">
      <c r="A73" s="78" t="s">
        <v>7808</v>
      </c>
      <c r="B73" s="78" t="s">
        <v>7809</v>
      </c>
      <c r="C73" s="79" t="s">
        <v>7810</v>
      </c>
      <c r="D73" s="78" t="s">
        <v>7811</v>
      </c>
      <c r="E73" s="78" t="s">
        <v>7809</v>
      </c>
      <c r="F73" s="78" t="s">
        <v>7812</v>
      </c>
      <c r="G73" s="78" t="s">
        <v>7808</v>
      </c>
      <c r="H73" s="78" t="s">
        <v>7813</v>
      </c>
      <c r="I73" s="78" t="s">
        <v>7809</v>
      </c>
      <c r="J73" s="78" t="s">
        <v>7808</v>
      </c>
      <c r="K73" s="80" t="s">
        <v>7814</v>
      </c>
      <c r="L73" s="78" t="s">
        <v>7809</v>
      </c>
      <c r="M73" s="78" t="s">
        <v>7808</v>
      </c>
      <c r="N73" s="81" t="s">
        <v>7815</v>
      </c>
      <c r="O73" s="82" t="s">
        <v>7816</v>
      </c>
      <c r="P73" s="83" t="s">
        <v>7817</v>
      </c>
      <c r="Q73" s="84" t="s">
        <v>7818</v>
      </c>
      <c r="R73" s="85" t="s">
        <v>7819</v>
      </c>
      <c r="S73" s="78" t="s">
        <v>7820</v>
      </c>
      <c r="T73" s="78" t="s">
        <v>7809</v>
      </c>
      <c r="U73" s="78" t="s">
        <v>7809</v>
      </c>
      <c r="V73" s="78" t="s">
        <v>7821</v>
      </c>
      <c r="W73" s="78" t="s">
        <v>7808</v>
      </c>
      <c r="X73" s="78" t="s">
        <v>7822</v>
      </c>
      <c r="Y73" s="86" t="s">
        <v>7823</v>
      </c>
      <c r="Z73" s="78" t="s">
        <v>7824</v>
      </c>
      <c r="AA73" s="78" t="s">
        <v>7825</v>
      </c>
      <c r="AB73" s="81" t="s">
        <v>7826</v>
      </c>
      <c r="AC73" s="78" t="s">
        <v>7827</v>
      </c>
      <c r="AD73" s="19"/>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1"/>
      <c r="BK73" s="21"/>
      <c r="BL73" s="21"/>
      <c r="BM73" s="21"/>
    </row>
    <row r="74">
      <c r="A74" s="78" t="s">
        <v>7828</v>
      </c>
      <c r="B74" s="78" t="s">
        <v>7829</v>
      </c>
      <c r="C74" s="79" t="s">
        <v>7830</v>
      </c>
      <c r="D74" s="78" t="s">
        <v>7831</v>
      </c>
      <c r="E74" s="78" t="s">
        <v>7832</v>
      </c>
      <c r="F74" s="78" t="s">
        <v>7833</v>
      </c>
      <c r="G74" s="78" t="s">
        <v>7834</v>
      </c>
      <c r="H74" s="78" t="s">
        <v>7835</v>
      </c>
      <c r="I74" s="78" t="s">
        <v>7836</v>
      </c>
      <c r="J74" s="78" t="s">
        <v>7837</v>
      </c>
      <c r="K74" s="80" t="s">
        <v>7838</v>
      </c>
      <c r="L74" s="78" t="s">
        <v>7839</v>
      </c>
      <c r="M74" s="78" t="s">
        <v>7840</v>
      </c>
      <c r="N74" s="81" t="s">
        <v>7841</v>
      </c>
      <c r="O74" s="82" t="s">
        <v>7842</v>
      </c>
      <c r="P74" s="83" t="s">
        <v>7843</v>
      </c>
      <c r="Q74" s="84" t="s">
        <v>7844</v>
      </c>
      <c r="R74" s="85" t="s">
        <v>7845</v>
      </c>
      <c r="S74" s="78" t="s">
        <v>7846</v>
      </c>
      <c r="T74" s="78" t="s">
        <v>7829</v>
      </c>
      <c r="U74" s="78" t="s">
        <v>7847</v>
      </c>
      <c r="V74" s="78" t="s">
        <v>7848</v>
      </c>
      <c r="W74" s="78" t="s">
        <v>7849</v>
      </c>
      <c r="X74" s="78" t="s">
        <v>7850</v>
      </c>
      <c r="Y74" s="86" t="s">
        <v>7851</v>
      </c>
      <c r="Z74" s="78" t="s">
        <v>7852</v>
      </c>
      <c r="AA74" s="78" t="s">
        <v>7853</v>
      </c>
      <c r="AB74" s="81" t="s">
        <v>7854</v>
      </c>
      <c r="AC74" s="78" t="s">
        <v>7855</v>
      </c>
      <c r="AD74" s="19"/>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1"/>
      <c r="BK74" s="21"/>
      <c r="BL74" s="21"/>
      <c r="BM74" s="21"/>
    </row>
    <row r="75">
      <c r="A75" s="78" t="s">
        <v>7856</v>
      </c>
      <c r="B75" s="78" t="s">
        <v>7857</v>
      </c>
      <c r="C75" s="79" t="s">
        <v>7858</v>
      </c>
      <c r="D75" s="78" t="s">
        <v>7859</v>
      </c>
      <c r="E75" s="78" t="s">
        <v>7860</v>
      </c>
      <c r="F75" s="78" t="s">
        <v>7861</v>
      </c>
      <c r="G75" s="78" t="s">
        <v>7862</v>
      </c>
      <c r="H75" s="78" t="s">
        <v>7863</v>
      </c>
      <c r="I75" s="78" t="s">
        <v>7864</v>
      </c>
      <c r="J75" s="78" t="s">
        <v>7865</v>
      </c>
      <c r="K75" s="80" t="s">
        <v>7866</v>
      </c>
      <c r="L75" s="78" t="s">
        <v>7867</v>
      </c>
      <c r="M75" s="78" t="s">
        <v>7868</v>
      </c>
      <c r="N75" s="81" t="s">
        <v>7869</v>
      </c>
      <c r="O75" s="82" t="s">
        <v>7870</v>
      </c>
      <c r="P75" s="83" t="s">
        <v>7871</v>
      </c>
      <c r="Q75" s="84" t="s">
        <v>7872</v>
      </c>
      <c r="R75" s="85" t="s">
        <v>7873</v>
      </c>
      <c r="S75" s="78" t="s">
        <v>7874</v>
      </c>
      <c r="T75" s="78" t="s">
        <v>7867</v>
      </c>
      <c r="U75" s="78" t="s">
        <v>7875</v>
      </c>
      <c r="V75" s="78" t="s">
        <v>7876</v>
      </c>
      <c r="W75" s="78" t="s">
        <v>7877</v>
      </c>
      <c r="X75" s="78" t="s">
        <v>7878</v>
      </c>
      <c r="Y75" s="86" t="s">
        <v>7879</v>
      </c>
      <c r="Z75" s="78" t="s">
        <v>7880</v>
      </c>
      <c r="AA75" s="78" t="s">
        <v>7881</v>
      </c>
      <c r="AB75" s="81" t="s">
        <v>7882</v>
      </c>
      <c r="AC75" s="78" t="s">
        <v>7883</v>
      </c>
      <c r="AD75" s="19"/>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1"/>
      <c r="BK75" s="21"/>
      <c r="BL75" s="21"/>
      <c r="BM75" s="21"/>
    </row>
    <row r="76">
      <c r="A76" s="78" t="s">
        <v>7884</v>
      </c>
      <c r="B76" s="78" t="s">
        <v>7885</v>
      </c>
      <c r="C76" s="79" t="s">
        <v>7886</v>
      </c>
      <c r="D76" s="78" t="s">
        <v>7887</v>
      </c>
      <c r="E76" s="78" t="s">
        <v>7888</v>
      </c>
      <c r="F76" s="78" t="s">
        <v>7889</v>
      </c>
      <c r="G76" s="78" t="s">
        <v>7890</v>
      </c>
      <c r="H76" s="78" t="s">
        <v>7891</v>
      </c>
      <c r="I76" s="78" t="s">
        <v>7892</v>
      </c>
      <c r="J76" s="78" t="s">
        <v>7893</v>
      </c>
      <c r="K76" s="80" t="s">
        <v>7894</v>
      </c>
      <c r="L76" s="78" t="s">
        <v>7895</v>
      </c>
      <c r="M76" s="78" t="s">
        <v>7896</v>
      </c>
      <c r="N76" s="81" t="s">
        <v>7897</v>
      </c>
      <c r="O76" s="82" t="s">
        <v>7898</v>
      </c>
      <c r="P76" s="83" t="s">
        <v>7899</v>
      </c>
      <c r="Q76" s="84" t="s">
        <v>7900</v>
      </c>
      <c r="R76" s="85" t="s">
        <v>7901</v>
      </c>
      <c r="S76" s="78" t="s">
        <v>7902</v>
      </c>
      <c r="T76" s="78" t="s">
        <v>7895</v>
      </c>
      <c r="U76" s="78" t="s">
        <v>7903</v>
      </c>
      <c r="V76" s="78" t="s">
        <v>7904</v>
      </c>
      <c r="W76" s="78" t="s">
        <v>7905</v>
      </c>
      <c r="X76" s="78" t="s">
        <v>7906</v>
      </c>
      <c r="Y76" s="86" t="s">
        <v>7907</v>
      </c>
      <c r="Z76" s="78" t="s">
        <v>7908</v>
      </c>
      <c r="AA76" s="78" t="s">
        <v>7909</v>
      </c>
      <c r="AB76" s="81" t="s">
        <v>7910</v>
      </c>
      <c r="AC76" s="78" t="s">
        <v>7911</v>
      </c>
      <c r="AD76" s="19"/>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1"/>
      <c r="BK76" s="21"/>
      <c r="BL76" s="21"/>
      <c r="BM76" s="21"/>
    </row>
    <row r="77">
      <c r="A77" s="78" t="s">
        <v>7912</v>
      </c>
      <c r="B77" s="78" t="s">
        <v>7913</v>
      </c>
      <c r="C77" s="79" t="s">
        <v>7914</v>
      </c>
      <c r="D77" s="78" t="s">
        <v>7915</v>
      </c>
      <c r="E77" s="78" t="s">
        <v>7916</v>
      </c>
      <c r="F77" s="78" t="s">
        <v>7917</v>
      </c>
      <c r="G77" s="78" t="s">
        <v>7918</v>
      </c>
      <c r="H77" s="78" t="s">
        <v>7919</v>
      </c>
      <c r="I77" s="78" t="s">
        <v>7920</v>
      </c>
      <c r="J77" s="78" t="s">
        <v>7921</v>
      </c>
      <c r="K77" s="80" t="s">
        <v>7922</v>
      </c>
      <c r="L77" s="78" t="s">
        <v>7923</v>
      </c>
      <c r="M77" s="78" t="s">
        <v>7924</v>
      </c>
      <c r="N77" s="81" t="s">
        <v>7925</v>
      </c>
      <c r="O77" s="82" t="s">
        <v>7926</v>
      </c>
      <c r="P77" s="83" t="s">
        <v>7927</v>
      </c>
      <c r="Q77" s="84" t="s">
        <v>7928</v>
      </c>
      <c r="R77" s="85" t="s">
        <v>7929</v>
      </c>
      <c r="S77" s="78" t="s">
        <v>7930</v>
      </c>
      <c r="T77" s="78" t="s">
        <v>7931</v>
      </c>
      <c r="U77" s="78" t="s">
        <v>7932</v>
      </c>
      <c r="V77" s="78" t="s">
        <v>7933</v>
      </c>
      <c r="W77" s="78" t="s">
        <v>7934</v>
      </c>
      <c r="X77" s="78" t="s">
        <v>7935</v>
      </c>
      <c r="Y77" s="86" t="s">
        <v>7936</v>
      </c>
      <c r="Z77" s="78" t="s">
        <v>7937</v>
      </c>
      <c r="AA77" s="78" t="s">
        <v>7938</v>
      </c>
      <c r="AB77" s="81" t="s">
        <v>7939</v>
      </c>
      <c r="AC77" s="78" t="s">
        <v>7940</v>
      </c>
      <c r="AD77" s="19"/>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1"/>
      <c r="BK77" s="21"/>
      <c r="BL77" s="21"/>
      <c r="BM77" s="21"/>
    </row>
    <row r="78">
      <c r="A78" s="78" t="s">
        <v>7941</v>
      </c>
      <c r="B78" s="78" t="s">
        <v>7942</v>
      </c>
      <c r="C78" s="79" t="s">
        <v>7943</v>
      </c>
      <c r="D78" s="78" t="s">
        <v>7944</v>
      </c>
      <c r="E78" s="78" t="s">
        <v>7945</v>
      </c>
      <c r="F78" s="78" t="s">
        <v>7946</v>
      </c>
      <c r="G78" s="78" t="s">
        <v>7947</v>
      </c>
      <c r="H78" s="78" t="s">
        <v>7948</v>
      </c>
      <c r="I78" s="78" t="s">
        <v>7949</v>
      </c>
      <c r="J78" s="78" t="s">
        <v>7950</v>
      </c>
      <c r="K78" s="80" t="s">
        <v>7951</v>
      </c>
      <c r="L78" s="78" t="s">
        <v>7952</v>
      </c>
      <c r="M78" s="78" t="s">
        <v>7953</v>
      </c>
      <c r="N78" s="81" t="s">
        <v>7954</v>
      </c>
      <c r="O78" s="82" t="s">
        <v>7955</v>
      </c>
      <c r="P78" s="83" t="s">
        <v>7956</v>
      </c>
      <c r="Q78" s="84" t="s">
        <v>7957</v>
      </c>
      <c r="R78" s="78" t="s">
        <v>7941</v>
      </c>
      <c r="S78" s="78" t="s">
        <v>7958</v>
      </c>
      <c r="T78" s="78" t="s">
        <v>7952</v>
      </c>
      <c r="U78" s="78" t="s">
        <v>7959</v>
      </c>
      <c r="V78" s="78" t="s">
        <v>7960</v>
      </c>
      <c r="W78" s="78" t="s">
        <v>7961</v>
      </c>
      <c r="X78" s="78" t="s">
        <v>7962</v>
      </c>
      <c r="Y78" s="86" t="s">
        <v>7963</v>
      </c>
      <c r="Z78" s="78" t="s">
        <v>7964</v>
      </c>
      <c r="AA78" s="78" t="s">
        <v>7965</v>
      </c>
      <c r="AB78" s="81" t="s">
        <v>7966</v>
      </c>
      <c r="AC78" s="78" t="s">
        <v>7967</v>
      </c>
      <c r="AD78" s="19"/>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1"/>
      <c r="BK78" s="21"/>
      <c r="BL78" s="21"/>
      <c r="BM78" s="21"/>
    </row>
    <row r="79">
      <c r="A79" s="78" t="s">
        <v>7968</v>
      </c>
      <c r="B79" s="78" t="s">
        <v>7969</v>
      </c>
      <c r="C79" s="79" t="s">
        <v>7970</v>
      </c>
      <c r="D79" s="78" t="s">
        <v>7971</v>
      </c>
      <c r="E79" s="78" t="s">
        <v>7972</v>
      </c>
      <c r="F79" s="78" t="s">
        <v>7973</v>
      </c>
      <c r="G79" s="78" t="s">
        <v>7974</v>
      </c>
      <c r="H79" s="78" t="s">
        <v>7975</v>
      </c>
      <c r="I79" s="78" t="s">
        <v>7976</v>
      </c>
      <c r="J79" s="78" t="s">
        <v>7977</v>
      </c>
      <c r="K79" s="80" t="s">
        <v>7978</v>
      </c>
      <c r="L79" s="78" t="s">
        <v>7979</v>
      </c>
      <c r="M79" s="78" t="s">
        <v>7980</v>
      </c>
      <c r="N79" s="81" t="s">
        <v>7981</v>
      </c>
      <c r="O79" s="82" t="s">
        <v>7982</v>
      </c>
      <c r="P79" s="83" t="s">
        <v>7983</v>
      </c>
      <c r="Q79" s="84" t="s">
        <v>7984</v>
      </c>
      <c r="R79" s="85" t="s">
        <v>7985</v>
      </c>
      <c r="S79" s="78" t="s">
        <v>7986</v>
      </c>
      <c r="T79" s="78" t="s">
        <v>7979</v>
      </c>
      <c r="U79" s="78" t="s">
        <v>7987</v>
      </c>
      <c r="V79" s="78" t="s">
        <v>7988</v>
      </c>
      <c r="W79" s="78" t="s">
        <v>7989</v>
      </c>
      <c r="X79" s="78" t="s">
        <v>7990</v>
      </c>
      <c r="Y79" s="86" t="s">
        <v>7991</v>
      </c>
      <c r="Z79" s="78" t="s">
        <v>7992</v>
      </c>
      <c r="AA79" s="78" t="s">
        <v>7993</v>
      </c>
      <c r="AB79" s="81" t="s">
        <v>7994</v>
      </c>
      <c r="AC79" s="78" t="s">
        <v>7995</v>
      </c>
      <c r="AD79" s="19"/>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1"/>
      <c r="BK79" s="21"/>
      <c r="BL79" s="21"/>
      <c r="BM79" s="21"/>
    </row>
    <row r="80">
      <c r="A80" s="78" t="s">
        <v>7996</v>
      </c>
      <c r="B80" s="78" t="s">
        <v>7997</v>
      </c>
      <c r="C80" s="79" t="s">
        <v>7998</v>
      </c>
      <c r="D80" s="78" t="s">
        <v>7999</v>
      </c>
      <c r="E80" s="78" t="s">
        <v>8000</v>
      </c>
      <c r="F80" s="78" t="s">
        <v>8001</v>
      </c>
      <c r="G80" s="78" t="s">
        <v>8002</v>
      </c>
      <c r="H80" s="78" t="s">
        <v>8003</v>
      </c>
      <c r="I80" s="78" t="s">
        <v>8004</v>
      </c>
      <c r="J80" s="78" t="s">
        <v>8005</v>
      </c>
      <c r="K80" s="80" t="s">
        <v>8006</v>
      </c>
      <c r="L80" s="78" t="s">
        <v>8007</v>
      </c>
      <c r="M80" s="78" t="s">
        <v>8008</v>
      </c>
      <c r="N80" s="81" t="s">
        <v>8009</v>
      </c>
      <c r="O80" s="82" t="s">
        <v>8010</v>
      </c>
      <c r="P80" s="83" t="s">
        <v>8011</v>
      </c>
      <c r="Q80" s="84" t="s">
        <v>8012</v>
      </c>
      <c r="R80" s="85" t="s">
        <v>8013</v>
      </c>
      <c r="S80" s="78" t="s">
        <v>8014</v>
      </c>
      <c r="T80" s="78" t="s">
        <v>7997</v>
      </c>
      <c r="U80" s="78" t="s">
        <v>8015</v>
      </c>
      <c r="V80" s="78" t="s">
        <v>7997</v>
      </c>
      <c r="W80" s="78" t="s">
        <v>8016</v>
      </c>
      <c r="X80" s="78" t="s">
        <v>8017</v>
      </c>
      <c r="Y80" s="86" t="s">
        <v>8018</v>
      </c>
      <c r="Z80" s="78" t="s">
        <v>8019</v>
      </c>
      <c r="AA80" s="78" t="s">
        <v>8020</v>
      </c>
      <c r="AB80" s="81" t="s">
        <v>8021</v>
      </c>
      <c r="AC80" s="78" t="s">
        <v>8022</v>
      </c>
      <c r="AD80" s="19"/>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1"/>
      <c r="BK80" s="21"/>
      <c r="BL80" s="21"/>
      <c r="BM80" s="21"/>
    </row>
    <row r="81">
      <c r="A81" s="78" t="s">
        <v>8023</v>
      </c>
      <c r="B81" s="78" t="s">
        <v>8024</v>
      </c>
      <c r="C81" s="79" t="s">
        <v>8025</v>
      </c>
      <c r="D81" s="78" t="s">
        <v>8026</v>
      </c>
      <c r="E81" s="78" t="s">
        <v>8027</v>
      </c>
      <c r="F81" s="78" t="s">
        <v>8028</v>
      </c>
      <c r="G81" s="78" t="s">
        <v>8029</v>
      </c>
      <c r="H81" s="78" t="s">
        <v>8030</v>
      </c>
      <c r="I81" s="78" t="s">
        <v>8031</v>
      </c>
      <c r="J81" s="78" t="s">
        <v>8032</v>
      </c>
      <c r="K81" s="80" t="s">
        <v>8033</v>
      </c>
      <c r="L81" s="78" t="s">
        <v>8034</v>
      </c>
      <c r="M81" s="78" t="s">
        <v>8035</v>
      </c>
      <c r="N81" s="81" t="s">
        <v>8036</v>
      </c>
      <c r="O81" s="82" t="s">
        <v>8037</v>
      </c>
      <c r="P81" s="83" t="s">
        <v>8038</v>
      </c>
      <c r="Q81" s="84" t="s">
        <v>8039</v>
      </c>
      <c r="R81" s="85" t="s">
        <v>8040</v>
      </c>
      <c r="S81" s="78" t="s">
        <v>8041</v>
      </c>
      <c r="T81" s="78" t="s">
        <v>8034</v>
      </c>
      <c r="U81" s="78" t="s">
        <v>8024</v>
      </c>
      <c r="V81" s="78" t="s">
        <v>8042</v>
      </c>
      <c r="W81" s="78" t="s">
        <v>8043</v>
      </c>
      <c r="X81" s="78" t="s">
        <v>8044</v>
      </c>
      <c r="Y81" s="86" t="s">
        <v>8045</v>
      </c>
      <c r="Z81" s="78" t="s">
        <v>8046</v>
      </c>
      <c r="AA81" s="78" t="s">
        <v>8047</v>
      </c>
      <c r="AB81" s="81" t="s">
        <v>8048</v>
      </c>
      <c r="AC81" s="78" t="s">
        <v>8049</v>
      </c>
      <c r="AD81" s="19"/>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1"/>
      <c r="BK81" s="21"/>
      <c r="BL81" s="21"/>
      <c r="BM81" s="21"/>
    </row>
    <row r="82">
      <c r="A82" s="87" t="s">
        <v>8194</v>
      </c>
      <c r="B82" s="87" t="s">
        <v>9110</v>
      </c>
      <c r="C82" s="88" t="s">
        <v>6050</v>
      </c>
      <c r="D82" s="87" t="s">
        <v>9111</v>
      </c>
      <c r="E82" s="87" t="s">
        <v>9110</v>
      </c>
      <c r="F82" s="87" t="s">
        <v>9112</v>
      </c>
      <c r="G82" s="87" t="s">
        <v>9113</v>
      </c>
      <c r="H82" s="87" t="s">
        <v>10379</v>
      </c>
      <c r="I82" s="87" t="s">
        <v>9110</v>
      </c>
      <c r="J82" s="87" t="s">
        <v>9116</v>
      </c>
      <c r="K82" s="89" t="s">
        <v>9117</v>
      </c>
      <c r="L82" s="87" t="s">
        <v>9118</v>
      </c>
      <c r="M82" s="87" t="s">
        <v>9119</v>
      </c>
      <c r="N82" s="90" t="s">
        <v>9120</v>
      </c>
      <c r="O82" s="91" t="s">
        <v>10380</v>
      </c>
      <c r="P82" s="92" t="s">
        <v>9122</v>
      </c>
      <c r="Q82" s="93" t="s">
        <v>9123</v>
      </c>
      <c r="R82" s="94" t="s">
        <v>9124</v>
      </c>
      <c r="S82" s="87" t="s">
        <v>10381</v>
      </c>
      <c r="T82" s="87" t="s">
        <v>9126</v>
      </c>
      <c r="U82" s="87" t="s">
        <v>9127</v>
      </c>
      <c r="V82" s="87" t="s">
        <v>9128</v>
      </c>
      <c r="W82" s="87" t="s">
        <v>9129</v>
      </c>
      <c r="X82" s="87" t="s">
        <v>9130</v>
      </c>
      <c r="Y82" s="95" t="s">
        <v>9131</v>
      </c>
      <c r="Z82" s="87" t="s">
        <v>9132</v>
      </c>
      <c r="AA82" s="87" t="s">
        <v>10382</v>
      </c>
      <c r="AB82" s="90" t="s">
        <v>9134</v>
      </c>
      <c r="AC82" s="87" t="s">
        <v>11704</v>
      </c>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row>
    <row r="83">
      <c r="A83" s="78" t="s">
        <v>8222</v>
      </c>
      <c r="B83" s="78" t="s">
        <v>8223</v>
      </c>
      <c r="C83" s="79" t="s">
        <v>8224</v>
      </c>
      <c r="D83" s="78" t="s">
        <v>8225</v>
      </c>
      <c r="E83" s="78" t="s">
        <v>8226</v>
      </c>
      <c r="F83" s="78" t="s">
        <v>8227</v>
      </c>
      <c r="G83" s="78" t="s">
        <v>8228</v>
      </c>
      <c r="H83" s="78" t="s">
        <v>8229</v>
      </c>
      <c r="I83" s="78" t="s">
        <v>8230</v>
      </c>
      <c r="J83" s="78" t="s">
        <v>8231</v>
      </c>
      <c r="K83" s="80" t="s">
        <v>8232</v>
      </c>
      <c r="L83" s="78" t="s">
        <v>8233</v>
      </c>
      <c r="M83" s="78" t="s">
        <v>8234</v>
      </c>
      <c r="N83" s="78" t="s">
        <v>8235</v>
      </c>
      <c r="O83" s="82" t="s">
        <v>8236</v>
      </c>
      <c r="P83" s="83" t="s">
        <v>8237</v>
      </c>
      <c r="Q83" s="84" t="s">
        <v>8238</v>
      </c>
      <c r="R83" s="85" t="s">
        <v>8239</v>
      </c>
      <c r="S83" s="78" t="s">
        <v>8240</v>
      </c>
      <c r="T83" s="78" t="s">
        <v>8233</v>
      </c>
      <c r="U83" s="78" t="s">
        <v>8241</v>
      </c>
      <c r="V83" s="78" t="s">
        <v>8242</v>
      </c>
      <c r="W83" s="78" t="s">
        <v>8243</v>
      </c>
      <c r="X83" s="78" t="s">
        <v>8244</v>
      </c>
      <c r="Y83" s="86" t="s">
        <v>8245</v>
      </c>
      <c r="Z83" s="78" t="s">
        <v>8246</v>
      </c>
      <c r="AA83" s="78" t="s">
        <v>8247</v>
      </c>
      <c r="AB83" s="81" t="s">
        <v>8248</v>
      </c>
      <c r="AC83" s="78" t="s">
        <v>8249</v>
      </c>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row>
    <row r="84">
      <c r="A84" s="78" t="s">
        <v>8250</v>
      </c>
      <c r="B84" s="78" t="s">
        <v>8251</v>
      </c>
      <c r="C84" s="79" t="s">
        <v>8252</v>
      </c>
      <c r="D84" s="78" t="s">
        <v>8253</v>
      </c>
      <c r="E84" s="78" t="s">
        <v>8254</v>
      </c>
      <c r="F84" s="78" t="s">
        <v>8255</v>
      </c>
      <c r="G84" s="78" t="s">
        <v>8256</v>
      </c>
      <c r="H84" s="78" t="s">
        <v>8257</v>
      </c>
      <c r="I84" s="78" t="s">
        <v>8258</v>
      </c>
      <c r="J84" s="78" t="s">
        <v>8259</v>
      </c>
      <c r="K84" s="80" t="s">
        <v>8260</v>
      </c>
      <c r="L84" s="78" t="s">
        <v>8261</v>
      </c>
      <c r="M84" s="78" t="s">
        <v>8262</v>
      </c>
      <c r="N84" s="81" t="s">
        <v>8263</v>
      </c>
      <c r="O84" s="82" t="s">
        <v>8264</v>
      </c>
      <c r="P84" s="83" t="s">
        <v>8265</v>
      </c>
      <c r="Q84" s="84" t="s">
        <v>8266</v>
      </c>
      <c r="R84" s="85" t="s">
        <v>8267</v>
      </c>
      <c r="S84" s="78" t="s">
        <v>8268</v>
      </c>
      <c r="T84" s="78" t="s">
        <v>8269</v>
      </c>
      <c r="U84" s="78" t="s">
        <v>8270</v>
      </c>
      <c r="V84" s="78" t="s">
        <v>8271</v>
      </c>
      <c r="W84" s="78" t="s">
        <v>8272</v>
      </c>
      <c r="X84" s="78" t="s">
        <v>8273</v>
      </c>
      <c r="Y84" s="86" t="s">
        <v>8274</v>
      </c>
      <c r="Z84" s="78" t="s">
        <v>8275</v>
      </c>
      <c r="AA84" s="78" t="s">
        <v>8276</v>
      </c>
      <c r="AB84" s="81" t="s">
        <v>8277</v>
      </c>
      <c r="AC84" s="78" t="s">
        <v>8278</v>
      </c>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row>
    <row r="85">
      <c r="A85" s="78" t="s">
        <v>2473</v>
      </c>
      <c r="B85" s="78" t="s">
        <v>2474</v>
      </c>
      <c r="C85" s="79" t="s">
        <v>2475</v>
      </c>
      <c r="D85" s="78" t="s">
        <v>2476</v>
      </c>
      <c r="E85" s="78" t="s">
        <v>2477</v>
      </c>
      <c r="F85" s="78" t="s">
        <v>2478</v>
      </c>
      <c r="G85" s="78" t="s">
        <v>2479</v>
      </c>
      <c r="H85" s="78" t="s">
        <v>2480</v>
      </c>
      <c r="I85" s="78" t="s">
        <v>2481</v>
      </c>
      <c r="J85" s="78" t="s">
        <v>2482</v>
      </c>
      <c r="K85" s="80" t="s">
        <v>2483</v>
      </c>
      <c r="L85" s="78" t="s">
        <v>2484</v>
      </c>
      <c r="M85" s="78" t="s">
        <v>2485</v>
      </c>
      <c r="N85" s="81" t="s">
        <v>2486</v>
      </c>
      <c r="O85" s="82" t="s">
        <v>2487</v>
      </c>
      <c r="P85" s="83" t="s">
        <v>2488</v>
      </c>
      <c r="Q85" s="84" t="s">
        <v>2489</v>
      </c>
      <c r="R85" s="85" t="s">
        <v>2490</v>
      </c>
      <c r="S85" s="78" t="s">
        <v>2491</v>
      </c>
      <c r="T85" s="78" t="s">
        <v>2492</v>
      </c>
      <c r="U85" s="78" t="s">
        <v>2493</v>
      </c>
      <c r="V85" s="78" t="s">
        <v>2494</v>
      </c>
      <c r="W85" s="78" t="s">
        <v>2495</v>
      </c>
      <c r="X85" s="78" t="s">
        <v>2496</v>
      </c>
      <c r="Y85" s="86" t="s">
        <v>2497</v>
      </c>
      <c r="Z85" s="78" t="s">
        <v>2498</v>
      </c>
      <c r="AA85" s="78" t="s">
        <v>2499</v>
      </c>
      <c r="AB85" s="81" t="s">
        <v>2500</v>
      </c>
      <c r="AC85" s="78" t="s">
        <v>2501</v>
      </c>
      <c r="AD85" s="34"/>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row>
    <row r="86">
      <c r="A86" s="78" t="s">
        <v>1965</v>
      </c>
      <c r="B86" s="78" t="s">
        <v>1966</v>
      </c>
      <c r="C86" s="79" t="s">
        <v>1967</v>
      </c>
      <c r="D86" s="78" t="s">
        <v>1968</v>
      </c>
      <c r="E86" s="78" t="s">
        <v>1969</v>
      </c>
      <c r="F86" s="78" t="s">
        <v>1970</v>
      </c>
      <c r="G86" s="78" t="s">
        <v>1971</v>
      </c>
      <c r="H86" s="78" t="s">
        <v>1972</v>
      </c>
      <c r="I86" s="78" t="s">
        <v>1973</v>
      </c>
      <c r="J86" s="78" t="s">
        <v>1974</v>
      </c>
      <c r="K86" s="80" t="s">
        <v>1975</v>
      </c>
      <c r="L86" s="78" t="s">
        <v>1976</v>
      </c>
      <c r="M86" s="78" t="s">
        <v>1977</v>
      </c>
      <c r="N86" s="81" t="s">
        <v>1978</v>
      </c>
      <c r="O86" s="82" t="s">
        <v>1979</v>
      </c>
      <c r="P86" s="83" t="s">
        <v>1980</v>
      </c>
      <c r="Q86" s="84" t="s">
        <v>1981</v>
      </c>
      <c r="R86" s="85" t="s">
        <v>1982</v>
      </c>
      <c r="S86" s="78" t="s">
        <v>1983</v>
      </c>
      <c r="T86" s="78" t="s">
        <v>1984</v>
      </c>
      <c r="U86" s="78" t="s">
        <v>1985</v>
      </c>
      <c r="V86" s="78" t="s">
        <v>1986</v>
      </c>
      <c r="W86" s="78" t="s">
        <v>1987</v>
      </c>
      <c r="X86" s="78" t="s">
        <v>1988</v>
      </c>
      <c r="Y86" s="86" t="s">
        <v>1989</v>
      </c>
      <c r="Z86" s="78" t="s">
        <v>1990</v>
      </c>
      <c r="AA86" s="78" t="s">
        <v>1991</v>
      </c>
      <c r="AB86" s="81" t="s">
        <v>1992</v>
      </c>
      <c r="AC86" s="78" t="s">
        <v>1993</v>
      </c>
      <c r="AD86" s="19"/>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1"/>
      <c r="BK86" s="21"/>
      <c r="BL86" s="21"/>
      <c r="BM86" s="21"/>
    </row>
    <row r="87">
      <c r="A87" s="96" t="s">
        <v>11705</v>
      </c>
      <c r="B87" s="96" t="s">
        <v>11706</v>
      </c>
      <c r="C87" s="97" t="s">
        <v>11707</v>
      </c>
      <c r="D87" s="96" t="s">
        <v>11708</v>
      </c>
      <c r="E87" s="96" t="s">
        <v>11709</v>
      </c>
      <c r="F87" s="96" t="s">
        <v>11710</v>
      </c>
      <c r="G87" s="96" t="s">
        <v>11711</v>
      </c>
      <c r="H87" s="96" t="s">
        <v>11712</v>
      </c>
      <c r="I87" s="96" t="s">
        <v>11713</v>
      </c>
      <c r="J87" s="96" t="s">
        <v>11714</v>
      </c>
      <c r="K87" s="96" t="s">
        <v>11715</v>
      </c>
      <c r="L87" s="96" t="s">
        <v>11716</v>
      </c>
      <c r="M87" s="96" t="s">
        <v>11717</v>
      </c>
      <c r="N87" s="96" t="s">
        <v>11718</v>
      </c>
      <c r="O87" s="96" t="s">
        <v>11719</v>
      </c>
      <c r="P87" s="96" t="s">
        <v>11720</v>
      </c>
      <c r="Q87" s="96" t="s">
        <v>11721</v>
      </c>
      <c r="R87" s="96" t="s">
        <v>11722</v>
      </c>
      <c r="S87" s="96" t="s">
        <v>11723</v>
      </c>
      <c r="T87" s="96" t="s">
        <v>11716</v>
      </c>
      <c r="U87" s="96" t="s">
        <v>11724</v>
      </c>
      <c r="V87" s="96" t="s">
        <v>11725</v>
      </c>
      <c r="W87" s="96" t="s">
        <v>11726</v>
      </c>
      <c r="X87" s="96" t="s">
        <v>11727</v>
      </c>
      <c r="Y87" s="96" t="s">
        <v>11728</v>
      </c>
      <c r="Z87" s="96" t="s">
        <v>11729</v>
      </c>
      <c r="AA87" s="96" t="s">
        <v>11730</v>
      </c>
      <c r="AB87" s="96" t="s">
        <v>11731</v>
      </c>
      <c r="AC87" s="96" t="s">
        <v>11732</v>
      </c>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row>
    <row r="88">
      <c r="A88" s="96" t="s">
        <v>11733</v>
      </c>
      <c r="B88" s="96" t="s">
        <v>11734</v>
      </c>
      <c r="C88" s="97" t="s">
        <v>11735</v>
      </c>
      <c r="D88" s="96" t="s">
        <v>11736</v>
      </c>
      <c r="E88" s="96" t="s">
        <v>11737</v>
      </c>
      <c r="F88" s="96" t="s">
        <v>11738</v>
      </c>
      <c r="G88" s="96" t="s">
        <v>11739</v>
      </c>
      <c r="H88" s="96" t="s">
        <v>11740</v>
      </c>
      <c r="I88" s="96" t="s">
        <v>11741</v>
      </c>
      <c r="J88" s="96" t="s">
        <v>11742</v>
      </c>
      <c r="K88" s="96" t="s">
        <v>11743</v>
      </c>
      <c r="L88" s="96" t="s">
        <v>11744</v>
      </c>
      <c r="M88" s="96" t="s">
        <v>11745</v>
      </c>
      <c r="N88" s="96" t="s">
        <v>11746</v>
      </c>
      <c r="O88" s="96" t="s">
        <v>11747</v>
      </c>
      <c r="P88" s="96" t="s">
        <v>11748</v>
      </c>
      <c r="Q88" s="96" t="s">
        <v>11749</v>
      </c>
      <c r="R88" s="96" t="s">
        <v>11750</v>
      </c>
      <c r="S88" s="96" t="s">
        <v>11751</v>
      </c>
      <c r="T88" s="96" t="s">
        <v>11744</v>
      </c>
      <c r="U88" s="96" t="s">
        <v>11734</v>
      </c>
      <c r="V88" s="96" t="s">
        <v>11752</v>
      </c>
      <c r="W88" s="96" t="s">
        <v>11753</v>
      </c>
      <c r="X88" s="96" t="s">
        <v>11754</v>
      </c>
      <c r="Y88" s="96" t="s">
        <v>11755</v>
      </c>
      <c r="Z88" s="96" t="s">
        <v>11756</v>
      </c>
      <c r="AA88" s="96" t="s">
        <v>11754</v>
      </c>
      <c r="AB88" s="96" t="s">
        <v>11746</v>
      </c>
      <c r="AC88" s="96" t="s">
        <v>11757</v>
      </c>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row>
    <row r="89">
      <c r="A89" s="96" t="s">
        <v>11758</v>
      </c>
      <c r="B89" s="96" t="s">
        <v>11759</v>
      </c>
      <c r="C89" s="97" t="s">
        <v>11760</v>
      </c>
      <c r="D89" s="96" t="s">
        <v>11761</v>
      </c>
      <c r="E89" s="96" t="s">
        <v>11762</v>
      </c>
      <c r="F89" s="96" t="s">
        <v>11763</v>
      </c>
      <c r="G89" s="96" t="s">
        <v>11764</v>
      </c>
      <c r="H89" s="96" t="s">
        <v>11765</v>
      </c>
      <c r="I89" s="96" t="s">
        <v>11766</v>
      </c>
      <c r="J89" s="96" t="s">
        <v>11767</v>
      </c>
      <c r="K89" s="96" t="s">
        <v>11768</v>
      </c>
      <c r="L89" s="96" t="s">
        <v>11769</v>
      </c>
      <c r="M89" s="96" t="s">
        <v>11770</v>
      </c>
      <c r="N89" s="96" t="s">
        <v>11771</v>
      </c>
      <c r="O89" s="96" t="s">
        <v>11772</v>
      </c>
      <c r="P89" s="96" t="s">
        <v>11773</v>
      </c>
      <c r="Q89" s="96" t="s">
        <v>11774</v>
      </c>
      <c r="R89" s="96" t="s">
        <v>11775</v>
      </c>
      <c r="S89" s="96" t="s">
        <v>11776</v>
      </c>
      <c r="T89" s="96" t="s">
        <v>11777</v>
      </c>
      <c r="U89" s="96" t="s">
        <v>11778</v>
      </c>
      <c r="V89" s="96" t="s">
        <v>11779</v>
      </c>
      <c r="W89" s="96" t="s">
        <v>11780</v>
      </c>
      <c r="X89" s="96" t="s">
        <v>11781</v>
      </c>
      <c r="Y89" s="96" t="s">
        <v>11782</v>
      </c>
      <c r="Z89" s="96" t="s">
        <v>11783</v>
      </c>
      <c r="AA89" s="96" t="s">
        <v>11784</v>
      </c>
      <c r="AB89" s="96" t="s">
        <v>11785</v>
      </c>
      <c r="AC89" s="96" t="s">
        <v>11786</v>
      </c>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row>
    <row r="90">
      <c r="A90" s="96" t="s">
        <v>11787</v>
      </c>
      <c r="B90" s="96" t="s">
        <v>11788</v>
      </c>
      <c r="C90" s="97" t="s">
        <v>11789</v>
      </c>
      <c r="D90" s="96" t="s">
        <v>11790</v>
      </c>
      <c r="E90" s="96" t="s">
        <v>11791</v>
      </c>
      <c r="F90" s="96" t="s">
        <v>11792</v>
      </c>
      <c r="G90" s="96" t="s">
        <v>11793</v>
      </c>
      <c r="H90" s="96" t="s">
        <v>11794</v>
      </c>
      <c r="I90" s="96" t="s">
        <v>11795</v>
      </c>
      <c r="J90" s="96" t="s">
        <v>11796</v>
      </c>
      <c r="K90" s="96" t="s">
        <v>11797</v>
      </c>
      <c r="L90" s="96" t="s">
        <v>11798</v>
      </c>
      <c r="M90" s="96" t="s">
        <v>11799</v>
      </c>
      <c r="N90" s="96" t="s">
        <v>11800</v>
      </c>
      <c r="O90" s="96" t="s">
        <v>11801</v>
      </c>
      <c r="P90" s="96" t="s">
        <v>11802</v>
      </c>
      <c r="Q90" s="96" t="s">
        <v>11803</v>
      </c>
      <c r="R90" s="96" t="s">
        <v>11804</v>
      </c>
      <c r="S90" s="96" t="s">
        <v>11805</v>
      </c>
      <c r="T90" s="96" t="s">
        <v>11806</v>
      </c>
      <c r="U90" s="96" t="s">
        <v>11807</v>
      </c>
      <c r="V90" s="96" t="s">
        <v>11808</v>
      </c>
      <c r="W90" s="96" t="s">
        <v>11809</v>
      </c>
      <c r="X90" s="96" t="s">
        <v>11810</v>
      </c>
      <c r="Y90" s="96" t="s">
        <v>11811</v>
      </c>
      <c r="Z90" s="96" t="s">
        <v>11812</v>
      </c>
      <c r="AA90" s="96" t="s">
        <v>7591</v>
      </c>
      <c r="AB90" s="96" t="s">
        <v>11813</v>
      </c>
      <c r="AC90" s="96" t="s">
        <v>11814</v>
      </c>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row>
    <row r="91">
      <c r="A91" s="96" t="s">
        <v>11815</v>
      </c>
      <c r="B91" s="96" t="s">
        <v>11816</v>
      </c>
      <c r="C91" s="97" t="s">
        <v>11817</v>
      </c>
      <c r="D91" s="96" t="s">
        <v>11818</v>
      </c>
      <c r="E91" s="96" t="s">
        <v>11819</v>
      </c>
      <c r="F91" s="96" t="s">
        <v>11820</v>
      </c>
      <c r="G91" s="96" t="s">
        <v>11821</v>
      </c>
      <c r="H91" s="96" t="s">
        <v>11822</v>
      </c>
      <c r="I91" s="96" t="s">
        <v>11823</v>
      </c>
      <c r="J91" s="96" t="s">
        <v>11824</v>
      </c>
      <c r="K91" s="96" t="s">
        <v>11825</v>
      </c>
      <c r="L91" s="96" t="s">
        <v>11826</v>
      </c>
      <c r="M91" s="96" t="s">
        <v>11827</v>
      </c>
      <c r="N91" s="96" t="s">
        <v>11828</v>
      </c>
      <c r="O91" s="96" t="s">
        <v>11829</v>
      </c>
      <c r="P91" s="96" t="s">
        <v>11830</v>
      </c>
      <c r="Q91" s="96" t="s">
        <v>11831</v>
      </c>
      <c r="R91" s="96" t="s">
        <v>11832</v>
      </c>
      <c r="S91" s="96" t="s">
        <v>11833</v>
      </c>
      <c r="T91" s="96" t="s">
        <v>11816</v>
      </c>
      <c r="U91" s="96" t="s">
        <v>11834</v>
      </c>
      <c r="V91" s="96" t="s">
        <v>11835</v>
      </c>
      <c r="W91" s="96" t="s">
        <v>11821</v>
      </c>
      <c r="X91" s="96" t="s">
        <v>11836</v>
      </c>
      <c r="Y91" s="96" t="s">
        <v>11837</v>
      </c>
      <c r="Z91" s="96" t="s">
        <v>11838</v>
      </c>
      <c r="AA91" s="96" t="s">
        <v>11839</v>
      </c>
      <c r="AB91" s="96" t="s">
        <v>11840</v>
      </c>
      <c r="AC91" s="96" t="s">
        <v>11841</v>
      </c>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row>
    <row r="92">
      <c r="A92" s="96" t="s">
        <v>11842</v>
      </c>
      <c r="B92" s="96" t="s">
        <v>11843</v>
      </c>
      <c r="C92" s="97" t="s">
        <v>11844</v>
      </c>
      <c r="D92" s="96" t="s">
        <v>11845</v>
      </c>
      <c r="E92" s="96" t="s">
        <v>11846</v>
      </c>
      <c r="F92" s="96" t="s">
        <v>11847</v>
      </c>
      <c r="G92" s="96" t="s">
        <v>11848</v>
      </c>
      <c r="H92" s="96" t="s">
        <v>11849</v>
      </c>
      <c r="I92" s="96" t="s">
        <v>11850</v>
      </c>
      <c r="J92" s="96" t="s">
        <v>11851</v>
      </c>
      <c r="K92" s="96" t="s">
        <v>11852</v>
      </c>
      <c r="L92" s="96" t="s">
        <v>11853</v>
      </c>
      <c r="M92" s="96" t="s">
        <v>11854</v>
      </c>
      <c r="N92" s="96" t="s">
        <v>11855</v>
      </c>
      <c r="O92" s="96" t="s">
        <v>11856</v>
      </c>
      <c r="P92" s="96" t="s">
        <v>11857</v>
      </c>
      <c r="Q92" s="96" t="s">
        <v>11858</v>
      </c>
      <c r="R92" s="96" t="s">
        <v>11859</v>
      </c>
      <c r="S92" s="96" t="s">
        <v>11860</v>
      </c>
      <c r="T92" s="96" t="s">
        <v>11843</v>
      </c>
      <c r="U92" s="96" t="s">
        <v>11861</v>
      </c>
      <c r="V92" s="96" t="s">
        <v>11845</v>
      </c>
      <c r="W92" s="96" t="s">
        <v>11862</v>
      </c>
      <c r="X92" s="96" t="s">
        <v>11863</v>
      </c>
      <c r="Y92" s="96" t="s">
        <v>11864</v>
      </c>
      <c r="Z92" s="96" t="s">
        <v>11865</v>
      </c>
      <c r="AA92" s="96" t="s">
        <v>11866</v>
      </c>
      <c r="AB92" s="96" t="s">
        <v>11867</v>
      </c>
      <c r="AC92" s="96" t="s">
        <v>11868</v>
      </c>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row>
    <row r="93">
      <c r="A93" s="96" t="s">
        <v>11869</v>
      </c>
      <c r="B93" s="96" t="s">
        <v>11870</v>
      </c>
      <c r="C93" s="97" t="s">
        <v>11871</v>
      </c>
      <c r="D93" s="96" t="s">
        <v>11872</v>
      </c>
      <c r="E93" s="96" t="s">
        <v>11873</v>
      </c>
      <c r="F93" s="96" t="s">
        <v>11874</v>
      </c>
      <c r="G93" s="96" t="s">
        <v>11875</v>
      </c>
      <c r="H93" s="96" t="s">
        <v>11876</v>
      </c>
      <c r="I93" s="96" t="s">
        <v>11877</v>
      </c>
      <c r="J93" s="96" t="s">
        <v>11878</v>
      </c>
      <c r="K93" s="96" t="s">
        <v>11879</v>
      </c>
      <c r="L93" s="96" t="s">
        <v>11880</v>
      </c>
      <c r="M93" s="96" t="s">
        <v>11881</v>
      </c>
      <c r="N93" s="96" t="s">
        <v>11882</v>
      </c>
      <c r="O93" s="96" t="s">
        <v>11883</v>
      </c>
      <c r="P93" s="96" t="s">
        <v>11884</v>
      </c>
      <c r="Q93" s="96" t="s">
        <v>11885</v>
      </c>
      <c r="R93" s="96" t="s">
        <v>11886</v>
      </c>
      <c r="S93" s="96" t="s">
        <v>11887</v>
      </c>
      <c r="T93" s="96" t="s">
        <v>11888</v>
      </c>
      <c r="U93" s="96" t="s">
        <v>11889</v>
      </c>
      <c r="V93" s="96" t="s">
        <v>11890</v>
      </c>
      <c r="W93" s="96" t="s">
        <v>11891</v>
      </c>
      <c r="X93" s="96" t="s">
        <v>11892</v>
      </c>
      <c r="Y93" s="96" t="s">
        <v>11893</v>
      </c>
      <c r="Z93" s="96" t="s">
        <v>11894</v>
      </c>
      <c r="AA93" s="96" t="s">
        <v>11895</v>
      </c>
      <c r="AB93" s="96" t="s">
        <v>11896</v>
      </c>
      <c r="AC93" s="96" t="s">
        <v>11897</v>
      </c>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row>
    <row r="94">
      <c r="A94" s="96" t="s">
        <v>11898</v>
      </c>
      <c r="B94" s="96" t="s">
        <v>11899</v>
      </c>
      <c r="C94" s="97" t="s">
        <v>11900</v>
      </c>
      <c r="D94" s="96" t="s">
        <v>11901</v>
      </c>
      <c r="E94" s="96" t="s">
        <v>11902</v>
      </c>
      <c r="F94" s="96" t="s">
        <v>11903</v>
      </c>
      <c r="G94" s="96" t="s">
        <v>11904</v>
      </c>
      <c r="H94" s="96" t="s">
        <v>11905</v>
      </c>
      <c r="I94" s="96" t="s">
        <v>11906</v>
      </c>
      <c r="J94" s="96" t="s">
        <v>11907</v>
      </c>
      <c r="K94" s="96" t="s">
        <v>11908</v>
      </c>
      <c r="L94" s="96" t="s">
        <v>11909</v>
      </c>
      <c r="M94" s="96" t="s">
        <v>11910</v>
      </c>
      <c r="N94" s="96" t="s">
        <v>11911</v>
      </c>
      <c r="O94" s="96" t="s">
        <v>11912</v>
      </c>
      <c r="P94" s="96" t="s">
        <v>11913</v>
      </c>
      <c r="Q94" s="96" t="s">
        <v>11914</v>
      </c>
      <c r="R94" s="96" t="s">
        <v>11915</v>
      </c>
      <c r="S94" s="96" t="s">
        <v>11916</v>
      </c>
      <c r="T94" s="96" t="s">
        <v>11909</v>
      </c>
      <c r="U94" s="96" t="s">
        <v>11917</v>
      </c>
      <c r="V94" s="96" t="s">
        <v>11918</v>
      </c>
      <c r="W94" s="96" t="s">
        <v>11919</v>
      </c>
      <c r="X94" s="96" t="s">
        <v>11920</v>
      </c>
      <c r="Y94" s="96" t="s">
        <v>11921</v>
      </c>
      <c r="Z94" s="96" t="s">
        <v>11922</v>
      </c>
      <c r="AA94" s="96" t="s">
        <v>11923</v>
      </c>
      <c r="AB94" s="96" t="s">
        <v>11924</v>
      </c>
      <c r="AC94" s="96" t="s">
        <v>11925</v>
      </c>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row>
    <row r="95">
      <c r="A95" s="96" t="s">
        <v>11926</v>
      </c>
      <c r="B95" s="96" t="s">
        <v>11927</v>
      </c>
      <c r="C95" s="97" t="s">
        <v>11928</v>
      </c>
      <c r="D95" s="96" t="s">
        <v>11929</v>
      </c>
      <c r="E95" s="96" t="s">
        <v>11930</v>
      </c>
      <c r="F95" s="96" t="s">
        <v>11931</v>
      </c>
      <c r="G95" s="96" t="s">
        <v>11932</v>
      </c>
      <c r="H95" s="96" t="s">
        <v>11933</v>
      </c>
      <c r="I95" s="96" t="s">
        <v>11934</v>
      </c>
      <c r="J95" s="96" t="s">
        <v>11935</v>
      </c>
      <c r="K95" s="96" t="s">
        <v>11936</v>
      </c>
      <c r="L95" s="96" t="s">
        <v>11937</v>
      </c>
      <c r="M95" s="96" t="s">
        <v>11938</v>
      </c>
      <c r="N95" s="96" t="s">
        <v>11939</v>
      </c>
      <c r="O95" s="96" t="s">
        <v>11940</v>
      </c>
      <c r="P95" s="96" t="s">
        <v>11941</v>
      </c>
      <c r="Q95" s="96" t="s">
        <v>11942</v>
      </c>
      <c r="R95" s="96" t="s">
        <v>11943</v>
      </c>
      <c r="S95" s="96" t="s">
        <v>11944</v>
      </c>
      <c r="T95" s="96" t="s">
        <v>11945</v>
      </c>
      <c r="U95" s="96" t="s">
        <v>11946</v>
      </c>
      <c r="V95" s="96" t="s">
        <v>11947</v>
      </c>
      <c r="W95" s="96" t="s">
        <v>11948</v>
      </c>
      <c r="X95" s="96" t="s">
        <v>11949</v>
      </c>
      <c r="Y95" s="96" t="s">
        <v>11950</v>
      </c>
      <c r="Z95" s="96" t="s">
        <v>11951</v>
      </c>
      <c r="AA95" s="96" t="s">
        <v>11952</v>
      </c>
      <c r="AB95" s="96" t="s">
        <v>11953</v>
      </c>
      <c r="AC95" s="96" t="s">
        <v>11954</v>
      </c>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row>
    <row r="96">
      <c r="A96" s="96" t="s">
        <v>11955</v>
      </c>
      <c r="B96" s="96" t="s">
        <v>11956</v>
      </c>
      <c r="C96" s="97" t="s">
        <v>11957</v>
      </c>
      <c r="D96" s="96" t="s">
        <v>11958</v>
      </c>
      <c r="E96" s="96" t="s">
        <v>11959</v>
      </c>
      <c r="F96" s="96" t="s">
        <v>11960</v>
      </c>
      <c r="G96" s="96" t="s">
        <v>11961</v>
      </c>
      <c r="H96" s="96" t="s">
        <v>11962</v>
      </c>
      <c r="I96" s="96" t="s">
        <v>11963</v>
      </c>
      <c r="J96" s="96" t="s">
        <v>11964</v>
      </c>
      <c r="K96" s="96" t="s">
        <v>11965</v>
      </c>
      <c r="L96" s="96" t="s">
        <v>11966</v>
      </c>
      <c r="M96" s="96" t="s">
        <v>11967</v>
      </c>
      <c r="N96" s="96" t="s">
        <v>11968</v>
      </c>
      <c r="O96" s="96" t="s">
        <v>11969</v>
      </c>
      <c r="P96" s="96" t="s">
        <v>11970</v>
      </c>
      <c r="Q96" s="96" t="s">
        <v>11971</v>
      </c>
      <c r="R96" s="96" t="s">
        <v>11972</v>
      </c>
      <c r="S96" s="96" t="s">
        <v>11973</v>
      </c>
      <c r="T96" s="96" t="s">
        <v>11974</v>
      </c>
      <c r="U96" s="96" t="s">
        <v>11975</v>
      </c>
      <c r="V96" s="96" t="s">
        <v>11976</v>
      </c>
      <c r="W96" s="96" t="s">
        <v>11977</v>
      </c>
      <c r="X96" s="96" t="s">
        <v>11978</v>
      </c>
      <c r="Y96" s="96" t="s">
        <v>11979</v>
      </c>
      <c r="Z96" s="96" t="s">
        <v>11980</v>
      </c>
      <c r="AA96" s="96" t="s">
        <v>11981</v>
      </c>
      <c r="AB96" s="96" t="s">
        <v>11982</v>
      </c>
      <c r="AC96" s="96" t="s">
        <v>11983</v>
      </c>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row>
    <row r="97">
      <c r="A97" s="96" t="s">
        <v>11984</v>
      </c>
      <c r="B97" s="96" t="s">
        <v>11985</v>
      </c>
      <c r="C97" s="97" t="s">
        <v>11986</v>
      </c>
      <c r="D97" s="96" t="s">
        <v>11987</v>
      </c>
      <c r="E97" s="96" t="s">
        <v>11988</v>
      </c>
      <c r="F97" s="96" t="s">
        <v>11989</v>
      </c>
      <c r="G97" s="96" t="s">
        <v>11990</v>
      </c>
      <c r="H97" s="96" t="s">
        <v>11991</v>
      </c>
      <c r="I97" s="96" t="s">
        <v>11992</v>
      </c>
      <c r="J97" s="96" t="s">
        <v>11993</v>
      </c>
      <c r="K97" s="96" t="s">
        <v>11994</v>
      </c>
      <c r="L97" s="96" t="s">
        <v>11995</v>
      </c>
      <c r="M97" s="96" t="s">
        <v>11996</v>
      </c>
      <c r="N97" s="96" t="s">
        <v>11997</v>
      </c>
      <c r="O97" s="96" t="s">
        <v>11998</v>
      </c>
      <c r="P97" s="96" t="s">
        <v>11999</v>
      </c>
      <c r="Q97" s="96" t="s">
        <v>12000</v>
      </c>
      <c r="R97" s="96" t="s">
        <v>12001</v>
      </c>
      <c r="S97" s="96" t="s">
        <v>12002</v>
      </c>
      <c r="T97" s="96" t="s">
        <v>12003</v>
      </c>
      <c r="U97" s="96" t="s">
        <v>12004</v>
      </c>
      <c r="V97" s="96" t="s">
        <v>12005</v>
      </c>
      <c r="W97" s="96" t="s">
        <v>12006</v>
      </c>
      <c r="X97" s="96" t="s">
        <v>12007</v>
      </c>
      <c r="Y97" s="96" t="s">
        <v>12008</v>
      </c>
      <c r="Z97" s="96" t="s">
        <v>12009</v>
      </c>
      <c r="AA97" s="96" t="s">
        <v>12010</v>
      </c>
      <c r="AB97" s="96" t="s">
        <v>12011</v>
      </c>
      <c r="AC97" s="96" t="s">
        <v>12012</v>
      </c>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row>
    <row r="98">
      <c r="A98" s="96" t="s">
        <v>12013</v>
      </c>
      <c r="B98" s="96" t="s">
        <v>12014</v>
      </c>
      <c r="C98" s="97" t="s">
        <v>12015</v>
      </c>
      <c r="D98" s="96" t="s">
        <v>12016</v>
      </c>
      <c r="E98" s="96" t="s">
        <v>12017</v>
      </c>
      <c r="F98" s="96" t="s">
        <v>12018</v>
      </c>
      <c r="G98" s="96" t="s">
        <v>12019</v>
      </c>
      <c r="H98" s="96" t="s">
        <v>12020</v>
      </c>
      <c r="I98" s="96" t="s">
        <v>12021</v>
      </c>
      <c r="J98" s="96" t="s">
        <v>12022</v>
      </c>
      <c r="K98" s="96" t="s">
        <v>12023</v>
      </c>
      <c r="L98" s="96" t="s">
        <v>12024</v>
      </c>
      <c r="M98" s="96" t="s">
        <v>12025</v>
      </c>
      <c r="N98" s="96" t="s">
        <v>12026</v>
      </c>
      <c r="O98" s="96" t="s">
        <v>12027</v>
      </c>
      <c r="P98" s="96" t="s">
        <v>12028</v>
      </c>
      <c r="Q98" s="96" t="s">
        <v>12029</v>
      </c>
      <c r="R98" s="96" t="s">
        <v>12030</v>
      </c>
      <c r="S98" s="96" t="s">
        <v>12031</v>
      </c>
      <c r="T98" s="96" t="s">
        <v>12032</v>
      </c>
      <c r="U98" s="96" t="s">
        <v>12033</v>
      </c>
      <c r="V98" s="96" t="s">
        <v>12034</v>
      </c>
      <c r="W98" s="96" t="s">
        <v>12035</v>
      </c>
      <c r="X98" s="96" t="s">
        <v>12036</v>
      </c>
      <c r="Y98" s="96" t="s">
        <v>12037</v>
      </c>
      <c r="Z98" s="96" t="s">
        <v>12038</v>
      </c>
      <c r="AA98" s="96" t="s">
        <v>12039</v>
      </c>
      <c r="AB98" s="96" t="s">
        <v>12040</v>
      </c>
      <c r="AC98" s="96" t="s">
        <v>12041</v>
      </c>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row>
    <row r="99">
      <c r="A99" s="96" t="s">
        <v>12042</v>
      </c>
      <c r="B99" s="96" t="s">
        <v>12043</v>
      </c>
      <c r="C99" s="97" t="s">
        <v>12044</v>
      </c>
      <c r="D99" s="96" t="s">
        <v>12045</v>
      </c>
      <c r="E99" s="96" t="s">
        <v>12046</v>
      </c>
      <c r="F99" s="96" t="s">
        <v>12047</v>
      </c>
      <c r="G99" s="96" t="s">
        <v>12048</v>
      </c>
      <c r="H99" s="96" t="s">
        <v>12049</v>
      </c>
      <c r="I99" s="96" t="s">
        <v>12050</v>
      </c>
      <c r="J99" s="96" t="s">
        <v>12051</v>
      </c>
      <c r="K99" s="96" t="s">
        <v>12052</v>
      </c>
      <c r="L99" s="96" t="s">
        <v>12053</v>
      </c>
      <c r="M99" s="96" t="s">
        <v>12054</v>
      </c>
      <c r="N99" s="96" t="s">
        <v>12055</v>
      </c>
      <c r="O99" s="96" t="s">
        <v>12056</v>
      </c>
      <c r="P99" s="96" t="s">
        <v>12057</v>
      </c>
      <c r="Q99" s="96" t="s">
        <v>12058</v>
      </c>
      <c r="R99" s="96" t="s">
        <v>12059</v>
      </c>
      <c r="S99" s="96" t="s">
        <v>12060</v>
      </c>
      <c r="T99" s="96" t="s">
        <v>12061</v>
      </c>
      <c r="U99" s="96" t="s">
        <v>12062</v>
      </c>
      <c r="V99" s="96" t="s">
        <v>12063</v>
      </c>
      <c r="W99" s="96" t="s">
        <v>12064</v>
      </c>
      <c r="X99" s="96" t="s">
        <v>12065</v>
      </c>
      <c r="Y99" s="96" t="s">
        <v>12066</v>
      </c>
      <c r="Z99" s="96" t="s">
        <v>12067</v>
      </c>
      <c r="AA99" s="96" t="s">
        <v>12068</v>
      </c>
      <c r="AB99" s="96" t="s">
        <v>12069</v>
      </c>
      <c r="AC99" s="96" t="s">
        <v>12070</v>
      </c>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row>
    <row r="100">
      <c r="A100" s="96" t="s">
        <v>12071</v>
      </c>
      <c r="B100" s="96" t="s">
        <v>12072</v>
      </c>
      <c r="C100" s="97" t="s">
        <v>12073</v>
      </c>
      <c r="D100" s="96" t="s">
        <v>12074</v>
      </c>
      <c r="E100" s="96" t="s">
        <v>12075</v>
      </c>
      <c r="F100" s="96" t="s">
        <v>12076</v>
      </c>
      <c r="G100" s="96" t="s">
        <v>12077</v>
      </c>
      <c r="H100" s="96" t="s">
        <v>12078</v>
      </c>
      <c r="I100" s="96" t="s">
        <v>12079</v>
      </c>
      <c r="J100" s="96" t="s">
        <v>12080</v>
      </c>
      <c r="K100" s="96" t="s">
        <v>12081</v>
      </c>
      <c r="L100" s="96" t="s">
        <v>12082</v>
      </c>
      <c r="M100" s="96" t="s">
        <v>12083</v>
      </c>
      <c r="N100" s="96" t="s">
        <v>12084</v>
      </c>
      <c r="O100" s="96" t="s">
        <v>12085</v>
      </c>
      <c r="P100" s="96" t="s">
        <v>12086</v>
      </c>
      <c r="Q100" s="96" t="s">
        <v>12087</v>
      </c>
      <c r="R100" s="96" t="s">
        <v>12088</v>
      </c>
      <c r="S100" s="96" t="s">
        <v>12089</v>
      </c>
      <c r="T100" s="96" t="s">
        <v>12090</v>
      </c>
      <c r="U100" s="96" t="s">
        <v>12091</v>
      </c>
      <c r="V100" s="96" t="s">
        <v>12092</v>
      </c>
      <c r="W100" s="96" t="s">
        <v>12093</v>
      </c>
      <c r="X100" s="96" t="s">
        <v>12094</v>
      </c>
      <c r="Y100" s="96" t="s">
        <v>12095</v>
      </c>
      <c r="Z100" s="96" t="s">
        <v>12096</v>
      </c>
      <c r="AA100" s="96" t="s">
        <v>12097</v>
      </c>
      <c r="AB100" s="96" t="s">
        <v>12098</v>
      </c>
      <c r="AC100" s="96" t="s">
        <v>12099</v>
      </c>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row>
    <row r="101">
      <c r="A101" s="96" t="s">
        <v>12100</v>
      </c>
      <c r="B101" s="96" t="s">
        <v>12101</v>
      </c>
      <c r="C101" s="97" t="s">
        <v>12102</v>
      </c>
      <c r="D101" s="96" t="s">
        <v>12103</v>
      </c>
      <c r="E101" s="96" t="s">
        <v>12104</v>
      </c>
      <c r="F101" s="96" t="s">
        <v>12105</v>
      </c>
      <c r="G101" s="96" t="s">
        <v>12106</v>
      </c>
      <c r="H101" s="96" t="s">
        <v>12107</v>
      </c>
      <c r="I101" s="96" t="s">
        <v>12108</v>
      </c>
      <c r="J101" s="96" t="s">
        <v>12109</v>
      </c>
      <c r="K101" s="96" t="s">
        <v>12110</v>
      </c>
      <c r="L101" s="96" t="s">
        <v>12111</v>
      </c>
      <c r="M101" s="96" t="s">
        <v>12112</v>
      </c>
      <c r="N101" s="96" t="s">
        <v>12113</v>
      </c>
      <c r="O101" s="96" t="s">
        <v>12114</v>
      </c>
      <c r="P101" s="96" t="s">
        <v>12115</v>
      </c>
      <c r="Q101" s="96" t="s">
        <v>12116</v>
      </c>
      <c r="R101" s="96" t="s">
        <v>12117</v>
      </c>
      <c r="S101" s="96" t="s">
        <v>12118</v>
      </c>
      <c r="T101" s="96" t="s">
        <v>12119</v>
      </c>
      <c r="U101" s="96" t="s">
        <v>12120</v>
      </c>
      <c r="V101" s="96" t="s">
        <v>12121</v>
      </c>
      <c r="W101" s="96" t="s">
        <v>12122</v>
      </c>
      <c r="X101" s="96" t="s">
        <v>12123</v>
      </c>
      <c r="Y101" s="96" t="s">
        <v>12124</v>
      </c>
      <c r="Z101" s="96" t="s">
        <v>12125</v>
      </c>
      <c r="AA101" s="96" t="s">
        <v>12126</v>
      </c>
      <c r="AB101" s="96" t="s">
        <v>12127</v>
      </c>
      <c r="AC101" s="96" t="s">
        <v>12128</v>
      </c>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row>
    <row r="102">
      <c r="A102" s="96" t="s">
        <v>12129</v>
      </c>
      <c r="B102" s="96" t="s">
        <v>12130</v>
      </c>
      <c r="C102" s="97" t="s">
        <v>12131</v>
      </c>
      <c r="D102" s="96" t="s">
        <v>12132</v>
      </c>
      <c r="E102" s="96" t="s">
        <v>12133</v>
      </c>
      <c r="F102" s="96" t="s">
        <v>12134</v>
      </c>
      <c r="G102" s="96" t="s">
        <v>12135</v>
      </c>
      <c r="H102" s="96" t="s">
        <v>11933</v>
      </c>
      <c r="I102" s="96" t="s">
        <v>11934</v>
      </c>
      <c r="J102" s="96" t="s">
        <v>12136</v>
      </c>
      <c r="K102" s="96" t="s">
        <v>12137</v>
      </c>
      <c r="L102" s="96" t="s">
        <v>12138</v>
      </c>
      <c r="M102" s="96" t="s">
        <v>12139</v>
      </c>
      <c r="N102" s="96" t="s">
        <v>12140</v>
      </c>
      <c r="O102" s="96" t="s">
        <v>12141</v>
      </c>
      <c r="P102" s="96" t="s">
        <v>12142</v>
      </c>
      <c r="Q102" s="96" t="s">
        <v>11942</v>
      </c>
      <c r="R102" s="96" t="s">
        <v>12143</v>
      </c>
      <c r="S102" s="96" t="s">
        <v>12144</v>
      </c>
      <c r="T102" s="96" t="s">
        <v>12145</v>
      </c>
      <c r="U102" s="96" t="s">
        <v>12146</v>
      </c>
      <c r="V102" s="96" t="s">
        <v>12147</v>
      </c>
      <c r="W102" s="96" t="s">
        <v>12148</v>
      </c>
      <c r="X102" s="96" t="s">
        <v>12149</v>
      </c>
      <c r="Y102" s="96" t="s">
        <v>12150</v>
      </c>
      <c r="Z102" s="96" t="s">
        <v>12151</v>
      </c>
      <c r="AA102" s="96" t="s">
        <v>12152</v>
      </c>
      <c r="AB102" s="96" t="s">
        <v>12153</v>
      </c>
      <c r="AC102" s="96" t="s">
        <v>12154</v>
      </c>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row>
    <row r="103">
      <c r="A103" s="96" t="s">
        <v>12155</v>
      </c>
      <c r="B103" s="96" t="s">
        <v>12156</v>
      </c>
      <c r="C103" s="97" t="s">
        <v>12157</v>
      </c>
      <c r="D103" s="96" t="s">
        <v>12158</v>
      </c>
      <c r="E103" s="96" t="s">
        <v>12159</v>
      </c>
      <c r="F103" s="96" t="s">
        <v>12160</v>
      </c>
      <c r="G103" s="96" t="s">
        <v>12161</v>
      </c>
      <c r="H103" s="96" t="s">
        <v>12162</v>
      </c>
      <c r="I103" s="96" t="s">
        <v>12163</v>
      </c>
      <c r="J103" s="96" t="s">
        <v>12164</v>
      </c>
      <c r="K103" s="96" t="s">
        <v>12165</v>
      </c>
      <c r="L103" s="96" t="s">
        <v>12166</v>
      </c>
      <c r="M103" s="96" t="s">
        <v>12167</v>
      </c>
      <c r="N103" s="96" t="s">
        <v>12168</v>
      </c>
      <c r="O103" s="96" t="s">
        <v>12169</v>
      </c>
      <c r="P103" s="96" t="s">
        <v>12170</v>
      </c>
      <c r="Q103" s="96" t="s">
        <v>12171</v>
      </c>
      <c r="R103" s="96" t="s">
        <v>12172</v>
      </c>
      <c r="S103" s="96" t="s">
        <v>12173</v>
      </c>
      <c r="T103" s="96" t="s">
        <v>12174</v>
      </c>
      <c r="U103" s="96" t="s">
        <v>12175</v>
      </c>
      <c r="V103" s="96" t="s">
        <v>12176</v>
      </c>
      <c r="W103" s="96" t="s">
        <v>12177</v>
      </c>
      <c r="X103" s="96" t="s">
        <v>12178</v>
      </c>
      <c r="Y103" s="96" t="s">
        <v>12179</v>
      </c>
      <c r="Z103" s="96" t="s">
        <v>12180</v>
      </c>
      <c r="AA103" s="96" t="s">
        <v>12181</v>
      </c>
      <c r="AB103" s="96" t="s">
        <v>12182</v>
      </c>
      <c r="AC103" s="96" t="s">
        <v>12183</v>
      </c>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row>
    <row r="104">
      <c r="A104" s="96" t="s">
        <v>9052</v>
      </c>
      <c r="B104" s="96" t="s">
        <v>9053</v>
      </c>
      <c r="C104" s="97" t="s">
        <v>9054</v>
      </c>
      <c r="D104" s="96" t="s">
        <v>9055</v>
      </c>
      <c r="E104" s="96" t="s">
        <v>9056</v>
      </c>
      <c r="F104" s="96" t="s">
        <v>9057</v>
      </c>
      <c r="G104" s="96" t="s">
        <v>9058</v>
      </c>
      <c r="H104" s="96" t="s">
        <v>12184</v>
      </c>
      <c r="I104" s="96" t="s">
        <v>9060</v>
      </c>
      <c r="J104" s="96" t="s">
        <v>9061</v>
      </c>
      <c r="K104" s="96" t="s">
        <v>9062</v>
      </c>
      <c r="L104" s="96" t="s">
        <v>9063</v>
      </c>
      <c r="M104" s="96" t="s">
        <v>9064</v>
      </c>
      <c r="N104" s="96" t="s">
        <v>9065</v>
      </c>
      <c r="O104" s="96" t="s">
        <v>12185</v>
      </c>
      <c r="P104" s="96" t="s">
        <v>12186</v>
      </c>
      <c r="Q104" s="96" t="s">
        <v>9068</v>
      </c>
      <c r="R104" s="96" t="s">
        <v>9069</v>
      </c>
      <c r="S104" s="96" t="s">
        <v>9070</v>
      </c>
      <c r="T104" s="96" t="s">
        <v>9071</v>
      </c>
      <c r="U104" s="96" t="s">
        <v>9072</v>
      </c>
      <c r="V104" s="96" t="s">
        <v>9073</v>
      </c>
      <c r="W104" s="96" t="s">
        <v>9058</v>
      </c>
      <c r="X104" s="96" t="s">
        <v>9074</v>
      </c>
      <c r="Y104" s="96" t="s">
        <v>9075</v>
      </c>
      <c r="Z104" s="96" t="s">
        <v>9076</v>
      </c>
      <c r="AA104" s="96" t="s">
        <v>12187</v>
      </c>
      <c r="AB104" s="96" t="s">
        <v>9078</v>
      </c>
      <c r="AC104" s="96" t="s">
        <v>9079</v>
      </c>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row>
    <row r="105">
      <c r="A105" s="96" t="s">
        <v>12188</v>
      </c>
      <c r="B105" s="96" t="s">
        <v>12189</v>
      </c>
      <c r="C105" s="97" t="s">
        <v>12190</v>
      </c>
      <c r="D105" s="96" t="s">
        <v>12191</v>
      </c>
      <c r="E105" s="96" t="s">
        <v>12192</v>
      </c>
      <c r="F105" s="96" t="s">
        <v>12193</v>
      </c>
      <c r="G105" s="96" t="s">
        <v>12194</v>
      </c>
      <c r="H105" s="96" t="s">
        <v>12195</v>
      </c>
      <c r="I105" s="96" t="s">
        <v>12196</v>
      </c>
      <c r="J105" s="96" t="s">
        <v>12197</v>
      </c>
      <c r="K105" s="96" t="s">
        <v>12198</v>
      </c>
      <c r="L105" s="96" t="s">
        <v>12199</v>
      </c>
      <c r="M105" s="96" t="s">
        <v>12200</v>
      </c>
      <c r="N105" s="96" t="s">
        <v>12201</v>
      </c>
      <c r="O105" s="96" t="s">
        <v>12202</v>
      </c>
      <c r="P105" s="96" t="s">
        <v>12203</v>
      </c>
      <c r="Q105" s="96" t="s">
        <v>12204</v>
      </c>
      <c r="R105" s="96" t="s">
        <v>12205</v>
      </c>
      <c r="S105" s="96" t="s">
        <v>12206</v>
      </c>
      <c r="T105" s="96" t="s">
        <v>12207</v>
      </c>
      <c r="U105" s="96" t="s">
        <v>12208</v>
      </c>
      <c r="V105" s="96" t="s">
        <v>12209</v>
      </c>
      <c r="W105" s="96" t="s">
        <v>12210</v>
      </c>
      <c r="X105" s="96" t="s">
        <v>12211</v>
      </c>
      <c r="Y105" s="96" t="s">
        <v>12212</v>
      </c>
      <c r="Z105" s="96" t="s">
        <v>12213</v>
      </c>
      <c r="AA105" s="96" t="s">
        <v>12214</v>
      </c>
      <c r="AB105" s="96" t="s">
        <v>12215</v>
      </c>
      <c r="AC105" s="96" t="s">
        <v>12216</v>
      </c>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row>
    <row r="106">
      <c r="A106" s="98" t="s">
        <v>12217</v>
      </c>
      <c r="B106" s="98" t="s">
        <v>12218</v>
      </c>
      <c r="C106" s="98" t="s">
        <v>12219</v>
      </c>
      <c r="D106" s="98" t="s">
        <v>12220</v>
      </c>
      <c r="E106" s="98" t="s">
        <v>12221</v>
      </c>
      <c r="F106" s="98" t="s">
        <v>12222</v>
      </c>
      <c r="G106" s="98" t="s">
        <v>12223</v>
      </c>
      <c r="H106" s="98" t="s">
        <v>12224</v>
      </c>
      <c r="I106" s="98" t="s">
        <v>12225</v>
      </c>
      <c r="J106" s="98" t="s">
        <v>12226</v>
      </c>
      <c r="K106" s="98" t="s">
        <v>12227</v>
      </c>
      <c r="L106" s="98" t="s">
        <v>12228</v>
      </c>
      <c r="M106" s="98" t="s">
        <v>12229</v>
      </c>
      <c r="N106" s="98" t="s">
        <v>12230</v>
      </c>
      <c r="O106" s="98" t="s">
        <v>12231</v>
      </c>
      <c r="P106" s="98" t="s">
        <v>12232</v>
      </c>
      <c r="Q106" s="98" t="s">
        <v>12233</v>
      </c>
      <c r="R106" s="98" t="s">
        <v>12234</v>
      </c>
      <c r="S106" s="98" t="s">
        <v>12235</v>
      </c>
      <c r="T106" s="98" t="s">
        <v>12236</v>
      </c>
      <c r="U106" s="98" t="s">
        <v>12237</v>
      </c>
      <c r="V106" s="98" t="s">
        <v>12238</v>
      </c>
      <c r="W106" s="98" t="s">
        <v>12239</v>
      </c>
      <c r="X106" s="98" t="s">
        <v>12240</v>
      </c>
      <c r="Y106" s="98" t="s">
        <v>12241</v>
      </c>
      <c r="Z106" s="98" t="s">
        <v>12242</v>
      </c>
      <c r="AA106" s="98" t="s">
        <v>12243</v>
      </c>
      <c r="AB106" s="98" t="s">
        <v>12244</v>
      </c>
      <c r="AC106" s="98" t="s">
        <v>12245</v>
      </c>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row>
    <row r="107">
      <c r="A107" s="96" t="s">
        <v>12246</v>
      </c>
      <c r="B107" s="96" t="s">
        <v>12247</v>
      </c>
      <c r="C107" s="97" t="s">
        <v>12248</v>
      </c>
      <c r="D107" s="96" t="s">
        <v>12249</v>
      </c>
      <c r="E107" s="96" t="s">
        <v>12250</v>
      </c>
      <c r="F107" s="96" t="s">
        <v>12251</v>
      </c>
      <c r="G107" s="96" t="s">
        <v>12252</v>
      </c>
      <c r="H107" s="96" t="s">
        <v>12253</v>
      </c>
      <c r="I107" s="96" t="s">
        <v>12254</v>
      </c>
      <c r="J107" s="96" t="s">
        <v>12255</v>
      </c>
      <c r="K107" s="96" t="s">
        <v>12256</v>
      </c>
      <c r="L107" s="96" t="s">
        <v>12257</v>
      </c>
      <c r="M107" s="96" t="s">
        <v>12258</v>
      </c>
      <c r="N107" s="96" t="s">
        <v>12259</v>
      </c>
      <c r="O107" s="96" t="s">
        <v>12260</v>
      </c>
      <c r="P107" s="96" t="s">
        <v>12261</v>
      </c>
      <c r="Q107" s="96" t="s">
        <v>12262</v>
      </c>
      <c r="R107" s="96" t="s">
        <v>12263</v>
      </c>
      <c r="S107" s="96" t="s">
        <v>12264</v>
      </c>
      <c r="T107" s="96" t="s">
        <v>12265</v>
      </c>
      <c r="U107" s="96" t="s">
        <v>12266</v>
      </c>
      <c r="V107" s="96" t="s">
        <v>12267</v>
      </c>
      <c r="W107" s="96" t="s">
        <v>12268</v>
      </c>
      <c r="X107" s="96" t="s">
        <v>12269</v>
      </c>
      <c r="Y107" s="96" t="s">
        <v>12270</v>
      </c>
      <c r="Z107" s="96" t="s">
        <v>12271</v>
      </c>
      <c r="AA107" s="96" t="s">
        <v>12272</v>
      </c>
      <c r="AB107" s="96" t="s">
        <v>12273</v>
      </c>
      <c r="AC107" s="96" t="s">
        <v>12274</v>
      </c>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row>
    <row r="108">
      <c r="A108" s="96" t="s">
        <v>12275</v>
      </c>
      <c r="B108" s="96" t="s">
        <v>12276</v>
      </c>
      <c r="C108" s="97" t="s">
        <v>12277</v>
      </c>
      <c r="D108" s="96" t="s">
        <v>12278</v>
      </c>
      <c r="E108" s="96" t="s">
        <v>12279</v>
      </c>
      <c r="F108" s="96" t="s">
        <v>12280</v>
      </c>
      <c r="G108" s="96" t="s">
        <v>12281</v>
      </c>
      <c r="H108" s="96" t="s">
        <v>12282</v>
      </c>
      <c r="I108" s="96" t="s">
        <v>12283</v>
      </c>
      <c r="J108" s="96" t="s">
        <v>12284</v>
      </c>
      <c r="K108" s="96" t="s">
        <v>12285</v>
      </c>
      <c r="L108" s="96" t="s">
        <v>12286</v>
      </c>
      <c r="M108" s="96" t="s">
        <v>12287</v>
      </c>
      <c r="N108" s="96" t="s">
        <v>12288</v>
      </c>
      <c r="O108" s="96" t="s">
        <v>12289</v>
      </c>
      <c r="P108" s="96" t="s">
        <v>12290</v>
      </c>
      <c r="Q108" s="96" t="s">
        <v>12291</v>
      </c>
      <c r="R108" s="96" t="s">
        <v>12292</v>
      </c>
      <c r="S108" s="96" t="s">
        <v>12293</v>
      </c>
      <c r="T108" s="96" t="s">
        <v>12294</v>
      </c>
      <c r="U108" s="96" t="s">
        <v>12295</v>
      </c>
      <c r="V108" s="96" t="s">
        <v>12296</v>
      </c>
      <c r="W108" s="96" t="s">
        <v>12281</v>
      </c>
      <c r="X108" s="96" t="s">
        <v>12297</v>
      </c>
      <c r="Y108" s="96" t="s">
        <v>12298</v>
      </c>
      <c r="Z108" s="96" t="s">
        <v>12299</v>
      </c>
      <c r="AA108" s="96" t="s">
        <v>12300</v>
      </c>
      <c r="AB108" s="96" t="s">
        <v>12301</v>
      </c>
      <c r="AC108" s="96" t="s">
        <v>12302</v>
      </c>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row>
    <row r="109">
      <c r="A109" s="96" t="s">
        <v>12303</v>
      </c>
      <c r="B109" s="96" t="s">
        <v>12304</v>
      </c>
      <c r="C109" s="97" t="s">
        <v>12305</v>
      </c>
      <c r="D109" s="96" t="s">
        <v>12306</v>
      </c>
      <c r="E109" s="96" t="s">
        <v>12307</v>
      </c>
      <c r="F109" s="96" t="s">
        <v>12308</v>
      </c>
      <c r="G109" s="96" t="s">
        <v>12309</v>
      </c>
      <c r="H109" s="96" t="s">
        <v>12310</v>
      </c>
      <c r="I109" s="96" t="s">
        <v>12311</v>
      </c>
      <c r="J109" s="96" t="s">
        <v>12312</v>
      </c>
      <c r="K109" s="96" t="s">
        <v>12313</v>
      </c>
      <c r="L109" s="96" t="s">
        <v>12314</v>
      </c>
      <c r="M109" s="96" t="s">
        <v>12315</v>
      </c>
      <c r="N109" s="96" t="s">
        <v>12316</v>
      </c>
      <c r="O109" s="96" t="s">
        <v>12317</v>
      </c>
      <c r="P109" s="96" t="s">
        <v>12318</v>
      </c>
      <c r="Q109" s="96" t="s">
        <v>12319</v>
      </c>
      <c r="R109" s="96" t="s">
        <v>12320</v>
      </c>
      <c r="S109" s="96" t="s">
        <v>12321</v>
      </c>
      <c r="T109" s="96" t="s">
        <v>12322</v>
      </c>
      <c r="U109" s="96" t="s">
        <v>12323</v>
      </c>
      <c r="V109" s="96" t="s">
        <v>12324</v>
      </c>
      <c r="W109" s="96" t="s">
        <v>12325</v>
      </c>
      <c r="X109" s="96" t="s">
        <v>12326</v>
      </c>
      <c r="Y109" s="96" t="s">
        <v>6044</v>
      </c>
      <c r="Z109" s="96" t="s">
        <v>12327</v>
      </c>
      <c r="AA109" s="96" t="s">
        <v>12328</v>
      </c>
      <c r="AB109" s="96" t="s">
        <v>12329</v>
      </c>
      <c r="AC109" s="96" t="s">
        <v>12330</v>
      </c>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row>
    <row r="110">
      <c r="A110" s="96" t="s">
        <v>12331</v>
      </c>
      <c r="B110" s="96" t="s">
        <v>12332</v>
      </c>
      <c r="C110" s="97" t="s">
        <v>12333</v>
      </c>
      <c r="D110" s="96" t="s">
        <v>12334</v>
      </c>
      <c r="E110" s="96" t="s">
        <v>12335</v>
      </c>
      <c r="F110" s="96" t="s">
        <v>12336</v>
      </c>
      <c r="G110" s="96" t="s">
        <v>12337</v>
      </c>
      <c r="H110" s="96" t="s">
        <v>12338</v>
      </c>
      <c r="I110" s="96" t="s">
        <v>12339</v>
      </c>
      <c r="J110" s="96" t="s">
        <v>12340</v>
      </c>
      <c r="K110" s="96" t="s">
        <v>12341</v>
      </c>
      <c r="L110" s="96" t="s">
        <v>12342</v>
      </c>
      <c r="M110" s="96" t="s">
        <v>12343</v>
      </c>
      <c r="N110" s="96" t="s">
        <v>12344</v>
      </c>
      <c r="O110" s="96" t="s">
        <v>12345</v>
      </c>
      <c r="P110" s="96" t="s">
        <v>12346</v>
      </c>
      <c r="Q110" s="96" t="s">
        <v>12347</v>
      </c>
      <c r="R110" s="96" t="s">
        <v>12348</v>
      </c>
      <c r="S110" s="96" t="s">
        <v>12349</v>
      </c>
      <c r="T110" s="96" t="s">
        <v>12350</v>
      </c>
      <c r="U110" s="96" t="s">
        <v>12351</v>
      </c>
      <c r="V110" s="96" t="s">
        <v>12352</v>
      </c>
      <c r="W110" s="96" t="s">
        <v>12353</v>
      </c>
      <c r="X110" s="96" t="s">
        <v>12354</v>
      </c>
      <c r="Y110" s="96" t="s">
        <v>12355</v>
      </c>
      <c r="Z110" s="96" t="s">
        <v>12356</v>
      </c>
      <c r="AA110" s="96" t="s">
        <v>12357</v>
      </c>
      <c r="AB110" s="96" t="s">
        <v>12358</v>
      </c>
      <c r="AC110" s="96" t="s">
        <v>12359</v>
      </c>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row>
    <row r="111">
      <c r="A111" s="96" t="s">
        <v>12360</v>
      </c>
      <c r="B111" s="96" t="s">
        <v>12361</v>
      </c>
      <c r="C111" s="97" t="s">
        <v>12362</v>
      </c>
      <c r="D111" s="96" t="s">
        <v>12363</v>
      </c>
      <c r="E111" s="96" t="s">
        <v>12364</v>
      </c>
      <c r="F111" s="96" t="s">
        <v>12365</v>
      </c>
      <c r="G111" s="96" t="s">
        <v>12366</v>
      </c>
      <c r="H111" s="96" t="s">
        <v>12367</v>
      </c>
      <c r="I111" s="96" t="s">
        <v>12368</v>
      </c>
      <c r="J111" s="96" t="s">
        <v>12369</v>
      </c>
      <c r="K111" s="96" t="s">
        <v>12370</v>
      </c>
      <c r="L111" s="96" t="s">
        <v>12371</v>
      </c>
      <c r="M111" s="96" t="s">
        <v>12372</v>
      </c>
      <c r="N111" s="96" t="s">
        <v>12373</v>
      </c>
      <c r="O111" s="96" t="s">
        <v>12374</v>
      </c>
      <c r="P111" s="96" t="s">
        <v>12375</v>
      </c>
      <c r="Q111" s="96" t="s">
        <v>12376</v>
      </c>
      <c r="R111" s="96" t="s">
        <v>12377</v>
      </c>
      <c r="S111" s="96" t="s">
        <v>12378</v>
      </c>
      <c r="T111" s="96" t="s">
        <v>12379</v>
      </c>
      <c r="U111" s="96" t="s">
        <v>12380</v>
      </c>
      <c r="V111" s="96" t="s">
        <v>12381</v>
      </c>
      <c r="W111" s="96" t="s">
        <v>12382</v>
      </c>
      <c r="X111" s="96" t="s">
        <v>12383</v>
      </c>
      <c r="Y111" s="96" t="s">
        <v>12384</v>
      </c>
      <c r="Z111" s="96" t="s">
        <v>12385</v>
      </c>
      <c r="AA111" s="96" t="s">
        <v>12386</v>
      </c>
      <c r="AB111" s="96" t="s">
        <v>12387</v>
      </c>
      <c r="AC111" s="96" t="s">
        <v>12388</v>
      </c>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row>
    <row r="112">
      <c r="A112" s="96" t="s">
        <v>12389</v>
      </c>
      <c r="B112" s="96" t="s">
        <v>12390</v>
      </c>
      <c r="C112" s="97" t="s">
        <v>12391</v>
      </c>
      <c r="D112" s="96" t="s">
        <v>12392</v>
      </c>
      <c r="E112" s="96" t="s">
        <v>12393</v>
      </c>
      <c r="F112" s="96" t="s">
        <v>12394</v>
      </c>
      <c r="G112" s="96" t="s">
        <v>12395</v>
      </c>
      <c r="H112" s="96" t="s">
        <v>12396</v>
      </c>
      <c r="I112" s="96" t="s">
        <v>12397</v>
      </c>
      <c r="J112" s="96" t="s">
        <v>12398</v>
      </c>
      <c r="K112" s="96" t="s">
        <v>12399</v>
      </c>
      <c r="L112" s="96" t="s">
        <v>12400</v>
      </c>
      <c r="M112" s="96" t="s">
        <v>12401</v>
      </c>
      <c r="N112" s="96" t="s">
        <v>12402</v>
      </c>
      <c r="O112" s="96" t="s">
        <v>12403</v>
      </c>
      <c r="P112" s="96" t="s">
        <v>12404</v>
      </c>
      <c r="Q112" s="96" t="s">
        <v>12405</v>
      </c>
      <c r="R112" s="96" t="s">
        <v>12406</v>
      </c>
      <c r="S112" s="96" t="s">
        <v>12407</v>
      </c>
      <c r="T112" s="96" t="s">
        <v>12408</v>
      </c>
      <c r="U112" s="96" t="s">
        <v>12409</v>
      </c>
      <c r="V112" s="96" t="s">
        <v>12410</v>
      </c>
      <c r="W112" s="96" t="s">
        <v>12411</v>
      </c>
      <c r="X112" s="96" t="s">
        <v>12412</v>
      </c>
      <c r="Y112" s="96" t="s">
        <v>12413</v>
      </c>
      <c r="Z112" s="96" t="s">
        <v>12414</v>
      </c>
      <c r="AA112" s="96" t="s">
        <v>12415</v>
      </c>
      <c r="AB112" s="96" t="s">
        <v>12416</v>
      </c>
      <c r="AC112" s="96" t="s">
        <v>12417</v>
      </c>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row>
    <row r="113">
      <c r="A113" s="96" t="s">
        <v>12418</v>
      </c>
      <c r="B113" s="96" t="s">
        <v>12419</v>
      </c>
      <c r="C113" s="97" t="s">
        <v>12420</v>
      </c>
      <c r="D113" s="96" t="s">
        <v>12421</v>
      </c>
      <c r="E113" s="96" t="s">
        <v>12422</v>
      </c>
      <c r="F113" s="96" t="s">
        <v>12423</v>
      </c>
      <c r="G113" s="96" t="s">
        <v>12419</v>
      </c>
      <c r="H113" s="96" t="s">
        <v>12424</v>
      </c>
      <c r="I113" s="96" t="s">
        <v>12425</v>
      </c>
      <c r="J113" s="96" t="s">
        <v>12426</v>
      </c>
      <c r="K113" s="96" t="s">
        <v>12427</v>
      </c>
      <c r="L113" s="96" t="s">
        <v>12428</v>
      </c>
      <c r="M113" s="96" t="s">
        <v>12419</v>
      </c>
      <c r="N113" s="96" t="s">
        <v>12429</v>
      </c>
      <c r="O113" s="96" t="s">
        <v>12430</v>
      </c>
      <c r="P113" s="96" t="s">
        <v>12431</v>
      </c>
      <c r="Q113" s="96" t="s">
        <v>12432</v>
      </c>
      <c r="R113" s="96" t="s">
        <v>12433</v>
      </c>
      <c r="S113" s="96" t="s">
        <v>12434</v>
      </c>
      <c r="T113" s="96" t="s">
        <v>12428</v>
      </c>
      <c r="U113" s="96" t="s">
        <v>12419</v>
      </c>
      <c r="V113" s="96" t="s">
        <v>12419</v>
      </c>
      <c r="W113" s="96" t="s">
        <v>12419</v>
      </c>
      <c r="X113" s="96" t="s">
        <v>12435</v>
      </c>
      <c r="Y113" s="96" t="s">
        <v>12436</v>
      </c>
      <c r="Z113" s="96" t="s">
        <v>12437</v>
      </c>
      <c r="AA113" s="96" t="s">
        <v>12438</v>
      </c>
      <c r="AB113" s="96" t="s">
        <v>12439</v>
      </c>
      <c r="AC113" s="96" t="s">
        <v>12440</v>
      </c>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row>
    <row r="114">
      <c r="A114" s="96" t="s">
        <v>12441</v>
      </c>
      <c r="B114" s="96" t="s">
        <v>12442</v>
      </c>
      <c r="C114" s="97" t="s">
        <v>12443</v>
      </c>
      <c r="D114" s="96" t="s">
        <v>12444</v>
      </c>
      <c r="E114" s="96" t="s">
        <v>12445</v>
      </c>
      <c r="F114" s="96" t="s">
        <v>12446</v>
      </c>
      <c r="G114" s="96" t="s">
        <v>12447</v>
      </c>
      <c r="H114" s="96" t="s">
        <v>12448</v>
      </c>
      <c r="I114" s="96" t="s">
        <v>12449</v>
      </c>
      <c r="J114" s="96" t="s">
        <v>12450</v>
      </c>
      <c r="K114" s="96" t="s">
        <v>12451</v>
      </c>
      <c r="L114" s="96" t="s">
        <v>12452</v>
      </c>
      <c r="M114" s="96" t="s">
        <v>12453</v>
      </c>
      <c r="N114" s="96" t="s">
        <v>12454</v>
      </c>
      <c r="O114" s="96" t="s">
        <v>12455</v>
      </c>
      <c r="P114" s="96" t="s">
        <v>12456</v>
      </c>
      <c r="Q114" s="96" t="s">
        <v>12457</v>
      </c>
      <c r="R114" s="96" t="s">
        <v>12458</v>
      </c>
      <c r="S114" s="96" t="s">
        <v>12459</v>
      </c>
      <c r="T114" s="96" t="s">
        <v>12460</v>
      </c>
      <c r="U114" s="96" t="s">
        <v>12461</v>
      </c>
      <c r="V114" s="96" t="s">
        <v>12462</v>
      </c>
      <c r="W114" s="96" t="s">
        <v>12463</v>
      </c>
      <c r="X114" s="96" t="s">
        <v>12464</v>
      </c>
      <c r="Y114" s="96" t="s">
        <v>12465</v>
      </c>
      <c r="Z114" s="96" t="s">
        <v>12466</v>
      </c>
      <c r="AA114" s="96" t="s">
        <v>12464</v>
      </c>
      <c r="AB114" s="96" t="s">
        <v>12467</v>
      </c>
      <c r="AC114" s="96" t="s">
        <v>12468</v>
      </c>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row>
    <row r="115">
      <c r="A115" s="96" t="s">
        <v>12469</v>
      </c>
      <c r="B115" s="96" t="s">
        <v>12470</v>
      </c>
      <c r="C115" s="97" t="s">
        <v>12471</v>
      </c>
      <c r="D115" s="96" t="s">
        <v>12472</v>
      </c>
      <c r="E115" s="96" t="s">
        <v>12473</v>
      </c>
      <c r="F115" s="96" t="s">
        <v>12474</v>
      </c>
      <c r="G115" s="96" t="s">
        <v>12475</v>
      </c>
      <c r="H115" s="96" t="s">
        <v>12476</v>
      </c>
      <c r="I115" s="96" t="s">
        <v>12477</v>
      </c>
      <c r="J115" s="96" t="s">
        <v>12478</v>
      </c>
      <c r="K115" s="96" t="s">
        <v>12479</v>
      </c>
      <c r="L115" s="96" t="s">
        <v>12480</v>
      </c>
      <c r="M115" s="96" t="s">
        <v>12481</v>
      </c>
      <c r="N115" s="96" t="s">
        <v>12482</v>
      </c>
      <c r="O115" s="96" t="s">
        <v>12483</v>
      </c>
      <c r="P115" s="96" t="s">
        <v>12484</v>
      </c>
      <c r="Q115" s="96" t="s">
        <v>12485</v>
      </c>
      <c r="R115" s="96" t="s">
        <v>12486</v>
      </c>
      <c r="S115" s="96" t="s">
        <v>12487</v>
      </c>
      <c r="T115" s="96" t="s">
        <v>12488</v>
      </c>
      <c r="U115" s="96" t="s">
        <v>12489</v>
      </c>
      <c r="V115" s="96" t="s">
        <v>12490</v>
      </c>
      <c r="W115" s="96" t="s">
        <v>12491</v>
      </c>
      <c r="X115" s="96" t="s">
        <v>12492</v>
      </c>
      <c r="Y115" s="96" t="s">
        <v>12493</v>
      </c>
      <c r="Z115" s="96" t="s">
        <v>12494</v>
      </c>
      <c r="AA115" s="96" t="s">
        <v>12492</v>
      </c>
      <c r="AB115" s="96" t="s">
        <v>12495</v>
      </c>
      <c r="AC115" s="96" t="s">
        <v>12496</v>
      </c>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row>
    <row r="116">
      <c r="A116" s="96" t="s">
        <v>12497</v>
      </c>
      <c r="B116" s="96" t="s">
        <v>12498</v>
      </c>
      <c r="C116" s="97" t="s">
        <v>12471</v>
      </c>
      <c r="D116" s="96" t="s">
        <v>12499</v>
      </c>
      <c r="E116" s="96" t="s">
        <v>12500</v>
      </c>
      <c r="F116" s="96" t="s">
        <v>12501</v>
      </c>
      <c r="G116" s="96" t="s">
        <v>12502</v>
      </c>
      <c r="H116" s="96" t="s">
        <v>12503</v>
      </c>
      <c r="I116" s="96" t="s">
        <v>12504</v>
      </c>
      <c r="J116" s="96" t="s">
        <v>12505</v>
      </c>
      <c r="K116" s="96" t="s">
        <v>12479</v>
      </c>
      <c r="L116" s="96" t="s">
        <v>12480</v>
      </c>
      <c r="M116" s="96" t="s">
        <v>12506</v>
      </c>
      <c r="N116" s="96" t="s">
        <v>12482</v>
      </c>
      <c r="O116" s="96" t="s">
        <v>12483</v>
      </c>
      <c r="P116" s="96" t="s">
        <v>12507</v>
      </c>
      <c r="Q116" s="96" t="s">
        <v>12508</v>
      </c>
      <c r="R116" s="96" t="s">
        <v>12486</v>
      </c>
      <c r="S116" s="96" t="s">
        <v>12509</v>
      </c>
      <c r="T116" s="96" t="s">
        <v>12488</v>
      </c>
      <c r="U116" s="96" t="s">
        <v>12510</v>
      </c>
      <c r="V116" s="96" t="s">
        <v>12511</v>
      </c>
      <c r="W116" s="96" t="s">
        <v>12512</v>
      </c>
      <c r="X116" s="96" t="s">
        <v>12513</v>
      </c>
      <c r="Y116" s="96" t="s">
        <v>12493</v>
      </c>
      <c r="Z116" s="96" t="s">
        <v>12494</v>
      </c>
      <c r="AA116" s="96" t="s">
        <v>12514</v>
      </c>
      <c r="AB116" s="96" t="s">
        <v>12495</v>
      </c>
      <c r="AC116" s="96" t="s">
        <v>12515</v>
      </c>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row>
    <row r="117">
      <c r="A117" s="96" t="s">
        <v>12516</v>
      </c>
      <c r="B117" s="96" t="s">
        <v>12517</v>
      </c>
      <c r="C117" s="97" t="s">
        <v>12518</v>
      </c>
      <c r="D117" s="96" t="s">
        <v>12519</v>
      </c>
      <c r="E117" s="96" t="s">
        <v>12520</v>
      </c>
      <c r="F117" s="96" t="s">
        <v>12521</v>
      </c>
      <c r="G117" s="96" t="s">
        <v>12522</v>
      </c>
      <c r="H117" s="96" t="s">
        <v>12523</v>
      </c>
      <c r="I117" s="96" t="s">
        <v>12524</v>
      </c>
      <c r="J117" s="96" t="s">
        <v>12525</v>
      </c>
      <c r="K117" s="96" t="s">
        <v>12526</v>
      </c>
      <c r="L117" s="96" t="s">
        <v>12527</v>
      </c>
      <c r="M117" s="96" t="s">
        <v>12528</v>
      </c>
      <c r="N117" s="96" t="s">
        <v>12529</v>
      </c>
      <c r="O117" s="96" t="s">
        <v>12530</v>
      </c>
      <c r="P117" s="96" t="s">
        <v>12531</v>
      </c>
      <c r="Q117" s="96" t="s">
        <v>12532</v>
      </c>
      <c r="R117" s="96" t="s">
        <v>12533</v>
      </c>
      <c r="S117" s="96" t="s">
        <v>12534</v>
      </c>
      <c r="T117" s="96" t="s">
        <v>12535</v>
      </c>
      <c r="U117" s="96" t="s">
        <v>12536</v>
      </c>
      <c r="V117" s="96" t="s">
        <v>12537</v>
      </c>
      <c r="W117" s="96" t="s">
        <v>12538</v>
      </c>
      <c r="X117" s="96" t="s">
        <v>12539</v>
      </c>
      <c r="Y117" s="96" t="s">
        <v>12540</v>
      </c>
      <c r="Z117" s="96" t="s">
        <v>12541</v>
      </c>
      <c r="AA117" s="96" t="s">
        <v>12542</v>
      </c>
      <c r="AB117" s="96" t="s">
        <v>12543</v>
      </c>
      <c r="AC117" s="96" t="s">
        <v>12544</v>
      </c>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row>
    <row r="118">
      <c r="A118" s="96" t="s">
        <v>12545</v>
      </c>
      <c r="B118" s="96" t="s">
        <v>12546</v>
      </c>
      <c r="C118" s="97" t="s">
        <v>12547</v>
      </c>
      <c r="D118" s="96" t="s">
        <v>12548</v>
      </c>
      <c r="E118" s="96" t="s">
        <v>12549</v>
      </c>
      <c r="F118" s="96" t="s">
        <v>12550</v>
      </c>
      <c r="G118" s="96" t="s">
        <v>12551</v>
      </c>
      <c r="H118" s="96" t="s">
        <v>12552</v>
      </c>
      <c r="I118" s="96" t="s">
        <v>12553</v>
      </c>
      <c r="J118" s="96" t="s">
        <v>12554</v>
      </c>
      <c r="K118" s="96" t="s">
        <v>12555</v>
      </c>
      <c r="L118" s="96" t="s">
        <v>12556</v>
      </c>
      <c r="M118" s="96" t="s">
        <v>12557</v>
      </c>
      <c r="N118" s="96" t="s">
        <v>12558</v>
      </c>
      <c r="O118" s="96" t="s">
        <v>12559</v>
      </c>
      <c r="P118" s="96" t="s">
        <v>12560</v>
      </c>
      <c r="Q118" s="96" t="s">
        <v>12561</v>
      </c>
      <c r="R118" s="96" t="s">
        <v>12562</v>
      </c>
      <c r="S118" s="96" t="s">
        <v>12563</v>
      </c>
      <c r="T118" s="96" t="s">
        <v>12564</v>
      </c>
      <c r="U118" s="96" t="s">
        <v>12549</v>
      </c>
      <c r="V118" s="96" t="s">
        <v>12565</v>
      </c>
      <c r="W118" s="96" t="s">
        <v>12566</v>
      </c>
      <c r="X118" s="96" t="s">
        <v>12567</v>
      </c>
      <c r="Y118" s="96" t="s">
        <v>12568</v>
      </c>
      <c r="Z118" s="96" t="s">
        <v>12569</v>
      </c>
      <c r="AA118" s="96" t="s">
        <v>12570</v>
      </c>
      <c r="AB118" s="96" t="s">
        <v>12571</v>
      </c>
      <c r="AC118" s="96" t="s">
        <v>12572</v>
      </c>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row>
    <row r="119">
      <c r="A119" s="96" t="s">
        <v>12573</v>
      </c>
      <c r="B119" s="96" t="s">
        <v>12574</v>
      </c>
      <c r="C119" s="97" t="s">
        <v>12575</v>
      </c>
      <c r="D119" s="96" t="s">
        <v>12576</v>
      </c>
      <c r="E119" s="96" t="s">
        <v>12577</v>
      </c>
      <c r="F119" s="96" t="s">
        <v>12578</v>
      </c>
      <c r="G119" s="96" t="s">
        <v>12579</v>
      </c>
      <c r="H119" s="96" t="s">
        <v>12580</v>
      </c>
      <c r="I119" s="96" t="s">
        <v>12581</v>
      </c>
      <c r="J119" s="96" t="s">
        <v>12582</v>
      </c>
      <c r="K119" s="96" t="s">
        <v>12583</v>
      </c>
      <c r="L119" s="96" t="s">
        <v>12584</v>
      </c>
      <c r="M119" s="96" t="s">
        <v>12585</v>
      </c>
      <c r="N119" s="96" t="s">
        <v>12586</v>
      </c>
      <c r="O119" s="96" t="s">
        <v>12587</v>
      </c>
      <c r="P119" s="96" t="s">
        <v>12588</v>
      </c>
      <c r="Q119" s="96" t="s">
        <v>12589</v>
      </c>
      <c r="R119" s="96" t="s">
        <v>12486</v>
      </c>
      <c r="S119" s="96" t="s">
        <v>12590</v>
      </c>
      <c r="T119" s="96" t="s">
        <v>12584</v>
      </c>
      <c r="U119" s="96" t="s">
        <v>12591</v>
      </c>
      <c r="V119" s="96" t="s">
        <v>12592</v>
      </c>
      <c r="W119" s="96" t="s">
        <v>12593</v>
      </c>
      <c r="X119" s="96" t="s">
        <v>12594</v>
      </c>
      <c r="Y119" s="96" t="s">
        <v>12595</v>
      </c>
      <c r="Z119" s="96" t="s">
        <v>12596</v>
      </c>
      <c r="AA119" s="96" t="s">
        <v>12597</v>
      </c>
      <c r="AB119" s="96" t="s">
        <v>12598</v>
      </c>
      <c r="AC119" s="96" t="s">
        <v>12599</v>
      </c>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row>
    <row r="120">
      <c r="A120" s="96" t="s">
        <v>3019</v>
      </c>
      <c r="B120" s="96" t="s">
        <v>12600</v>
      </c>
      <c r="C120" s="97" t="s">
        <v>12601</v>
      </c>
      <c r="D120" s="96" t="s">
        <v>12602</v>
      </c>
      <c r="E120" s="96" t="s">
        <v>12603</v>
      </c>
      <c r="F120" s="96" t="s">
        <v>12604</v>
      </c>
      <c r="G120" s="96" t="s">
        <v>12605</v>
      </c>
      <c r="H120" s="96" t="s">
        <v>12606</v>
      </c>
      <c r="I120" s="96" t="s">
        <v>12607</v>
      </c>
      <c r="J120" s="96" t="s">
        <v>12608</v>
      </c>
      <c r="K120" s="96" t="s">
        <v>12609</v>
      </c>
      <c r="L120" s="96" t="s">
        <v>12610</v>
      </c>
      <c r="M120" s="96" t="s">
        <v>12611</v>
      </c>
      <c r="N120" s="96" t="s">
        <v>12612</v>
      </c>
      <c r="O120" s="96" t="s">
        <v>12613</v>
      </c>
      <c r="P120" s="96" t="s">
        <v>12614</v>
      </c>
      <c r="Q120" s="96" t="s">
        <v>12615</v>
      </c>
      <c r="R120" s="96" t="s">
        <v>12616</v>
      </c>
      <c r="S120" s="96" t="s">
        <v>12617</v>
      </c>
      <c r="T120" s="96" t="s">
        <v>12618</v>
      </c>
      <c r="U120" s="96" t="s">
        <v>12619</v>
      </c>
      <c r="V120" s="96" t="s">
        <v>12620</v>
      </c>
      <c r="W120" s="96" t="s">
        <v>12621</v>
      </c>
      <c r="X120" s="96" t="s">
        <v>12622</v>
      </c>
      <c r="Y120" s="96" t="s">
        <v>12623</v>
      </c>
      <c r="Z120" s="96" t="s">
        <v>12624</v>
      </c>
      <c r="AA120" s="96" t="s">
        <v>12625</v>
      </c>
      <c r="AB120" s="96" t="s">
        <v>12626</v>
      </c>
      <c r="AC120" s="96" t="s">
        <v>12627</v>
      </c>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row>
    <row r="121">
      <c r="A121" s="96" t="s">
        <v>12628</v>
      </c>
      <c r="B121" s="96" t="s">
        <v>12629</v>
      </c>
      <c r="C121" s="97" t="s">
        <v>12630</v>
      </c>
      <c r="D121" s="96" t="s">
        <v>12631</v>
      </c>
      <c r="E121" s="96" t="s">
        <v>12632</v>
      </c>
      <c r="F121" s="96" t="s">
        <v>12633</v>
      </c>
      <c r="G121" s="96" t="s">
        <v>12634</v>
      </c>
      <c r="H121" s="96" t="s">
        <v>12635</v>
      </c>
      <c r="I121" s="96" t="s">
        <v>12636</v>
      </c>
      <c r="J121" s="96" t="s">
        <v>12637</v>
      </c>
      <c r="K121" s="96" t="s">
        <v>12638</v>
      </c>
      <c r="L121" s="96" t="s">
        <v>12639</v>
      </c>
      <c r="M121" s="96" t="s">
        <v>12640</v>
      </c>
      <c r="N121" s="96" t="s">
        <v>12641</v>
      </c>
      <c r="O121" s="96" t="s">
        <v>12642</v>
      </c>
      <c r="P121" s="96" t="s">
        <v>12643</v>
      </c>
      <c r="Q121" s="96" t="s">
        <v>12644</v>
      </c>
      <c r="R121" s="96" t="s">
        <v>12645</v>
      </c>
      <c r="S121" s="96" t="s">
        <v>12646</v>
      </c>
      <c r="T121" s="96" t="s">
        <v>12647</v>
      </c>
      <c r="U121" s="96" t="s">
        <v>12648</v>
      </c>
      <c r="V121" s="96" t="s">
        <v>12649</v>
      </c>
      <c r="W121" s="96" t="s">
        <v>12650</v>
      </c>
      <c r="X121" s="96" t="s">
        <v>12651</v>
      </c>
      <c r="Y121" s="96" t="s">
        <v>12652</v>
      </c>
      <c r="Z121" s="96" t="s">
        <v>12653</v>
      </c>
      <c r="AA121" s="96" t="s">
        <v>12654</v>
      </c>
      <c r="AB121" s="96" t="s">
        <v>12655</v>
      </c>
      <c r="AC121" s="96" t="s">
        <v>12656</v>
      </c>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row>
    <row r="122">
      <c r="A122" s="96" t="s">
        <v>12657</v>
      </c>
      <c r="B122" s="96" t="s">
        <v>12658</v>
      </c>
      <c r="C122" s="97" t="s">
        <v>12659</v>
      </c>
      <c r="D122" s="96" t="s">
        <v>12660</v>
      </c>
      <c r="E122" s="96" t="s">
        <v>12661</v>
      </c>
      <c r="F122" s="96" t="s">
        <v>12662</v>
      </c>
      <c r="G122" s="96" t="s">
        <v>12663</v>
      </c>
      <c r="H122" s="96" t="s">
        <v>12664</v>
      </c>
      <c r="I122" s="96" t="s">
        <v>12665</v>
      </c>
      <c r="J122" s="96" t="s">
        <v>12666</v>
      </c>
      <c r="K122" s="96" t="s">
        <v>12667</v>
      </c>
      <c r="L122" s="96" t="s">
        <v>12668</v>
      </c>
      <c r="M122" s="96" t="s">
        <v>12669</v>
      </c>
      <c r="N122" s="96" t="s">
        <v>12670</v>
      </c>
      <c r="O122" s="96" t="s">
        <v>12671</v>
      </c>
      <c r="P122" s="96" t="s">
        <v>12672</v>
      </c>
      <c r="Q122" s="96" t="s">
        <v>12673</v>
      </c>
      <c r="R122" s="96" t="s">
        <v>12674</v>
      </c>
      <c r="S122" s="96" t="s">
        <v>12675</v>
      </c>
      <c r="T122" s="96" t="s">
        <v>12676</v>
      </c>
      <c r="U122" s="96" t="s">
        <v>12677</v>
      </c>
      <c r="V122" s="96" t="s">
        <v>12678</v>
      </c>
      <c r="W122" s="96" t="s">
        <v>12679</v>
      </c>
      <c r="X122" s="96" t="s">
        <v>12680</v>
      </c>
      <c r="Y122" s="96" t="s">
        <v>12681</v>
      </c>
      <c r="Z122" s="96" t="s">
        <v>12682</v>
      </c>
      <c r="AA122" s="96" t="s">
        <v>12683</v>
      </c>
      <c r="AB122" s="96" t="s">
        <v>12684</v>
      </c>
      <c r="AC122" s="96" t="s">
        <v>12685</v>
      </c>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row>
    <row r="123">
      <c r="A123" s="96" t="s">
        <v>12686</v>
      </c>
      <c r="B123" s="96" t="s">
        <v>12687</v>
      </c>
      <c r="C123" s="97" t="s">
        <v>12688</v>
      </c>
      <c r="D123" s="96" t="s">
        <v>12689</v>
      </c>
      <c r="E123" s="96" t="s">
        <v>12687</v>
      </c>
      <c r="F123" s="96" t="s">
        <v>12690</v>
      </c>
      <c r="G123" s="96" t="s">
        <v>12691</v>
      </c>
      <c r="H123" s="96" t="s">
        <v>12692</v>
      </c>
      <c r="I123" s="96" t="s">
        <v>12449</v>
      </c>
      <c r="J123" s="96" t="s">
        <v>12693</v>
      </c>
      <c r="K123" s="96" t="s">
        <v>12694</v>
      </c>
      <c r="L123" s="96" t="s">
        <v>12695</v>
      </c>
      <c r="M123" s="96" t="s">
        <v>12696</v>
      </c>
      <c r="N123" s="96" t="s">
        <v>12697</v>
      </c>
      <c r="O123" s="96" t="s">
        <v>12698</v>
      </c>
      <c r="P123" s="96" t="s">
        <v>12699</v>
      </c>
      <c r="Q123" s="96" t="s">
        <v>12700</v>
      </c>
      <c r="R123" s="96" t="s">
        <v>12701</v>
      </c>
      <c r="S123" s="96" t="s">
        <v>12702</v>
      </c>
      <c r="T123" s="96" t="s">
        <v>12703</v>
      </c>
      <c r="U123" s="96" t="s">
        <v>12704</v>
      </c>
      <c r="V123" s="96" t="s">
        <v>12705</v>
      </c>
      <c r="W123" s="96" t="s">
        <v>12706</v>
      </c>
      <c r="X123" s="96" t="s">
        <v>12707</v>
      </c>
      <c r="Y123" s="96" t="s">
        <v>12465</v>
      </c>
      <c r="Z123" s="96" t="s">
        <v>12708</v>
      </c>
      <c r="AA123" s="96" t="s">
        <v>12709</v>
      </c>
      <c r="AB123" s="96" t="s">
        <v>12467</v>
      </c>
      <c r="AC123" s="96" t="s">
        <v>12710</v>
      </c>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row>
    <row r="124">
      <c r="A124" s="96" t="s">
        <v>12711</v>
      </c>
      <c r="B124" s="96" t="s">
        <v>12712</v>
      </c>
      <c r="C124" s="97" t="s">
        <v>12713</v>
      </c>
      <c r="D124" s="96" t="s">
        <v>12714</v>
      </c>
      <c r="E124" s="96" t="s">
        <v>12715</v>
      </c>
      <c r="F124" s="96" t="s">
        <v>12716</v>
      </c>
      <c r="G124" s="96" t="s">
        <v>12717</v>
      </c>
      <c r="H124" s="96" t="s">
        <v>12718</v>
      </c>
      <c r="I124" s="96" t="s">
        <v>12719</v>
      </c>
      <c r="J124" s="96" t="s">
        <v>12720</v>
      </c>
      <c r="K124" s="96" t="s">
        <v>12721</v>
      </c>
      <c r="L124" s="96" t="s">
        <v>12722</v>
      </c>
      <c r="M124" s="96" t="s">
        <v>12723</v>
      </c>
      <c r="N124" s="96" t="s">
        <v>12724</v>
      </c>
      <c r="O124" s="96" t="s">
        <v>12725</v>
      </c>
      <c r="P124" s="96" t="s">
        <v>12726</v>
      </c>
      <c r="Q124" s="96" t="s">
        <v>12727</v>
      </c>
      <c r="R124" s="96" t="s">
        <v>12728</v>
      </c>
      <c r="S124" s="96" t="s">
        <v>12729</v>
      </c>
      <c r="T124" s="96" t="s">
        <v>12722</v>
      </c>
      <c r="U124" s="96" t="s">
        <v>12730</v>
      </c>
      <c r="V124" s="96" t="s">
        <v>12731</v>
      </c>
      <c r="W124" s="96" t="s">
        <v>12732</v>
      </c>
      <c r="X124" s="96" t="s">
        <v>12733</v>
      </c>
      <c r="Y124" s="96" t="s">
        <v>12734</v>
      </c>
      <c r="Z124" s="96" t="s">
        <v>12735</v>
      </c>
      <c r="AA124" s="96" t="s">
        <v>12736</v>
      </c>
      <c r="AB124" s="96" t="s">
        <v>12724</v>
      </c>
      <c r="AC124" s="96" t="s">
        <v>12737</v>
      </c>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row>
    <row r="125">
      <c r="A125" s="96" t="s">
        <v>12738</v>
      </c>
      <c r="B125" s="96" t="s">
        <v>12739</v>
      </c>
      <c r="C125" s="97" t="s">
        <v>12740</v>
      </c>
      <c r="D125" s="96" t="s">
        <v>12741</v>
      </c>
      <c r="E125" s="96" t="s">
        <v>12742</v>
      </c>
      <c r="F125" s="96" t="s">
        <v>12743</v>
      </c>
      <c r="G125" s="96" t="s">
        <v>12744</v>
      </c>
      <c r="H125" s="96" t="s">
        <v>12745</v>
      </c>
      <c r="I125" s="96" t="s">
        <v>12746</v>
      </c>
      <c r="J125" s="96" t="s">
        <v>12747</v>
      </c>
      <c r="K125" s="96" t="s">
        <v>12748</v>
      </c>
      <c r="L125" s="96" t="s">
        <v>12749</v>
      </c>
      <c r="M125" s="96" t="s">
        <v>12750</v>
      </c>
      <c r="N125" s="96" t="s">
        <v>12751</v>
      </c>
      <c r="O125" s="96" t="s">
        <v>12752</v>
      </c>
      <c r="P125" s="96" t="s">
        <v>12753</v>
      </c>
      <c r="Q125" s="96" t="s">
        <v>12754</v>
      </c>
      <c r="R125" s="96" t="s">
        <v>12755</v>
      </c>
      <c r="S125" s="96" t="s">
        <v>12756</v>
      </c>
      <c r="T125" s="96" t="s">
        <v>12757</v>
      </c>
      <c r="U125" s="96" t="s">
        <v>12758</v>
      </c>
      <c r="V125" s="96" t="s">
        <v>12759</v>
      </c>
      <c r="W125" s="96" t="s">
        <v>12760</v>
      </c>
      <c r="X125" s="96" t="s">
        <v>12761</v>
      </c>
      <c r="Y125" s="96" t="s">
        <v>12762</v>
      </c>
      <c r="Z125" s="96" t="s">
        <v>12763</v>
      </c>
      <c r="AA125" s="96" t="s">
        <v>12764</v>
      </c>
      <c r="AB125" s="96" t="s">
        <v>12765</v>
      </c>
      <c r="AC125" s="96" t="s">
        <v>12766</v>
      </c>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row>
    <row r="126">
      <c r="A126" s="87" t="s">
        <v>12767</v>
      </c>
      <c r="B126" s="87" t="s">
        <v>12768</v>
      </c>
      <c r="C126" s="88" t="s">
        <v>12769</v>
      </c>
      <c r="D126" s="87" t="s">
        <v>12770</v>
      </c>
      <c r="E126" s="87" t="s">
        <v>12771</v>
      </c>
      <c r="F126" s="87" t="s">
        <v>12772</v>
      </c>
      <c r="G126" s="87" t="s">
        <v>12773</v>
      </c>
      <c r="H126" s="87" t="s">
        <v>12774</v>
      </c>
      <c r="I126" s="87" t="s">
        <v>12775</v>
      </c>
      <c r="J126" s="87" t="s">
        <v>12776</v>
      </c>
      <c r="K126" s="89" t="s">
        <v>12777</v>
      </c>
      <c r="L126" s="87" t="s">
        <v>12778</v>
      </c>
      <c r="M126" s="87" t="s">
        <v>12779</v>
      </c>
      <c r="N126" s="90" t="s">
        <v>12780</v>
      </c>
      <c r="O126" s="91" t="s">
        <v>12781</v>
      </c>
      <c r="P126" s="92" t="s">
        <v>12782</v>
      </c>
      <c r="Q126" s="93" t="s">
        <v>12783</v>
      </c>
      <c r="R126" s="94" t="s">
        <v>12784</v>
      </c>
      <c r="S126" s="87" t="s">
        <v>12785</v>
      </c>
      <c r="T126" s="87" t="s">
        <v>12786</v>
      </c>
      <c r="U126" s="87" t="s">
        <v>12787</v>
      </c>
      <c r="V126" s="87" t="s">
        <v>12788</v>
      </c>
      <c r="W126" s="87" t="s">
        <v>12789</v>
      </c>
      <c r="X126" s="87" t="s">
        <v>12790</v>
      </c>
      <c r="Y126" s="95" t="s">
        <v>12791</v>
      </c>
      <c r="Z126" s="87" t="s">
        <v>12792</v>
      </c>
      <c r="AA126" s="87" t="s">
        <v>12793</v>
      </c>
      <c r="AB126" s="90" t="s">
        <v>12794</v>
      </c>
      <c r="AC126" s="87" t="s">
        <v>12795</v>
      </c>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row>
    <row r="127">
      <c r="A127" s="87" t="s">
        <v>12796</v>
      </c>
      <c r="B127" s="87" t="s">
        <v>12797</v>
      </c>
      <c r="C127" s="88" t="s">
        <v>12798</v>
      </c>
      <c r="D127" s="87" t="s">
        <v>12799</v>
      </c>
      <c r="E127" s="87" t="s">
        <v>12800</v>
      </c>
      <c r="F127" s="87" t="s">
        <v>12801</v>
      </c>
      <c r="G127" s="87" t="s">
        <v>12802</v>
      </c>
      <c r="H127" s="87" t="s">
        <v>12803</v>
      </c>
      <c r="I127" s="87" t="s">
        <v>12804</v>
      </c>
      <c r="J127" s="87" t="s">
        <v>12805</v>
      </c>
      <c r="K127" s="89" t="s">
        <v>12806</v>
      </c>
      <c r="L127" s="87" t="s">
        <v>12807</v>
      </c>
      <c r="M127" s="87" t="s">
        <v>12808</v>
      </c>
      <c r="N127" s="90" t="s">
        <v>12809</v>
      </c>
      <c r="O127" s="91" t="s">
        <v>12810</v>
      </c>
      <c r="P127" s="92" t="s">
        <v>12811</v>
      </c>
      <c r="Q127" s="93" t="s">
        <v>12812</v>
      </c>
      <c r="R127" s="94" t="s">
        <v>12813</v>
      </c>
      <c r="S127" s="87" t="s">
        <v>12814</v>
      </c>
      <c r="T127" s="87" t="s">
        <v>12815</v>
      </c>
      <c r="U127" s="87" t="s">
        <v>12816</v>
      </c>
      <c r="V127" s="87" t="s">
        <v>12817</v>
      </c>
      <c r="W127" s="87" t="s">
        <v>12818</v>
      </c>
      <c r="X127" s="87" t="s">
        <v>12819</v>
      </c>
      <c r="Y127" s="95" t="s">
        <v>12820</v>
      </c>
      <c r="Z127" s="87" t="s">
        <v>12821</v>
      </c>
      <c r="AA127" s="87" t="s">
        <v>12822</v>
      </c>
      <c r="AB127" s="90" t="s">
        <v>12823</v>
      </c>
      <c r="AC127" s="87" t="s">
        <v>12824</v>
      </c>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row>
    <row r="128">
      <c r="A128" s="87" t="s">
        <v>12825</v>
      </c>
      <c r="B128" s="87" t="s">
        <v>12826</v>
      </c>
      <c r="C128" s="88" t="s">
        <v>12827</v>
      </c>
      <c r="D128" s="87" t="s">
        <v>12828</v>
      </c>
      <c r="E128" s="87" t="s">
        <v>12829</v>
      </c>
      <c r="F128" s="87" t="s">
        <v>12830</v>
      </c>
      <c r="G128" s="87" t="s">
        <v>12831</v>
      </c>
      <c r="H128" s="87" t="s">
        <v>12832</v>
      </c>
      <c r="I128" s="87" t="s">
        <v>12833</v>
      </c>
      <c r="J128" s="87" t="s">
        <v>12834</v>
      </c>
      <c r="K128" s="89" t="s">
        <v>12835</v>
      </c>
      <c r="L128" s="87" t="s">
        <v>12836</v>
      </c>
      <c r="M128" s="87" t="s">
        <v>12837</v>
      </c>
      <c r="N128" s="90" t="s">
        <v>12838</v>
      </c>
      <c r="O128" s="91" t="s">
        <v>12839</v>
      </c>
      <c r="P128" s="92" t="s">
        <v>12840</v>
      </c>
      <c r="Q128" s="93" t="s">
        <v>12841</v>
      </c>
      <c r="R128" s="94" t="s">
        <v>12842</v>
      </c>
      <c r="S128" s="87" t="s">
        <v>12843</v>
      </c>
      <c r="T128" s="87" t="s">
        <v>12836</v>
      </c>
      <c r="U128" s="87" t="s">
        <v>12826</v>
      </c>
      <c r="V128" s="87" t="s">
        <v>12844</v>
      </c>
      <c r="W128" s="87" t="s">
        <v>12831</v>
      </c>
      <c r="X128" s="87" t="s">
        <v>12845</v>
      </c>
      <c r="Y128" s="95" t="s">
        <v>12846</v>
      </c>
      <c r="Z128" s="87" t="s">
        <v>12151</v>
      </c>
      <c r="AA128" s="87" t="s">
        <v>12847</v>
      </c>
      <c r="AB128" s="90" t="s">
        <v>12848</v>
      </c>
      <c r="AC128" s="87" t="s">
        <v>12849</v>
      </c>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row>
    <row r="129">
      <c r="A129" s="87" t="s">
        <v>12850</v>
      </c>
      <c r="B129" s="87" t="s">
        <v>12851</v>
      </c>
      <c r="C129" s="88" t="s">
        <v>12852</v>
      </c>
      <c r="D129" s="87" t="s">
        <v>12853</v>
      </c>
      <c r="E129" s="87" t="s">
        <v>12854</v>
      </c>
      <c r="F129" s="87" t="s">
        <v>12855</v>
      </c>
      <c r="G129" s="87" t="s">
        <v>12856</v>
      </c>
      <c r="H129" s="87" t="s">
        <v>12857</v>
      </c>
      <c r="I129" s="87" t="s">
        <v>12858</v>
      </c>
      <c r="J129" s="87" t="s">
        <v>12859</v>
      </c>
      <c r="K129" s="89" t="s">
        <v>12860</v>
      </c>
      <c r="L129" s="87" t="s">
        <v>12861</v>
      </c>
      <c r="M129" s="87" t="s">
        <v>12862</v>
      </c>
      <c r="N129" s="90" t="s">
        <v>12863</v>
      </c>
      <c r="O129" s="91" t="s">
        <v>12864</v>
      </c>
      <c r="P129" s="92" t="s">
        <v>12865</v>
      </c>
      <c r="Q129" s="93" t="s">
        <v>12866</v>
      </c>
      <c r="R129" s="94" t="s">
        <v>12867</v>
      </c>
      <c r="S129" s="87" t="s">
        <v>12868</v>
      </c>
      <c r="T129" s="87" t="s">
        <v>12869</v>
      </c>
      <c r="U129" s="87" t="s">
        <v>12870</v>
      </c>
      <c r="V129" s="87" t="s">
        <v>12871</v>
      </c>
      <c r="W129" s="87" t="s">
        <v>12872</v>
      </c>
      <c r="X129" s="87" t="s">
        <v>12873</v>
      </c>
      <c r="Y129" s="95" t="s">
        <v>12874</v>
      </c>
      <c r="Z129" s="87" t="s">
        <v>12875</v>
      </c>
      <c r="AA129" s="87" t="s">
        <v>12876</v>
      </c>
      <c r="AB129" s="90" t="s">
        <v>12877</v>
      </c>
      <c r="AC129" s="87" t="s">
        <v>12878</v>
      </c>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row>
    <row r="130">
      <c r="A130" s="87" t="s">
        <v>12879</v>
      </c>
      <c r="B130" s="87" t="s">
        <v>12880</v>
      </c>
      <c r="C130" s="88" t="s">
        <v>12881</v>
      </c>
      <c r="D130" s="87" t="s">
        <v>12882</v>
      </c>
      <c r="E130" s="87" t="s">
        <v>12883</v>
      </c>
      <c r="F130" s="87" t="s">
        <v>12884</v>
      </c>
      <c r="G130" s="87" t="s">
        <v>12885</v>
      </c>
      <c r="H130" s="87" t="s">
        <v>12886</v>
      </c>
      <c r="I130" s="87" t="s">
        <v>12887</v>
      </c>
      <c r="J130" s="87" t="s">
        <v>12888</v>
      </c>
      <c r="K130" s="89" t="s">
        <v>12889</v>
      </c>
      <c r="L130" s="87" t="s">
        <v>12890</v>
      </c>
      <c r="M130" s="87" t="s">
        <v>12891</v>
      </c>
      <c r="N130" s="90" t="s">
        <v>12892</v>
      </c>
      <c r="O130" s="91" t="s">
        <v>12893</v>
      </c>
      <c r="P130" s="92" t="s">
        <v>12894</v>
      </c>
      <c r="Q130" s="93" t="s">
        <v>12895</v>
      </c>
      <c r="R130" s="94" t="s">
        <v>12896</v>
      </c>
      <c r="S130" s="87" t="s">
        <v>12897</v>
      </c>
      <c r="T130" s="87" t="s">
        <v>12898</v>
      </c>
      <c r="U130" s="87" t="s">
        <v>12899</v>
      </c>
      <c r="V130" s="87" t="s">
        <v>12900</v>
      </c>
      <c r="W130" s="87" t="s">
        <v>12901</v>
      </c>
      <c r="X130" s="87" t="s">
        <v>12902</v>
      </c>
      <c r="Y130" s="95" t="s">
        <v>12903</v>
      </c>
      <c r="Z130" s="87" t="s">
        <v>12904</v>
      </c>
      <c r="AA130" s="87" t="s">
        <v>12905</v>
      </c>
      <c r="AB130" s="90" t="s">
        <v>12906</v>
      </c>
      <c r="AC130" s="87" t="s">
        <v>12907</v>
      </c>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row>
    <row r="131">
      <c r="A131" s="87" t="s">
        <v>12908</v>
      </c>
      <c r="B131" s="87" t="s">
        <v>12909</v>
      </c>
      <c r="C131" s="88" t="s">
        <v>12910</v>
      </c>
      <c r="D131" s="87" t="s">
        <v>12911</v>
      </c>
      <c r="E131" s="87" t="s">
        <v>12912</v>
      </c>
      <c r="F131" s="87" t="s">
        <v>12913</v>
      </c>
      <c r="G131" s="87" t="s">
        <v>12914</v>
      </c>
      <c r="H131" s="87" t="s">
        <v>12915</v>
      </c>
      <c r="I131" s="87" t="s">
        <v>12916</v>
      </c>
      <c r="J131" s="87" t="s">
        <v>12917</v>
      </c>
      <c r="K131" s="89" t="s">
        <v>12918</v>
      </c>
      <c r="L131" s="87" t="s">
        <v>12919</v>
      </c>
      <c r="M131" s="87" t="s">
        <v>12920</v>
      </c>
      <c r="N131" s="90" t="s">
        <v>12921</v>
      </c>
      <c r="O131" s="91" t="s">
        <v>12922</v>
      </c>
      <c r="P131" s="92" t="s">
        <v>12923</v>
      </c>
      <c r="Q131" s="93" t="s">
        <v>12924</v>
      </c>
      <c r="R131" s="94" t="s">
        <v>12925</v>
      </c>
      <c r="S131" s="87" t="s">
        <v>12926</v>
      </c>
      <c r="T131" s="87" t="s">
        <v>12927</v>
      </c>
      <c r="U131" s="87" t="s">
        <v>12928</v>
      </c>
      <c r="V131" s="87" t="s">
        <v>12929</v>
      </c>
      <c r="W131" s="87" t="s">
        <v>12930</v>
      </c>
      <c r="X131" s="87" t="s">
        <v>12931</v>
      </c>
      <c r="Y131" s="95" t="s">
        <v>12932</v>
      </c>
      <c r="Z131" s="87" t="s">
        <v>12933</v>
      </c>
      <c r="AA131" s="87" t="s">
        <v>12934</v>
      </c>
      <c r="AB131" s="90" t="s">
        <v>12935</v>
      </c>
      <c r="AC131" s="87" t="s">
        <v>12936</v>
      </c>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row>
    <row r="132">
      <c r="A132" s="87" t="s">
        <v>12937</v>
      </c>
      <c r="B132" s="87" t="s">
        <v>12938</v>
      </c>
      <c r="C132" s="88" t="s">
        <v>12939</v>
      </c>
      <c r="D132" s="87" t="s">
        <v>12940</v>
      </c>
      <c r="E132" s="87" t="s">
        <v>12938</v>
      </c>
      <c r="F132" s="87" t="s">
        <v>12941</v>
      </c>
      <c r="G132" s="87" t="s">
        <v>12942</v>
      </c>
      <c r="H132" s="87" t="s">
        <v>12943</v>
      </c>
      <c r="I132" s="87" t="s">
        <v>12944</v>
      </c>
      <c r="J132" s="87" t="s">
        <v>12945</v>
      </c>
      <c r="K132" s="89" t="s">
        <v>12946</v>
      </c>
      <c r="L132" s="87" t="s">
        <v>12947</v>
      </c>
      <c r="M132" s="87" t="s">
        <v>12945</v>
      </c>
      <c r="N132" s="87" t="s">
        <v>12948</v>
      </c>
      <c r="O132" s="91" t="s">
        <v>12949</v>
      </c>
      <c r="P132" s="92" t="s">
        <v>12950</v>
      </c>
      <c r="Q132" s="93" t="s">
        <v>12951</v>
      </c>
      <c r="R132" s="94" t="s">
        <v>12952</v>
      </c>
      <c r="S132" s="87" t="s">
        <v>12953</v>
      </c>
      <c r="T132" s="87" t="s">
        <v>12954</v>
      </c>
      <c r="U132" s="87" t="s">
        <v>12945</v>
      </c>
      <c r="V132" s="87" t="s">
        <v>12945</v>
      </c>
      <c r="W132" s="87" t="s">
        <v>12945</v>
      </c>
      <c r="X132" s="87" t="s">
        <v>12955</v>
      </c>
      <c r="Y132" s="95" t="s">
        <v>12956</v>
      </c>
      <c r="Z132" s="87" t="s">
        <v>12957</v>
      </c>
      <c r="AA132" s="87" t="s">
        <v>12958</v>
      </c>
      <c r="AB132" s="90" t="s">
        <v>12959</v>
      </c>
      <c r="AC132" s="87" t="s">
        <v>12938</v>
      </c>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row>
    <row r="133">
      <c r="A133" s="87" t="s">
        <v>12960</v>
      </c>
      <c r="B133" s="87" t="s">
        <v>12961</v>
      </c>
      <c r="C133" s="88" t="s">
        <v>12962</v>
      </c>
      <c r="D133" s="87" t="s">
        <v>12963</v>
      </c>
      <c r="E133" s="87" t="s">
        <v>12964</v>
      </c>
      <c r="F133" s="87" t="s">
        <v>12965</v>
      </c>
      <c r="G133" s="87" t="s">
        <v>12966</v>
      </c>
      <c r="H133" s="87" t="s">
        <v>12967</v>
      </c>
      <c r="I133" s="87" t="s">
        <v>12968</v>
      </c>
      <c r="J133" s="87" t="s">
        <v>12969</v>
      </c>
      <c r="K133" s="89" t="s">
        <v>12970</v>
      </c>
      <c r="L133" s="87" t="s">
        <v>12971</v>
      </c>
      <c r="M133" s="87" t="s">
        <v>12972</v>
      </c>
      <c r="N133" s="90" t="s">
        <v>12973</v>
      </c>
      <c r="O133" s="91" t="s">
        <v>12974</v>
      </c>
      <c r="P133" s="92" t="s">
        <v>12975</v>
      </c>
      <c r="Q133" s="93" t="s">
        <v>12976</v>
      </c>
      <c r="R133" s="94" t="s">
        <v>12977</v>
      </c>
      <c r="S133" s="87" t="s">
        <v>12978</v>
      </c>
      <c r="T133" s="87" t="s">
        <v>12979</v>
      </c>
      <c r="U133" s="87" t="s">
        <v>12980</v>
      </c>
      <c r="V133" s="87" t="s">
        <v>12981</v>
      </c>
      <c r="W133" s="87" t="s">
        <v>12982</v>
      </c>
      <c r="X133" s="87" t="s">
        <v>12983</v>
      </c>
      <c r="Y133" s="95" t="s">
        <v>12984</v>
      </c>
      <c r="Z133" s="87" t="s">
        <v>12985</v>
      </c>
      <c r="AA133" s="87" t="s">
        <v>12986</v>
      </c>
      <c r="AB133" s="90" t="s">
        <v>12987</v>
      </c>
      <c r="AC133" s="87" t="s">
        <v>12988</v>
      </c>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row>
    <row r="134">
      <c r="A134" s="87" t="s">
        <v>12989</v>
      </c>
      <c r="B134" s="87" t="s">
        <v>12990</v>
      </c>
      <c r="C134" s="88" t="s">
        <v>12991</v>
      </c>
      <c r="D134" s="87" t="s">
        <v>12992</v>
      </c>
      <c r="E134" s="87" t="s">
        <v>12993</v>
      </c>
      <c r="F134" s="87" t="s">
        <v>12994</v>
      </c>
      <c r="G134" s="87" t="s">
        <v>12995</v>
      </c>
      <c r="H134" s="87" t="s">
        <v>12996</v>
      </c>
      <c r="I134" s="87" t="s">
        <v>12997</v>
      </c>
      <c r="J134" s="87" t="s">
        <v>12998</v>
      </c>
      <c r="K134" s="89" t="s">
        <v>12999</v>
      </c>
      <c r="L134" s="87" t="s">
        <v>13000</v>
      </c>
      <c r="M134" s="87" t="s">
        <v>13001</v>
      </c>
      <c r="N134" s="90" t="s">
        <v>13002</v>
      </c>
      <c r="O134" s="91" t="s">
        <v>13003</v>
      </c>
      <c r="P134" s="92" t="s">
        <v>13004</v>
      </c>
      <c r="Q134" s="93" t="s">
        <v>13005</v>
      </c>
      <c r="R134" s="94" t="s">
        <v>13006</v>
      </c>
      <c r="S134" s="87" t="s">
        <v>13007</v>
      </c>
      <c r="T134" s="87" t="s">
        <v>13008</v>
      </c>
      <c r="U134" s="87" t="s">
        <v>13009</v>
      </c>
      <c r="V134" s="87" t="s">
        <v>13010</v>
      </c>
      <c r="W134" s="87" t="s">
        <v>13011</v>
      </c>
      <c r="X134" s="87" t="s">
        <v>13012</v>
      </c>
      <c r="Y134" s="95" t="s">
        <v>13013</v>
      </c>
      <c r="Z134" s="87" t="s">
        <v>13014</v>
      </c>
      <c r="AA134" s="87" t="s">
        <v>13015</v>
      </c>
      <c r="AB134" s="90" t="s">
        <v>13016</v>
      </c>
      <c r="AC134" s="87" t="s">
        <v>13017</v>
      </c>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row>
    <row r="135">
      <c r="A135" s="87" t="s">
        <v>13018</v>
      </c>
      <c r="B135" s="87" t="s">
        <v>13019</v>
      </c>
      <c r="C135" s="88" t="s">
        <v>13020</v>
      </c>
      <c r="D135" s="87" t="s">
        <v>13021</v>
      </c>
      <c r="E135" s="87" t="s">
        <v>13022</v>
      </c>
      <c r="F135" s="87" t="s">
        <v>13023</v>
      </c>
      <c r="G135" s="87" t="s">
        <v>13024</v>
      </c>
      <c r="H135" s="87" t="s">
        <v>13025</v>
      </c>
      <c r="I135" s="87" t="s">
        <v>13026</v>
      </c>
      <c r="J135" s="87" t="s">
        <v>13027</v>
      </c>
      <c r="K135" s="89" t="s">
        <v>13028</v>
      </c>
      <c r="L135" s="87" t="s">
        <v>13029</v>
      </c>
      <c r="M135" s="87" t="s">
        <v>13030</v>
      </c>
      <c r="N135" s="90" t="s">
        <v>13031</v>
      </c>
      <c r="O135" s="91" t="s">
        <v>13032</v>
      </c>
      <c r="P135" s="92" t="s">
        <v>13033</v>
      </c>
      <c r="Q135" s="93" t="s">
        <v>13034</v>
      </c>
      <c r="R135" s="94" t="s">
        <v>13035</v>
      </c>
      <c r="S135" s="87" t="s">
        <v>13036</v>
      </c>
      <c r="T135" s="87" t="s">
        <v>13037</v>
      </c>
      <c r="U135" s="87" t="s">
        <v>13038</v>
      </c>
      <c r="V135" s="87" t="s">
        <v>13039</v>
      </c>
      <c r="W135" s="87" t="s">
        <v>13040</v>
      </c>
      <c r="X135" s="87" t="s">
        <v>13041</v>
      </c>
      <c r="Y135" s="95" t="s">
        <v>13042</v>
      </c>
      <c r="Z135" s="87" t="s">
        <v>13043</v>
      </c>
      <c r="AA135" s="87" t="s">
        <v>13044</v>
      </c>
      <c r="AB135" s="90" t="s">
        <v>13045</v>
      </c>
      <c r="AC135" s="87" t="s">
        <v>13046</v>
      </c>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row>
    <row r="136">
      <c r="A136" s="87" t="s">
        <v>13047</v>
      </c>
      <c r="B136" s="87" t="s">
        <v>13048</v>
      </c>
      <c r="C136" s="88" t="s">
        <v>13049</v>
      </c>
      <c r="D136" s="87" t="s">
        <v>13050</v>
      </c>
      <c r="E136" s="87" t="s">
        <v>13051</v>
      </c>
      <c r="F136" s="87" t="s">
        <v>13052</v>
      </c>
      <c r="G136" s="87" t="s">
        <v>13053</v>
      </c>
      <c r="H136" s="87" t="s">
        <v>13054</v>
      </c>
      <c r="I136" s="87" t="s">
        <v>13055</v>
      </c>
      <c r="J136" s="87" t="s">
        <v>13056</v>
      </c>
      <c r="K136" s="89" t="s">
        <v>13057</v>
      </c>
      <c r="L136" s="87" t="s">
        <v>13058</v>
      </c>
      <c r="M136" s="87" t="s">
        <v>13059</v>
      </c>
      <c r="N136" s="90" t="s">
        <v>13060</v>
      </c>
      <c r="O136" s="91" t="s">
        <v>13061</v>
      </c>
      <c r="P136" s="92" t="s">
        <v>13062</v>
      </c>
      <c r="Q136" s="93" t="s">
        <v>13063</v>
      </c>
      <c r="R136" s="94" t="s">
        <v>13064</v>
      </c>
      <c r="S136" s="87" t="s">
        <v>13065</v>
      </c>
      <c r="T136" s="87" t="s">
        <v>13066</v>
      </c>
      <c r="U136" s="87" t="s">
        <v>13067</v>
      </c>
      <c r="V136" s="87" t="s">
        <v>13068</v>
      </c>
      <c r="W136" s="87" t="s">
        <v>13069</v>
      </c>
      <c r="X136" s="87" t="s">
        <v>13070</v>
      </c>
      <c r="Y136" s="95" t="s">
        <v>13071</v>
      </c>
      <c r="Z136" s="87" t="s">
        <v>13072</v>
      </c>
      <c r="AA136" s="87" t="s">
        <v>13073</v>
      </c>
      <c r="AB136" s="90" t="s">
        <v>13074</v>
      </c>
      <c r="AC136" s="87" t="s">
        <v>13075</v>
      </c>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row>
    <row r="137">
      <c r="A137" s="37" t="s">
        <v>13076</v>
      </c>
      <c r="B137" s="38" t="s">
        <v>13077</v>
      </c>
      <c r="C137" s="39" t="s">
        <v>13078</v>
      </c>
      <c r="D137" s="38" t="s">
        <v>13079</v>
      </c>
      <c r="E137" s="38" t="s">
        <v>13080</v>
      </c>
      <c r="F137" s="38" t="s">
        <v>13081</v>
      </c>
      <c r="G137" s="38" t="s">
        <v>13082</v>
      </c>
      <c r="H137" s="38" t="s">
        <v>13083</v>
      </c>
      <c r="I137" s="38" t="s">
        <v>13084</v>
      </c>
      <c r="J137" s="38" t="s">
        <v>13085</v>
      </c>
      <c r="K137" s="40" t="s">
        <v>13086</v>
      </c>
      <c r="L137" s="38" t="s">
        <v>13087</v>
      </c>
      <c r="M137" s="38" t="s">
        <v>13088</v>
      </c>
      <c r="N137" s="41" t="s">
        <v>13089</v>
      </c>
      <c r="O137" s="42" t="s">
        <v>13090</v>
      </c>
      <c r="P137" s="43" t="s">
        <v>13091</v>
      </c>
      <c r="Q137" s="44" t="s">
        <v>13092</v>
      </c>
      <c r="R137" s="45" t="s">
        <v>13093</v>
      </c>
      <c r="S137" s="38" t="s">
        <v>13094</v>
      </c>
      <c r="T137" s="38" t="s">
        <v>13095</v>
      </c>
      <c r="U137" s="38" t="s">
        <v>13096</v>
      </c>
      <c r="V137" s="38" t="s">
        <v>13097</v>
      </c>
      <c r="W137" s="38" t="s">
        <v>13098</v>
      </c>
      <c r="X137" s="38" t="s">
        <v>13099</v>
      </c>
      <c r="Y137" s="46" t="s">
        <v>13100</v>
      </c>
      <c r="Z137" s="38" t="s">
        <v>13101</v>
      </c>
      <c r="AA137" s="38" t="s">
        <v>13102</v>
      </c>
      <c r="AB137" s="41" t="s">
        <v>13103</v>
      </c>
      <c r="AC137" s="38" t="s">
        <v>13104</v>
      </c>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row>
    <row r="138">
      <c r="A138" s="87" t="s">
        <v>13105</v>
      </c>
      <c r="B138" s="87" t="s">
        <v>13106</v>
      </c>
      <c r="C138" s="88" t="s">
        <v>13107</v>
      </c>
      <c r="D138" s="87" t="s">
        <v>13108</v>
      </c>
      <c r="E138" s="87" t="s">
        <v>13109</v>
      </c>
      <c r="F138" s="87" t="s">
        <v>13110</v>
      </c>
      <c r="G138" s="87" t="s">
        <v>13111</v>
      </c>
      <c r="H138" s="87" t="s">
        <v>13112</v>
      </c>
      <c r="I138" s="87" t="s">
        <v>13113</v>
      </c>
      <c r="J138" s="87" t="s">
        <v>13114</v>
      </c>
      <c r="K138" s="89" t="s">
        <v>13115</v>
      </c>
      <c r="L138" s="87" t="s">
        <v>13116</v>
      </c>
      <c r="M138" s="87" t="s">
        <v>13117</v>
      </c>
      <c r="N138" s="90" t="s">
        <v>13118</v>
      </c>
      <c r="O138" s="91" t="s">
        <v>13119</v>
      </c>
      <c r="P138" s="92" t="s">
        <v>13120</v>
      </c>
      <c r="Q138" s="93" t="s">
        <v>13121</v>
      </c>
      <c r="R138" s="94" t="s">
        <v>13122</v>
      </c>
      <c r="S138" s="87" t="s">
        <v>13123</v>
      </c>
      <c r="T138" s="87" t="s">
        <v>13124</v>
      </c>
      <c r="U138" s="87" t="s">
        <v>13125</v>
      </c>
      <c r="V138" s="87" t="s">
        <v>13126</v>
      </c>
      <c r="W138" s="87" t="s">
        <v>13127</v>
      </c>
      <c r="X138" s="87" t="s">
        <v>13128</v>
      </c>
      <c r="Y138" s="95" t="s">
        <v>13129</v>
      </c>
      <c r="Z138" s="87" t="s">
        <v>13130</v>
      </c>
      <c r="AA138" s="87" t="s">
        <v>13131</v>
      </c>
      <c r="AB138" s="90" t="s">
        <v>13132</v>
      </c>
      <c r="AC138" s="87" t="s">
        <v>13133</v>
      </c>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row>
    <row r="139">
      <c r="A139" s="87" t="s">
        <v>13134</v>
      </c>
      <c r="B139" s="87" t="s">
        <v>13135</v>
      </c>
      <c r="C139" s="88" t="s">
        <v>13136</v>
      </c>
      <c r="D139" s="87" t="s">
        <v>13137</v>
      </c>
      <c r="E139" s="87" t="s">
        <v>13138</v>
      </c>
      <c r="F139" s="87" t="s">
        <v>13139</v>
      </c>
      <c r="G139" s="87" t="s">
        <v>13140</v>
      </c>
      <c r="H139" s="87" t="s">
        <v>13141</v>
      </c>
      <c r="I139" s="87" t="s">
        <v>13142</v>
      </c>
      <c r="J139" s="87" t="s">
        <v>13143</v>
      </c>
      <c r="K139" s="89" t="s">
        <v>13144</v>
      </c>
      <c r="L139" s="87" t="s">
        <v>13145</v>
      </c>
      <c r="M139" s="87" t="s">
        <v>13146</v>
      </c>
      <c r="N139" s="90" t="s">
        <v>13147</v>
      </c>
      <c r="O139" s="91" t="s">
        <v>13148</v>
      </c>
      <c r="P139" s="92" t="s">
        <v>13149</v>
      </c>
      <c r="Q139" s="93" t="s">
        <v>13150</v>
      </c>
      <c r="R139" s="94" t="s">
        <v>13151</v>
      </c>
      <c r="S139" s="87" t="s">
        <v>13152</v>
      </c>
      <c r="T139" s="87" t="s">
        <v>13153</v>
      </c>
      <c r="U139" s="87" t="s">
        <v>13154</v>
      </c>
      <c r="V139" s="87" t="s">
        <v>13155</v>
      </c>
      <c r="W139" s="87" t="s">
        <v>13156</v>
      </c>
      <c r="X139" s="87" t="s">
        <v>13157</v>
      </c>
      <c r="Y139" s="95" t="s">
        <v>13158</v>
      </c>
      <c r="Z139" s="87" t="s">
        <v>13159</v>
      </c>
      <c r="AA139" s="87" t="s">
        <v>13160</v>
      </c>
      <c r="AB139" s="90" t="s">
        <v>13161</v>
      </c>
      <c r="AC139" s="87" t="s">
        <v>13162</v>
      </c>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row>
    <row r="140">
      <c r="A140" s="87" t="s">
        <v>13163</v>
      </c>
      <c r="B140" s="87" t="s">
        <v>13164</v>
      </c>
      <c r="C140" s="88" t="s">
        <v>13165</v>
      </c>
      <c r="D140" s="87" t="s">
        <v>13166</v>
      </c>
      <c r="E140" s="87" t="s">
        <v>13167</v>
      </c>
      <c r="F140" s="87" t="s">
        <v>13168</v>
      </c>
      <c r="G140" s="87" t="s">
        <v>13169</v>
      </c>
      <c r="H140" s="87" t="s">
        <v>13170</v>
      </c>
      <c r="I140" s="87" t="s">
        <v>13171</v>
      </c>
      <c r="J140" s="87" t="s">
        <v>13172</v>
      </c>
      <c r="K140" s="89" t="s">
        <v>13173</v>
      </c>
      <c r="L140" s="87" t="s">
        <v>13174</v>
      </c>
      <c r="M140" s="87" t="s">
        <v>13175</v>
      </c>
      <c r="N140" s="90" t="s">
        <v>13176</v>
      </c>
      <c r="O140" s="91" t="s">
        <v>13177</v>
      </c>
      <c r="P140" s="92" t="s">
        <v>13178</v>
      </c>
      <c r="Q140" s="93" t="s">
        <v>13179</v>
      </c>
      <c r="R140" s="94" t="s">
        <v>13180</v>
      </c>
      <c r="S140" s="87" t="s">
        <v>13181</v>
      </c>
      <c r="T140" s="87" t="s">
        <v>13182</v>
      </c>
      <c r="U140" s="87" t="s">
        <v>13183</v>
      </c>
      <c r="V140" s="87" t="s">
        <v>13184</v>
      </c>
      <c r="W140" s="87" t="s">
        <v>13185</v>
      </c>
      <c r="X140" s="87" t="s">
        <v>13186</v>
      </c>
      <c r="Y140" s="95" t="s">
        <v>13187</v>
      </c>
      <c r="Z140" s="87" t="s">
        <v>13188</v>
      </c>
      <c r="AA140" s="87" t="s">
        <v>13189</v>
      </c>
      <c r="AB140" s="90" t="s">
        <v>13190</v>
      </c>
      <c r="AC140" s="87" t="s">
        <v>13191</v>
      </c>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row>
    <row r="141">
      <c r="A141" s="87" t="s">
        <v>13192</v>
      </c>
      <c r="B141" s="87" t="s">
        <v>13193</v>
      </c>
      <c r="C141" s="88" t="s">
        <v>13194</v>
      </c>
      <c r="D141" s="87" t="s">
        <v>13195</v>
      </c>
      <c r="E141" s="87" t="s">
        <v>13196</v>
      </c>
      <c r="F141" s="87" t="s">
        <v>13197</v>
      </c>
      <c r="G141" s="87" t="s">
        <v>13198</v>
      </c>
      <c r="H141" s="87" t="s">
        <v>13199</v>
      </c>
      <c r="I141" s="87" t="s">
        <v>13200</v>
      </c>
      <c r="J141" s="87" t="s">
        <v>13201</v>
      </c>
      <c r="K141" s="89" t="s">
        <v>13202</v>
      </c>
      <c r="L141" s="87" t="s">
        <v>13203</v>
      </c>
      <c r="M141" s="87" t="s">
        <v>13204</v>
      </c>
      <c r="N141" s="90" t="s">
        <v>13205</v>
      </c>
      <c r="O141" s="91" t="s">
        <v>13206</v>
      </c>
      <c r="P141" s="92" t="s">
        <v>13207</v>
      </c>
      <c r="Q141" s="93" t="s">
        <v>13208</v>
      </c>
      <c r="R141" s="94" t="s">
        <v>13209</v>
      </c>
      <c r="S141" s="87" t="s">
        <v>13210</v>
      </c>
      <c r="T141" s="87" t="s">
        <v>13211</v>
      </c>
      <c r="U141" s="87" t="s">
        <v>13212</v>
      </c>
      <c r="V141" s="87" t="s">
        <v>13213</v>
      </c>
      <c r="W141" s="87" t="s">
        <v>13214</v>
      </c>
      <c r="X141" s="87" t="s">
        <v>13215</v>
      </c>
      <c r="Y141" s="95" t="s">
        <v>13216</v>
      </c>
      <c r="Z141" s="87" t="s">
        <v>13217</v>
      </c>
      <c r="AA141" s="87" t="s">
        <v>13218</v>
      </c>
      <c r="AB141" s="90" t="s">
        <v>13219</v>
      </c>
      <c r="AC141" s="87" t="s">
        <v>13220</v>
      </c>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row>
    <row r="142">
      <c r="A142" s="87" t="s">
        <v>13221</v>
      </c>
      <c r="B142" s="87" t="s">
        <v>13222</v>
      </c>
      <c r="C142" s="88" t="s">
        <v>13223</v>
      </c>
      <c r="D142" s="87" t="s">
        <v>13224</v>
      </c>
      <c r="E142" s="87" t="s">
        <v>13225</v>
      </c>
      <c r="F142" s="87" t="s">
        <v>13226</v>
      </c>
      <c r="G142" s="87" t="s">
        <v>13227</v>
      </c>
      <c r="H142" s="87" t="s">
        <v>13228</v>
      </c>
      <c r="I142" s="87" t="s">
        <v>13229</v>
      </c>
      <c r="J142" s="87" t="s">
        <v>13230</v>
      </c>
      <c r="K142" s="89" t="s">
        <v>13231</v>
      </c>
      <c r="L142" s="87" t="s">
        <v>13232</v>
      </c>
      <c r="M142" s="87" t="s">
        <v>13233</v>
      </c>
      <c r="N142" s="90" t="s">
        <v>13234</v>
      </c>
      <c r="O142" s="91" t="s">
        <v>13235</v>
      </c>
      <c r="P142" s="92" t="s">
        <v>13236</v>
      </c>
      <c r="Q142" s="93" t="s">
        <v>13237</v>
      </c>
      <c r="R142" s="94" t="s">
        <v>13238</v>
      </c>
      <c r="S142" s="87" t="s">
        <v>13239</v>
      </c>
      <c r="T142" s="87" t="s">
        <v>13240</v>
      </c>
      <c r="U142" s="87" t="s">
        <v>13241</v>
      </c>
      <c r="V142" s="87" t="s">
        <v>13242</v>
      </c>
      <c r="W142" s="87" t="s">
        <v>13243</v>
      </c>
      <c r="X142" s="87" t="s">
        <v>13244</v>
      </c>
      <c r="Y142" s="95" t="s">
        <v>13245</v>
      </c>
      <c r="Z142" s="87" t="s">
        <v>13246</v>
      </c>
      <c r="AA142" s="87" t="s">
        <v>13247</v>
      </c>
      <c r="AB142" s="90" t="s">
        <v>13248</v>
      </c>
      <c r="AC142" s="87" t="s">
        <v>13249</v>
      </c>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row>
    <row r="143">
      <c r="A143" s="87" t="s">
        <v>13250</v>
      </c>
      <c r="B143" s="87" t="s">
        <v>13251</v>
      </c>
      <c r="C143" s="88" t="s">
        <v>13252</v>
      </c>
      <c r="D143" s="87" t="s">
        <v>13253</v>
      </c>
      <c r="E143" s="87" t="s">
        <v>13254</v>
      </c>
      <c r="F143" s="87" t="s">
        <v>13255</v>
      </c>
      <c r="G143" s="87" t="s">
        <v>13256</v>
      </c>
      <c r="H143" s="87" t="s">
        <v>13257</v>
      </c>
      <c r="I143" s="87" t="s">
        <v>13258</v>
      </c>
      <c r="J143" s="87" t="s">
        <v>13259</v>
      </c>
      <c r="K143" s="89" t="s">
        <v>13260</v>
      </c>
      <c r="L143" s="87" t="s">
        <v>13261</v>
      </c>
      <c r="M143" s="87" t="s">
        <v>13262</v>
      </c>
      <c r="N143" s="90" t="s">
        <v>13263</v>
      </c>
      <c r="O143" s="91" t="s">
        <v>13264</v>
      </c>
      <c r="P143" s="92" t="s">
        <v>13265</v>
      </c>
      <c r="Q143" s="93" t="s">
        <v>13266</v>
      </c>
      <c r="R143" s="94" t="s">
        <v>13267</v>
      </c>
      <c r="S143" s="87" t="s">
        <v>13268</v>
      </c>
      <c r="T143" s="87" t="s">
        <v>13269</v>
      </c>
      <c r="U143" s="87" t="s">
        <v>13270</v>
      </c>
      <c r="V143" s="87" t="s">
        <v>13271</v>
      </c>
      <c r="W143" s="87" t="s">
        <v>13272</v>
      </c>
      <c r="X143" s="87" t="s">
        <v>13273</v>
      </c>
      <c r="Y143" s="95" t="s">
        <v>13274</v>
      </c>
      <c r="Z143" s="87" t="s">
        <v>13275</v>
      </c>
      <c r="AA143" s="87" t="s">
        <v>13276</v>
      </c>
      <c r="AB143" s="90" t="s">
        <v>13277</v>
      </c>
      <c r="AC143" s="87" t="s">
        <v>13278</v>
      </c>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row>
    <row r="144">
      <c r="A144" s="87" t="s">
        <v>13279</v>
      </c>
      <c r="B144" s="87" t="s">
        <v>13280</v>
      </c>
      <c r="C144" s="88" t="s">
        <v>13281</v>
      </c>
      <c r="D144" s="87" t="s">
        <v>13282</v>
      </c>
      <c r="E144" s="87" t="s">
        <v>13283</v>
      </c>
      <c r="F144" s="87" t="s">
        <v>13284</v>
      </c>
      <c r="G144" s="87" t="s">
        <v>13285</v>
      </c>
      <c r="H144" s="87" t="s">
        <v>13286</v>
      </c>
      <c r="I144" s="87" t="s">
        <v>13287</v>
      </c>
      <c r="J144" s="87" t="s">
        <v>13288</v>
      </c>
      <c r="K144" s="89" t="s">
        <v>13289</v>
      </c>
      <c r="L144" s="87" t="s">
        <v>13290</v>
      </c>
      <c r="M144" s="87" t="s">
        <v>13291</v>
      </c>
      <c r="N144" s="90" t="s">
        <v>13292</v>
      </c>
      <c r="O144" s="91" t="s">
        <v>13293</v>
      </c>
      <c r="P144" s="92" t="s">
        <v>13294</v>
      </c>
      <c r="Q144" s="93" t="s">
        <v>13295</v>
      </c>
      <c r="R144" s="94" t="s">
        <v>13296</v>
      </c>
      <c r="S144" s="87" t="s">
        <v>13297</v>
      </c>
      <c r="T144" s="87" t="s">
        <v>13298</v>
      </c>
      <c r="U144" s="87" t="s">
        <v>13299</v>
      </c>
      <c r="V144" s="87" t="s">
        <v>13300</v>
      </c>
      <c r="W144" s="87" t="s">
        <v>13301</v>
      </c>
      <c r="X144" s="87" t="s">
        <v>13302</v>
      </c>
      <c r="Y144" s="95" t="s">
        <v>13303</v>
      </c>
      <c r="Z144" s="87" t="s">
        <v>13304</v>
      </c>
      <c r="AA144" s="87" t="s">
        <v>13305</v>
      </c>
      <c r="AB144" s="90" t="s">
        <v>13306</v>
      </c>
      <c r="AC144" s="87" t="s">
        <v>13307</v>
      </c>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row>
    <row r="145">
      <c r="A145" s="87" t="s">
        <v>13308</v>
      </c>
      <c r="B145" s="87" t="s">
        <v>13309</v>
      </c>
      <c r="C145" s="88" t="s">
        <v>13310</v>
      </c>
      <c r="D145" s="87" t="s">
        <v>13311</v>
      </c>
      <c r="E145" s="87" t="s">
        <v>13312</v>
      </c>
      <c r="F145" s="87" t="s">
        <v>13313</v>
      </c>
      <c r="G145" s="87" t="s">
        <v>13314</v>
      </c>
      <c r="H145" s="87" t="s">
        <v>13315</v>
      </c>
      <c r="I145" s="87" t="s">
        <v>2711</v>
      </c>
      <c r="J145" s="87" t="s">
        <v>13316</v>
      </c>
      <c r="K145" s="89" t="s">
        <v>13317</v>
      </c>
      <c r="L145" s="87" t="s">
        <v>13318</v>
      </c>
      <c r="M145" s="87" t="s">
        <v>13319</v>
      </c>
      <c r="N145" s="90" t="s">
        <v>2716</v>
      </c>
      <c r="O145" s="91" t="s">
        <v>13320</v>
      </c>
      <c r="P145" s="92" t="s">
        <v>13321</v>
      </c>
      <c r="Q145" s="93" t="s">
        <v>10132</v>
      </c>
      <c r="R145" s="94" t="s">
        <v>13322</v>
      </c>
      <c r="S145" s="87" t="s">
        <v>13323</v>
      </c>
      <c r="T145" s="87" t="s">
        <v>13318</v>
      </c>
      <c r="U145" s="87" t="s">
        <v>13324</v>
      </c>
      <c r="V145" s="87" t="s">
        <v>13325</v>
      </c>
      <c r="W145" s="87" t="s">
        <v>13326</v>
      </c>
      <c r="X145" s="87" t="s">
        <v>13327</v>
      </c>
      <c r="Y145" s="95" t="s">
        <v>13328</v>
      </c>
      <c r="Z145" s="87" t="s">
        <v>13329</v>
      </c>
      <c r="AA145" s="87" t="s">
        <v>13330</v>
      </c>
      <c r="AB145" s="90" t="s">
        <v>13331</v>
      </c>
      <c r="AC145" s="87" t="s">
        <v>13332</v>
      </c>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row>
    <row r="146">
      <c r="A146" s="87" t="s">
        <v>13333</v>
      </c>
      <c r="B146" s="87" t="s">
        <v>13334</v>
      </c>
      <c r="C146" s="88" t="s">
        <v>13335</v>
      </c>
      <c r="D146" s="87" t="s">
        <v>13336</v>
      </c>
      <c r="E146" s="87" t="s">
        <v>13337</v>
      </c>
      <c r="F146" s="87" t="s">
        <v>13338</v>
      </c>
      <c r="G146" s="87" t="s">
        <v>13339</v>
      </c>
      <c r="H146" s="87" t="s">
        <v>13340</v>
      </c>
      <c r="I146" s="87" t="s">
        <v>13341</v>
      </c>
      <c r="J146" s="87" t="s">
        <v>13342</v>
      </c>
      <c r="K146" s="89" t="s">
        <v>13343</v>
      </c>
      <c r="L146" s="87" t="s">
        <v>13344</v>
      </c>
      <c r="M146" s="87" t="s">
        <v>13345</v>
      </c>
      <c r="N146" s="90" t="s">
        <v>13346</v>
      </c>
      <c r="O146" s="91" t="s">
        <v>13347</v>
      </c>
      <c r="P146" s="92" t="s">
        <v>13348</v>
      </c>
      <c r="Q146" s="93" t="s">
        <v>13349</v>
      </c>
      <c r="R146" s="94" t="s">
        <v>13350</v>
      </c>
      <c r="S146" s="87" t="s">
        <v>13351</v>
      </c>
      <c r="T146" s="87" t="s">
        <v>13352</v>
      </c>
      <c r="U146" s="87" t="s">
        <v>13353</v>
      </c>
      <c r="V146" s="87" t="s">
        <v>13354</v>
      </c>
      <c r="W146" s="87" t="s">
        <v>13355</v>
      </c>
      <c r="X146" s="87" t="s">
        <v>13356</v>
      </c>
      <c r="Y146" s="95" t="s">
        <v>13357</v>
      </c>
      <c r="Z146" s="87" t="s">
        <v>13358</v>
      </c>
      <c r="AA146" s="87" t="s">
        <v>13359</v>
      </c>
      <c r="AB146" s="90" t="s">
        <v>13360</v>
      </c>
      <c r="AC146" s="87" t="s">
        <v>13361</v>
      </c>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row>
    <row r="147">
      <c r="A147" s="87" t="s">
        <v>13362</v>
      </c>
      <c r="B147" s="87" t="s">
        <v>13363</v>
      </c>
      <c r="C147" s="88" t="s">
        <v>13364</v>
      </c>
      <c r="D147" s="87" t="s">
        <v>13365</v>
      </c>
      <c r="E147" s="87" t="s">
        <v>13366</v>
      </c>
      <c r="F147" s="87" t="s">
        <v>13367</v>
      </c>
      <c r="G147" s="87" t="s">
        <v>13368</v>
      </c>
      <c r="H147" s="87" t="s">
        <v>13366</v>
      </c>
      <c r="I147" s="87" t="s">
        <v>13369</v>
      </c>
      <c r="J147" s="87" t="s">
        <v>13370</v>
      </c>
      <c r="K147" s="89" t="s">
        <v>13371</v>
      </c>
      <c r="L147" s="87" t="s">
        <v>13344</v>
      </c>
      <c r="M147" s="87" t="s">
        <v>13363</v>
      </c>
      <c r="N147" s="90" t="s">
        <v>13346</v>
      </c>
      <c r="O147" s="91" t="s">
        <v>13347</v>
      </c>
      <c r="P147" s="92" t="s">
        <v>13372</v>
      </c>
      <c r="Q147" s="93" t="s">
        <v>13349</v>
      </c>
      <c r="R147" s="94" t="s">
        <v>13350</v>
      </c>
      <c r="S147" s="87" t="s">
        <v>13373</v>
      </c>
      <c r="T147" s="87" t="s">
        <v>13352</v>
      </c>
      <c r="U147" s="87" t="s">
        <v>13374</v>
      </c>
      <c r="V147" s="87" t="s">
        <v>13366</v>
      </c>
      <c r="W147" s="87" t="s">
        <v>13375</v>
      </c>
      <c r="X147" s="87" t="s">
        <v>13376</v>
      </c>
      <c r="Y147" s="95" t="s">
        <v>13357</v>
      </c>
      <c r="Z147" s="87" t="s">
        <v>13377</v>
      </c>
      <c r="AA147" s="87" t="s">
        <v>13378</v>
      </c>
      <c r="AB147" s="90" t="s">
        <v>13379</v>
      </c>
      <c r="AC147" s="87" t="s">
        <v>13361</v>
      </c>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row>
    <row r="148">
      <c r="A148" s="87" t="s">
        <v>13380</v>
      </c>
      <c r="B148" s="87" t="s">
        <v>13381</v>
      </c>
      <c r="C148" s="88" t="s">
        <v>13382</v>
      </c>
      <c r="D148" s="87" t="s">
        <v>13383</v>
      </c>
      <c r="E148" s="87" t="s">
        <v>13384</v>
      </c>
      <c r="F148" s="87" t="s">
        <v>13385</v>
      </c>
      <c r="G148" s="87" t="s">
        <v>13386</v>
      </c>
      <c r="H148" s="87" t="s">
        <v>13387</v>
      </c>
      <c r="I148" s="87" t="s">
        <v>13388</v>
      </c>
      <c r="J148" s="87" t="s">
        <v>13389</v>
      </c>
      <c r="K148" s="89" t="s">
        <v>13390</v>
      </c>
      <c r="L148" s="87" t="s">
        <v>13391</v>
      </c>
      <c r="M148" s="87" t="s">
        <v>13392</v>
      </c>
      <c r="N148" s="90" t="s">
        <v>13393</v>
      </c>
      <c r="O148" s="91" t="s">
        <v>13394</v>
      </c>
      <c r="P148" s="92" t="s">
        <v>13395</v>
      </c>
      <c r="Q148" s="93" t="s">
        <v>13396</v>
      </c>
      <c r="R148" s="94" t="s">
        <v>13397</v>
      </c>
      <c r="S148" s="87" t="s">
        <v>13398</v>
      </c>
      <c r="T148" s="87" t="s">
        <v>13399</v>
      </c>
      <c r="U148" s="87" t="s">
        <v>13400</v>
      </c>
      <c r="V148" s="87" t="s">
        <v>13401</v>
      </c>
      <c r="W148" s="87" t="s">
        <v>13402</v>
      </c>
      <c r="X148" s="87" t="s">
        <v>13403</v>
      </c>
      <c r="Y148" s="95" t="s">
        <v>13404</v>
      </c>
      <c r="Z148" s="87" t="s">
        <v>13405</v>
      </c>
      <c r="AA148" s="87" t="s">
        <v>13406</v>
      </c>
      <c r="AB148" s="90" t="s">
        <v>13407</v>
      </c>
      <c r="AC148" s="87" t="s">
        <v>13408</v>
      </c>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row>
    <row r="149">
      <c r="A149" s="87" t="s">
        <v>13409</v>
      </c>
      <c r="B149" s="87" t="s">
        <v>13410</v>
      </c>
      <c r="C149" s="88" t="s">
        <v>9054</v>
      </c>
      <c r="D149" s="87" t="s">
        <v>13411</v>
      </c>
      <c r="E149" s="87" t="s">
        <v>13412</v>
      </c>
      <c r="F149" s="87" t="s">
        <v>13413</v>
      </c>
      <c r="G149" s="87" t="s">
        <v>13414</v>
      </c>
      <c r="H149" s="87" t="s">
        <v>13415</v>
      </c>
      <c r="I149" s="87" t="s">
        <v>13416</v>
      </c>
      <c r="J149" s="87" t="s">
        <v>9061</v>
      </c>
      <c r="K149" s="89" t="s">
        <v>13417</v>
      </c>
      <c r="L149" s="87" t="s">
        <v>13418</v>
      </c>
      <c r="M149" s="87" t="s">
        <v>13419</v>
      </c>
      <c r="N149" s="90" t="s">
        <v>4456</v>
      </c>
      <c r="O149" s="91" t="s">
        <v>13420</v>
      </c>
      <c r="P149" s="92" t="s">
        <v>13421</v>
      </c>
      <c r="Q149" s="93" t="s">
        <v>13422</v>
      </c>
      <c r="R149" s="94" t="s">
        <v>13423</v>
      </c>
      <c r="S149" s="87" t="s">
        <v>13424</v>
      </c>
      <c r="T149" s="87" t="s">
        <v>13418</v>
      </c>
      <c r="U149" s="87" t="s">
        <v>13425</v>
      </c>
      <c r="V149" s="87" t="s">
        <v>9073</v>
      </c>
      <c r="W149" s="87" t="s">
        <v>13426</v>
      </c>
      <c r="X149" s="87" t="s">
        <v>9074</v>
      </c>
      <c r="Y149" s="95" t="s">
        <v>13427</v>
      </c>
      <c r="Z149" s="87" t="s">
        <v>13428</v>
      </c>
      <c r="AA149" s="87" t="s">
        <v>13429</v>
      </c>
      <c r="AB149" s="90" t="s">
        <v>13430</v>
      </c>
      <c r="AC149" s="87" t="s">
        <v>13431</v>
      </c>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row>
    <row r="150">
      <c r="A150" s="87" t="s">
        <v>13432</v>
      </c>
      <c r="B150" s="87" t="s">
        <v>13433</v>
      </c>
      <c r="C150" s="88" t="s">
        <v>13434</v>
      </c>
      <c r="D150" s="87" t="s">
        <v>13435</v>
      </c>
      <c r="E150" s="87" t="s">
        <v>13436</v>
      </c>
      <c r="F150" s="87" t="s">
        <v>13437</v>
      </c>
      <c r="G150" s="87" t="s">
        <v>13438</v>
      </c>
      <c r="H150" s="87" t="s">
        <v>13439</v>
      </c>
      <c r="I150" s="87" t="s">
        <v>13440</v>
      </c>
      <c r="J150" s="87" t="s">
        <v>13441</v>
      </c>
      <c r="K150" s="89" t="s">
        <v>13442</v>
      </c>
      <c r="L150" s="87" t="s">
        <v>13443</v>
      </c>
      <c r="M150" s="87" t="s">
        <v>13444</v>
      </c>
      <c r="N150" s="90" t="s">
        <v>13445</v>
      </c>
      <c r="O150" s="91" t="s">
        <v>13446</v>
      </c>
      <c r="P150" s="92" t="s">
        <v>13447</v>
      </c>
      <c r="Q150" s="93" t="s">
        <v>13448</v>
      </c>
      <c r="R150" s="94" t="s">
        <v>13449</v>
      </c>
      <c r="S150" s="87" t="s">
        <v>13450</v>
      </c>
      <c r="T150" s="87" t="s">
        <v>13443</v>
      </c>
      <c r="U150" s="87" t="s">
        <v>13451</v>
      </c>
      <c r="V150" s="87" t="s">
        <v>13452</v>
      </c>
      <c r="W150" s="87" t="s">
        <v>13438</v>
      </c>
      <c r="X150" s="87" t="s">
        <v>13453</v>
      </c>
      <c r="Y150" s="95" t="s">
        <v>13454</v>
      </c>
      <c r="Z150" s="87" t="s">
        <v>13455</v>
      </c>
      <c r="AA150" s="87" t="s">
        <v>13456</v>
      </c>
      <c r="AB150" s="90" t="s">
        <v>13457</v>
      </c>
      <c r="AC150" s="87" t="s">
        <v>13458</v>
      </c>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row>
    <row r="151">
      <c r="A151" s="87" t="s">
        <v>13459</v>
      </c>
      <c r="B151" s="87" t="s">
        <v>13460</v>
      </c>
      <c r="C151" s="88" t="s">
        <v>13461</v>
      </c>
      <c r="D151" s="87" t="s">
        <v>13462</v>
      </c>
      <c r="E151" s="87" t="s">
        <v>13463</v>
      </c>
      <c r="F151" s="87" t="s">
        <v>13464</v>
      </c>
      <c r="G151" s="87" t="s">
        <v>13465</v>
      </c>
      <c r="H151" s="87" t="s">
        <v>13466</v>
      </c>
      <c r="I151" s="87" t="s">
        <v>13467</v>
      </c>
      <c r="J151" s="87" t="s">
        <v>13468</v>
      </c>
      <c r="K151" s="89" t="s">
        <v>13469</v>
      </c>
      <c r="L151" s="87" t="s">
        <v>13470</v>
      </c>
      <c r="M151" s="87" t="s">
        <v>13471</v>
      </c>
      <c r="N151" s="90" t="s">
        <v>13472</v>
      </c>
      <c r="O151" s="91" t="s">
        <v>13473</v>
      </c>
      <c r="P151" s="92" t="s">
        <v>13474</v>
      </c>
      <c r="Q151" s="93" t="s">
        <v>13475</v>
      </c>
      <c r="R151" s="94" t="s">
        <v>13476</v>
      </c>
      <c r="S151" s="87" t="s">
        <v>13477</v>
      </c>
      <c r="T151" s="87" t="s">
        <v>13478</v>
      </c>
      <c r="U151" s="87" t="s">
        <v>13479</v>
      </c>
      <c r="V151" s="87" t="s">
        <v>13480</v>
      </c>
      <c r="W151" s="87" t="s">
        <v>13465</v>
      </c>
      <c r="X151" s="87" t="s">
        <v>13481</v>
      </c>
      <c r="Y151" s="95" t="s">
        <v>13482</v>
      </c>
      <c r="Z151" s="87" t="s">
        <v>13483</v>
      </c>
      <c r="AA151" s="87" t="s">
        <v>13484</v>
      </c>
      <c r="AB151" s="90" t="s">
        <v>13485</v>
      </c>
      <c r="AC151" s="87" t="s">
        <v>13486</v>
      </c>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row>
    <row r="152">
      <c r="A152" s="87" t="s">
        <v>13487</v>
      </c>
      <c r="B152" s="87" t="s">
        <v>13488</v>
      </c>
      <c r="C152" s="88" t="s">
        <v>13489</v>
      </c>
      <c r="D152" s="87" t="s">
        <v>1131</v>
      </c>
      <c r="E152" s="87" t="s">
        <v>1147</v>
      </c>
      <c r="F152" s="87" t="s">
        <v>13490</v>
      </c>
      <c r="G152" s="87" t="s">
        <v>13491</v>
      </c>
      <c r="H152" s="87" t="s">
        <v>13492</v>
      </c>
      <c r="I152" s="87" t="s">
        <v>13493</v>
      </c>
      <c r="J152" s="87" t="s">
        <v>13494</v>
      </c>
      <c r="K152" s="89" t="s">
        <v>13495</v>
      </c>
      <c r="L152" s="87" t="s">
        <v>13496</v>
      </c>
      <c r="M152" s="87" t="s">
        <v>13497</v>
      </c>
      <c r="N152" s="90" t="s">
        <v>13498</v>
      </c>
      <c r="O152" s="91" t="s">
        <v>13499</v>
      </c>
      <c r="P152" s="92" t="s">
        <v>13500</v>
      </c>
      <c r="Q152" s="93" t="s">
        <v>13501</v>
      </c>
      <c r="R152" s="94" t="s">
        <v>13502</v>
      </c>
      <c r="S152" s="87" t="s">
        <v>1145</v>
      </c>
      <c r="T152" s="87" t="s">
        <v>13496</v>
      </c>
      <c r="U152" s="87" t="s">
        <v>13494</v>
      </c>
      <c r="V152" s="87" t="s">
        <v>13503</v>
      </c>
      <c r="W152" s="87" t="s">
        <v>13504</v>
      </c>
      <c r="X152" s="87" t="s">
        <v>13505</v>
      </c>
      <c r="Y152" s="95" t="s">
        <v>13506</v>
      </c>
      <c r="Z152" s="87" t="s">
        <v>13507</v>
      </c>
      <c r="AA152" s="87" t="s">
        <v>13508</v>
      </c>
      <c r="AB152" s="90" t="s">
        <v>13509</v>
      </c>
      <c r="AC152" s="87" t="s">
        <v>13510</v>
      </c>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row>
    <row r="153">
      <c r="A153" s="87" t="s">
        <v>13511</v>
      </c>
      <c r="B153" s="87" t="s">
        <v>13512</v>
      </c>
      <c r="C153" s="88" t="s">
        <v>13513</v>
      </c>
      <c r="D153" s="87" t="s">
        <v>13514</v>
      </c>
      <c r="E153" s="87" t="s">
        <v>13515</v>
      </c>
      <c r="F153" s="87" t="s">
        <v>13516</v>
      </c>
      <c r="G153" s="87" t="s">
        <v>13517</v>
      </c>
      <c r="H153" s="87" t="s">
        <v>13518</v>
      </c>
      <c r="I153" s="87" t="s">
        <v>13519</v>
      </c>
      <c r="J153" s="87" t="s">
        <v>13520</v>
      </c>
      <c r="K153" s="89" t="s">
        <v>13521</v>
      </c>
      <c r="L153" s="87" t="s">
        <v>13522</v>
      </c>
      <c r="M153" s="87" t="s">
        <v>13523</v>
      </c>
      <c r="N153" s="90" t="s">
        <v>13524</v>
      </c>
      <c r="O153" s="91" t="s">
        <v>13525</v>
      </c>
      <c r="P153" s="92" t="s">
        <v>13526</v>
      </c>
      <c r="Q153" s="93" t="s">
        <v>13527</v>
      </c>
      <c r="R153" s="94" t="s">
        <v>13528</v>
      </c>
      <c r="S153" s="87" t="s">
        <v>13529</v>
      </c>
      <c r="T153" s="87" t="s">
        <v>13530</v>
      </c>
      <c r="U153" s="87" t="s">
        <v>13531</v>
      </c>
      <c r="V153" s="87" t="s">
        <v>13532</v>
      </c>
      <c r="W153" s="87" t="s">
        <v>13533</v>
      </c>
      <c r="X153" s="87" t="s">
        <v>13534</v>
      </c>
      <c r="Y153" s="95" t="s">
        <v>13535</v>
      </c>
      <c r="Z153" s="87" t="s">
        <v>13536</v>
      </c>
      <c r="AA153" s="87" t="s">
        <v>13537</v>
      </c>
      <c r="AB153" s="90" t="s">
        <v>13538</v>
      </c>
      <c r="AC153" s="87" t="s">
        <v>13539</v>
      </c>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row>
    <row r="154">
      <c r="A154" s="87" t="s">
        <v>13540</v>
      </c>
      <c r="B154" s="87" t="s">
        <v>13541</v>
      </c>
      <c r="C154" s="88" t="s">
        <v>13542</v>
      </c>
      <c r="D154" s="87" t="s">
        <v>13541</v>
      </c>
      <c r="E154" s="87" t="s">
        <v>13541</v>
      </c>
      <c r="F154" s="87" t="s">
        <v>13541</v>
      </c>
      <c r="G154" s="87" t="s">
        <v>13543</v>
      </c>
      <c r="H154" s="87" t="s">
        <v>13541</v>
      </c>
      <c r="I154" s="87" t="s">
        <v>13541</v>
      </c>
      <c r="J154" s="87" t="s">
        <v>13544</v>
      </c>
      <c r="K154" s="89" t="s">
        <v>13545</v>
      </c>
      <c r="L154" s="87" t="s">
        <v>13546</v>
      </c>
      <c r="M154" s="87" t="s">
        <v>13541</v>
      </c>
      <c r="N154" s="90" t="s">
        <v>13547</v>
      </c>
      <c r="O154" s="91" t="s">
        <v>13548</v>
      </c>
      <c r="P154" s="92" t="s">
        <v>13549</v>
      </c>
      <c r="Q154" s="93" t="s">
        <v>13550</v>
      </c>
      <c r="R154" s="94" t="s">
        <v>13551</v>
      </c>
      <c r="S154" s="87" t="s">
        <v>13541</v>
      </c>
      <c r="T154" s="87" t="s">
        <v>13541</v>
      </c>
      <c r="U154" s="87" t="s">
        <v>13541</v>
      </c>
      <c r="V154" s="87" t="s">
        <v>13552</v>
      </c>
      <c r="W154" s="87" t="s">
        <v>13553</v>
      </c>
      <c r="X154" s="87" t="s">
        <v>13554</v>
      </c>
      <c r="Y154" s="95" t="s">
        <v>13555</v>
      </c>
      <c r="Z154" s="87" t="s">
        <v>13556</v>
      </c>
      <c r="AA154" s="87" t="s">
        <v>13557</v>
      </c>
      <c r="AB154" s="90" t="s">
        <v>13558</v>
      </c>
      <c r="AC154" s="87" t="s">
        <v>13559</v>
      </c>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row>
    <row r="155">
      <c r="A155" s="57" t="s">
        <v>13560</v>
      </c>
      <c r="B155" s="57" t="s">
        <v>13561</v>
      </c>
      <c r="C155" s="99" t="s">
        <v>13562</v>
      </c>
      <c r="D155" s="57" t="s">
        <v>13563</v>
      </c>
      <c r="E155" s="57" t="s">
        <v>13564</v>
      </c>
      <c r="F155" s="57" t="s">
        <v>13565</v>
      </c>
      <c r="G155" s="57" t="s">
        <v>13566</v>
      </c>
      <c r="H155" s="57" t="s">
        <v>13567</v>
      </c>
      <c r="I155" s="57" t="s">
        <v>13568</v>
      </c>
      <c r="J155" s="57" t="s">
        <v>13569</v>
      </c>
      <c r="K155" s="57" t="s">
        <v>13570</v>
      </c>
      <c r="L155" s="57" t="s">
        <v>13571</v>
      </c>
      <c r="M155" s="57" t="s">
        <v>13572</v>
      </c>
      <c r="N155" s="57" t="s">
        <v>13573</v>
      </c>
      <c r="O155" s="57" t="s">
        <v>13574</v>
      </c>
      <c r="P155" s="57" t="s">
        <v>13575</v>
      </c>
      <c r="Q155" s="57" t="s">
        <v>13576</v>
      </c>
      <c r="R155" s="57" t="s">
        <v>13577</v>
      </c>
      <c r="S155" s="57" t="s">
        <v>13578</v>
      </c>
      <c r="T155" s="57" t="s">
        <v>13571</v>
      </c>
      <c r="U155" s="57" t="s">
        <v>13579</v>
      </c>
      <c r="V155" s="57" t="s">
        <v>13580</v>
      </c>
      <c r="W155" s="57" t="s">
        <v>13569</v>
      </c>
      <c r="X155" s="57" t="s">
        <v>13581</v>
      </c>
      <c r="Y155" s="57" t="s">
        <v>13582</v>
      </c>
      <c r="Z155" s="57" t="s">
        <v>13583</v>
      </c>
      <c r="AA155" s="57" t="s">
        <v>13584</v>
      </c>
      <c r="AB155" s="57" t="s">
        <v>13585</v>
      </c>
      <c r="AC155" s="57" t="s">
        <v>13586</v>
      </c>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row>
    <row r="156">
      <c r="A156" s="57" t="s">
        <v>13587</v>
      </c>
      <c r="B156" s="57" t="s">
        <v>13588</v>
      </c>
      <c r="C156" s="99" t="s">
        <v>13589</v>
      </c>
      <c r="D156" s="57" t="s">
        <v>13590</v>
      </c>
      <c r="E156" s="57" t="s">
        <v>13591</v>
      </c>
      <c r="F156" s="57" t="s">
        <v>13592</v>
      </c>
      <c r="G156" s="57" t="s">
        <v>13593</v>
      </c>
      <c r="H156" s="57" t="s">
        <v>13594</v>
      </c>
      <c r="I156" s="57" t="s">
        <v>13595</v>
      </c>
      <c r="J156" s="57" t="s">
        <v>13596</v>
      </c>
      <c r="K156" s="57" t="s">
        <v>13597</v>
      </c>
      <c r="L156" s="57" t="s">
        <v>13598</v>
      </c>
      <c r="M156" s="57" t="s">
        <v>13599</v>
      </c>
      <c r="N156" s="57" t="s">
        <v>13600</v>
      </c>
      <c r="O156" s="57" t="s">
        <v>13601</v>
      </c>
      <c r="P156" s="57" t="s">
        <v>13602</v>
      </c>
      <c r="Q156" s="57" t="s">
        <v>13603</v>
      </c>
      <c r="R156" s="57" t="s">
        <v>13604</v>
      </c>
      <c r="S156" s="57" t="s">
        <v>13605</v>
      </c>
      <c r="T156" s="57" t="s">
        <v>13606</v>
      </c>
      <c r="U156" s="57" t="s">
        <v>13607</v>
      </c>
      <c r="V156" s="57" t="s">
        <v>13608</v>
      </c>
      <c r="W156" s="57" t="s">
        <v>13609</v>
      </c>
      <c r="X156" s="57" t="s">
        <v>13610</v>
      </c>
      <c r="Y156" s="57" t="s">
        <v>13611</v>
      </c>
      <c r="Z156" s="57" t="s">
        <v>13612</v>
      </c>
      <c r="AA156" s="57" t="s">
        <v>13613</v>
      </c>
      <c r="AB156" s="57" t="s">
        <v>13614</v>
      </c>
      <c r="AC156" s="57" t="s">
        <v>13615</v>
      </c>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row>
    <row r="157">
      <c r="A157" s="57" t="s">
        <v>13616</v>
      </c>
      <c r="B157" s="57" t="s">
        <v>13617</v>
      </c>
      <c r="C157" s="99" t="s">
        <v>13618</v>
      </c>
      <c r="D157" s="57" t="s">
        <v>13619</v>
      </c>
      <c r="E157" s="57" t="s">
        <v>13620</v>
      </c>
      <c r="F157" s="57" t="s">
        <v>13621</v>
      </c>
      <c r="G157" s="57" t="s">
        <v>13622</v>
      </c>
      <c r="H157" s="57" t="s">
        <v>13623</v>
      </c>
      <c r="I157" s="57" t="s">
        <v>13624</v>
      </c>
      <c r="J157" s="57" t="s">
        <v>13625</v>
      </c>
      <c r="K157" s="57" t="s">
        <v>13626</v>
      </c>
      <c r="L157" s="57" t="s">
        <v>13627</v>
      </c>
      <c r="M157" s="57" t="s">
        <v>13628</v>
      </c>
      <c r="N157" s="57" t="s">
        <v>13629</v>
      </c>
      <c r="O157" s="57" t="s">
        <v>13630</v>
      </c>
      <c r="P157" s="57" t="s">
        <v>13631</v>
      </c>
      <c r="Q157" s="57" t="s">
        <v>13632</v>
      </c>
      <c r="R157" s="57" t="s">
        <v>13633</v>
      </c>
      <c r="S157" s="57" t="s">
        <v>13634</v>
      </c>
      <c r="T157" s="57" t="s">
        <v>13635</v>
      </c>
      <c r="U157" s="57" t="s">
        <v>13636</v>
      </c>
      <c r="V157" s="57" t="s">
        <v>13637</v>
      </c>
      <c r="W157" s="57" t="s">
        <v>13638</v>
      </c>
      <c r="X157" s="57" t="s">
        <v>13639</v>
      </c>
      <c r="Y157" s="57" t="s">
        <v>3541</v>
      </c>
      <c r="Z157" s="57" t="s">
        <v>13640</v>
      </c>
      <c r="AA157" s="57" t="s">
        <v>13641</v>
      </c>
      <c r="AB157" s="57" t="s">
        <v>13642</v>
      </c>
      <c r="AC157" s="57" t="s">
        <v>13643</v>
      </c>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row>
    <row r="158">
      <c r="A158" s="57" t="s">
        <v>13644</v>
      </c>
      <c r="B158" s="57" t="s">
        <v>13645</v>
      </c>
      <c r="C158" s="99" t="s">
        <v>13646</v>
      </c>
      <c r="D158" s="57" t="s">
        <v>13647</v>
      </c>
      <c r="E158" s="57" t="s">
        <v>13648</v>
      </c>
      <c r="F158" s="57" t="s">
        <v>13649</v>
      </c>
      <c r="G158" s="57" t="s">
        <v>13650</v>
      </c>
      <c r="H158" s="57" t="s">
        <v>13651</v>
      </c>
      <c r="I158" s="57" t="s">
        <v>13652</v>
      </c>
      <c r="J158" s="57" t="s">
        <v>13653</v>
      </c>
      <c r="K158" s="57" t="s">
        <v>13654</v>
      </c>
      <c r="L158" s="57" t="s">
        <v>13655</v>
      </c>
      <c r="M158" s="57" t="s">
        <v>13656</v>
      </c>
      <c r="N158" s="57" t="s">
        <v>13657</v>
      </c>
      <c r="O158" s="57" t="s">
        <v>13658</v>
      </c>
      <c r="P158" s="57" t="s">
        <v>13659</v>
      </c>
      <c r="Q158" s="57" t="s">
        <v>13660</v>
      </c>
      <c r="R158" s="57" t="s">
        <v>13661</v>
      </c>
      <c r="S158" s="57" t="s">
        <v>13662</v>
      </c>
      <c r="T158" s="57" t="s">
        <v>13663</v>
      </c>
      <c r="U158" s="57" t="s">
        <v>13664</v>
      </c>
      <c r="V158" s="57" t="s">
        <v>13665</v>
      </c>
      <c r="W158" s="57" t="s">
        <v>13666</v>
      </c>
      <c r="X158" s="57" t="s">
        <v>13667</v>
      </c>
      <c r="Y158" s="57" t="s">
        <v>13668</v>
      </c>
      <c r="Z158" s="57" t="s">
        <v>13669</v>
      </c>
      <c r="AA158" s="57" t="s">
        <v>13670</v>
      </c>
      <c r="AB158" s="57" t="s">
        <v>13671</v>
      </c>
      <c r="AC158" s="57" t="s">
        <v>13672</v>
      </c>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row>
    <row r="159">
      <c r="A159" s="57" t="s">
        <v>13673</v>
      </c>
      <c r="B159" s="57" t="s">
        <v>13674</v>
      </c>
      <c r="C159" s="99" t="s">
        <v>13675</v>
      </c>
      <c r="D159" s="57" t="s">
        <v>13676</v>
      </c>
      <c r="E159" s="57" t="s">
        <v>13677</v>
      </c>
      <c r="F159" s="57" t="s">
        <v>13678</v>
      </c>
      <c r="G159" s="57" t="s">
        <v>13679</v>
      </c>
      <c r="H159" s="57" t="s">
        <v>13680</v>
      </c>
      <c r="I159" s="57" t="s">
        <v>13681</v>
      </c>
      <c r="J159" s="57" t="s">
        <v>13682</v>
      </c>
      <c r="K159" s="57" t="s">
        <v>13683</v>
      </c>
      <c r="L159" s="57" t="s">
        <v>13684</v>
      </c>
      <c r="M159" s="57" t="s">
        <v>13685</v>
      </c>
      <c r="N159" s="57" t="s">
        <v>13686</v>
      </c>
      <c r="O159" s="57" t="s">
        <v>13687</v>
      </c>
      <c r="P159" s="57" t="s">
        <v>13688</v>
      </c>
      <c r="Q159" s="57" t="s">
        <v>13689</v>
      </c>
      <c r="R159" s="57" t="s">
        <v>13690</v>
      </c>
      <c r="S159" s="57" t="s">
        <v>13691</v>
      </c>
      <c r="T159" s="57" t="s">
        <v>13692</v>
      </c>
      <c r="U159" s="57" t="s">
        <v>13693</v>
      </c>
      <c r="V159" s="57" t="s">
        <v>13694</v>
      </c>
      <c r="W159" s="57" t="s">
        <v>13695</v>
      </c>
      <c r="X159" s="57" t="s">
        <v>13696</v>
      </c>
      <c r="Y159" s="57" t="s">
        <v>13697</v>
      </c>
      <c r="Z159" s="57" t="s">
        <v>13698</v>
      </c>
      <c r="AA159" s="57" t="s">
        <v>13699</v>
      </c>
      <c r="AB159" s="57" t="s">
        <v>13700</v>
      </c>
      <c r="AC159" s="57" t="s">
        <v>13701</v>
      </c>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row>
    <row r="160">
      <c r="A160" s="57" t="s">
        <v>13702</v>
      </c>
      <c r="B160" s="57" t="s">
        <v>13703</v>
      </c>
      <c r="C160" s="99" t="s">
        <v>13704</v>
      </c>
      <c r="D160" s="57" t="s">
        <v>13705</v>
      </c>
      <c r="E160" s="57" t="s">
        <v>13706</v>
      </c>
      <c r="F160" s="57" t="s">
        <v>13707</v>
      </c>
      <c r="G160" s="57" t="s">
        <v>13708</v>
      </c>
      <c r="H160" s="57" t="s">
        <v>13709</v>
      </c>
      <c r="I160" s="57" t="s">
        <v>13710</v>
      </c>
      <c r="J160" s="57" t="s">
        <v>13711</v>
      </c>
      <c r="K160" s="57" t="s">
        <v>13712</v>
      </c>
      <c r="L160" s="57" t="s">
        <v>13713</v>
      </c>
      <c r="M160" s="57" t="s">
        <v>13714</v>
      </c>
      <c r="N160" s="57" t="s">
        <v>13715</v>
      </c>
      <c r="O160" s="57" t="s">
        <v>13716</v>
      </c>
      <c r="P160" s="57" t="s">
        <v>13717</v>
      </c>
      <c r="Q160" s="57" t="s">
        <v>13718</v>
      </c>
      <c r="R160" s="57" t="s">
        <v>13719</v>
      </c>
      <c r="S160" s="57" t="s">
        <v>13720</v>
      </c>
      <c r="T160" s="57" t="s">
        <v>13721</v>
      </c>
      <c r="U160" s="57" t="s">
        <v>13722</v>
      </c>
      <c r="V160" s="57" t="s">
        <v>13723</v>
      </c>
      <c r="W160" s="57" t="s">
        <v>13724</v>
      </c>
      <c r="X160" s="57" t="s">
        <v>13725</v>
      </c>
      <c r="Y160" s="57" t="s">
        <v>13726</v>
      </c>
      <c r="Z160" s="57" t="s">
        <v>13727</v>
      </c>
      <c r="AA160" s="57" t="s">
        <v>13728</v>
      </c>
      <c r="AB160" s="57" t="s">
        <v>13729</v>
      </c>
      <c r="AC160" s="57" t="s">
        <v>13730</v>
      </c>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row>
    <row r="161">
      <c r="A161" s="37" t="s">
        <v>13731</v>
      </c>
      <c r="B161" s="38" t="s">
        <v>13732</v>
      </c>
      <c r="C161" s="39" t="s">
        <v>13733</v>
      </c>
      <c r="D161" s="38" t="s">
        <v>13734</v>
      </c>
      <c r="E161" s="38" t="s">
        <v>13735</v>
      </c>
      <c r="F161" s="38" t="s">
        <v>13736</v>
      </c>
      <c r="G161" s="38" t="s">
        <v>13737</v>
      </c>
      <c r="H161" s="38" t="s">
        <v>13738</v>
      </c>
      <c r="I161" s="38" t="s">
        <v>13739</v>
      </c>
      <c r="J161" s="38" t="s">
        <v>13740</v>
      </c>
      <c r="K161" s="40" t="s">
        <v>13741</v>
      </c>
      <c r="L161" s="38" t="s">
        <v>13742</v>
      </c>
      <c r="M161" s="38" t="s">
        <v>13743</v>
      </c>
      <c r="N161" s="41" t="s">
        <v>13744</v>
      </c>
      <c r="O161" s="42" t="s">
        <v>13745</v>
      </c>
      <c r="P161" s="43" t="s">
        <v>13746</v>
      </c>
      <c r="Q161" s="44" t="s">
        <v>13747</v>
      </c>
      <c r="R161" s="45" t="s">
        <v>13748</v>
      </c>
      <c r="S161" s="38" t="s">
        <v>13749</v>
      </c>
      <c r="T161" s="38" t="s">
        <v>13750</v>
      </c>
      <c r="U161" s="38" t="s">
        <v>13751</v>
      </c>
      <c r="V161" s="38" t="s">
        <v>13752</v>
      </c>
      <c r="W161" s="38" t="s">
        <v>13753</v>
      </c>
      <c r="X161" s="38" t="s">
        <v>13754</v>
      </c>
      <c r="Y161" s="46" t="s">
        <v>13755</v>
      </c>
      <c r="Z161" s="38" t="s">
        <v>13756</v>
      </c>
      <c r="AA161" s="38" t="s">
        <v>13757</v>
      </c>
      <c r="AB161" s="41" t="s">
        <v>13758</v>
      </c>
      <c r="AC161" s="38" t="s">
        <v>13759</v>
      </c>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row>
    <row r="162">
      <c r="A162" s="37" t="s">
        <v>13760</v>
      </c>
      <c r="B162" s="38" t="s">
        <v>13761</v>
      </c>
      <c r="C162" s="39" t="s">
        <v>13762</v>
      </c>
      <c r="D162" s="38" t="s">
        <v>13763</v>
      </c>
      <c r="E162" s="38" t="s">
        <v>13764</v>
      </c>
      <c r="F162" s="38" t="s">
        <v>13765</v>
      </c>
      <c r="G162" s="38" t="s">
        <v>13766</v>
      </c>
      <c r="H162" s="38" t="s">
        <v>13767</v>
      </c>
      <c r="I162" s="38" t="s">
        <v>13768</v>
      </c>
      <c r="J162" s="38" t="s">
        <v>13769</v>
      </c>
      <c r="K162" s="38" t="s">
        <v>13770</v>
      </c>
      <c r="L162" s="38" t="s">
        <v>13771</v>
      </c>
      <c r="M162" s="38" t="s">
        <v>13772</v>
      </c>
      <c r="N162" s="38" t="s">
        <v>13773</v>
      </c>
      <c r="O162" s="42" t="s">
        <v>13774</v>
      </c>
      <c r="P162" s="38" t="s">
        <v>13775</v>
      </c>
      <c r="Q162" s="38" t="s">
        <v>13776</v>
      </c>
      <c r="R162" s="45" t="s">
        <v>13777</v>
      </c>
      <c r="S162" s="38" t="s">
        <v>13778</v>
      </c>
      <c r="T162" s="38" t="s">
        <v>13779</v>
      </c>
      <c r="U162" s="38" t="s">
        <v>13780</v>
      </c>
      <c r="V162" s="38" t="s">
        <v>13781</v>
      </c>
      <c r="W162" s="38" t="s">
        <v>13782</v>
      </c>
      <c r="X162" s="38" t="s">
        <v>13783</v>
      </c>
      <c r="Y162" s="46" t="s">
        <v>13784</v>
      </c>
      <c r="Z162" s="38" t="s">
        <v>13785</v>
      </c>
      <c r="AA162" s="38" t="s">
        <v>13786</v>
      </c>
      <c r="AB162" s="41" t="s">
        <v>13787</v>
      </c>
      <c r="AC162" s="38" t="s">
        <v>13788</v>
      </c>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row>
    <row r="163">
      <c r="A163" s="37" t="s">
        <v>13789</v>
      </c>
      <c r="B163" s="38" t="s">
        <v>13790</v>
      </c>
      <c r="C163" s="39" t="s">
        <v>13791</v>
      </c>
      <c r="D163" s="38" t="s">
        <v>13792</v>
      </c>
      <c r="E163" s="38" t="s">
        <v>13793</v>
      </c>
      <c r="F163" s="38" t="s">
        <v>13794</v>
      </c>
      <c r="G163" s="38" t="s">
        <v>13795</v>
      </c>
      <c r="H163" s="38" t="s">
        <v>13796</v>
      </c>
      <c r="I163" s="38" t="s">
        <v>13797</v>
      </c>
      <c r="J163" s="38" t="s">
        <v>13798</v>
      </c>
      <c r="K163" s="40" t="s">
        <v>13799</v>
      </c>
      <c r="L163" s="38" t="s">
        <v>13800</v>
      </c>
      <c r="M163" s="38" t="s">
        <v>13801</v>
      </c>
      <c r="N163" s="41" t="s">
        <v>13802</v>
      </c>
      <c r="O163" s="42" t="s">
        <v>13803</v>
      </c>
      <c r="P163" s="43" t="s">
        <v>13804</v>
      </c>
      <c r="Q163" s="44" t="s">
        <v>13805</v>
      </c>
      <c r="R163" s="45" t="s">
        <v>13806</v>
      </c>
      <c r="S163" s="38" t="s">
        <v>13807</v>
      </c>
      <c r="T163" s="38" t="s">
        <v>13808</v>
      </c>
      <c r="U163" s="38" t="s">
        <v>13809</v>
      </c>
      <c r="V163" s="38" t="s">
        <v>13810</v>
      </c>
      <c r="W163" s="38" t="s">
        <v>13811</v>
      </c>
      <c r="X163" s="38" t="s">
        <v>13812</v>
      </c>
      <c r="Y163" s="46" t="s">
        <v>13813</v>
      </c>
      <c r="Z163" s="38" t="s">
        <v>13814</v>
      </c>
      <c r="AA163" s="38" t="s">
        <v>13815</v>
      </c>
      <c r="AB163" s="41" t="s">
        <v>13816</v>
      </c>
      <c r="AC163" s="38" t="s">
        <v>13817</v>
      </c>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row>
    <row r="164">
      <c r="A164" s="37" t="s">
        <v>13818</v>
      </c>
      <c r="B164" s="38" t="s">
        <v>13819</v>
      </c>
      <c r="C164" s="39" t="s">
        <v>13820</v>
      </c>
      <c r="D164" s="38" t="s">
        <v>13821</v>
      </c>
      <c r="E164" s="38" t="s">
        <v>13822</v>
      </c>
      <c r="F164" s="38" t="s">
        <v>13823</v>
      </c>
      <c r="G164" s="38" t="s">
        <v>13824</v>
      </c>
      <c r="H164" s="38" t="s">
        <v>13825</v>
      </c>
      <c r="I164" s="38" t="s">
        <v>13826</v>
      </c>
      <c r="J164" s="38" t="s">
        <v>13827</v>
      </c>
      <c r="K164" s="40" t="s">
        <v>13828</v>
      </c>
      <c r="L164" s="38" t="s">
        <v>13829</v>
      </c>
      <c r="M164" s="38" t="s">
        <v>13830</v>
      </c>
      <c r="N164" s="41" t="s">
        <v>13831</v>
      </c>
      <c r="O164" s="42" t="s">
        <v>13832</v>
      </c>
      <c r="P164" s="43" t="s">
        <v>13833</v>
      </c>
      <c r="Q164" s="44" t="s">
        <v>13834</v>
      </c>
      <c r="R164" s="45" t="s">
        <v>13835</v>
      </c>
      <c r="S164" s="38" t="s">
        <v>13836</v>
      </c>
      <c r="T164" s="38" t="s">
        <v>13837</v>
      </c>
      <c r="U164" s="38" t="s">
        <v>13838</v>
      </c>
      <c r="V164" s="38" t="s">
        <v>13839</v>
      </c>
      <c r="W164" s="38" t="s">
        <v>13840</v>
      </c>
      <c r="X164" s="38" t="s">
        <v>13841</v>
      </c>
      <c r="Y164" s="46" t="s">
        <v>13842</v>
      </c>
      <c r="Z164" s="38" t="s">
        <v>13843</v>
      </c>
      <c r="AA164" s="38" t="s">
        <v>13844</v>
      </c>
      <c r="AB164" s="41" t="s">
        <v>13845</v>
      </c>
      <c r="AC164" s="38" t="s">
        <v>13846</v>
      </c>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row>
    <row r="165">
      <c r="A165" s="37" t="s">
        <v>13847</v>
      </c>
      <c r="B165" s="38" t="s">
        <v>13848</v>
      </c>
      <c r="C165" s="39" t="s">
        <v>13849</v>
      </c>
      <c r="D165" s="38" t="s">
        <v>13850</v>
      </c>
      <c r="E165" s="38" t="s">
        <v>13851</v>
      </c>
      <c r="F165" s="38" t="s">
        <v>13852</v>
      </c>
      <c r="G165" s="38" t="s">
        <v>13853</v>
      </c>
      <c r="H165" s="38" t="s">
        <v>13854</v>
      </c>
      <c r="I165" s="38" t="s">
        <v>13855</v>
      </c>
      <c r="J165" s="38" t="s">
        <v>13856</v>
      </c>
      <c r="K165" s="40" t="s">
        <v>13857</v>
      </c>
      <c r="L165" s="38" t="s">
        <v>13858</v>
      </c>
      <c r="M165" s="38" t="s">
        <v>13859</v>
      </c>
      <c r="N165" s="41" t="s">
        <v>13860</v>
      </c>
      <c r="O165" s="42" t="s">
        <v>13861</v>
      </c>
      <c r="P165" s="43" t="s">
        <v>13862</v>
      </c>
      <c r="Q165" s="44" t="s">
        <v>13863</v>
      </c>
      <c r="R165" s="45" t="s">
        <v>13864</v>
      </c>
      <c r="S165" s="38" t="s">
        <v>13865</v>
      </c>
      <c r="T165" s="38" t="s">
        <v>13866</v>
      </c>
      <c r="U165" s="38" t="s">
        <v>13867</v>
      </c>
      <c r="V165" s="38" t="s">
        <v>13868</v>
      </c>
      <c r="W165" s="38" t="s">
        <v>13869</v>
      </c>
      <c r="X165" s="38" t="s">
        <v>13870</v>
      </c>
      <c r="Y165" s="46" t="s">
        <v>13871</v>
      </c>
      <c r="Z165" s="38" t="s">
        <v>13872</v>
      </c>
      <c r="AA165" s="38" t="s">
        <v>13873</v>
      </c>
      <c r="AB165" s="41" t="s">
        <v>13874</v>
      </c>
      <c r="AC165" s="38" t="s">
        <v>13875</v>
      </c>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row>
    <row r="166">
      <c r="A166" s="37" t="s">
        <v>13876</v>
      </c>
      <c r="B166" s="38" t="s">
        <v>13877</v>
      </c>
      <c r="C166" s="39" t="s">
        <v>13878</v>
      </c>
      <c r="D166" s="38" t="s">
        <v>13879</v>
      </c>
      <c r="E166" s="38" t="s">
        <v>13880</v>
      </c>
      <c r="F166" s="38" t="s">
        <v>13881</v>
      </c>
      <c r="G166" s="38" t="s">
        <v>13882</v>
      </c>
      <c r="H166" s="38" t="s">
        <v>13883</v>
      </c>
      <c r="I166" s="38" t="s">
        <v>13884</v>
      </c>
      <c r="J166" s="38" t="s">
        <v>13885</v>
      </c>
      <c r="K166" s="38" t="s">
        <v>13886</v>
      </c>
      <c r="L166" s="38" t="s">
        <v>13887</v>
      </c>
      <c r="M166" s="38" t="s">
        <v>13888</v>
      </c>
      <c r="N166" s="38" t="s">
        <v>13889</v>
      </c>
      <c r="O166" s="42" t="s">
        <v>13890</v>
      </c>
      <c r="P166" s="38" t="s">
        <v>13891</v>
      </c>
      <c r="Q166" s="38" t="s">
        <v>13892</v>
      </c>
      <c r="R166" s="45" t="s">
        <v>13893</v>
      </c>
      <c r="S166" s="38" t="s">
        <v>13894</v>
      </c>
      <c r="T166" s="38" t="s">
        <v>13895</v>
      </c>
      <c r="U166" s="38" t="s">
        <v>13896</v>
      </c>
      <c r="V166" s="38" t="s">
        <v>13897</v>
      </c>
      <c r="W166" s="38" t="s">
        <v>13898</v>
      </c>
      <c r="X166" s="38" t="s">
        <v>13899</v>
      </c>
      <c r="Y166" s="46" t="s">
        <v>13900</v>
      </c>
      <c r="Z166" s="38" t="s">
        <v>13901</v>
      </c>
      <c r="AA166" s="38" t="s">
        <v>13902</v>
      </c>
      <c r="AB166" s="41" t="s">
        <v>13903</v>
      </c>
      <c r="AC166" s="38" t="s">
        <v>13904</v>
      </c>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row>
    <row r="167">
      <c r="A167" s="37" t="s">
        <v>13905</v>
      </c>
      <c r="B167" s="38" t="s">
        <v>13906</v>
      </c>
      <c r="C167" s="100" t="s">
        <v>13907</v>
      </c>
      <c r="D167" s="38" t="s">
        <v>13908</v>
      </c>
      <c r="E167" s="38" t="s">
        <v>13909</v>
      </c>
      <c r="F167" s="38" t="s">
        <v>13910</v>
      </c>
      <c r="G167" s="38" t="s">
        <v>13911</v>
      </c>
      <c r="H167" s="38" t="s">
        <v>13912</v>
      </c>
      <c r="I167" s="38" t="s">
        <v>13913</v>
      </c>
      <c r="J167" s="38" t="s">
        <v>13914</v>
      </c>
      <c r="K167" s="38" t="s">
        <v>13915</v>
      </c>
      <c r="L167" s="38" t="s">
        <v>13916</v>
      </c>
      <c r="M167" s="38" t="s">
        <v>13917</v>
      </c>
      <c r="N167" s="38" t="s">
        <v>13918</v>
      </c>
      <c r="O167" s="38" t="s">
        <v>13919</v>
      </c>
      <c r="P167" s="38" t="s">
        <v>13920</v>
      </c>
      <c r="Q167" s="38" t="s">
        <v>13921</v>
      </c>
      <c r="R167" s="38" t="s">
        <v>13922</v>
      </c>
      <c r="S167" s="38" t="s">
        <v>13923</v>
      </c>
      <c r="T167" s="38" t="s">
        <v>13924</v>
      </c>
      <c r="U167" s="38" t="s">
        <v>13925</v>
      </c>
      <c r="V167" s="38" t="s">
        <v>13926</v>
      </c>
      <c r="W167" s="38" t="s">
        <v>13927</v>
      </c>
      <c r="X167" s="38" t="s">
        <v>13928</v>
      </c>
      <c r="Y167" s="38" t="s">
        <v>13929</v>
      </c>
      <c r="Z167" s="38" t="s">
        <v>13930</v>
      </c>
      <c r="AA167" s="38" t="s">
        <v>13931</v>
      </c>
      <c r="AB167" s="38" t="s">
        <v>13932</v>
      </c>
      <c r="AC167" s="38" t="s">
        <v>13933</v>
      </c>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row>
    <row r="168">
      <c r="A168" s="37" t="s">
        <v>13934</v>
      </c>
      <c r="B168" s="38" t="s">
        <v>13935</v>
      </c>
      <c r="C168" s="39" t="s">
        <v>13936</v>
      </c>
      <c r="D168" s="38" t="s">
        <v>13937</v>
      </c>
      <c r="E168" s="38" t="s">
        <v>13938</v>
      </c>
      <c r="F168" s="38" t="s">
        <v>13939</v>
      </c>
      <c r="G168" s="38" t="s">
        <v>13940</v>
      </c>
      <c r="H168" s="38" t="s">
        <v>13941</v>
      </c>
      <c r="I168" s="38" t="s">
        <v>13942</v>
      </c>
      <c r="J168" s="38" t="s">
        <v>13943</v>
      </c>
      <c r="K168" s="40" t="s">
        <v>13944</v>
      </c>
      <c r="L168" s="38" t="s">
        <v>13945</v>
      </c>
      <c r="M168" s="38" t="s">
        <v>13946</v>
      </c>
      <c r="N168" s="41" t="s">
        <v>13947</v>
      </c>
      <c r="O168" s="42" t="s">
        <v>13948</v>
      </c>
      <c r="P168" s="43" t="s">
        <v>13949</v>
      </c>
      <c r="Q168" s="44" t="s">
        <v>13950</v>
      </c>
      <c r="R168" s="45" t="s">
        <v>13951</v>
      </c>
      <c r="S168" s="38" t="s">
        <v>13952</v>
      </c>
      <c r="T168" s="38" t="s">
        <v>13953</v>
      </c>
      <c r="U168" s="38" t="s">
        <v>13954</v>
      </c>
      <c r="V168" s="38" t="s">
        <v>13955</v>
      </c>
      <c r="W168" s="38" t="s">
        <v>13956</v>
      </c>
      <c r="X168" s="38" t="s">
        <v>13957</v>
      </c>
      <c r="Y168" s="46" t="s">
        <v>13958</v>
      </c>
      <c r="Z168" s="38" t="s">
        <v>13959</v>
      </c>
      <c r="AA168" s="38" t="s">
        <v>13960</v>
      </c>
      <c r="AB168" s="41" t="s">
        <v>13961</v>
      </c>
      <c r="AC168" s="38" t="s">
        <v>13962</v>
      </c>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row>
    <row r="100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row>
    <row r="1002">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row>
    <row r="1003">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row>
    <row r="1004">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row>
    <row r="1005">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row>
    <row r="1006">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row>
    <row r="1007">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row>
    <row r="1008">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row>
    <row r="1009">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row>
    <row r="1010">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row>
    <row r="101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row>
    <row r="1012">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row>
    <row r="1013">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row>
    <row r="1014">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row>
    <row r="1015">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row>
    <row r="1016">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row>
    <row r="1017">
      <c r="A1017" s="21"/>
      <c r="B1017" s="21"/>
      <c r="C1017" s="21"/>
      <c r="D1017" s="21"/>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row>
    <row r="1018">
      <c r="A1018" s="21"/>
      <c r="B1018" s="21"/>
      <c r="C1018" s="21"/>
      <c r="D1018" s="21"/>
      <c r="E1018" s="21"/>
      <c r="F1018" s="21"/>
      <c r="G1018" s="21"/>
      <c r="H1018" s="21"/>
      <c r="I1018" s="21"/>
      <c r="J1018" s="21"/>
      <c r="K1018" s="21"/>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row>
    <row r="1019">
      <c r="A1019" s="21"/>
      <c r="B1019" s="21"/>
      <c r="C1019" s="21"/>
      <c r="D1019" s="21"/>
      <c r="E1019" s="21"/>
      <c r="F1019" s="21"/>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row>
    <row r="1020">
      <c r="A1020" s="21"/>
      <c r="B1020" s="21"/>
      <c r="C1020" s="21"/>
      <c r="D1020" s="21"/>
      <c r="E1020" s="21"/>
      <c r="F1020" s="21"/>
      <c r="G1020" s="21"/>
      <c r="H1020" s="21"/>
      <c r="I1020" s="21"/>
      <c r="J1020" s="21"/>
      <c r="K1020" s="21"/>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row>
    <row r="1021">
      <c r="A1021" s="21"/>
      <c r="B1021" s="21"/>
      <c r="C1021" s="21"/>
      <c r="D1021" s="21"/>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row>
    <row r="1022">
      <c r="A1022" s="21"/>
      <c r="B1022" s="21"/>
      <c r="C1022" s="21"/>
      <c r="D1022" s="21"/>
      <c r="E1022" s="21"/>
      <c r="F1022" s="21"/>
      <c r="G1022" s="21"/>
      <c r="H1022" s="21"/>
      <c r="I1022" s="21"/>
      <c r="J1022" s="21"/>
      <c r="K1022" s="21"/>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row>
    <row r="1023">
      <c r="A1023" s="21"/>
      <c r="B1023" s="21"/>
      <c r="C1023" s="21"/>
      <c r="D1023" s="21"/>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row>
    <row r="1024">
      <c r="A1024" s="21"/>
      <c r="B1024" s="21"/>
      <c r="C1024" s="21"/>
      <c r="D1024" s="21"/>
      <c r="E1024" s="21"/>
      <c r="F1024" s="21"/>
      <c r="G1024" s="21"/>
      <c r="H1024" s="21"/>
      <c r="I1024" s="21"/>
      <c r="J1024" s="21"/>
      <c r="K1024" s="21"/>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row>
    <row r="1025">
      <c r="A1025" s="21"/>
      <c r="B1025" s="21"/>
      <c r="C1025" s="21"/>
      <c r="D1025" s="21"/>
      <c r="E1025" s="21"/>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row>
    <row r="1026">
      <c r="A1026" s="21"/>
      <c r="B1026" s="21"/>
      <c r="C1026" s="21"/>
      <c r="D1026" s="21"/>
      <c r="E1026" s="21"/>
      <c r="F1026" s="21"/>
      <c r="G1026" s="21"/>
      <c r="H1026" s="21"/>
      <c r="I1026" s="21"/>
      <c r="J1026" s="21"/>
      <c r="K1026" s="21"/>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row>
    <row r="1027">
      <c r="A1027" s="21"/>
      <c r="B1027" s="21"/>
      <c r="C1027" s="21"/>
      <c r="D1027" s="21"/>
      <c r="E1027" s="21"/>
      <c r="F1027" s="21"/>
      <c r="G1027" s="21"/>
      <c r="H1027" s="21"/>
      <c r="I1027" s="21"/>
      <c r="J1027" s="21"/>
      <c r="K1027" s="21"/>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row>
    <row r="1028">
      <c r="A1028" s="21"/>
      <c r="B1028" s="21"/>
      <c r="C1028" s="21"/>
      <c r="D1028" s="21"/>
      <c r="E1028" s="21"/>
      <c r="F1028" s="21"/>
      <c r="G1028" s="21"/>
      <c r="H1028" s="21"/>
      <c r="I1028" s="21"/>
      <c r="J1028" s="21"/>
      <c r="K1028" s="21"/>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row>
    <row r="1029">
      <c r="A1029" s="21"/>
      <c r="B1029" s="21"/>
      <c r="C1029" s="21"/>
      <c r="D1029" s="21"/>
      <c r="E1029" s="21"/>
      <c r="F1029" s="21"/>
      <c r="G1029" s="21"/>
      <c r="H1029" s="21"/>
      <c r="I1029" s="21"/>
      <c r="J1029" s="21"/>
      <c r="K1029" s="21"/>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row>
    <row r="1030">
      <c r="A1030" s="21"/>
      <c r="B1030" s="21"/>
      <c r="C1030" s="21"/>
      <c r="D1030" s="21"/>
      <c r="E1030" s="21"/>
      <c r="F1030" s="21"/>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row>
    <row r="1031">
      <c r="A1031" s="21"/>
      <c r="B1031" s="21"/>
      <c r="C1031" s="21"/>
      <c r="D1031" s="21"/>
      <c r="E1031" s="21"/>
      <c r="F1031" s="21"/>
      <c r="G1031" s="21"/>
      <c r="H1031" s="21"/>
      <c r="I1031" s="21"/>
      <c r="J1031" s="21"/>
      <c r="K1031" s="21"/>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row>
    <row r="1032">
      <c r="A1032" s="21"/>
      <c r="B1032" s="21"/>
      <c r="C1032" s="21"/>
      <c r="D1032" s="21"/>
      <c r="E1032" s="21"/>
      <c r="F1032" s="21"/>
      <c r="G1032" s="21"/>
      <c r="H1032" s="21"/>
      <c r="I1032" s="21"/>
      <c r="J1032" s="21"/>
      <c r="K1032" s="21"/>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row>
    <row r="1033">
      <c r="A1033" s="21"/>
      <c r="B1033" s="21"/>
      <c r="C1033" s="21"/>
      <c r="D1033" s="21"/>
      <c r="E1033" s="21"/>
      <c r="F1033" s="21"/>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row>
    <row r="1034">
      <c r="A1034" s="21"/>
      <c r="B1034" s="21"/>
      <c r="C1034" s="21"/>
      <c r="D1034" s="21"/>
      <c r="E1034" s="21"/>
      <c r="F1034" s="21"/>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row>
    <row r="1035">
      <c r="A1035" s="21"/>
      <c r="B1035" s="21"/>
      <c r="C1035" s="21"/>
      <c r="D1035" s="21"/>
      <c r="E1035" s="21"/>
      <c r="F1035" s="21"/>
      <c r="G1035" s="21"/>
      <c r="H1035" s="21"/>
      <c r="I1035" s="21"/>
      <c r="J1035" s="21"/>
      <c r="K1035" s="21"/>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row>
    <row r="1036">
      <c r="A1036" s="21"/>
      <c r="B1036" s="21"/>
      <c r="C1036" s="21"/>
      <c r="D1036" s="21"/>
      <c r="E1036" s="21"/>
      <c r="F1036" s="21"/>
      <c r="G1036" s="21"/>
      <c r="H1036" s="21"/>
      <c r="I1036" s="21"/>
      <c r="J1036" s="21"/>
      <c r="K1036" s="21"/>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row>
    <row r="1037">
      <c r="A1037" s="21"/>
      <c r="B1037" s="21"/>
      <c r="C1037" s="21"/>
      <c r="D1037" s="21"/>
      <c r="E1037" s="21"/>
      <c r="F1037" s="21"/>
      <c r="G1037" s="21"/>
      <c r="H1037" s="21"/>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row>
    <row r="1038">
      <c r="A1038" s="21"/>
      <c r="B1038" s="21"/>
      <c r="C1038" s="21"/>
      <c r="D1038" s="21"/>
      <c r="E1038" s="21"/>
      <c r="F1038" s="21"/>
      <c r="G1038" s="21"/>
      <c r="H1038" s="21"/>
      <c r="I1038" s="21"/>
      <c r="J1038" s="21"/>
      <c r="K1038" s="21"/>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row>
    <row r="1039">
      <c r="A1039" s="21"/>
      <c r="B1039" s="21"/>
      <c r="C1039" s="21"/>
      <c r="D1039" s="21"/>
      <c r="E1039" s="21"/>
      <c r="F1039" s="21"/>
      <c r="G1039" s="21"/>
      <c r="H1039" s="21"/>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row>
    <row r="1040">
      <c r="A1040" s="21"/>
      <c r="B1040" s="21"/>
      <c r="C1040" s="21"/>
      <c r="D1040" s="21"/>
      <c r="E1040" s="21"/>
      <c r="F1040" s="21"/>
      <c r="G1040" s="21"/>
      <c r="H1040" s="21"/>
      <c r="I1040" s="21"/>
      <c r="J1040" s="21"/>
      <c r="K1040" s="21"/>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row>
    <row r="1041">
      <c r="A1041" s="21"/>
      <c r="B1041" s="21"/>
      <c r="C1041" s="21"/>
      <c r="D1041" s="21"/>
      <c r="E1041" s="21"/>
      <c r="F1041" s="21"/>
      <c r="G1041" s="21"/>
      <c r="H1041" s="21"/>
      <c r="I1041" s="21"/>
      <c r="J1041" s="21"/>
      <c r="K1041" s="21"/>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row>
    <row r="1042">
      <c r="A1042" s="21"/>
      <c r="B1042" s="21"/>
      <c r="C1042" s="21"/>
      <c r="D1042" s="21"/>
      <c r="E1042" s="21"/>
      <c r="F1042" s="21"/>
      <c r="G1042" s="21"/>
      <c r="H1042" s="21"/>
      <c r="I1042" s="21"/>
      <c r="J1042" s="21"/>
      <c r="K1042" s="21"/>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row>
    <row r="1043">
      <c r="A1043" s="21"/>
      <c r="B1043" s="21"/>
      <c r="C1043" s="21"/>
      <c r="D1043" s="21"/>
      <c r="E1043" s="21"/>
      <c r="F1043" s="21"/>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row>
    <row r="1044">
      <c r="A1044" s="21"/>
      <c r="B1044" s="21"/>
      <c r="C1044" s="21"/>
      <c r="D1044" s="21"/>
      <c r="E1044" s="21"/>
      <c r="F1044" s="21"/>
      <c r="G1044" s="21"/>
      <c r="H1044" s="21"/>
      <c r="I1044" s="21"/>
      <c r="J1044" s="21"/>
      <c r="K1044" s="21"/>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row>
    <row r="1045">
      <c r="A1045" s="21"/>
      <c r="B1045" s="21"/>
      <c r="C1045" s="21"/>
      <c r="D1045" s="21"/>
      <c r="E1045" s="21"/>
      <c r="F1045" s="21"/>
      <c r="G1045" s="21"/>
      <c r="H1045" s="21"/>
      <c r="I1045" s="21"/>
      <c r="J1045" s="21"/>
      <c r="K1045" s="21"/>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row>
    <row r="1046">
      <c r="A1046" s="21"/>
      <c r="B1046" s="21"/>
      <c r="C1046" s="21"/>
      <c r="D1046" s="21"/>
      <c r="E1046" s="21"/>
      <c r="F1046" s="21"/>
      <c r="G1046" s="21"/>
      <c r="H1046" s="21"/>
      <c r="I1046" s="21"/>
      <c r="J1046" s="21"/>
      <c r="K1046" s="21"/>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row>
    <row r="1047">
      <c r="A1047" s="21"/>
      <c r="B1047" s="21"/>
      <c r="C1047" s="21"/>
      <c r="D1047" s="21"/>
      <c r="E1047" s="21"/>
      <c r="F1047" s="21"/>
      <c r="G1047" s="21"/>
      <c r="H1047" s="21"/>
      <c r="I1047" s="21"/>
      <c r="J1047" s="21"/>
      <c r="K1047" s="21"/>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row>
    <row r="1048">
      <c r="A1048" s="21"/>
      <c r="B1048" s="21"/>
      <c r="C1048" s="21"/>
      <c r="D1048" s="21"/>
      <c r="E1048" s="21"/>
      <c r="F1048" s="21"/>
      <c r="G1048" s="21"/>
      <c r="H1048" s="21"/>
      <c r="I1048" s="21"/>
      <c r="J1048" s="21"/>
      <c r="K1048" s="21"/>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row>
    <row r="1049">
      <c r="A1049" s="21"/>
      <c r="B1049" s="21"/>
      <c r="C1049" s="21"/>
      <c r="D1049" s="21"/>
      <c r="E1049" s="21"/>
      <c r="F1049" s="21"/>
      <c r="G1049" s="21"/>
      <c r="H1049" s="21"/>
      <c r="I1049" s="21"/>
      <c r="J1049" s="21"/>
      <c r="K1049" s="21"/>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row>
    <row r="1050">
      <c r="A1050" s="21"/>
      <c r="B1050" s="21"/>
      <c r="C1050" s="21"/>
      <c r="D1050" s="21"/>
      <c r="E1050" s="21"/>
      <c r="F1050" s="21"/>
      <c r="G1050" s="21"/>
      <c r="H1050" s="21"/>
      <c r="I1050" s="21"/>
      <c r="J1050" s="21"/>
      <c r="K1050" s="21"/>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row>
    <row r="1051">
      <c r="A1051" s="21"/>
      <c r="B1051" s="21"/>
      <c r="C1051" s="21"/>
      <c r="D1051" s="21"/>
      <c r="E1051" s="21"/>
      <c r="F1051" s="21"/>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row>
    <row r="1052">
      <c r="A1052" s="21"/>
      <c r="B1052" s="21"/>
      <c r="C1052" s="21"/>
      <c r="D1052" s="21"/>
      <c r="E1052" s="21"/>
      <c r="F1052" s="21"/>
      <c r="G1052" s="21"/>
      <c r="H1052" s="21"/>
      <c r="I1052" s="21"/>
      <c r="J1052" s="21"/>
      <c r="K1052" s="21"/>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row>
    <row r="1053">
      <c r="A1053" s="21"/>
      <c r="B1053" s="21"/>
      <c r="C1053" s="21"/>
      <c r="D1053" s="21"/>
      <c r="E1053" s="21"/>
      <c r="F1053" s="21"/>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row>
    <row r="1054">
      <c r="A1054" s="21"/>
      <c r="B1054" s="21"/>
      <c r="C1054" s="21"/>
      <c r="D1054" s="21"/>
      <c r="E1054" s="21"/>
      <c r="F1054" s="21"/>
      <c r="G1054" s="21"/>
      <c r="H1054" s="21"/>
      <c r="I1054" s="21"/>
      <c r="J1054" s="21"/>
      <c r="K1054" s="21"/>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9" max="29" width="21.0"/>
  </cols>
  <sheetData>
    <row r="1">
      <c r="A1" s="101" t="s">
        <v>48</v>
      </c>
      <c r="B1" s="101" t="s">
        <v>2</v>
      </c>
      <c r="C1" s="101" t="s">
        <v>4</v>
      </c>
      <c r="D1" s="101" t="s">
        <v>5</v>
      </c>
      <c r="E1" s="96" t="s">
        <v>6</v>
      </c>
      <c r="F1" s="96" t="s">
        <v>7</v>
      </c>
      <c r="G1" s="96" t="s">
        <v>8</v>
      </c>
      <c r="H1" s="96" t="s">
        <v>9</v>
      </c>
      <c r="I1" s="96" t="s">
        <v>10</v>
      </c>
      <c r="J1" s="96" t="s">
        <v>11</v>
      </c>
      <c r="K1" s="96" t="s">
        <v>12</v>
      </c>
      <c r="L1" s="96" t="s">
        <v>13</v>
      </c>
      <c r="M1" s="96" t="s">
        <v>14</v>
      </c>
      <c r="N1" s="96" t="s">
        <v>15</v>
      </c>
      <c r="O1" s="96" t="s">
        <v>16</v>
      </c>
      <c r="P1" s="96" t="s">
        <v>17</v>
      </c>
      <c r="Q1" s="96" t="s">
        <v>18</v>
      </c>
      <c r="R1" s="96" t="s">
        <v>19</v>
      </c>
      <c r="S1" s="96" t="s">
        <v>20</v>
      </c>
      <c r="T1" s="96" t="s">
        <v>21</v>
      </c>
      <c r="U1" s="96" t="s">
        <v>22</v>
      </c>
      <c r="V1" s="96" t="s">
        <v>23</v>
      </c>
      <c r="W1" s="96" t="s">
        <v>24</v>
      </c>
      <c r="X1" s="96" t="s">
        <v>25</v>
      </c>
      <c r="Y1" s="96" t="s">
        <v>26</v>
      </c>
      <c r="Z1" s="96" t="s">
        <v>27</v>
      </c>
      <c r="AA1" s="96" t="s">
        <v>28</v>
      </c>
      <c r="AB1" s="96" t="s">
        <v>29</v>
      </c>
      <c r="AC1" s="96" t="s">
        <v>3</v>
      </c>
      <c r="AD1" s="57"/>
    </row>
    <row r="2">
      <c r="A2" s="37" t="s">
        <v>8995</v>
      </c>
      <c r="B2" s="38" t="s">
        <v>13963</v>
      </c>
      <c r="C2" s="39" t="s">
        <v>13964</v>
      </c>
      <c r="D2" s="38" t="s">
        <v>13965</v>
      </c>
      <c r="E2" s="38" t="s">
        <v>13966</v>
      </c>
      <c r="F2" s="38" t="s">
        <v>13967</v>
      </c>
      <c r="G2" s="38" t="s">
        <v>13968</v>
      </c>
      <c r="H2" s="38" t="s">
        <v>13969</v>
      </c>
      <c r="I2" s="38" t="s">
        <v>13970</v>
      </c>
      <c r="J2" s="38" t="s">
        <v>13971</v>
      </c>
      <c r="K2" s="40" t="s">
        <v>13972</v>
      </c>
      <c r="L2" s="38" t="s">
        <v>13973</v>
      </c>
      <c r="M2" s="38" t="s">
        <v>13974</v>
      </c>
      <c r="N2" s="41" t="s">
        <v>13975</v>
      </c>
      <c r="O2" s="42" t="s">
        <v>13976</v>
      </c>
      <c r="P2" s="43" t="s">
        <v>13977</v>
      </c>
      <c r="Q2" s="44" t="s">
        <v>13978</v>
      </c>
      <c r="R2" s="45" t="s">
        <v>13979</v>
      </c>
      <c r="S2" s="38" t="s">
        <v>13980</v>
      </c>
      <c r="T2" s="38" t="s">
        <v>13981</v>
      </c>
      <c r="U2" s="38" t="s">
        <v>13982</v>
      </c>
      <c r="V2" s="38" t="s">
        <v>13983</v>
      </c>
      <c r="W2" s="38" t="s">
        <v>13984</v>
      </c>
      <c r="X2" s="38" t="s">
        <v>13985</v>
      </c>
      <c r="Y2" s="46" t="s">
        <v>13986</v>
      </c>
      <c r="Z2" s="38" t="s">
        <v>13987</v>
      </c>
      <c r="AA2" s="38" t="s">
        <v>13988</v>
      </c>
      <c r="AB2" s="41" t="s">
        <v>13989</v>
      </c>
      <c r="AC2" s="38" t="s">
        <v>13990</v>
      </c>
      <c r="AD2" s="57"/>
    </row>
    <row r="3">
      <c r="A3" s="101" t="s">
        <v>11559</v>
      </c>
      <c r="B3" s="101" t="s">
        <v>11560</v>
      </c>
      <c r="C3" s="102" t="s">
        <v>13991</v>
      </c>
      <c r="D3" s="96" t="s">
        <v>13992</v>
      </c>
      <c r="E3" s="96" t="s">
        <v>13993</v>
      </c>
      <c r="F3" s="96" t="s">
        <v>13994</v>
      </c>
      <c r="G3" s="96" t="s">
        <v>636</v>
      </c>
      <c r="H3" s="96" t="s">
        <v>13995</v>
      </c>
      <c r="I3" s="96" t="s">
        <v>13996</v>
      </c>
      <c r="J3" s="96" t="s">
        <v>13997</v>
      </c>
      <c r="K3" s="96" t="s">
        <v>13998</v>
      </c>
      <c r="L3" s="96" t="s">
        <v>13999</v>
      </c>
      <c r="M3" s="96" t="s">
        <v>14000</v>
      </c>
      <c r="N3" s="96" t="s">
        <v>14001</v>
      </c>
      <c r="O3" s="96" t="s">
        <v>14002</v>
      </c>
      <c r="P3" s="96" t="s">
        <v>14003</v>
      </c>
      <c r="Q3" s="96" t="s">
        <v>14004</v>
      </c>
      <c r="R3" s="96" t="s">
        <v>14005</v>
      </c>
      <c r="S3" s="96" t="s">
        <v>14006</v>
      </c>
      <c r="T3" s="96" t="s">
        <v>13999</v>
      </c>
      <c r="U3" s="96" t="s">
        <v>14007</v>
      </c>
      <c r="V3" s="96" t="s">
        <v>14008</v>
      </c>
      <c r="W3" s="96" t="s">
        <v>636</v>
      </c>
      <c r="X3" s="96" t="s">
        <v>14009</v>
      </c>
      <c r="Y3" s="96" t="s">
        <v>14010</v>
      </c>
      <c r="Z3" s="96" t="s">
        <v>14011</v>
      </c>
      <c r="AA3" s="96" t="s">
        <v>14012</v>
      </c>
      <c r="AB3" s="96" t="s">
        <v>14013</v>
      </c>
      <c r="AC3" s="96" t="s">
        <v>14014</v>
      </c>
      <c r="AD3" s="57"/>
    </row>
    <row r="4">
      <c r="A4" s="101" t="s">
        <v>11561</v>
      </c>
      <c r="B4" s="101" t="s">
        <v>11562</v>
      </c>
      <c r="C4" s="102" t="s">
        <v>14015</v>
      </c>
      <c r="D4" s="96" t="s">
        <v>14016</v>
      </c>
      <c r="E4" s="96" t="s">
        <v>14017</v>
      </c>
      <c r="F4" s="96" t="s">
        <v>14018</v>
      </c>
      <c r="G4" s="96" t="s">
        <v>14019</v>
      </c>
      <c r="H4" s="96" t="s">
        <v>14020</v>
      </c>
      <c r="I4" s="96" t="s">
        <v>14021</v>
      </c>
      <c r="J4" s="96" t="s">
        <v>14022</v>
      </c>
      <c r="K4" s="96" t="s">
        <v>14023</v>
      </c>
      <c r="L4" s="96" t="s">
        <v>14024</v>
      </c>
      <c r="M4" s="96" t="s">
        <v>14025</v>
      </c>
      <c r="N4" s="96" t="s">
        <v>14026</v>
      </c>
      <c r="O4" s="96" t="s">
        <v>14027</v>
      </c>
      <c r="P4" s="96" t="s">
        <v>14028</v>
      </c>
      <c r="Q4" s="96" t="s">
        <v>14029</v>
      </c>
      <c r="R4" s="96" t="s">
        <v>14030</v>
      </c>
      <c r="S4" s="96" t="s">
        <v>14031</v>
      </c>
      <c r="T4" s="96" t="s">
        <v>14032</v>
      </c>
      <c r="U4" s="96" t="s">
        <v>14033</v>
      </c>
      <c r="V4" s="96" t="s">
        <v>14034</v>
      </c>
      <c r="W4" s="96" t="s">
        <v>14035</v>
      </c>
      <c r="X4" s="96" t="s">
        <v>14036</v>
      </c>
      <c r="Y4" s="96" t="s">
        <v>14037</v>
      </c>
      <c r="Z4" s="96" t="s">
        <v>14038</v>
      </c>
      <c r="AA4" s="96" t="s">
        <v>14039</v>
      </c>
      <c r="AB4" s="96" t="s">
        <v>14040</v>
      </c>
      <c r="AC4" s="96" t="s">
        <v>14041</v>
      </c>
      <c r="AD4" s="57"/>
    </row>
    <row r="5">
      <c r="A5" s="101" t="s">
        <v>11563</v>
      </c>
      <c r="B5" s="101" t="s">
        <v>11564</v>
      </c>
      <c r="C5" s="102" t="s">
        <v>14042</v>
      </c>
      <c r="D5" s="96" t="s">
        <v>14043</v>
      </c>
      <c r="E5" s="96" t="s">
        <v>11564</v>
      </c>
      <c r="F5" s="96" t="s">
        <v>11564</v>
      </c>
      <c r="G5" s="96" t="s">
        <v>11616</v>
      </c>
      <c r="H5" s="96" t="s">
        <v>14044</v>
      </c>
      <c r="I5" s="96" t="s">
        <v>14045</v>
      </c>
      <c r="J5" s="96" t="s">
        <v>11564</v>
      </c>
      <c r="K5" s="96" t="s">
        <v>14046</v>
      </c>
      <c r="L5" s="96" t="s">
        <v>14047</v>
      </c>
      <c r="M5" s="96" t="s">
        <v>14047</v>
      </c>
      <c r="N5" s="96" t="s">
        <v>14048</v>
      </c>
      <c r="O5" s="96" t="s">
        <v>14049</v>
      </c>
      <c r="P5" s="96" t="s">
        <v>14050</v>
      </c>
      <c r="Q5" s="96" t="s">
        <v>14051</v>
      </c>
      <c r="R5" s="96" t="s">
        <v>14052</v>
      </c>
      <c r="S5" s="96" t="s">
        <v>14053</v>
      </c>
      <c r="T5" s="96" t="s">
        <v>14047</v>
      </c>
      <c r="U5" s="96" t="s">
        <v>11564</v>
      </c>
      <c r="V5" s="96" t="s">
        <v>14054</v>
      </c>
      <c r="W5" s="96" t="s">
        <v>11564</v>
      </c>
      <c r="X5" s="96" t="s">
        <v>14055</v>
      </c>
      <c r="Y5" s="96" t="s">
        <v>14056</v>
      </c>
      <c r="Z5" s="96" t="s">
        <v>14057</v>
      </c>
      <c r="AA5" s="96" t="s">
        <v>14058</v>
      </c>
      <c r="AB5" s="96" t="s">
        <v>14059</v>
      </c>
      <c r="AC5" s="96" t="s">
        <v>14047</v>
      </c>
      <c r="AD5" s="57"/>
    </row>
    <row r="6">
      <c r="A6" s="101" t="s">
        <v>11565</v>
      </c>
      <c r="B6" s="101" t="s">
        <v>11566</v>
      </c>
      <c r="C6" s="102" t="s">
        <v>14060</v>
      </c>
      <c r="D6" s="96" t="s">
        <v>14061</v>
      </c>
      <c r="E6" s="96" t="s">
        <v>14062</v>
      </c>
      <c r="F6" s="96" t="s">
        <v>14063</v>
      </c>
      <c r="G6" s="96" t="s">
        <v>14064</v>
      </c>
      <c r="H6" s="96" t="s">
        <v>14065</v>
      </c>
      <c r="I6" s="96" t="s">
        <v>14066</v>
      </c>
      <c r="J6" s="96" t="s">
        <v>14067</v>
      </c>
      <c r="K6" s="96" t="s">
        <v>14068</v>
      </c>
      <c r="L6" s="96" t="s">
        <v>14069</v>
      </c>
      <c r="M6" s="96" t="s">
        <v>14070</v>
      </c>
      <c r="N6" s="96" t="s">
        <v>14071</v>
      </c>
      <c r="O6" s="96" t="s">
        <v>14072</v>
      </c>
      <c r="P6" s="96" t="s">
        <v>14073</v>
      </c>
      <c r="Q6" s="96" t="s">
        <v>14074</v>
      </c>
      <c r="R6" s="96" t="s">
        <v>10085</v>
      </c>
      <c r="S6" s="96" t="s">
        <v>14075</v>
      </c>
      <c r="T6" s="96" t="s">
        <v>14076</v>
      </c>
      <c r="U6" s="96" t="s">
        <v>14077</v>
      </c>
      <c r="V6" s="96" t="s">
        <v>14061</v>
      </c>
      <c r="W6" s="96" t="s">
        <v>14078</v>
      </c>
      <c r="X6" s="96" t="s">
        <v>14079</v>
      </c>
      <c r="Y6" s="96" t="s">
        <v>14080</v>
      </c>
      <c r="Z6" s="96" t="s">
        <v>14081</v>
      </c>
      <c r="AA6" s="96" t="s">
        <v>14082</v>
      </c>
      <c r="AB6" s="96" t="s">
        <v>14083</v>
      </c>
      <c r="AC6" s="96" t="s">
        <v>10096</v>
      </c>
      <c r="AD6" s="57"/>
    </row>
    <row r="7">
      <c r="A7" s="101" t="s">
        <v>11567</v>
      </c>
      <c r="B7" s="101" t="s">
        <v>36</v>
      </c>
      <c r="C7" s="102" t="s">
        <v>692</v>
      </c>
      <c r="D7" s="96" t="s">
        <v>693</v>
      </c>
      <c r="E7" s="96" t="s">
        <v>694</v>
      </c>
      <c r="F7" s="96" t="s">
        <v>695</v>
      </c>
      <c r="G7" s="96" t="s">
        <v>696</v>
      </c>
      <c r="H7" s="96" t="s">
        <v>10910</v>
      </c>
      <c r="I7" s="96" t="s">
        <v>698</v>
      </c>
      <c r="J7" s="96" t="s">
        <v>699</v>
      </c>
      <c r="K7" s="96" t="s">
        <v>700</v>
      </c>
      <c r="L7" s="96" t="s">
        <v>701</v>
      </c>
      <c r="M7" s="96" t="s">
        <v>702</v>
      </c>
      <c r="N7" s="96" t="s">
        <v>703</v>
      </c>
      <c r="O7" s="96" t="s">
        <v>704</v>
      </c>
      <c r="P7" s="96" t="s">
        <v>705</v>
      </c>
      <c r="Q7" s="96" t="s">
        <v>706</v>
      </c>
      <c r="R7" s="96" t="s">
        <v>867</v>
      </c>
      <c r="S7" s="96" t="s">
        <v>708</v>
      </c>
      <c r="T7" s="96" t="s">
        <v>10911</v>
      </c>
      <c r="U7" s="96" t="s">
        <v>710</v>
      </c>
      <c r="V7" s="96" t="s">
        <v>711</v>
      </c>
      <c r="W7" s="96" t="s">
        <v>712</v>
      </c>
      <c r="X7" s="96" t="s">
        <v>713</v>
      </c>
      <c r="Y7" s="96" t="s">
        <v>714</v>
      </c>
      <c r="Z7" s="96" t="s">
        <v>715</v>
      </c>
      <c r="AA7" s="96" t="s">
        <v>716</v>
      </c>
      <c r="AB7" s="96" t="s">
        <v>717</v>
      </c>
      <c r="AC7" s="96" t="s">
        <v>718</v>
      </c>
      <c r="AD7" s="57"/>
    </row>
    <row r="8">
      <c r="A8" s="101" t="s">
        <v>11568</v>
      </c>
      <c r="B8" s="101" t="s">
        <v>11569</v>
      </c>
      <c r="C8" s="102" t="s">
        <v>14084</v>
      </c>
      <c r="D8" s="96" t="s">
        <v>14085</v>
      </c>
      <c r="E8" s="96" t="s">
        <v>14086</v>
      </c>
      <c r="F8" s="96" t="s">
        <v>14087</v>
      </c>
      <c r="G8" s="96" t="s">
        <v>14088</v>
      </c>
      <c r="H8" s="96" t="s">
        <v>14089</v>
      </c>
      <c r="I8" s="96" t="s">
        <v>14090</v>
      </c>
      <c r="J8" s="96" t="s">
        <v>14091</v>
      </c>
      <c r="K8" s="96" t="s">
        <v>14092</v>
      </c>
      <c r="L8" s="96" t="s">
        <v>14093</v>
      </c>
      <c r="M8" s="96" t="s">
        <v>14094</v>
      </c>
      <c r="N8" s="96" t="s">
        <v>14095</v>
      </c>
      <c r="O8" s="96" t="s">
        <v>14096</v>
      </c>
      <c r="P8" s="96" t="s">
        <v>14097</v>
      </c>
      <c r="Q8" s="96" t="s">
        <v>14098</v>
      </c>
      <c r="R8" s="96" t="s">
        <v>14099</v>
      </c>
      <c r="S8" s="96" t="s">
        <v>14100</v>
      </c>
      <c r="T8" s="96" t="s">
        <v>14101</v>
      </c>
      <c r="U8" s="96" t="s">
        <v>14102</v>
      </c>
      <c r="V8" s="96" t="s">
        <v>14103</v>
      </c>
      <c r="W8" s="96" t="s">
        <v>14104</v>
      </c>
      <c r="X8" s="96" t="s">
        <v>14105</v>
      </c>
      <c r="Y8" s="96" t="s">
        <v>14106</v>
      </c>
      <c r="Z8" s="96" t="s">
        <v>14107</v>
      </c>
      <c r="AA8" s="96" t="s">
        <v>14108</v>
      </c>
      <c r="AB8" s="96" t="s">
        <v>14109</v>
      </c>
      <c r="AC8" s="96" t="s">
        <v>14110</v>
      </c>
      <c r="AD8" s="57"/>
    </row>
    <row r="9">
      <c r="A9" s="96" t="s">
        <v>11570</v>
      </c>
      <c r="B9" s="96" t="s">
        <v>11571</v>
      </c>
      <c r="C9" s="97" t="s">
        <v>14111</v>
      </c>
      <c r="D9" s="96" t="s">
        <v>14112</v>
      </c>
      <c r="E9" s="96" t="s">
        <v>14113</v>
      </c>
      <c r="F9" s="96" t="s">
        <v>14114</v>
      </c>
      <c r="G9" s="96" t="s">
        <v>14113</v>
      </c>
      <c r="H9" s="96" t="s">
        <v>14113</v>
      </c>
      <c r="I9" s="96" t="s">
        <v>14115</v>
      </c>
      <c r="J9" s="96" t="s">
        <v>11571</v>
      </c>
      <c r="K9" s="96" t="s">
        <v>14116</v>
      </c>
      <c r="L9" s="96" t="s">
        <v>14113</v>
      </c>
      <c r="M9" s="96" t="s">
        <v>14113</v>
      </c>
      <c r="N9" s="96" t="s">
        <v>14117</v>
      </c>
      <c r="O9" s="96" t="s">
        <v>14118</v>
      </c>
      <c r="P9" s="96" t="s">
        <v>14119</v>
      </c>
      <c r="Q9" s="96" t="s">
        <v>14120</v>
      </c>
      <c r="R9" s="96" t="s">
        <v>14121</v>
      </c>
      <c r="S9" s="96" t="s">
        <v>14122</v>
      </c>
      <c r="T9" s="96" t="s">
        <v>14113</v>
      </c>
      <c r="U9" s="96" t="s">
        <v>14113</v>
      </c>
      <c r="V9" s="96" t="s">
        <v>14123</v>
      </c>
      <c r="W9" s="96" t="s">
        <v>14124</v>
      </c>
      <c r="X9" s="96" t="s">
        <v>14125</v>
      </c>
      <c r="Y9" s="96" t="s">
        <v>14126</v>
      </c>
      <c r="Z9" s="96" t="s">
        <v>14127</v>
      </c>
      <c r="AA9" s="96" t="s">
        <v>14125</v>
      </c>
      <c r="AB9" s="96" t="s">
        <v>14128</v>
      </c>
      <c r="AC9" s="96" t="s">
        <v>14129</v>
      </c>
      <c r="AD9" s="57"/>
    </row>
    <row r="10">
      <c r="A10" s="96" t="s">
        <v>11572</v>
      </c>
      <c r="B10" s="96" t="s">
        <v>11573</v>
      </c>
      <c r="C10" s="97" t="s">
        <v>14130</v>
      </c>
      <c r="D10" s="96" t="s">
        <v>11573</v>
      </c>
      <c r="E10" s="96" t="s">
        <v>11573</v>
      </c>
      <c r="F10" s="96" t="s">
        <v>14131</v>
      </c>
      <c r="G10" s="96" t="s">
        <v>14132</v>
      </c>
      <c r="H10" s="96" t="s">
        <v>14133</v>
      </c>
      <c r="I10" s="96" t="s">
        <v>14134</v>
      </c>
      <c r="J10" s="96" t="s">
        <v>14135</v>
      </c>
      <c r="K10" s="96" t="s">
        <v>14136</v>
      </c>
      <c r="L10" s="96" t="s">
        <v>14137</v>
      </c>
      <c r="M10" s="96" t="s">
        <v>14138</v>
      </c>
      <c r="N10" s="96" t="s">
        <v>14139</v>
      </c>
      <c r="O10" s="96" t="s">
        <v>14140</v>
      </c>
      <c r="P10" s="96" t="s">
        <v>14141</v>
      </c>
      <c r="Q10" s="96" t="s">
        <v>14142</v>
      </c>
      <c r="R10" s="96" t="s">
        <v>10537</v>
      </c>
      <c r="S10" s="96" t="s">
        <v>14143</v>
      </c>
      <c r="T10" s="96" t="s">
        <v>14137</v>
      </c>
      <c r="U10" s="96" t="s">
        <v>14133</v>
      </c>
      <c r="V10" s="96" t="s">
        <v>14133</v>
      </c>
      <c r="W10" s="96" t="s">
        <v>14132</v>
      </c>
      <c r="X10" s="96" t="s">
        <v>14144</v>
      </c>
      <c r="Y10" s="96" t="s">
        <v>1151</v>
      </c>
      <c r="Z10" s="96" t="s">
        <v>14145</v>
      </c>
      <c r="AA10" s="96" t="s">
        <v>14146</v>
      </c>
      <c r="AB10" s="96" t="s">
        <v>14147</v>
      </c>
      <c r="AC10" s="96" t="s">
        <v>14148</v>
      </c>
      <c r="AD10" s="57"/>
    </row>
    <row r="11">
      <c r="A11" s="96" t="s">
        <v>11574</v>
      </c>
      <c r="B11" s="96" t="s">
        <v>11575</v>
      </c>
      <c r="C11" s="97" t="s">
        <v>14149</v>
      </c>
      <c r="D11" s="96" t="s">
        <v>14150</v>
      </c>
      <c r="E11" s="96" t="s">
        <v>14150</v>
      </c>
      <c r="F11" s="96" t="s">
        <v>14151</v>
      </c>
      <c r="G11" s="96" t="s">
        <v>14152</v>
      </c>
      <c r="H11" s="96" t="s">
        <v>14153</v>
      </c>
      <c r="I11" s="96" t="s">
        <v>14154</v>
      </c>
      <c r="J11" s="96" t="s">
        <v>14150</v>
      </c>
      <c r="K11" s="96" t="s">
        <v>14155</v>
      </c>
      <c r="L11" s="96" t="s">
        <v>14156</v>
      </c>
      <c r="M11" s="96" t="s">
        <v>14154</v>
      </c>
      <c r="N11" s="96" t="s">
        <v>14157</v>
      </c>
      <c r="O11" s="96" t="s">
        <v>14158</v>
      </c>
      <c r="P11" s="96" t="s">
        <v>14159</v>
      </c>
      <c r="Q11" s="96" t="s">
        <v>14160</v>
      </c>
      <c r="R11" s="96" t="s">
        <v>14161</v>
      </c>
      <c r="S11" s="96" t="s">
        <v>14162</v>
      </c>
      <c r="T11" s="96" t="s">
        <v>14156</v>
      </c>
      <c r="U11" s="96" t="s">
        <v>14163</v>
      </c>
      <c r="V11" s="96" t="s">
        <v>14164</v>
      </c>
      <c r="W11" s="96" t="s">
        <v>14164</v>
      </c>
      <c r="X11" s="96" t="s">
        <v>14165</v>
      </c>
      <c r="Y11" s="96" t="s">
        <v>14166</v>
      </c>
      <c r="Z11" s="96" t="s">
        <v>14156</v>
      </c>
      <c r="AA11" s="96" t="s">
        <v>14165</v>
      </c>
      <c r="AB11" s="96" t="s">
        <v>14167</v>
      </c>
      <c r="AC11" s="96" t="s">
        <v>14168</v>
      </c>
      <c r="AD11" s="57"/>
    </row>
    <row r="12">
      <c r="A12" s="96" t="s">
        <v>11576</v>
      </c>
      <c r="B12" s="96" t="s">
        <v>11577</v>
      </c>
      <c r="C12" s="97" t="s">
        <v>14169</v>
      </c>
      <c r="D12" s="96" t="s">
        <v>14170</v>
      </c>
      <c r="E12" s="96" t="s">
        <v>14171</v>
      </c>
      <c r="F12" s="96" t="s">
        <v>14172</v>
      </c>
      <c r="G12" s="96" t="s">
        <v>14173</v>
      </c>
      <c r="H12" s="96" t="s">
        <v>14174</v>
      </c>
      <c r="I12" s="96" t="s">
        <v>14175</v>
      </c>
      <c r="J12" s="96" t="s">
        <v>14176</v>
      </c>
      <c r="K12" s="96" t="s">
        <v>14177</v>
      </c>
      <c r="L12" s="96" t="s">
        <v>14178</v>
      </c>
      <c r="M12" s="96" t="s">
        <v>14179</v>
      </c>
      <c r="N12" s="96" t="s">
        <v>14180</v>
      </c>
      <c r="O12" s="96" t="s">
        <v>14181</v>
      </c>
      <c r="P12" s="96" t="s">
        <v>14182</v>
      </c>
      <c r="Q12" s="96" t="s">
        <v>14183</v>
      </c>
      <c r="R12" s="96" t="s">
        <v>14184</v>
      </c>
      <c r="S12" s="96" t="s">
        <v>14185</v>
      </c>
      <c r="T12" s="96" t="s">
        <v>14186</v>
      </c>
      <c r="U12" s="96" t="s">
        <v>14187</v>
      </c>
      <c r="V12" s="96" t="s">
        <v>14188</v>
      </c>
      <c r="W12" s="96" t="s">
        <v>14173</v>
      </c>
      <c r="X12" s="96" t="s">
        <v>14189</v>
      </c>
      <c r="Y12" s="96" t="s">
        <v>14190</v>
      </c>
      <c r="Z12" s="96" t="s">
        <v>14191</v>
      </c>
      <c r="AA12" s="96" t="s">
        <v>14192</v>
      </c>
      <c r="AB12" s="96" t="s">
        <v>14193</v>
      </c>
      <c r="AC12" s="96" t="s">
        <v>14194</v>
      </c>
      <c r="AD12" s="57"/>
    </row>
    <row r="13">
      <c r="A13" s="96" t="s">
        <v>11578</v>
      </c>
      <c r="B13" s="96" t="s">
        <v>11579</v>
      </c>
      <c r="C13" s="97" t="s">
        <v>14195</v>
      </c>
      <c r="D13" s="96" t="s">
        <v>14196</v>
      </c>
      <c r="E13" s="96" t="s">
        <v>14197</v>
      </c>
      <c r="F13" s="96" t="s">
        <v>14198</v>
      </c>
      <c r="G13" s="96" t="s">
        <v>14199</v>
      </c>
      <c r="H13" s="96" t="s">
        <v>14200</v>
      </c>
      <c r="I13" s="96" t="s">
        <v>14201</v>
      </c>
      <c r="J13" s="96" t="s">
        <v>14202</v>
      </c>
      <c r="K13" s="96" t="s">
        <v>14203</v>
      </c>
      <c r="L13" s="96" t="s">
        <v>14204</v>
      </c>
      <c r="M13" s="96" t="s">
        <v>14205</v>
      </c>
      <c r="N13" s="96" t="s">
        <v>14206</v>
      </c>
      <c r="O13" s="96" t="s">
        <v>14207</v>
      </c>
      <c r="P13" s="96" t="s">
        <v>14208</v>
      </c>
      <c r="Q13" s="96" t="s">
        <v>14209</v>
      </c>
      <c r="R13" s="96" t="s">
        <v>14210</v>
      </c>
      <c r="S13" s="96" t="s">
        <v>14211</v>
      </c>
      <c r="T13" s="96" t="s">
        <v>14212</v>
      </c>
      <c r="U13" s="96" t="s">
        <v>14213</v>
      </c>
      <c r="V13" s="96" t="s">
        <v>14214</v>
      </c>
      <c r="W13" s="96" t="s">
        <v>14215</v>
      </c>
      <c r="X13" s="96" t="s">
        <v>14216</v>
      </c>
      <c r="Y13" s="96" t="s">
        <v>14217</v>
      </c>
      <c r="Z13" s="96" t="s">
        <v>14218</v>
      </c>
      <c r="AA13" s="96" t="s">
        <v>14219</v>
      </c>
      <c r="AB13" s="96" t="s">
        <v>14220</v>
      </c>
      <c r="AC13" s="96" t="s">
        <v>14221</v>
      </c>
      <c r="AD13" s="57"/>
    </row>
    <row r="14">
      <c r="A14" s="96" t="s">
        <v>11580</v>
      </c>
      <c r="B14" s="96" t="s">
        <v>11581</v>
      </c>
      <c r="C14" s="97" t="s">
        <v>14222</v>
      </c>
      <c r="D14" s="96" t="s">
        <v>14223</v>
      </c>
      <c r="E14" s="96" t="s">
        <v>14224</v>
      </c>
      <c r="F14" s="96" t="s">
        <v>14225</v>
      </c>
      <c r="G14" s="96" t="s">
        <v>14226</v>
      </c>
      <c r="H14" s="96" t="s">
        <v>11581</v>
      </c>
      <c r="I14" s="96" t="s">
        <v>14227</v>
      </c>
      <c r="J14" s="96" t="s">
        <v>14228</v>
      </c>
      <c r="K14" s="96" t="s">
        <v>14229</v>
      </c>
      <c r="L14" s="96" t="s">
        <v>14230</v>
      </c>
      <c r="M14" s="96" t="s">
        <v>11581</v>
      </c>
      <c r="N14" s="96" t="s">
        <v>14231</v>
      </c>
      <c r="O14" s="96" t="s">
        <v>14232</v>
      </c>
      <c r="P14" s="96" t="s">
        <v>14233</v>
      </c>
      <c r="Q14" s="96" t="s">
        <v>14234</v>
      </c>
      <c r="R14" s="96" t="s">
        <v>14235</v>
      </c>
      <c r="S14" s="96" t="s">
        <v>14236</v>
      </c>
      <c r="T14" s="96" t="s">
        <v>14237</v>
      </c>
      <c r="U14" s="96" t="s">
        <v>14238</v>
      </c>
      <c r="V14" s="96" t="s">
        <v>14239</v>
      </c>
      <c r="W14" s="96" t="s">
        <v>14240</v>
      </c>
      <c r="X14" s="96" t="s">
        <v>14241</v>
      </c>
      <c r="Y14" s="96" t="s">
        <v>14242</v>
      </c>
      <c r="Z14" s="96" t="s">
        <v>14243</v>
      </c>
      <c r="AA14" s="96" t="s">
        <v>14241</v>
      </c>
      <c r="AB14" s="96" t="s">
        <v>14244</v>
      </c>
      <c r="AC14" s="96" t="s">
        <v>14245</v>
      </c>
      <c r="AD14" s="57"/>
    </row>
    <row r="15">
      <c r="A15" s="96" t="s">
        <v>11582</v>
      </c>
      <c r="B15" s="96" t="s">
        <v>11583</v>
      </c>
      <c r="C15" s="97" t="s">
        <v>14246</v>
      </c>
      <c r="D15" s="96" t="s">
        <v>14247</v>
      </c>
      <c r="E15" s="96" t="s">
        <v>14248</v>
      </c>
      <c r="F15" s="96" t="s">
        <v>14249</v>
      </c>
      <c r="G15" s="96" t="s">
        <v>14250</v>
      </c>
      <c r="H15" s="96" t="s">
        <v>14251</v>
      </c>
      <c r="I15" s="96" t="s">
        <v>14252</v>
      </c>
      <c r="J15" s="96" t="s">
        <v>14253</v>
      </c>
      <c r="K15" s="96" t="s">
        <v>14254</v>
      </c>
      <c r="L15" s="96" t="s">
        <v>14255</v>
      </c>
      <c r="M15" s="96" t="s">
        <v>14256</v>
      </c>
      <c r="N15" s="96" t="s">
        <v>14257</v>
      </c>
      <c r="O15" s="96" t="s">
        <v>14258</v>
      </c>
      <c r="P15" s="96" t="s">
        <v>14259</v>
      </c>
      <c r="Q15" s="96" t="s">
        <v>14260</v>
      </c>
      <c r="R15" s="96" t="s">
        <v>14261</v>
      </c>
      <c r="S15" s="96" t="s">
        <v>14262</v>
      </c>
      <c r="T15" s="96" t="s">
        <v>14263</v>
      </c>
      <c r="U15" s="96" t="s">
        <v>14264</v>
      </c>
      <c r="V15" s="96" t="s">
        <v>14265</v>
      </c>
      <c r="W15" s="96" t="s">
        <v>14266</v>
      </c>
      <c r="X15" s="96" t="s">
        <v>14267</v>
      </c>
      <c r="Y15" s="96" t="s">
        <v>14268</v>
      </c>
      <c r="Z15" s="96" t="s">
        <v>14269</v>
      </c>
      <c r="AA15" s="96" t="s">
        <v>14270</v>
      </c>
      <c r="AB15" s="96" t="s">
        <v>14271</v>
      </c>
      <c r="AC15" s="96" t="s">
        <v>14272</v>
      </c>
      <c r="AD15" s="57"/>
    </row>
    <row r="16">
      <c r="A16" s="96" t="s">
        <v>11584</v>
      </c>
      <c r="B16" s="96" t="s">
        <v>11585</v>
      </c>
      <c r="C16" s="97" t="s">
        <v>14273</v>
      </c>
      <c r="D16" s="96" t="s">
        <v>14274</v>
      </c>
      <c r="E16" s="96" t="s">
        <v>14275</v>
      </c>
      <c r="F16" s="96" t="s">
        <v>14276</v>
      </c>
      <c r="G16" s="96" t="s">
        <v>14277</v>
      </c>
      <c r="H16" s="96" t="s">
        <v>14278</v>
      </c>
      <c r="I16" s="96" t="s">
        <v>14279</v>
      </c>
      <c r="J16" s="96" t="s">
        <v>14280</v>
      </c>
      <c r="K16" s="96" t="s">
        <v>14281</v>
      </c>
      <c r="L16" s="96" t="s">
        <v>14282</v>
      </c>
      <c r="M16" s="96" t="s">
        <v>14283</v>
      </c>
      <c r="N16" s="96" t="s">
        <v>14284</v>
      </c>
      <c r="O16" s="96" t="s">
        <v>14285</v>
      </c>
      <c r="P16" s="96" t="s">
        <v>14286</v>
      </c>
      <c r="Q16" s="96" t="s">
        <v>14287</v>
      </c>
      <c r="R16" s="96" t="s">
        <v>14288</v>
      </c>
      <c r="S16" s="96" t="s">
        <v>14289</v>
      </c>
      <c r="T16" s="96" t="s">
        <v>14282</v>
      </c>
      <c r="U16" s="96" t="s">
        <v>14290</v>
      </c>
      <c r="V16" s="96" t="s">
        <v>14291</v>
      </c>
      <c r="W16" s="96" t="s">
        <v>14292</v>
      </c>
      <c r="X16" s="96" t="s">
        <v>14293</v>
      </c>
      <c r="Y16" s="96" t="s">
        <v>14294</v>
      </c>
      <c r="Z16" s="96" t="s">
        <v>14295</v>
      </c>
      <c r="AA16" s="96" t="s">
        <v>14293</v>
      </c>
      <c r="AB16" s="96" t="s">
        <v>14296</v>
      </c>
      <c r="AC16" s="96" t="s">
        <v>14297</v>
      </c>
      <c r="AD16" s="57"/>
    </row>
    <row r="17">
      <c r="A17" s="96" t="s">
        <v>11586</v>
      </c>
      <c r="B17" s="96" t="s">
        <v>11587</v>
      </c>
      <c r="C17" s="97" t="s">
        <v>14298</v>
      </c>
      <c r="D17" s="96" t="s">
        <v>14299</v>
      </c>
      <c r="E17" s="96" t="s">
        <v>14300</v>
      </c>
      <c r="F17" s="96" t="s">
        <v>14301</v>
      </c>
      <c r="G17" s="96" t="s">
        <v>14302</v>
      </c>
      <c r="H17" s="96" t="s">
        <v>14303</v>
      </c>
      <c r="I17" s="96" t="s">
        <v>14304</v>
      </c>
      <c r="J17" s="96" t="s">
        <v>14305</v>
      </c>
      <c r="K17" s="96" t="s">
        <v>14306</v>
      </c>
      <c r="L17" s="96" t="s">
        <v>14307</v>
      </c>
      <c r="M17" s="96" t="s">
        <v>14308</v>
      </c>
      <c r="N17" s="96" t="s">
        <v>14309</v>
      </c>
      <c r="O17" s="96" t="s">
        <v>14310</v>
      </c>
      <c r="P17" s="96" t="s">
        <v>14311</v>
      </c>
      <c r="Q17" s="96" t="s">
        <v>14312</v>
      </c>
      <c r="R17" s="96" t="s">
        <v>14313</v>
      </c>
      <c r="S17" s="96" t="s">
        <v>14314</v>
      </c>
      <c r="T17" s="96" t="s">
        <v>14307</v>
      </c>
      <c r="U17" s="96" t="s">
        <v>14315</v>
      </c>
      <c r="V17" s="96" t="s">
        <v>14316</v>
      </c>
      <c r="W17" s="96" t="s">
        <v>14317</v>
      </c>
      <c r="X17" s="96" t="s">
        <v>14318</v>
      </c>
      <c r="Y17" s="96" t="s">
        <v>14319</v>
      </c>
      <c r="Z17" s="96" t="s">
        <v>14320</v>
      </c>
      <c r="AA17" s="96" t="s">
        <v>14321</v>
      </c>
      <c r="AB17" s="96" t="s">
        <v>14322</v>
      </c>
      <c r="AC17" s="96" t="s">
        <v>14323</v>
      </c>
      <c r="AD17" s="57"/>
    </row>
    <row r="18">
      <c r="A18" s="96" t="s">
        <v>11588</v>
      </c>
      <c r="B18" s="96" t="s">
        <v>11589</v>
      </c>
      <c r="C18" s="97" t="s">
        <v>14324</v>
      </c>
      <c r="D18" s="96" t="s">
        <v>14325</v>
      </c>
      <c r="E18" s="96" t="s">
        <v>14326</v>
      </c>
      <c r="F18" s="96" t="s">
        <v>14327</v>
      </c>
      <c r="G18" s="96" t="s">
        <v>14328</v>
      </c>
      <c r="H18" s="96" t="s">
        <v>14329</v>
      </c>
      <c r="I18" s="96" t="s">
        <v>14330</v>
      </c>
      <c r="J18" s="96" t="s">
        <v>14331</v>
      </c>
      <c r="K18" s="96" t="s">
        <v>14332</v>
      </c>
      <c r="L18" s="96" t="s">
        <v>11589</v>
      </c>
      <c r="M18" s="96" t="s">
        <v>14333</v>
      </c>
      <c r="N18" s="96" t="s">
        <v>14334</v>
      </c>
      <c r="O18" s="96" t="s">
        <v>14335</v>
      </c>
      <c r="P18" s="96" t="s">
        <v>14336</v>
      </c>
      <c r="Q18" s="96" t="s">
        <v>14337</v>
      </c>
      <c r="R18" s="96" t="s">
        <v>14338</v>
      </c>
      <c r="S18" s="96" t="s">
        <v>14339</v>
      </c>
      <c r="T18" s="96" t="s">
        <v>14340</v>
      </c>
      <c r="U18" s="96" t="s">
        <v>14341</v>
      </c>
      <c r="V18" s="96" t="s">
        <v>14342</v>
      </c>
      <c r="W18" s="96" t="s">
        <v>14328</v>
      </c>
      <c r="X18" s="96" t="s">
        <v>14343</v>
      </c>
      <c r="Y18" s="96" t="s">
        <v>14344</v>
      </c>
      <c r="Z18" s="96" t="s">
        <v>14345</v>
      </c>
      <c r="AA18" s="96" t="s">
        <v>14346</v>
      </c>
      <c r="AB18" s="96" t="s">
        <v>14347</v>
      </c>
      <c r="AC18" s="96" t="s">
        <v>14348</v>
      </c>
      <c r="AD18" s="57"/>
    </row>
    <row r="19">
      <c r="A19" s="96" t="s">
        <v>11590</v>
      </c>
      <c r="B19" s="96" t="s">
        <v>11591</v>
      </c>
      <c r="C19" s="97" t="s">
        <v>14324</v>
      </c>
      <c r="D19" s="96" t="s">
        <v>14349</v>
      </c>
      <c r="E19" s="96" t="s">
        <v>14350</v>
      </c>
      <c r="F19" s="96" t="s">
        <v>14351</v>
      </c>
      <c r="G19" s="96" t="s">
        <v>14352</v>
      </c>
      <c r="H19" s="96" t="s">
        <v>14353</v>
      </c>
      <c r="I19" s="96" t="s">
        <v>14354</v>
      </c>
      <c r="J19" s="96" t="s">
        <v>14355</v>
      </c>
      <c r="K19" s="96" t="s">
        <v>14332</v>
      </c>
      <c r="L19" s="96" t="s">
        <v>11591</v>
      </c>
      <c r="M19" s="96" t="s">
        <v>14356</v>
      </c>
      <c r="N19" s="96" t="s">
        <v>14334</v>
      </c>
      <c r="O19" s="96" t="s">
        <v>14335</v>
      </c>
      <c r="P19" s="96" t="s">
        <v>14336</v>
      </c>
      <c r="Q19" s="96" t="s">
        <v>14337</v>
      </c>
      <c r="R19" s="96" t="s">
        <v>14338</v>
      </c>
      <c r="S19" s="96" t="s">
        <v>14357</v>
      </c>
      <c r="T19" s="96" t="s">
        <v>14358</v>
      </c>
      <c r="U19" s="96" t="s">
        <v>14359</v>
      </c>
      <c r="V19" s="96" t="s">
        <v>14360</v>
      </c>
      <c r="W19" s="96" t="s">
        <v>14352</v>
      </c>
      <c r="X19" s="96" t="s">
        <v>14361</v>
      </c>
      <c r="Y19" s="96" t="s">
        <v>14344</v>
      </c>
      <c r="Z19" s="96" t="s">
        <v>237</v>
      </c>
      <c r="AA19" s="96" t="s">
        <v>14362</v>
      </c>
      <c r="AB19" s="96" t="s">
        <v>14347</v>
      </c>
      <c r="AC19" s="96" t="s">
        <v>718</v>
      </c>
      <c r="AD19" s="57"/>
    </row>
    <row r="20">
      <c r="A20" s="96" t="s">
        <v>11592</v>
      </c>
      <c r="B20" s="96" t="s">
        <v>11593</v>
      </c>
      <c r="C20" s="97" t="s">
        <v>14363</v>
      </c>
      <c r="D20" s="96" t="s">
        <v>14364</v>
      </c>
      <c r="E20" s="96" t="s">
        <v>14365</v>
      </c>
      <c r="F20" s="96" t="s">
        <v>14366</v>
      </c>
      <c r="G20" s="96" t="s">
        <v>14367</v>
      </c>
      <c r="H20" s="96" t="s">
        <v>14368</v>
      </c>
      <c r="I20" s="96" t="s">
        <v>14369</v>
      </c>
      <c r="J20" s="96" t="s">
        <v>14370</v>
      </c>
      <c r="K20" s="96" t="s">
        <v>14371</v>
      </c>
      <c r="L20" s="96" t="s">
        <v>14372</v>
      </c>
      <c r="M20" s="96" t="s">
        <v>14373</v>
      </c>
      <c r="N20" s="96" t="s">
        <v>14374</v>
      </c>
      <c r="O20" s="96" t="s">
        <v>14375</v>
      </c>
      <c r="P20" s="96" t="s">
        <v>14376</v>
      </c>
      <c r="Q20" s="96" t="s">
        <v>14377</v>
      </c>
      <c r="R20" s="96" t="s">
        <v>11593</v>
      </c>
      <c r="S20" s="96" t="s">
        <v>14378</v>
      </c>
      <c r="T20" s="96" t="s">
        <v>14379</v>
      </c>
      <c r="U20" s="96" t="s">
        <v>14380</v>
      </c>
      <c r="V20" s="96" t="s">
        <v>14381</v>
      </c>
      <c r="W20" s="96" t="s">
        <v>14382</v>
      </c>
      <c r="X20" s="96" t="s">
        <v>14383</v>
      </c>
      <c r="Y20" s="96" t="s">
        <v>14384</v>
      </c>
      <c r="Z20" s="96" t="s">
        <v>14385</v>
      </c>
      <c r="AA20" s="96" t="s">
        <v>14386</v>
      </c>
      <c r="AB20" s="96" t="s">
        <v>14387</v>
      </c>
      <c r="AC20" s="96" t="s">
        <v>14388</v>
      </c>
      <c r="AD20" s="57"/>
    </row>
    <row r="21">
      <c r="A21" s="96" t="s">
        <v>11594</v>
      </c>
      <c r="B21" s="96" t="s">
        <v>11595</v>
      </c>
      <c r="C21" s="97" t="s">
        <v>14389</v>
      </c>
      <c r="D21" s="96" t="s">
        <v>14390</v>
      </c>
      <c r="E21" s="96" t="s">
        <v>14391</v>
      </c>
      <c r="F21" s="96" t="s">
        <v>14392</v>
      </c>
      <c r="G21" s="96" t="s">
        <v>14393</v>
      </c>
      <c r="H21" s="96" t="s">
        <v>14394</v>
      </c>
      <c r="I21" s="96" t="s">
        <v>14395</v>
      </c>
      <c r="J21" s="96" t="s">
        <v>14396</v>
      </c>
      <c r="K21" s="96" t="s">
        <v>14397</v>
      </c>
      <c r="L21" s="96" t="s">
        <v>14398</v>
      </c>
      <c r="M21" s="96" t="s">
        <v>14399</v>
      </c>
      <c r="N21" s="96" t="s">
        <v>14400</v>
      </c>
      <c r="O21" s="96" t="s">
        <v>14401</v>
      </c>
      <c r="P21" s="96" t="s">
        <v>14402</v>
      </c>
      <c r="Q21" s="96" t="s">
        <v>14403</v>
      </c>
      <c r="R21" s="96" t="s">
        <v>14404</v>
      </c>
      <c r="S21" s="96" t="s">
        <v>14405</v>
      </c>
      <c r="T21" s="96" t="s">
        <v>14406</v>
      </c>
      <c r="U21" s="96" t="s">
        <v>14407</v>
      </c>
      <c r="V21" s="96" t="s">
        <v>14408</v>
      </c>
      <c r="W21" s="96" t="s">
        <v>14409</v>
      </c>
      <c r="X21" s="96" t="s">
        <v>14410</v>
      </c>
      <c r="Y21" s="96" t="s">
        <v>14411</v>
      </c>
      <c r="Z21" s="96" t="s">
        <v>14412</v>
      </c>
      <c r="AA21" s="96" t="s">
        <v>14413</v>
      </c>
      <c r="AB21" s="96" t="s">
        <v>14414</v>
      </c>
      <c r="AC21" s="96" t="s">
        <v>14415</v>
      </c>
      <c r="AD21" s="57"/>
    </row>
    <row r="22">
      <c r="A22" s="96" t="s">
        <v>11596</v>
      </c>
      <c r="B22" s="96" t="s">
        <v>11597</v>
      </c>
      <c r="C22" s="97" t="s">
        <v>14416</v>
      </c>
      <c r="D22" s="96" t="s">
        <v>14417</v>
      </c>
      <c r="E22" s="96" t="s">
        <v>14418</v>
      </c>
      <c r="F22" s="96" t="s">
        <v>14419</v>
      </c>
      <c r="G22" s="96" t="s">
        <v>14420</v>
      </c>
      <c r="H22" s="96" t="s">
        <v>14421</v>
      </c>
      <c r="I22" s="96" t="s">
        <v>14422</v>
      </c>
      <c r="J22" s="96" t="s">
        <v>14423</v>
      </c>
      <c r="K22" s="96" t="s">
        <v>14424</v>
      </c>
      <c r="L22" s="96" t="s">
        <v>14425</v>
      </c>
      <c r="M22" s="96" t="s">
        <v>14426</v>
      </c>
      <c r="N22" s="96" t="s">
        <v>14427</v>
      </c>
      <c r="O22" s="96" t="s">
        <v>14428</v>
      </c>
      <c r="P22" s="96" t="s">
        <v>14429</v>
      </c>
      <c r="Q22" s="96" t="s">
        <v>14430</v>
      </c>
      <c r="R22" s="96" t="s">
        <v>14431</v>
      </c>
      <c r="S22" s="96" t="s">
        <v>14432</v>
      </c>
      <c r="T22" s="96" t="s">
        <v>14433</v>
      </c>
      <c r="U22" s="96" t="s">
        <v>14434</v>
      </c>
      <c r="V22" s="96" t="s">
        <v>14435</v>
      </c>
      <c r="W22" s="96" t="s">
        <v>14436</v>
      </c>
      <c r="X22" s="96" t="s">
        <v>14437</v>
      </c>
      <c r="Y22" s="96" t="s">
        <v>14438</v>
      </c>
      <c r="Z22" s="96" t="s">
        <v>14439</v>
      </c>
      <c r="AA22" s="96" t="s">
        <v>14440</v>
      </c>
      <c r="AB22" s="96" t="s">
        <v>14441</v>
      </c>
      <c r="AC22" s="96" t="s">
        <v>14442</v>
      </c>
      <c r="AD22" s="57"/>
    </row>
    <row r="23">
      <c r="A23" s="96" t="s">
        <v>11598</v>
      </c>
      <c r="B23" s="96" t="s">
        <v>11599</v>
      </c>
      <c r="C23" s="97" t="s">
        <v>14443</v>
      </c>
      <c r="D23" s="96" t="s">
        <v>14444</v>
      </c>
      <c r="E23" s="96" t="s">
        <v>14445</v>
      </c>
      <c r="F23" s="96" t="s">
        <v>14446</v>
      </c>
      <c r="G23" s="96" t="s">
        <v>14447</v>
      </c>
      <c r="H23" s="96" t="s">
        <v>14448</v>
      </c>
      <c r="I23" s="96" t="s">
        <v>14449</v>
      </c>
      <c r="J23" s="96" t="s">
        <v>14450</v>
      </c>
      <c r="K23" s="96" t="s">
        <v>14451</v>
      </c>
      <c r="L23" s="96" t="s">
        <v>14452</v>
      </c>
      <c r="M23" s="96" t="s">
        <v>14453</v>
      </c>
      <c r="N23" s="96" t="s">
        <v>14454</v>
      </c>
      <c r="O23" s="96" t="s">
        <v>14455</v>
      </c>
      <c r="P23" s="96" t="s">
        <v>14456</v>
      </c>
      <c r="Q23" s="96" t="s">
        <v>14457</v>
      </c>
      <c r="R23" s="96" t="s">
        <v>14458</v>
      </c>
      <c r="S23" s="96" t="s">
        <v>14459</v>
      </c>
      <c r="T23" s="96" t="s">
        <v>14460</v>
      </c>
      <c r="U23" s="96" t="s">
        <v>14461</v>
      </c>
      <c r="V23" s="96" t="s">
        <v>14462</v>
      </c>
      <c r="W23" s="96" t="s">
        <v>14463</v>
      </c>
      <c r="X23" s="96" t="s">
        <v>14464</v>
      </c>
      <c r="Y23" s="96" t="s">
        <v>14465</v>
      </c>
      <c r="Z23" s="96" t="s">
        <v>14466</v>
      </c>
      <c r="AA23" s="96" t="s">
        <v>14467</v>
      </c>
      <c r="AB23" s="96" t="s">
        <v>14468</v>
      </c>
      <c r="AC23" s="96" t="s">
        <v>14469</v>
      </c>
      <c r="AD23" s="57"/>
    </row>
    <row r="24">
      <c r="A24" s="96" t="s">
        <v>11600</v>
      </c>
      <c r="B24" s="96" t="s">
        <v>11601</v>
      </c>
      <c r="C24" s="97" t="s">
        <v>14470</v>
      </c>
      <c r="D24" s="96" t="s">
        <v>14471</v>
      </c>
      <c r="E24" s="96" t="s">
        <v>14472</v>
      </c>
      <c r="F24" s="96" t="s">
        <v>14473</v>
      </c>
      <c r="G24" s="96" t="s">
        <v>14474</v>
      </c>
      <c r="H24" s="96" t="s">
        <v>14475</v>
      </c>
      <c r="I24" s="96" t="s">
        <v>14476</v>
      </c>
      <c r="J24" s="96" t="s">
        <v>14477</v>
      </c>
      <c r="K24" s="96" t="s">
        <v>14478</v>
      </c>
      <c r="L24" s="96" t="s">
        <v>14479</v>
      </c>
      <c r="M24" s="96" t="s">
        <v>14480</v>
      </c>
      <c r="N24" s="96" t="s">
        <v>14481</v>
      </c>
      <c r="O24" s="96" t="s">
        <v>14482</v>
      </c>
      <c r="P24" s="96" t="s">
        <v>14483</v>
      </c>
      <c r="Q24" s="96" t="s">
        <v>14484</v>
      </c>
      <c r="R24" s="96" t="s">
        <v>14485</v>
      </c>
      <c r="S24" s="96" t="s">
        <v>14486</v>
      </c>
      <c r="T24" s="96" t="s">
        <v>14487</v>
      </c>
      <c r="U24" s="96" t="s">
        <v>14488</v>
      </c>
      <c r="V24" s="96" t="s">
        <v>14489</v>
      </c>
      <c r="W24" s="96" t="s">
        <v>14490</v>
      </c>
      <c r="X24" s="96" t="s">
        <v>14491</v>
      </c>
      <c r="Y24" s="96" t="s">
        <v>14492</v>
      </c>
      <c r="Z24" s="96" t="s">
        <v>14493</v>
      </c>
      <c r="AA24" s="96" t="s">
        <v>14494</v>
      </c>
      <c r="AB24" s="96" t="s">
        <v>14495</v>
      </c>
      <c r="AC24" s="96" t="s">
        <v>14496</v>
      </c>
      <c r="AD24" s="57"/>
    </row>
    <row r="25">
      <c r="A25" s="96" t="s">
        <v>11602</v>
      </c>
      <c r="B25" s="96" t="s">
        <v>11603</v>
      </c>
      <c r="C25" s="97" t="s">
        <v>14497</v>
      </c>
      <c r="D25" s="96" t="s">
        <v>14498</v>
      </c>
      <c r="E25" s="96" t="s">
        <v>14499</v>
      </c>
      <c r="F25" s="96" t="s">
        <v>14500</v>
      </c>
      <c r="G25" s="96" t="s">
        <v>14501</v>
      </c>
      <c r="H25" s="96" t="s">
        <v>14502</v>
      </c>
      <c r="I25" s="96" t="s">
        <v>14503</v>
      </c>
      <c r="J25" s="96" t="s">
        <v>14504</v>
      </c>
      <c r="K25" s="96" t="s">
        <v>14505</v>
      </c>
      <c r="L25" s="96" t="s">
        <v>14506</v>
      </c>
      <c r="M25" s="96" t="s">
        <v>14507</v>
      </c>
      <c r="N25" s="96" t="s">
        <v>14508</v>
      </c>
      <c r="O25" s="96" t="s">
        <v>14509</v>
      </c>
      <c r="P25" s="96" t="s">
        <v>14510</v>
      </c>
      <c r="Q25" s="96" t="s">
        <v>14511</v>
      </c>
      <c r="R25" s="96" t="s">
        <v>14512</v>
      </c>
      <c r="S25" s="96" t="s">
        <v>14513</v>
      </c>
      <c r="T25" s="96" t="s">
        <v>14514</v>
      </c>
      <c r="U25" s="96" t="s">
        <v>14515</v>
      </c>
      <c r="V25" s="96" t="s">
        <v>14516</v>
      </c>
      <c r="W25" s="96" t="s">
        <v>14517</v>
      </c>
      <c r="X25" s="96" t="s">
        <v>14518</v>
      </c>
      <c r="Y25" s="96" t="s">
        <v>14519</v>
      </c>
      <c r="Z25" s="96" t="s">
        <v>14520</v>
      </c>
      <c r="AA25" s="96" t="s">
        <v>14521</v>
      </c>
      <c r="AB25" s="96" t="s">
        <v>14522</v>
      </c>
      <c r="AC25" s="96" t="s">
        <v>14523</v>
      </c>
      <c r="AD25" s="57"/>
    </row>
    <row r="26">
      <c r="A26" s="96" t="s">
        <v>11604</v>
      </c>
      <c r="B26" s="96" t="s">
        <v>11605</v>
      </c>
      <c r="C26" s="97" t="s">
        <v>14524</v>
      </c>
      <c r="D26" s="96" t="s">
        <v>11139</v>
      </c>
      <c r="E26" s="96" t="s">
        <v>14525</v>
      </c>
      <c r="F26" s="96" t="s">
        <v>14526</v>
      </c>
      <c r="G26" s="96" t="s">
        <v>14527</v>
      </c>
      <c r="H26" s="96" t="s">
        <v>14528</v>
      </c>
      <c r="I26" s="96" t="s">
        <v>14529</v>
      </c>
      <c r="J26" s="96" t="s">
        <v>14530</v>
      </c>
      <c r="K26" s="96" t="s">
        <v>14531</v>
      </c>
      <c r="L26" s="96" t="s">
        <v>14532</v>
      </c>
      <c r="M26" s="96" t="s">
        <v>14533</v>
      </c>
      <c r="N26" s="96" t="s">
        <v>14534</v>
      </c>
      <c r="O26" s="96" t="s">
        <v>14535</v>
      </c>
      <c r="P26" s="96" t="s">
        <v>14536</v>
      </c>
      <c r="Q26" s="96" t="s">
        <v>14537</v>
      </c>
      <c r="R26" s="96" t="s">
        <v>14538</v>
      </c>
      <c r="S26" s="96" t="s">
        <v>14539</v>
      </c>
      <c r="T26" s="96" t="s">
        <v>14540</v>
      </c>
      <c r="U26" s="96" t="s">
        <v>14541</v>
      </c>
      <c r="V26" s="96" t="s">
        <v>14542</v>
      </c>
      <c r="W26" s="96" t="s">
        <v>14543</v>
      </c>
      <c r="X26" s="96" t="s">
        <v>14544</v>
      </c>
      <c r="Y26" s="96" t="s">
        <v>14545</v>
      </c>
      <c r="Z26" s="96" t="s">
        <v>14546</v>
      </c>
      <c r="AA26" s="96" t="s">
        <v>14547</v>
      </c>
      <c r="AB26" s="96" t="s">
        <v>14548</v>
      </c>
      <c r="AC26" s="96" t="s">
        <v>14549</v>
      </c>
      <c r="AD26" s="57"/>
    </row>
    <row r="27">
      <c r="A27" s="96" t="s">
        <v>11606</v>
      </c>
      <c r="B27" s="96" t="s">
        <v>11607</v>
      </c>
      <c r="C27" s="97" t="s">
        <v>14550</v>
      </c>
      <c r="D27" s="96" t="s">
        <v>14551</v>
      </c>
      <c r="E27" s="96" t="s">
        <v>14552</v>
      </c>
      <c r="F27" s="96" t="s">
        <v>14553</v>
      </c>
      <c r="G27" s="96" t="s">
        <v>14554</v>
      </c>
      <c r="H27" s="96" t="s">
        <v>14555</v>
      </c>
      <c r="I27" s="96" t="s">
        <v>14556</v>
      </c>
      <c r="J27" s="96" t="s">
        <v>14557</v>
      </c>
      <c r="K27" s="96" t="s">
        <v>14558</v>
      </c>
      <c r="L27" s="96" t="s">
        <v>14559</v>
      </c>
      <c r="M27" s="96" t="s">
        <v>14560</v>
      </c>
      <c r="N27" s="96" t="s">
        <v>14561</v>
      </c>
      <c r="O27" s="96" t="s">
        <v>14562</v>
      </c>
      <c r="P27" s="96" t="s">
        <v>14563</v>
      </c>
      <c r="Q27" s="96" t="s">
        <v>14564</v>
      </c>
      <c r="R27" s="96" t="s">
        <v>14565</v>
      </c>
      <c r="S27" s="96" t="s">
        <v>14566</v>
      </c>
      <c r="T27" s="96" t="s">
        <v>14567</v>
      </c>
      <c r="U27" s="96" t="s">
        <v>14568</v>
      </c>
      <c r="V27" s="96" t="s">
        <v>14569</v>
      </c>
      <c r="W27" s="96" t="s">
        <v>14570</v>
      </c>
      <c r="X27" s="96" t="s">
        <v>14571</v>
      </c>
      <c r="Y27" s="96" t="s">
        <v>14572</v>
      </c>
      <c r="Z27" s="96" t="s">
        <v>14573</v>
      </c>
      <c r="AA27" s="96" t="s">
        <v>14574</v>
      </c>
      <c r="AB27" s="96" t="s">
        <v>14575</v>
      </c>
      <c r="AC27" s="96" t="s">
        <v>14576</v>
      </c>
      <c r="AD27" s="57"/>
    </row>
    <row r="28">
      <c r="A28" s="96" t="s">
        <v>11608</v>
      </c>
      <c r="B28" s="96" t="s">
        <v>11609</v>
      </c>
      <c r="C28" s="97" t="s">
        <v>14577</v>
      </c>
      <c r="D28" s="96" t="s">
        <v>14578</v>
      </c>
      <c r="E28" s="96" t="s">
        <v>14579</v>
      </c>
      <c r="F28" s="96" t="s">
        <v>14580</v>
      </c>
      <c r="G28" s="96" t="s">
        <v>14581</v>
      </c>
      <c r="H28" s="96" t="s">
        <v>14582</v>
      </c>
      <c r="I28" s="96" t="s">
        <v>14583</v>
      </c>
      <c r="J28" s="96" t="s">
        <v>14584</v>
      </c>
      <c r="K28" s="96" t="s">
        <v>14585</v>
      </c>
      <c r="L28" s="96" t="s">
        <v>14586</v>
      </c>
      <c r="M28" s="96" t="s">
        <v>14587</v>
      </c>
      <c r="N28" s="96" t="s">
        <v>14588</v>
      </c>
      <c r="O28" s="96" t="s">
        <v>14589</v>
      </c>
      <c r="P28" s="96" t="s">
        <v>14590</v>
      </c>
      <c r="Q28" s="96" t="s">
        <v>14591</v>
      </c>
      <c r="R28" s="96" t="s">
        <v>14592</v>
      </c>
      <c r="S28" s="96" t="s">
        <v>14593</v>
      </c>
      <c r="T28" s="96" t="s">
        <v>14586</v>
      </c>
      <c r="U28" s="96" t="s">
        <v>14594</v>
      </c>
      <c r="V28" s="96" t="s">
        <v>14595</v>
      </c>
      <c r="W28" s="96" t="s">
        <v>14596</v>
      </c>
      <c r="X28" s="96" t="s">
        <v>14597</v>
      </c>
      <c r="Y28" s="96" t="s">
        <v>14598</v>
      </c>
      <c r="Z28" s="96" t="s">
        <v>14599</v>
      </c>
      <c r="AA28" s="96" t="s">
        <v>14600</v>
      </c>
      <c r="AB28" s="96" t="s">
        <v>14601</v>
      </c>
      <c r="AC28" s="96" t="s">
        <v>14602</v>
      </c>
      <c r="AD28" s="57"/>
    </row>
    <row r="29">
      <c r="A29" s="96" t="s">
        <v>11610</v>
      </c>
      <c r="B29" s="96" t="s">
        <v>11611</v>
      </c>
      <c r="C29" s="97" t="s">
        <v>14603</v>
      </c>
      <c r="D29" s="96" t="s">
        <v>14604</v>
      </c>
      <c r="E29" s="96" t="s">
        <v>14605</v>
      </c>
      <c r="F29" s="96" t="s">
        <v>14606</v>
      </c>
      <c r="G29" s="96" t="s">
        <v>14607</v>
      </c>
      <c r="H29" s="96" t="s">
        <v>14608</v>
      </c>
      <c r="I29" s="96" t="s">
        <v>14609</v>
      </c>
      <c r="J29" s="96" t="s">
        <v>14610</v>
      </c>
      <c r="K29" s="96" t="s">
        <v>14611</v>
      </c>
      <c r="L29" s="96" t="s">
        <v>14612</v>
      </c>
      <c r="M29" s="96" t="s">
        <v>14613</v>
      </c>
      <c r="N29" s="96" t="s">
        <v>14614</v>
      </c>
      <c r="O29" s="96" t="s">
        <v>14615</v>
      </c>
      <c r="P29" s="96" t="s">
        <v>14616</v>
      </c>
      <c r="Q29" s="96" t="s">
        <v>14617</v>
      </c>
      <c r="R29" s="96" t="s">
        <v>14618</v>
      </c>
      <c r="S29" s="96" t="s">
        <v>14619</v>
      </c>
      <c r="T29" s="96" t="s">
        <v>14620</v>
      </c>
      <c r="U29" s="96" t="s">
        <v>14621</v>
      </c>
      <c r="V29" s="96" t="s">
        <v>14622</v>
      </c>
      <c r="W29" s="96" t="s">
        <v>14623</v>
      </c>
      <c r="X29" s="96" t="s">
        <v>14624</v>
      </c>
      <c r="Y29" s="96" t="s">
        <v>14625</v>
      </c>
      <c r="Z29" s="96" t="s">
        <v>14626</v>
      </c>
      <c r="AA29" s="96" t="s">
        <v>14627</v>
      </c>
      <c r="AB29" s="96" t="s">
        <v>14628</v>
      </c>
      <c r="AC29" s="96" t="s">
        <v>14629</v>
      </c>
      <c r="AD29" s="57"/>
    </row>
    <row r="30">
      <c r="A30" s="96" t="s">
        <v>11612</v>
      </c>
      <c r="B30" s="96" t="s">
        <v>11613</v>
      </c>
      <c r="C30" s="97" t="s">
        <v>14630</v>
      </c>
      <c r="D30" s="96" t="s">
        <v>14631</v>
      </c>
      <c r="E30" s="96" t="s">
        <v>14632</v>
      </c>
      <c r="F30" s="96" t="s">
        <v>14633</v>
      </c>
      <c r="G30" s="96" t="s">
        <v>14634</v>
      </c>
      <c r="H30" s="96" t="s">
        <v>14635</v>
      </c>
      <c r="I30" s="96" t="s">
        <v>14636</v>
      </c>
      <c r="J30" s="96" t="s">
        <v>14637</v>
      </c>
      <c r="K30" s="96" t="s">
        <v>14068</v>
      </c>
      <c r="L30" s="96" t="s">
        <v>11613</v>
      </c>
      <c r="M30" s="96" t="s">
        <v>14638</v>
      </c>
      <c r="N30" s="96" t="s">
        <v>14071</v>
      </c>
      <c r="O30" s="96" t="s">
        <v>14639</v>
      </c>
      <c r="P30" s="96" t="s">
        <v>14640</v>
      </c>
      <c r="Q30" s="96" t="s">
        <v>14641</v>
      </c>
      <c r="R30" s="96" t="s">
        <v>14642</v>
      </c>
      <c r="S30" s="96" t="s">
        <v>14643</v>
      </c>
      <c r="T30" s="96" t="s">
        <v>11613</v>
      </c>
      <c r="U30" s="96" t="s">
        <v>14644</v>
      </c>
      <c r="V30" s="96" t="s">
        <v>14645</v>
      </c>
      <c r="W30" s="96" t="s">
        <v>14646</v>
      </c>
      <c r="X30" s="96" t="s">
        <v>14647</v>
      </c>
      <c r="Y30" s="96" t="s">
        <v>14648</v>
      </c>
      <c r="Z30" s="96" t="s">
        <v>14649</v>
      </c>
      <c r="AA30" s="96" t="s">
        <v>14650</v>
      </c>
      <c r="AB30" s="96" t="s">
        <v>14651</v>
      </c>
      <c r="AC30" s="96" t="s">
        <v>14652</v>
      </c>
      <c r="AD30" s="57"/>
    </row>
    <row r="31">
      <c r="A31" s="96" t="s">
        <v>11614</v>
      </c>
      <c r="B31" s="96" t="s">
        <v>11566</v>
      </c>
      <c r="C31" s="97" t="s">
        <v>14060</v>
      </c>
      <c r="D31" s="96" t="s">
        <v>14061</v>
      </c>
      <c r="E31" s="96" t="s">
        <v>14062</v>
      </c>
      <c r="F31" s="96" t="s">
        <v>14063</v>
      </c>
      <c r="G31" s="96" t="s">
        <v>14064</v>
      </c>
      <c r="H31" s="96" t="s">
        <v>14065</v>
      </c>
      <c r="I31" s="96" t="s">
        <v>14066</v>
      </c>
      <c r="J31" s="96" t="s">
        <v>14067</v>
      </c>
      <c r="K31" s="96" t="s">
        <v>14068</v>
      </c>
      <c r="L31" s="96" t="s">
        <v>14069</v>
      </c>
      <c r="M31" s="96" t="s">
        <v>14070</v>
      </c>
      <c r="N31" s="96" t="s">
        <v>14071</v>
      </c>
      <c r="O31" s="96" t="s">
        <v>14072</v>
      </c>
      <c r="P31" s="96" t="s">
        <v>14073</v>
      </c>
      <c r="Q31" s="96" t="s">
        <v>14074</v>
      </c>
      <c r="R31" s="96" t="s">
        <v>10085</v>
      </c>
      <c r="S31" s="96" t="s">
        <v>14075</v>
      </c>
      <c r="T31" s="96" t="s">
        <v>14076</v>
      </c>
      <c r="U31" s="96" t="s">
        <v>14077</v>
      </c>
      <c r="V31" s="96" t="s">
        <v>14061</v>
      </c>
      <c r="W31" s="96" t="s">
        <v>14078</v>
      </c>
      <c r="X31" s="96" t="s">
        <v>14079</v>
      </c>
      <c r="Y31" s="96" t="s">
        <v>14080</v>
      </c>
      <c r="Z31" s="96" t="s">
        <v>14081</v>
      </c>
      <c r="AA31" s="96" t="s">
        <v>14082</v>
      </c>
      <c r="AB31" s="96" t="s">
        <v>14083</v>
      </c>
      <c r="AC31" s="96" t="s">
        <v>10096</v>
      </c>
      <c r="AD31" s="57"/>
    </row>
    <row r="32">
      <c r="A32" s="96" t="s">
        <v>11615</v>
      </c>
      <c r="B32" s="96" t="s">
        <v>11562</v>
      </c>
      <c r="C32" s="97" t="s">
        <v>14015</v>
      </c>
      <c r="D32" s="96" t="s">
        <v>14016</v>
      </c>
      <c r="E32" s="96" t="s">
        <v>14017</v>
      </c>
      <c r="F32" s="96" t="s">
        <v>14018</v>
      </c>
      <c r="G32" s="96" t="s">
        <v>14019</v>
      </c>
      <c r="H32" s="96" t="s">
        <v>14020</v>
      </c>
      <c r="I32" s="96" t="s">
        <v>14021</v>
      </c>
      <c r="J32" s="96" t="s">
        <v>14022</v>
      </c>
      <c r="K32" s="96" t="s">
        <v>14023</v>
      </c>
      <c r="L32" s="96" t="s">
        <v>14024</v>
      </c>
      <c r="M32" s="96" t="s">
        <v>14025</v>
      </c>
      <c r="N32" s="96" t="s">
        <v>14026</v>
      </c>
      <c r="O32" s="96" t="s">
        <v>14027</v>
      </c>
      <c r="P32" s="96" t="s">
        <v>14028</v>
      </c>
      <c r="Q32" s="96" t="s">
        <v>14029</v>
      </c>
      <c r="R32" s="96" t="s">
        <v>14030</v>
      </c>
      <c r="S32" s="96" t="s">
        <v>14031</v>
      </c>
      <c r="T32" s="96" t="s">
        <v>14032</v>
      </c>
      <c r="U32" s="96" t="s">
        <v>14033</v>
      </c>
      <c r="V32" s="96" t="s">
        <v>14034</v>
      </c>
      <c r="W32" s="96" t="s">
        <v>14035</v>
      </c>
      <c r="X32" s="96" t="s">
        <v>14036</v>
      </c>
      <c r="Y32" s="96" t="s">
        <v>14037</v>
      </c>
      <c r="Z32" s="96" t="s">
        <v>14038</v>
      </c>
      <c r="AA32" s="96" t="s">
        <v>14039</v>
      </c>
      <c r="AB32" s="96" t="s">
        <v>14040</v>
      </c>
      <c r="AC32" s="96" t="s">
        <v>14041</v>
      </c>
      <c r="AD32" s="57"/>
    </row>
    <row r="33">
      <c r="A33" s="96" t="s">
        <v>11616</v>
      </c>
      <c r="B33" s="96" t="s">
        <v>11564</v>
      </c>
      <c r="C33" s="97" t="s">
        <v>14042</v>
      </c>
      <c r="D33" s="96" t="s">
        <v>14043</v>
      </c>
      <c r="E33" s="96" t="s">
        <v>11564</v>
      </c>
      <c r="F33" s="96" t="s">
        <v>11564</v>
      </c>
      <c r="G33" s="96" t="s">
        <v>11616</v>
      </c>
      <c r="H33" s="96" t="s">
        <v>14044</v>
      </c>
      <c r="I33" s="96" t="s">
        <v>14045</v>
      </c>
      <c r="J33" s="96" t="s">
        <v>11564</v>
      </c>
      <c r="K33" s="96" t="s">
        <v>14046</v>
      </c>
      <c r="L33" s="96" t="s">
        <v>14047</v>
      </c>
      <c r="M33" s="96" t="s">
        <v>14047</v>
      </c>
      <c r="N33" s="96" t="s">
        <v>14048</v>
      </c>
      <c r="O33" s="96" t="s">
        <v>14049</v>
      </c>
      <c r="P33" s="96" t="s">
        <v>14050</v>
      </c>
      <c r="Q33" s="96" t="s">
        <v>14051</v>
      </c>
      <c r="R33" s="96" t="s">
        <v>14052</v>
      </c>
      <c r="S33" s="96" t="s">
        <v>14053</v>
      </c>
      <c r="T33" s="96" t="s">
        <v>14047</v>
      </c>
      <c r="U33" s="96" t="s">
        <v>11564</v>
      </c>
      <c r="V33" s="96" t="s">
        <v>14054</v>
      </c>
      <c r="W33" s="96" t="s">
        <v>11564</v>
      </c>
      <c r="X33" s="96" t="s">
        <v>14055</v>
      </c>
      <c r="Y33" s="96" t="s">
        <v>14056</v>
      </c>
      <c r="Z33" s="96" t="s">
        <v>14057</v>
      </c>
      <c r="AA33" s="96" t="s">
        <v>14058</v>
      </c>
      <c r="AB33" s="96" t="s">
        <v>14059</v>
      </c>
      <c r="AC33" s="96" t="s">
        <v>14047</v>
      </c>
      <c r="AD33" s="57"/>
    </row>
    <row r="34">
      <c r="A34" s="96" t="s">
        <v>7034</v>
      </c>
      <c r="B34" s="96" t="s">
        <v>7035</v>
      </c>
      <c r="C34" s="97" t="s">
        <v>7036</v>
      </c>
      <c r="D34" s="96" t="s">
        <v>7037</v>
      </c>
      <c r="E34" s="96" t="s">
        <v>7038</v>
      </c>
      <c r="F34" s="96" t="s">
        <v>7039</v>
      </c>
      <c r="G34" s="96" t="s">
        <v>7040</v>
      </c>
      <c r="H34" s="96" t="s">
        <v>7041</v>
      </c>
      <c r="I34" s="96" t="s">
        <v>7042</v>
      </c>
      <c r="J34" s="96" t="s">
        <v>7043</v>
      </c>
      <c r="K34" s="96" t="s">
        <v>7044</v>
      </c>
      <c r="L34" s="96" t="s">
        <v>7045</v>
      </c>
      <c r="M34" s="96" t="s">
        <v>7046</v>
      </c>
      <c r="N34" s="96" t="s">
        <v>7047</v>
      </c>
      <c r="O34" s="96" t="s">
        <v>14653</v>
      </c>
      <c r="P34" s="96" t="s">
        <v>14654</v>
      </c>
      <c r="Q34" s="96" t="s">
        <v>7050</v>
      </c>
      <c r="R34" s="96" t="s">
        <v>14655</v>
      </c>
      <c r="S34" s="96" t="s">
        <v>7052</v>
      </c>
      <c r="T34" s="96" t="s">
        <v>7053</v>
      </c>
      <c r="U34" s="96" t="s">
        <v>7054</v>
      </c>
      <c r="V34" s="96" t="s">
        <v>7055</v>
      </c>
      <c r="W34" s="96" t="s">
        <v>7035</v>
      </c>
      <c r="X34" s="96" t="s">
        <v>7056</v>
      </c>
      <c r="Y34" s="96" t="s">
        <v>14656</v>
      </c>
      <c r="Z34" s="96" t="s">
        <v>7058</v>
      </c>
      <c r="AA34" s="96" t="s">
        <v>14657</v>
      </c>
      <c r="AB34" s="96" t="s">
        <v>7060</v>
      </c>
      <c r="AC34" s="96" t="s">
        <v>7061</v>
      </c>
      <c r="AD34" s="57"/>
    </row>
    <row r="35">
      <c r="A35" s="96" t="s">
        <v>11617</v>
      </c>
      <c r="B35" s="96" t="s">
        <v>14658</v>
      </c>
      <c r="C35" s="97" t="s">
        <v>14659</v>
      </c>
      <c r="D35" s="96" t="s">
        <v>14660</v>
      </c>
      <c r="E35" s="96" t="s">
        <v>14661</v>
      </c>
      <c r="F35" s="96" t="s">
        <v>14662</v>
      </c>
      <c r="G35" s="96" t="s">
        <v>14663</v>
      </c>
      <c r="H35" s="96" t="s">
        <v>14664</v>
      </c>
      <c r="I35" s="96" t="s">
        <v>14665</v>
      </c>
      <c r="J35" s="96" t="s">
        <v>14666</v>
      </c>
      <c r="K35" s="96" t="s">
        <v>14667</v>
      </c>
      <c r="L35" s="96" t="s">
        <v>14668</v>
      </c>
      <c r="M35" s="96" t="s">
        <v>14669</v>
      </c>
      <c r="N35" s="96" t="s">
        <v>14670</v>
      </c>
      <c r="O35" s="96" t="s">
        <v>14671</v>
      </c>
      <c r="P35" s="96" t="s">
        <v>14672</v>
      </c>
      <c r="Q35" s="96" t="s">
        <v>14673</v>
      </c>
      <c r="R35" s="96" t="s">
        <v>14674</v>
      </c>
      <c r="S35" s="96" t="s">
        <v>14675</v>
      </c>
      <c r="T35" s="96" t="s">
        <v>14668</v>
      </c>
      <c r="U35" s="96" t="s">
        <v>14676</v>
      </c>
      <c r="V35" s="96" t="s">
        <v>14677</v>
      </c>
      <c r="W35" s="96" t="s">
        <v>14678</v>
      </c>
      <c r="X35" s="96" t="s">
        <v>14679</v>
      </c>
      <c r="Y35" s="96" t="s">
        <v>14680</v>
      </c>
      <c r="Z35" s="96" t="s">
        <v>14681</v>
      </c>
      <c r="AA35" s="96" t="s">
        <v>14682</v>
      </c>
      <c r="AB35" s="96" t="s">
        <v>14683</v>
      </c>
      <c r="AC35" s="96" t="s">
        <v>14684</v>
      </c>
      <c r="AD35" s="57"/>
    </row>
    <row r="36">
      <c r="A36" s="37" t="s">
        <v>11619</v>
      </c>
      <c r="B36" s="38" t="s">
        <v>14685</v>
      </c>
      <c r="C36" s="39" t="s">
        <v>14686</v>
      </c>
      <c r="D36" s="38" t="s">
        <v>14687</v>
      </c>
      <c r="E36" s="38" t="s">
        <v>14688</v>
      </c>
      <c r="F36" s="38" t="s">
        <v>14689</v>
      </c>
      <c r="G36" s="38" t="s">
        <v>14690</v>
      </c>
      <c r="H36" s="38" t="s">
        <v>14691</v>
      </c>
      <c r="I36" s="38" t="s">
        <v>14692</v>
      </c>
      <c r="J36" s="38" t="s">
        <v>14693</v>
      </c>
      <c r="K36" s="38" t="s">
        <v>14694</v>
      </c>
      <c r="L36" s="38" t="s">
        <v>14695</v>
      </c>
      <c r="M36" s="38" t="s">
        <v>14696</v>
      </c>
      <c r="N36" s="38" t="s">
        <v>14697</v>
      </c>
      <c r="O36" s="42" t="s">
        <v>14698</v>
      </c>
      <c r="P36" s="38" t="s">
        <v>14699</v>
      </c>
      <c r="Q36" s="44" t="s">
        <v>14700</v>
      </c>
      <c r="R36" s="45" t="s">
        <v>14701</v>
      </c>
      <c r="S36" s="38" t="s">
        <v>14702</v>
      </c>
      <c r="T36" s="38" t="s">
        <v>14703</v>
      </c>
      <c r="U36" s="38" t="s">
        <v>14704</v>
      </c>
      <c r="V36" s="38" t="s">
        <v>14705</v>
      </c>
      <c r="W36" s="38" t="s">
        <v>14706</v>
      </c>
      <c r="X36" s="38" t="s">
        <v>14707</v>
      </c>
      <c r="Y36" s="46" t="s">
        <v>14708</v>
      </c>
      <c r="Z36" s="38" t="s">
        <v>14709</v>
      </c>
      <c r="AA36" s="38" t="s">
        <v>14710</v>
      </c>
      <c r="AB36" s="41" t="s">
        <v>14711</v>
      </c>
      <c r="AC36" s="38" t="s">
        <v>14712</v>
      </c>
      <c r="AD36" s="57"/>
    </row>
    <row r="37">
      <c r="A37" s="96" t="s">
        <v>11621</v>
      </c>
      <c r="B37" s="96" t="s">
        <v>11622</v>
      </c>
      <c r="C37" s="97" t="s">
        <v>14713</v>
      </c>
      <c r="D37" s="96" t="s">
        <v>14714</v>
      </c>
      <c r="E37" s="96" t="s">
        <v>14715</v>
      </c>
      <c r="F37" s="96" t="s">
        <v>14716</v>
      </c>
      <c r="G37" s="96" t="s">
        <v>14717</v>
      </c>
      <c r="H37" s="96" t="s">
        <v>14718</v>
      </c>
      <c r="I37" s="96" t="s">
        <v>5974</v>
      </c>
      <c r="J37" s="96" t="s">
        <v>5975</v>
      </c>
      <c r="K37" s="96" t="s">
        <v>14719</v>
      </c>
      <c r="L37" s="96" t="s">
        <v>14720</v>
      </c>
      <c r="M37" s="96" t="s">
        <v>14721</v>
      </c>
      <c r="N37" s="96" t="s">
        <v>14722</v>
      </c>
      <c r="O37" s="96" t="s">
        <v>14723</v>
      </c>
      <c r="P37" s="96" t="s">
        <v>14724</v>
      </c>
      <c r="Q37" s="96" t="s">
        <v>14725</v>
      </c>
      <c r="R37" s="96" t="s">
        <v>14726</v>
      </c>
      <c r="S37" s="96" t="s">
        <v>14727</v>
      </c>
      <c r="T37" s="96" t="s">
        <v>14728</v>
      </c>
      <c r="U37" s="96" t="s">
        <v>14729</v>
      </c>
      <c r="V37" s="96" t="s">
        <v>14730</v>
      </c>
      <c r="W37" s="96" t="s">
        <v>14717</v>
      </c>
      <c r="X37" s="96" t="s">
        <v>14731</v>
      </c>
      <c r="Y37" s="96" t="s">
        <v>14732</v>
      </c>
      <c r="Z37" s="96" t="s">
        <v>14733</v>
      </c>
      <c r="AA37" s="96" t="s">
        <v>14734</v>
      </c>
      <c r="AB37" s="96" t="s">
        <v>14735</v>
      </c>
      <c r="AC37" s="96" t="s">
        <v>14736</v>
      </c>
      <c r="AD37" s="57"/>
    </row>
    <row r="38">
      <c r="A38" s="96" t="s">
        <v>11623</v>
      </c>
      <c r="B38" s="96" t="s">
        <v>11624</v>
      </c>
      <c r="C38" s="97" t="s">
        <v>14737</v>
      </c>
      <c r="D38" s="96" t="s">
        <v>14738</v>
      </c>
      <c r="E38" s="96" t="s">
        <v>14739</v>
      </c>
      <c r="F38" s="96" t="s">
        <v>14740</v>
      </c>
      <c r="G38" s="96" t="s">
        <v>14741</v>
      </c>
      <c r="H38" s="96" t="s">
        <v>14742</v>
      </c>
      <c r="I38" s="96" t="s">
        <v>14743</v>
      </c>
      <c r="J38" s="96" t="s">
        <v>14744</v>
      </c>
      <c r="K38" s="96" t="s">
        <v>14745</v>
      </c>
      <c r="L38" s="96" t="s">
        <v>14746</v>
      </c>
      <c r="M38" s="96" t="s">
        <v>14747</v>
      </c>
      <c r="N38" s="96" t="s">
        <v>14748</v>
      </c>
      <c r="O38" s="96" t="s">
        <v>14749</v>
      </c>
      <c r="P38" s="96" t="s">
        <v>14750</v>
      </c>
      <c r="Q38" s="96" t="s">
        <v>14751</v>
      </c>
      <c r="R38" s="96" t="s">
        <v>14752</v>
      </c>
      <c r="S38" s="96" t="s">
        <v>14753</v>
      </c>
      <c r="T38" s="96" t="s">
        <v>14754</v>
      </c>
      <c r="U38" s="96" t="s">
        <v>14755</v>
      </c>
      <c r="V38" s="96" t="s">
        <v>14756</v>
      </c>
      <c r="W38" s="96" t="s">
        <v>14757</v>
      </c>
      <c r="X38" s="96" t="s">
        <v>14758</v>
      </c>
      <c r="Y38" s="96" t="s">
        <v>14759</v>
      </c>
      <c r="Z38" s="96" t="s">
        <v>14760</v>
      </c>
      <c r="AA38" s="96" t="s">
        <v>14761</v>
      </c>
      <c r="AB38" s="96" t="s">
        <v>14762</v>
      </c>
      <c r="AC38" s="96" t="s">
        <v>14763</v>
      </c>
      <c r="AD38" s="57"/>
    </row>
    <row r="39">
      <c r="A39" s="96" t="s">
        <v>11625</v>
      </c>
      <c r="B39" s="96" t="s">
        <v>11626</v>
      </c>
      <c r="C39" s="97" t="s">
        <v>14764</v>
      </c>
      <c r="D39" s="96" t="s">
        <v>14765</v>
      </c>
      <c r="E39" s="96" t="s">
        <v>14766</v>
      </c>
      <c r="F39" s="96" t="s">
        <v>14767</v>
      </c>
      <c r="G39" s="96" t="s">
        <v>14768</v>
      </c>
      <c r="H39" s="96" t="s">
        <v>14769</v>
      </c>
      <c r="I39" s="96" t="s">
        <v>14770</v>
      </c>
      <c r="J39" s="96" t="s">
        <v>14771</v>
      </c>
      <c r="K39" s="96" t="s">
        <v>14772</v>
      </c>
      <c r="L39" s="96" t="s">
        <v>14773</v>
      </c>
      <c r="M39" s="96" t="s">
        <v>14774</v>
      </c>
      <c r="N39" s="96" t="s">
        <v>14775</v>
      </c>
      <c r="O39" s="96" t="s">
        <v>14776</v>
      </c>
      <c r="P39" s="96" t="s">
        <v>14777</v>
      </c>
      <c r="Q39" s="96" t="s">
        <v>14778</v>
      </c>
      <c r="R39" s="96" t="s">
        <v>14779</v>
      </c>
      <c r="S39" s="96" t="s">
        <v>14780</v>
      </c>
      <c r="T39" s="96" t="s">
        <v>14781</v>
      </c>
      <c r="U39" s="96" t="s">
        <v>14782</v>
      </c>
      <c r="V39" s="96" t="s">
        <v>14783</v>
      </c>
      <c r="W39" s="96" t="s">
        <v>14768</v>
      </c>
      <c r="X39" s="96" t="s">
        <v>14784</v>
      </c>
      <c r="Y39" s="96" t="s">
        <v>14785</v>
      </c>
      <c r="Z39" s="96" t="s">
        <v>14786</v>
      </c>
      <c r="AA39" s="96" t="s">
        <v>14787</v>
      </c>
      <c r="AB39" s="96" t="s">
        <v>14788</v>
      </c>
      <c r="AC39" s="96" t="s">
        <v>14789</v>
      </c>
      <c r="AD39" s="57"/>
    </row>
    <row r="40">
      <c r="A40" s="96" t="s">
        <v>11627</v>
      </c>
      <c r="B40" s="96" t="s">
        <v>11628</v>
      </c>
      <c r="C40" s="97" t="s">
        <v>14790</v>
      </c>
      <c r="D40" s="96" t="s">
        <v>14791</v>
      </c>
      <c r="E40" s="96" t="s">
        <v>14792</v>
      </c>
      <c r="F40" s="96" t="s">
        <v>14793</v>
      </c>
      <c r="G40" s="96" t="s">
        <v>14794</v>
      </c>
      <c r="H40" s="96" t="s">
        <v>14795</v>
      </c>
      <c r="I40" s="96" t="s">
        <v>14796</v>
      </c>
      <c r="J40" s="96" t="s">
        <v>14797</v>
      </c>
      <c r="K40" s="96" t="s">
        <v>14798</v>
      </c>
      <c r="L40" s="96" t="s">
        <v>14799</v>
      </c>
      <c r="M40" s="96" t="s">
        <v>14800</v>
      </c>
      <c r="N40" s="96" t="s">
        <v>14801</v>
      </c>
      <c r="O40" s="96" t="s">
        <v>14802</v>
      </c>
      <c r="P40" s="96" t="s">
        <v>14803</v>
      </c>
      <c r="Q40" s="96" t="s">
        <v>14804</v>
      </c>
      <c r="R40" s="96" t="s">
        <v>14805</v>
      </c>
      <c r="S40" s="96" t="s">
        <v>14806</v>
      </c>
      <c r="T40" s="96" t="s">
        <v>14807</v>
      </c>
      <c r="U40" s="96" t="s">
        <v>14808</v>
      </c>
      <c r="V40" s="96" t="s">
        <v>14809</v>
      </c>
      <c r="W40" s="96" t="s">
        <v>14810</v>
      </c>
      <c r="X40" s="96" t="s">
        <v>14811</v>
      </c>
      <c r="Y40" s="96" t="s">
        <v>14812</v>
      </c>
      <c r="Z40" s="96" t="s">
        <v>14813</v>
      </c>
      <c r="AA40" s="96" t="s">
        <v>14814</v>
      </c>
      <c r="AB40" s="96" t="s">
        <v>14815</v>
      </c>
      <c r="AC40" s="96" t="s">
        <v>14816</v>
      </c>
      <c r="AD40" s="57"/>
    </row>
    <row r="41">
      <c r="A41" s="96" t="s">
        <v>11629</v>
      </c>
      <c r="B41" s="96" t="s">
        <v>11630</v>
      </c>
      <c r="C41" s="97" t="s">
        <v>14817</v>
      </c>
      <c r="D41" s="96" t="s">
        <v>14818</v>
      </c>
      <c r="E41" s="96" t="s">
        <v>14819</v>
      </c>
      <c r="F41" s="96" t="s">
        <v>14820</v>
      </c>
      <c r="G41" s="96" t="s">
        <v>14821</v>
      </c>
      <c r="H41" s="96" t="s">
        <v>14822</v>
      </c>
      <c r="I41" s="96" t="s">
        <v>14823</v>
      </c>
      <c r="J41" s="96" t="s">
        <v>14824</v>
      </c>
      <c r="K41" s="96" t="s">
        <v>14825</v>
      </c>
      <c r="L41" s="96" t="s">
        <v>14826</v>
      </c>
      <c r="M41" s="96" t="s">
        <v>14827</v>
      </c>
      <c r="N41" s="96" t="s">
        <v>14828</v>
      </c>
      <c r="O41" s="96" t="s">
        <v>14829</v>
      </c>
      <c r="P41" s="96" t="s">
        <v>14830</v>
      </c>
      <c r="Q41" s="96" t="s">
        <v>14831</v>
      </c>
      <c r="R41" s="96" t="s">
        <v>14832</v>
      </c>
      <c r="S41" s="96" t="s">
        <v>14833</v>
      </c>
      <c r="T41" s="96" t="s">
        <v>14834</v>
      </c>
      <c r="U41" s="96" t="s">
        <v>14835</v>
      </c>
      <c r="V41" s="96" t="s">
        <v>14836</v>
      </c>
      <c r="W41" s="96" t="s">
        <v>14837</v>
      </c>
      <c r="X41" s="96" t="s">
        <v>14838</v>
      </c>
      <c r="Y41" s="96" t="s">
        <v>14839</v>
      </c>
      <c r="Z41" s="96" t="s">
        <v>14840</v>
      </c>
      <c r="AA41" s="96" t="s">
        <v>14841</v>
      </c>
      <c r="AB41" s="96" t="s">
        <v>14842</v>
      </c>
      <c r="AC41" s="96" t="s">
        <v>14843</v>
      </c>
      <c r="AD41" s="57"/>
    </row>
    <row r="42">
      <c r="A42" s="96" t="s">
        <v>11631</v>
      </c>
      <c r="B42" s="96" t="s">
        <v>11632</v>
      </c>
      <c r="C42" s="97" t="s">
        <v>14844</v>
      </c>
      <c r="D42" s="96" t="s">
        <v>14845</v>
      </c>
      <c r="E42" s="96" t="s">
        <v>14846</v>
      </c>
      <c r="F42" s="96" t="s">
        <v>14847</v>
      </c>
      <c r="G42" s="96" t="s">
        <v>14848</v>
      </c>
      <c r="H42" s="96" t="s">
        <v>14849</v>
      </c>
      <c r="I42" s="96" t="s">
        <v>14850</v>
      </c>
      <c r="J42" s="96" t="s">
        <v>14851</v>
      </c>
      <c r="K42" s="96" t="s">
        <v>14852</v>
      </c>
      <c r="L42" s="96" t="s">
        <v>14853</v>
      </c>
      <c r="M42" s="96" t="s">
        <v>14854</v>
      </c>
      <c r="N42" s="96" t="s">
        <v>14855</v>
      </c>
      <c r="O42" s="96" t="s">
        <v>14856</v>
      </c>
      <c r="P42" s="96" t="s">
        <v>14857</v>
      </c>
      <c r="Q42" s="96" t="s">
        <v>14858</v>
      </c>
      <c r="R42" s="96" t="s">
        <v>14859</v>
      </c>
      <c r="S42" s="96" t="s">
        <v>14860</v>
      </c>
      <c r="T42" s="96" t="s">
        <v>14861</v>
      </c>
      <c r="U42" s="96" t="s">
        <v>14862</v>
      </c>
      <c r="V42" s="96" t="s">
        <v>14863</v>
      </c>
      <c r="W42" s="96" t="s">
        <v>14864</v>
      </c>
      <c r="X42" s="96" t="s">
        <v>14865</v>
      </c>
      <c r="Y42" s="96" t="s">
        <v>14866</v>
      </c>
      <c r="Z42" s="96" t="s">
        <v>14867</v>
      </c>
      <c r="AA42" s="96" t="s">
        <v>14868</v>
      </c>
      <c r="AB42" s="96" t="s">
        <v>14869</v>
      </c>
      <c r="AC42" s="96" t="s">
        <v>14870</v>
      </c>
      <c r="AD42" s="57"/>
    </row>
    <row r="43">
      <c r="A43" s="96" t="s">
        <v>11633</v>
      </c>
      <c r="B43" s="96" t="s">
        <v>11634</v>
      </c>
      <c r="C43" s="97" t="s">
        <v>14871</v>
      </c>
      <c r="D43" s="96" t="s">
        <v>14872</v>
      </c>
      <c r="E43" s="96" t="s">
        <v>14873</v>
      </c>
      <c r="F43" s="96" t="s">
        <v>14874</v>
      </c>
      <c r="G43" s="96" t="s">
        <v>14875</v>
      </c>
      <c r="H43" s="96" t="s">
        <v>14876</v>
      </c>
      <c r="I43" s="96" t="s">
        <v>14877</v>
      </c>
      <c r="J43" s="96" t="s">
        <v>14878</v>
      </c>
      <c r="K43" s="96" t="s">
        <v>14879</v>
      </c>
      <c r="L43" s="96" t="s">
        <v>14880</v>
      </c>
      <c r="M43" s="96" t="s">
        <v>14881</v>
      </c>
      <c r="N43" s="96" t="s">
        <v>14882</v>
      </c>
      <c r="O43" s="96" t="s">
        <v>14883</v>
      </c>
      <c r="P43" s="96" t="s">
        <v>14884</v>
      </c>
      <c r="Q43" s="96" t="s">
        <v>14885</v>
      </c>
      <c r="R43" s="96" t="s">
        <v>14886</v>
      </c>
      <c r="S43" s="96" t="s">
        <v>14887</v>
      </c>
      <c r="T43" s="96" t="s">
        <v>14888</v>
      </c>
      <c r="U43" s="96" t="s">
        <v>14889</v>
      </c>
      <c r="V43" s="96" t="s">
        <v>14890</v>
      </c>
      <c r="W43" s="96" t="s">
        <v>14891</v>
      </c>
      <c r="X43" s="96" t="s">
        <v>14892</v>
      </c>
      <c r="Y43" s="96" t="s">
        <v>14893</v>
      </c>
      <c r="Z43" s="96" t="s">
        <v>14894</v>
      </c>
      <c r="AA43" s="96" t="s">
        <v>14895</v>
      </c>
      <c r="AB43" s="96" t="s">
        <v>14896</v>
      </c>
      <c r="AC43" s="96" t="s">
        <v>14897</v>
      </c>
      <c r="AD43" s="57"/>
    </row>
    <row r="44">
      <c r="A44" s="96" t="s">
        <v>4545</v>
      </c>
      <c r="B44" s="96" t="s">
        <v>2934</v>
      </c>
      <c r="C44" s="97" t="s">
        <v>2935</v>
      </c>
      <c r="D44" s="96" t="s">
        <v>2936</v>
      </c>
      <c r="E44" s="96" t="s">
        <v>2937</v>
      </c>
      <c r="F44" s="96" t="s">
        <v>2938</v>
      </c>
      <c r="G44" s="96" t="s">
        <v>2939</v>
      </c>
      <c r="H44" s="96" t="s">
        <v>2940</v>
      </c>
      <c r="I44" s="96" t="s">
        <v>2941</v>
      </c>
      <c r="J44" s="96" t="s">
        <v>2942</v>
      </c>
      <c r="K44" s="96" t="s">
        <v>2943</v>
      </c>
      <c r="L44" s="96" t="s">
        <v>2944</v>
      </c>
      <c r="M44" s="96" t="s">
        <v>2945</v>
      </c>
      <c r="N44" s="96" t="s">
        <v>2946</v>
      </c>
      <c r="O44" s="96" t="s">
        <v>2947</v>
      </c>
      <c r="P44" s="96" t="s">
        <v>2948</v>
      </c>
      <c r="Q44" s="96" t="s">
        <v>2949</v>
      </c>
      <c r="R44" s="96" t="s">
        <v>2950</v>
      </c>
      <c r="S44" s="96" t="s">
        <v>14898</v>
      </c>
      <c r="T44" s="96" t="s">
        <v>14899</v>
      </c>
      <c r="U44" s="96" t="s">
        <v>2953</v>
      </c>
      <c r="V44" s="96" t="s">
        <v>2954</v>
      </c>
      <c r="W44" s="96" t="s">
        <v>2955</v>
      </c>
      <c r="X44" s="96" t="s">
        <v>2956</v>
      </c>
      <c r="Y44" s="96" t="s">
        <v>2957</v>
      </c>
      <c r="Z44" s="96" t="s">
        <v>2958</v>
      </c>
      <c r="AA44" s="96" t="s">
        <v>2959</v>
      </c>
      <c r="AB44" s="96" t="s">
        <v>2946</v>
      </c>
      <c r="AC44" s="96" t="s">
        <v>2960</v>
      </c>
      <c r="AD44" s="57"/>
    </row>
    <row r="45">
      <c r="A45" s="96" t="s">
        <v>383</v>
      </c>
      <c r="B45" s="96" t="s">
        <v>384</v>
      </c>
      <c r="C45" s="97" t="s">
        <v>385</v>
      </c>
      <c r="D45" s="96" t="s">
        <v>386</v>
      </c>
      <c r="E45" s="96" t="s">
        <v>387</v>
      </c>
      <c r="F45" s="96" t="s">
        <v>388</v>
      </c>
      <c r="G45" s="96" t="s">
        <v>389</v>
      </c>
      <c r="H45" s="96" t="s">
        <v>390</v>
      </c>
      <c r="I45" s="96" t="s">
        <v>391</v>
      </c>
      <c r="J45" s="96" t="s">
        <v>392</v>
      </c>
      <c r="K45" s="96" t="s">
        <v>393</v>
      </c>
      <c r="L45" s="96" t="s">
        <v>394</v>
      </c>
      <c r="M45" s="96" t="s">
        <v>395</v>
      </c>
      <c r="N45" s="96" t="s">
        <v>396</v>
      </c>
      <c r="O45" s="96" t="s">
        <v>397</v>
      </c>
      <c r="P45" s="96" t="s">
        <v>398</v>
      </c>
      <c r="Q45" s="96" t="s">
        <v>399</v>
      </c>
      <c r="R45" s="96" t="s">
        <v>14900</v>
      </c>
      <c r="S45" s="96" t="s">
        <v>401</v>
      </c>
      <c r="T45" s="96" t="s">
        <v>402</v>
      </c>
      <c r="U45" s="96" t="s">
        <v>403</v>
      </c>
      <c r="V45" s="96" t="s">
        <v>404</v>
      </c>
      <c r="W45" s="96" t="s">
        <v>405</v>
      </c>
      <c r="X45" s="96" t="s">
        <v>406</v>
      </c>
      <c r="Y45" s="96" t="s">
        <v>407</v>
      </c>
      <c r="Z45" s="96" t="s">
        <v>408</v>
      </c>
      <c r="AA45" s="96" t="s">
        <v>409</v>
      </c>
      <c r="AB45" s="96" t="s">
        <v>410</v>
      </c>
      <c r="AC45" s="96" t="s">
        <v>411</v>
      </c>
      <c r="AD45" s="57"/>
    </row>
    <row r="46">
      <c r="A46" s="96" t="s">
        <v>11636</v>
      </c>
      <c r="B46" s="96" t="s">
        <v>11637</v>
      </c>
      <c r="C46" s="97" t="s">
        <v>14901</v>
      </c>
      <c r="D46" s="96" t="s">
        <v>14902</v>
      </c>
      <c r="E46" s="96" t="s">
        <v>14903</v>
      </c>
      <c r="F46" s="96" t="s">
        <v>14904</v>
      </c>
      <c r="G46" s="96" t="s">
        <v>14905</v>
      </c>
      <c r="H46" s="96" t="s">
        <v>14906</v>
      </c>
      <c r="I46" s="96" t="s">
        <v>14907</v>
      </c>
      <c r="J46" s="96" t="s">
        <v>14908</v>
      </c>
      <c r="K46" s="96" t="s">
        <v>14909</v>
      </c>
      <c r="L46" s="96" t="s">
        <v>14910</v>
      </c>
      <c r="M46" s="96" t="s">
        <v>14911</v>
      </c>
      <c r="N46" s="96" t="s">
        <v>14912</v>
      </c>
      <c r="O46" s="96" t="s">
        <v>14913</v>
      </c>
      <c r="P46" s="96" t="s">
        <v>14914</v>
      </c>
      <c r="Q46" s="96" t="s">
        <v>14915</v>
      </c>
      <c r="R46" s="96" t="s">
        <v>14916</v>
      </c>
      <c r="S46" s="96" t="s">
        <v>14917</v>
      </c>
      <c r="T46" s="96" t="s">
        <v>14918</v>
      </c>
      <c r="U46" s="96" t="s">
        <v>14919</v>
      </c>
      <c r="V46" s="96" t="s">
        <v>14920</v>
      </c>
      <c r="W46" s="96" t="s">
        <v>14921</v>
      </c>
      <c r="X46" s="96" t="s">
        <v>14922</v>
      </c>
      <c r="Y46" s="96" t="s">
        <v>14923</v>
      </c>
      <c r="Z46" s="96" t="s">
        <v>14924</v>
      </c>
      <c r="AA46" s="96" t="s">
        <v>14925</v>
      </c>
      <c r="AB46" s="96" t="s">
        <v>14926</v>
      </c>
      <c r="AC46" s="96" t="s">
        <v>14927</v>
      </c>
      <c r="AD46" s="57"/>
    </row>
    <row r="47">
      <c r="A47" s="96" t="s">
        <v>11638</v>
      </c>
      <c r="B47" s="96" t="s">
        <v>11639</v>
      </c>
      <c r="C47" s="97" t="s">
        <v>14928</v>
      </c>
      <c r="D47" s="96" t="s">
        <v>14929</v>
      </c>
      <c r="E47" s="96" t="s">
        <v>14930</v>
      </c>
      <c r="F47" s="96" t="s">
        <v>14931</v>
      </c>
      <c r="G47" s="96" t="s">
        <v>14932</v>
      </c>
      <c r="H47" s="96" t="s">
        <v>14933</v>
      </c>
      <c r="I47" s="96" t="s">
        <v>14934</v>
      </c>
      <c r="J47" s="96" t="s">
        <v>14935</v>
      </c>
      <c r="K47" s="96" t="s">
        <v>14936</v>
      </c>
      <c r="L47" s="96" t="s">
        <v>14937</v>
      </c>
      <c r="M47" s="96" t="s">
        <v>14938</v>
      </c>
      <c r="N47" s="96" t="s">
        <v>14939</v>
      </c>
      <c r="O47" s="96" t="s">
        <v>14940</v>
      </c>
      <c r="P47" s="96" t="s">
        <v>14941</v>
      </c>
      <c r="Q47" s="96" t="s">
        <v>14942</v>
      </c>
      <c r="R47" s="96" t="s">
        <v>14943</v>
      </c>
      <c r="S47" s="96" t="s">
        <v>14944</v>
      </c>
      <c r="T47" s="96" t="s">
        <v>14945</v>
      </c>
      <c r="U47" s="96" t="s">
        <v>14946</v>
      </c>
      <c r="V47" s="96" t="s">
        <v>14947</v>
      </c>
      <c r="W47" s="96" t="s">
        <v>14932</v>
      </c>
      <c r="X47" s="96" t="s">
        <v>14948</v>
      </c>
      <c r="Y47" s="96" t="s">
        <v>14949</v>
      </c>
      <c r="Z47" s="96" t="s">
        <v>14950</v>
      </c>
      <c r="AA47" s="96" t="s">
        <v>14951</v>
      </c>
      <c r="AB47" s="96" t="s">
        <v>14952</v>
      </c>
      <c r="AC47" s="96" t="s">
        <v>14953</v>
      </c>
      <c r="AD47" s="57"/>
    </row>
    <row r="48">
      <c r="A48" s="96" t="s">
        <v>215</v>
      </c>
      <c r="B48" s="96" t="s">
        <v>11640</v>
      </c>
      <c r="C48" s="97" t="s">
        <v>217</v>
      </c>
      <c r="D48" s="96" t="s">
        <v>14954</v>
      </c>
      <c r="E48" s="96" t="s">
        <v>14955</v>
      </c>
      <c r="F48" s="96" t="s">
        <v>14956</v>
      </c>
      <c r="G48" s="96" t="s">
        <v>14957</v>
      </c>
      <c r="H48" s="96" t="s">
        <v>11640</v>
      </c>
      <c r="I48" s="96" t="s">
        <v>14958</v>
      </c>
      <c r="J48" s="96" t="s">
        <v>14959</v>
      </c>
      <c r="K48" s="96" t="s">
        <v>225</v>
      </c>
      <c r="L48" s="96" t="s">
        <v>14960</v>
      </c>
      <c r="M48" s="96" t="s">
        <v>14961</v>
      </c>
      <c r="N48" s="96" t="s">
        <v>227</v>
      </c>
      <c r="O48" s="96" t="s">
        <v>14962</v>
      </c>
      <c r="P48" s="96" t="s">
        <v>229</v>
      </c>
      <c r="Q48" s="96" t="s">
        <v>230</v>
      </c>
      <c r="R48" s="96" t="s">
        <v>231</v>
      </c>
      <c r="S48" s="96" t="s">
        <v>14963</v>
      </c>
      <c r="T48" s="96" t="s">
        <v>11640</v>
      </c>
      <c r="U48" s="96" t="s">
        <v>14964</v>
      </c>
      <c r="V48" s="96" t="s">
        <v>14965</v>
      </c>
      <c r="W48" s="96" t="s">
        <v>14957</v>
      </c>
      <c r="X48" s="96" t="s">
        <v>14966</v>
      </c>
      <c r="Y48" s="96" t="s">
        <v>236</v>
      </c>
      <c r="Z48" s="96" t="s">
        <v>14345</v>
      </c>
      <c r="AA48" s="96" t="s">
        <v>14967</v>
      </c>
      <c r="AB48" s="96" t="s">
        <v>239</v>
      </c>
      <c r="AC48" s="96" t="s">
        <v>14968</v>
      </c>
      <c r="AD48" s="57"/>
    </row>
    <row r="49">
      <c r="A49" s="96" t="s">
        <v>11641</v>
      </c>
      <c r="B49" s="96" t="s">
        <v>11642</v>
      </c>
      <c r="C49" s="97" t="s">
        <v>14969</v>
      </c>
      <c r="D49" s="96" t="s">
        <v>14970</v>
      </c>
      <c r="E49" s="96" t="s">
        <v>14971</v>
      </c>
      <c r="F49" s="96" t="s">
        <v>14972</v>
      </c>
      <c r="G49" s="96" t="s">
        <v>14973</v>
      </c>
      <c r="H49" s="96" t="s">
        <v>14974</v>
      </c>
      <c r="I49" s="96" t="s">
        <v>14975</v>
      </c>
      <c r="J49" s="96" t="s">
        <v>14976</v>
      </c>
      <c r="K49" s="96" t="s">
        <v>14977</v>
      </c>
      <c r="L49" s="96" t="s">
        <v>14978</v>
      </c>
      <c r="M49" s="96" t="s">
        <v>14979</v>
      </c>
      <c r="N49" s="96" t="s">
        <v>14980</v>
      </c>
      <c r="O49" s="96" t="s">
        <v>14981</v>
      </c>
      <c r="P49" s="96" t="s">
        <v>14982</v>
      </c>
      <c r="Q49" s="96" t="s">
        <v>14983</v>
      </c>
      <c r="R49" s="96" t="s">
        <v>14984</v>
      </c>
      <c r="S49" s="96" t="s">
        <v>14985</v>
      </c>
      <c r="T49" s="96" t="s">
        <v>14978</v>
      </c>
      <c r="U49" s="96" t="s">
        <v>14986</v>
      </c>
      <c r="V49" s="96" t="s">
        <v>14987</v>
      </c>
      <c r="W49" s="96" t="s">
        <v>14988</v>
      </c>
      <c r="X49" s="96" t="s">
        <v>14989</v>
      </c>
      <c r="Y49" s="96" t="s">
        <v>14990</v>
      </c>
      <c r="Z49" s="96" t="s">
        <v>14991</v>
      </c>
      <c r="AA49" s="96" t="s">
        <v>14992</v>
      </c>
      <c r="AB49" s="96" t="s">
        <v>14993</v>
      </c>
      <c r="AC49" s="96" t="s">
        <v>14994</v>
      </c>
      <c r="AD49" s="57"/>
    </row>
    <row r="50">
      <c r="A50" s="96" t="s">
        <v>11643</v>
      </c>
      <c r="B50" s="96" t="s">
        <v>11644</v>
      </c>
      <c r="C50" s="97" t="s">
        <v>3108</v>
      </c>
      <c r="D50" s="96" t="s">
        <v>14995</v>
      </c>
      <c r="E50" s="96" t="s">
        <v>14996</v>
      </c>
      <c r="F50" s="96" t="s">
        <v>14997</v>
      </c>
      <c r="G50" s="96" t="s">
        <v>14998</v>
      </c>
      <c r="H50" s="96" t="s">
        <v>14999</v>
      </c>
      <c r="I50" s="96" t="s">
        <v>15000</v>
      </c>
      <c r="J50" s="96" t="s">
        <v>15001</v>
      </c>
      <c r="K50" s="96" t="s">
        <v>15002</v>
      </c>
      <c r="L50" s="96" t="s">
        <v>15003</v>
      </c>
      <c r="M50" s="96" t="s">
        <v>15004</v>
      </c>
      <c r="N50" s="96" t="s">
        <v>15005</v>
      </c>
      <c r="O50" s="96" t="s">
        <v>15006</v>
      </c>
      <c r="P50" s="96" t="s">
        <v>15007</v>
      </c>
      <c r="Q50" s="96" t="s">
        <v>15008</v>
      </c>
      <c r="R50" s="96" t="s">
        <v>15009</v>
      </c>
      <c r="S50" s="96" t="s">
        <v>15010</v>
      </c>
      <c r="T50" s="96" t="s">
        <v>15011</v>
      </c>
      <c r="U50" s="96" t="s">
        <v>15012</v>
      </c>
      <c r="V50" s="96" t="s">
        <v>15013</v>
      </c>
      <c r="W50" s="96" t="s">
        <v>15014</v>
      </c>
      <c r="X50" s="96" t="s">
        <v>15015</v>
      </c>
      <c r="Y50" s="96" t="s">
        <v>15016</v>
      </c>
      <c r="Z50" s="96" t="s">
        <v>15017</v>
      </c>
      <c r="AA50" s="96" t="s">
        <v>15018</v>
      </c>
      <c r="AB50" s="96" t="s">
        <v>15019</v>
      </c>
      <c r="AC50" s="96" t="s">
        <v>15020</v>
      </c>
      <c r="AD50" s="57"/>
    </row>
    <row r="51">
      <c r="A51" s="96" t="s">
        <v>11645</v>
      </c>
      <c r="B51" s="96" t="s">
        <v>4444</v>
      </c>
      <c r="C51" s="97" t="s">
        <v>4445</v>
      </c>
      <c r="D51" s="96" t="s">
        <v>4446</v>
      </c>
      <c r="E51" s="96" t="s">
        <v>4447</v>
      </c>
      <c r="F51" s="96" t="s">
        <v>4448</v>
      </c>
      <c r="G51" s="96" t="s">
        <v>4449</v>
      </c>
      <c r="H51" s="96" t="s">
        <v>15021</v>
      </c>
      <c r="I51" s="96" t="s">
        <v>4451</v>
      </c>
      <c r="J51" s="96" t="s">
        <v>4452</v>
      </c>
      <c r="K51" s="96" t="s">
        <v>4453</v>
      </c>
      <c r="L51" s="96" t="s">
        <v>4454</v>
      </c>
      <c r="M51" s="96" t="s">
        <v>4455</v>
      </c>
      <c r="N51" s="96" t="s">
        <v>4456</v>
      </c>
      <c r="O51" s="96" t="s">
        <v>10289</v>
      </c>
      <c r="P51" s="96" t="s">
        <v>10290</v>
      </c>
      <c r="Q51" s="96" t="s">
        <v>4459</v>
      </c>
      <c r="R51" s="96" t="s">
        <v>10291</v>
      </c>
      <c r="S51" s="96" t="s">
        <v>4461</v>
      </c>
      <c r="T51" s="96" t="s">
        <v>15022</v>
      </c>
      <c r="U51" s="96" t="s">
        <v>4463</v>
      </c>
      <c r="V51" s="96" t="s">
        <v>4464</v>
      </c>
      <c r="W51" s="96" t="s">
        <v>4449</v>
      </c>
      <c r="X51" s="96" t="s">
        <v>4465</v>
      </c>
      <c r="Y51" s="96" t="s">
        <v>4466</v>
      </c>
      <c r="Z51" s="96" t="s">
        <v>4467</v>
      </c>
      <c r="AA51" s="96" t="s">
        <v>15023</v>
      </c>
      <c r="AB51" s="96" t="s">
        <v>4469</v>
      </c>
      <c r="AC51" s="96" t="s">
        <v>4470</v>
      </c>
      <c r="AD51" s="57"/>
    </row>
    <row r="52">
      <c r="A52" s="96" t="s">
        <v>11646</v>
      </c>
      <c r="B52" s="96" t="s">
        <v>11647</v>
      </c>
      <c r="C52" s="97" t="s">
        <v>15024</v>
      </c>
      <c r="D52" s="96" t="s">
        <v>15025</v>
      </c>
      <c r="E52" s="96" t="s">
        <v>15026</v>
      </c>
      <c r="F52" s="96" t="s">
        <v>15027</v>
      </c>
      <c r="G52" s="96" t="s">
        <v>15028</v>
      </c>
      <c r="H52" s="96" t="s">
        <v>15029</v>
      </c>
      <c r="I52" s="96" t="s">
        <v>15030</v>
      </c>
      <c r="J52" s="96" t="s">
        <v>15031</v>
      </c>
      <c r="K52" s="96" t="s">
        <v>15032</v>
      </c>
      <c r="L52" s="96" t="s">
        <v>15033</v>
      </c>
      <c r="M52" s="96" t="s">
        <v>15034</v>
      </c>
      <c r="N52" s="96" t="s">
        <v>15035</v>
      </c>
      <c r="O52" s="96" t="s">
        <v>15036</v>
      </c>
      <c r="P52" s="96" t="s">
        <v>15037</v>
      </c>
      <c r="Q52" s="96" t="s">
        <v>15038</v>
      </c>
      <c r="R52" s="96" t="s">
        <v>15039</v>
      </c>
      <c r="S52" s="96" t="s">
        <v>15040</v>
      </c>
      <c r="T52" s="96" t="s">
        <v>15041</v>
      </c>
      <c r="U52" s="96" t="s">
        <v>15042</v>
      </c>
      <c r="V52" s="96" t="s">
        <v>15043</v>
      </c>
      <c r="W52" s="96" t="s">
        <v>15044</v>
      </c>
      <c r="X52" s="96" t="s">
        <v>15045</v>
      </c>
      <c r="Y52" s="96" t="s">
        <v>15046</v>
      </c>
      <c r="Z52" s="96" t="s">
        <v>15047</v>
      </c>
      <c r="AA52" s="96" t="s">
        <v>15048</v>
      </c>
      <c r="AB52" s="96" t="s">
        <v>15049</v>
      </c>
      <c r="AC52" s="96" t="s">
        <v>15050</v>
      </c>
      <c r="AD52" s="57"/>
    </row>
    <row r="53">
      <c r="A53" s="96" t="s">
        <v>11648</v>
      </c>
      <c r="B53" s="96" t="s">
        <v>11649</v>
      </c>
      <c r="C53" s="97" t="s">
        <v>15051</v>
      </c>
      <c r="D53" s="96" t="s">
        <v>15052</v>
      </c>
      <c r="E53" s="96" t="s">
        <v>11649</v>
      </c>
      <c r="F53" s="96" t="s">
        <v>15053</v>
      </c>
      <c r="G53" s="96" t="s">
        <v>15054</v>
      </c>
      <c r="H53" s="96" t="s">
        <v>15055</v>
      </c>
      <c r="I53" s="96" t="s">
        <v>11649</v>
      </c>
      <c r="J53" s="96" t="s">
        <v>15056</v>
      </c>
      <c r="K53" s="96" t="s">
        <v>15057</v>
      </c>
      <c r="L53" s="96" t="s">
        <v>15058</v>
      </c>
      <c r="M53" s="96" t="s">
        <v>15059</v>
      </c>
      <c r="N53" s="96" t="s">
        <v>15060</v>
      </c>
      <c r="O53" s="96" t="s">
        <v>15061</v>
      </c>
      <c r="P53" s="96" t="s">
        <v>15062</v>
      </c>
      <c r="Q53" s="96" t="s">
        <v>15063</v>
      </c>
      <c r="R53" s="96" t="s">
        <v>15064</v>
      </c>
      <c r="S53" s="96" t="s">
        <v>15065</v>
      </c>
      <c r="T53" s="96" t="s">
        <v>15066</v>
      </c>
      <c r="U53" s="96" t="s">
        <v>15067</v>
      </c>
      <c r="V53" s="96" t="s">
        <v>15068</v>
      </c>
      <c r="W53" s="96" t="s">
        <v>15069</v>
      </c>
      <c r="X53" s="96" t="s">
        <v>15070</v>
      </c>
      <c r="Y53" s="96" t="s">
        <v>15071</v>
      </c>
      <c r="Z53" s="96" t="s">
        <v>15072</v>
      </c>
      <c r="AA53" s="96" t="s">
        <v>15070</v>
      </c>
      <c r="AB53" s="96" t="s">
        <v>15073</v>
      </c>
      <c r="AC53" s="96" t="s">
        <v>15074</v>
      </c>
      <c r="AD53" s="57"/>
    </row>
    <row r="54">
      <c r="A54" s="96" t="s">
        <v>136</v>
      </c>
      <c r="B54" s="96" t="s">
        <v>137</v>
      </c>
      <c r="C54" s="97" t="s">
        <v>138</v>
      </c>
      <c r="D54" s="96" t="s">
        <v>139</v>
      </c>
      <c r="E54" s="96" t="s">
        <v>140</v>
      </c>
      <c r="F54" s="96" t="s">
        <v>141</v>
      </c>
      <c r="G54" s="96" t="s">
        <v>142</v>
      </c>
      <c r="H54" s="96" t="s">
        <v>15075</v>
      </c>
      <c r="I54" s="96" t="s">
        <v>144</v>
      </c>
      <c r="J54" s="96" t="s">
        <v>145</v>
      </c>
      <c r="K54" s="96" t="s">
        <v>146</v>
      </c>
      <c r="L54" s="96" t="s">
        <v>147</v>
      </c>
      <c r="M54" s="96" t="s">
        <v>148</v>
      </c>
      <c r="N54" s="96" t="s">
        <v>149</v>
      </c>
      <c r="O54" s="96" t="s">
        <v>15076</v>
      </c>
      <c r="P54" s="96" t="s">
        <v>15077</v>
      </c>
      <c r="Q54" s="96" t="s">
        <v>152</v>
      </c>
      <c r="R54" s="96" t="s">
        <v>15078</v>
      </c>
      <c r="S54" s="96" t="s">
        <v>15079</v>
      </c>
      <c r="T54" s="96" t="s">
        <v>147</v>
      </c>
      <c r="U54" s="96" t="s">
        <v>155</v>
      </c>
      <c r="V54" s="96" t="s">
        <v>156</v>
      </c>
      <c r="W54" s="96" t="s">
        <v>157</v>
      </c>
      <c r="X54" s="96" t="s">
        <v>158</v>
      </c>
      <c r="Y54" s="96" t="s">
        <v>159</v>
      </c>
      <c r="Z54" s="96" t="s">
        <v>160</v>
      </c>
      <c r="AA54" s="96" t="s">
        <v>15080</v>
      </c>
      <c r="AB54" s="96" t="s">
        <v>162</v>
      </c>
      <c r="AC54" s="96" t="s">
        <v>163</v>
      </c>
      <c r="AD54" s="57"/>
    </row>
    <row r="55">
      <c r="A55" s="96" t="s">
        <v>10249</v>
      </c>
      <c r="B55" s="96" t="s">
        <v>11650</v>
      </c>
      <c r="C55" s="97" t="s">
        <v>15081</v>
      </c>
      <c r="D55" s="96" t="s">
        <v>15082</v>
      </c>
      <c r="E55" s="96" t="s">
        <v>15083</v>
      </c>
      <c r="F55" s="96" t="s">
        <v>15084</v>
      </c>
      <c r="G55" s="96" t="s">
        <v>15085</v>
      </c>
      <c r="H55" s="96" t="s">
        <v>15086</v>
      </c>
      <c r="I55" s="96" t="s">
        <v>15087</v>
      </c>
      <c r="J55" s="96" t="s">
        <v>15088</v>
      </c>
      <c r="K55" s="96" t="s">
        <v>15089</v>
      </c>
      <c r="L55" s="96" t="s">
        <v>15090</v>
      </c>
      <c r="M55" s="96" t="s">
        <v>15091</v>
      </c>
      <c r="N55" s="96" t="s">
        <v>15092</v>
      </c>
      <c r="O55" s="96" t="s">
        <v>15093</v>
      </c>
      <c r="P55" s="96" t="s">
        <v>15094</v>
      </c>
      <c r="Q55" s="96" t="s">
        <v>15095</v>
      </c>
      <c r="R55" s="96" t="s">
        <v>15096</v>
      </c>
      <c r="S55" s="96" t="s">
        <v>15097</v>
      </c>
      <c r="T55" s="96" t="s">
        <v>15098</v>
      </c>
      <c r="U55" s="96" t="s">
        <v>15099</v>
      </c>
      <c r="V55" s="96" t="s">
        <v>15100</v>
      </c>
      <c r="W55" s="96" t="s">
        <v>15101</v>
      </c>
      <c r="X55" s="96" t="s">
        <v>15102</v>
      </c>
      <c r="Y55" s="96" t="s">
        <v>15103</v>
      </c>
      <c r="Z55" s="96" t="s">
        <v>15104</v>
      </c>
      <c r="AA55" s="96" t="s">
        <v>15105</v>
      </c>
      <c r="AB55" s="96" t="s">
        <v>15106</v>
      </c>
      <c r="AC55" s="96" t="s">
        <v>15107</v>
      </c>
      <c r="AD55" s="57"/>
    </row>
    <row r="56">
      <c r="A56" s="96" t="s">
        <v>9808</v>
      </c>
      <c r="B56" s="96" t="s">
        <v>11651</v>
      </c>
      <c r="C56" s="97" t="s">
        <v>15108</v>
      </c>
      <c r="D56" s="96" t="s">
        <v>15109</v>
      </c>
      <c r="E56" s="96" t="s">
        <v>15110</v>
      </c>
      <c r="F56" s="96" t="s">
        <v>15111</v>
      </c>
      <c r="G56" s="96" t="s">
        <v>15112</v>
      </c>
      <c r="H56" s="96" t="s">
        <v>15113</v>
      </c>
      <c r="I56" s="96" t="s">
        <v>15114</v>
      </c>
      <c r="J56" s="96" t="s">
        <v>15115</v>
      </c>
      <c r="K56" s="96" t="s">
        <v>15116</v>
      </c>
      <c r="L56" s="96" t="s">
        <v>15117</v>
      </c>
      <c r="M56" s="96" t="s">
        <v>15118</v>
      </c>
      <c r="N56" s="96" t="s">
        <v>15119</v>
      </c>
      <c r="O56" s="96" t="s">
        <v>15120</v>
      </c>
      <c r="P56" s="96" t="s">
        <v>15121</v>
      </c>
      <c r="Q56" s="96" t="s">
        <v>15122</v>
      </c>
      <c r="R56" s="96" t="s">
        <v>15123</v>
      </c>
      <c r="S56" s="96" t="s">
        <v>15124</v>
      </c>
      <c r="T56" s="96" t="s">
        <v>15125</v>
      </c>
      <c r="U56" s="96" t="s">
        <v>15126</v>
      </c>
      <c r="V56" s="96" t="s">
        <v>15127</v>
      </c>
      <c r="W56" s="96" t="s">
        <v>15128</v>
      </c>
      <c r="X56" s="96" t="s">
        <v>15129</v>
      </c>
      <c r="Y56" s="96" t="s">
        <v>15130</v>
      </c>
      <c r="Z56" s="96" t="s">
        <v>15131</v>
      </c>
      <c r="AA56" s="96" t="s">
        <v>15132</v>
      </c>
      <c r="AB56" s="96" t="s">
        <v>15133</v>
      </c>
      <c r="AC56" s="96" t="s">
        <v>15134</v>
      </c>
      <c r="AD56" s="57"/>
    </row>
    <row r="57">
      <c r="A57" s="96" t="s">
        <v>7234</v>
      </c>
      <c r="B57" s="96" t="s">
        <v>7235</v>
      </c>
      <c r="C57" s="97" t="s">
        <v>9837</v>
      </c>
      <c r="D57" s="96" t="s">
        <v>9838</v>
      </c>
      <c r="E57" s="96" t="s">
        <v>7238</v>
      </c>
      <c r="F57" s="96" t="s">
        <v>7239</v>
      </c>
      <c r="G57" s="96" t="s">
        <v>7240</v>
      </c>
      <c r="H57" s="96" t="s">
        <v>7241</v>
      </c>
      <c r="I57" s="96" t="s">
        <v>4885</v>
      </c>
      <c r="J57" s="96" t="s">
        <v>7243</v>
      </c>
      <c r="K57" s="96" t="s">
        <v>7244</v>
      </c>
      <c r="L57" s="96" t="s">
        <v>7245</v>
      </c>
      <c r="M57" s="96" t="s">
        <v>9839</v>
      </c>
      <c r="N57" s="96" t="s">
        <v>7247</v>
      </c>
      <c r="O57" s="96" t="s">
        <v>9840</v>
      </c>
      <c r="P57" s="96" t="s">
        <v>7249</v>
      </c>
      <c r="Q57" s="96" t="s">
        <v>7250</v>
      </c>
      <c r="R57" s="96" t="s">
        <v>9841</v>
      </c>
      <c r="S57" s="96" t="s">
        <v>9842</v>
      </c>
      <c r="T57" s="96" t="s">
        <v>7253</v>
      </c>
      <c r="U57" s="96" t="s">
        <v>7254</v>
      </c>
      <c r="V57" s="96" t="s">
        <v>7255</v>
      </c>
      <c r="W57" s="96" t="s">
        <v>9843</v>
      </c>
      <c r="X57" s="96" t="s">
        <v>9844</v>
      </c>
      <c r="Y57" s="96" t="s">
        <v>7258</v>
      </c>
      <c r="Z57" s="96" t="s">
        <v>9845</v>
      </c>
      <c r="AA57" s="96" t="s">
        <v>9846</v>
      </c>
      <c r="AB57" s="96" t="s">
        <v>7261</v>
      </c>
      <c r="AC57" s="96" t="s">
        <v>7262</v>
      </c>
      <c r="AD57" s="57"/>
    </row>
    <row r="58">
      <c r="A58" s="96" t="s">
        <v>10162</v>
      </c>
      <c r="B58" s="96" t="s">
        <v>10163</v>
      </c>
      <c r="C58" s="97" t="s">
        <v>10164</v>
      </c>
      <c r="D58" s="96" t="s">
        <v>10165</v>
      </c>
      <c r="E58" s="96" t="s">
        <v>10166</v>
      </c>
      <c r="F58" s="96" t="s">
        <v>10167</v>
      </c>
      <c r="G58" s="96" t="s">
        <v>10168</v>
      </c>
      <c r="H58" s="96" t="s">
        <v>10169</v>
      </c>
      <c r="I58" s="96" t="s">
        <v>10170</v>
      </c>
      <c r="J58" s="96" t="s">
        <v>10171</v>
      </c>
      <c r="K58" s="96" t="s">
        <v>10172</v>
      </c>
      <c r="L58" s="96" t="s">
        <v>10173</v>
      </c>
      <c r="M58" s="96" t="s">
        <v>10174</v>
      </c>
      <c r="N58" s="96" t="s">
        <v>10175</v>
      </c>
      <c r="O58" s="96" t="s">
        <v>10176</v>
      </c>
      <c r="P58" s="96" t="s">
        <v>10177</v>
      </c>
      <c r="Q58" s="96" t="s">
        <v>10178</v>
      </c>
      <c r="R58" s="96" t="s">
        <v>10179</v>
      </c>
      <c r="S58" s="96" t="s">
        <v>10180</v>
      </c>
      <c r="T58" s="96" t="s">
        <v>10181</v>
      </c>
      <c r="U58" s="96" t="s">
        <v>10182</v>
      </c>
      <c r="V58" s="96" t="s">
        <v>10183</v>
      </c>
      <c r="W58" s="96" t="s">
        <v>10184</v>
      </c>
      <c r="X58" s="96" t="s">
        <v>10185</v>
      </c>
      <c r="Y58" s="96" t="s">
        <v>10186</v>
      </c>
      <c r="Z58" s="96" t="s">
        <v>10187</v>
      </c>
      <c r="AA58" s="96" t="s">
        <v>10188</v>
      </c>
      <c r="AB58" s="96" t="s">
        <v>10189</v>
      </c>
      <c r="AC58" s="96" t="s">
        <v>10190</v>
      </c>
      <c r="AD58" s="57"/>
    </row>
    <row r="59">
      <c r="A59" s="96" t="s">
        <v>11652</v>
      </c>
      <c r="B59" s="96" t="s">
        <v>11653</v>
      </c>
      <c r="C59" s="97" t="s">
        <v>15135</v>
      </c>
      <c r="D59" s="96" t="s">
        <v>15136</v>
      </c>
      <c r="E59" s="96" t="s">
        <v>15137</v>
      </c>
      <c r="F59" s="96" t="s">
        <v>15138</v>
      </c>
      <c r="G59" s="96" t="s">
        <v>15139</v>
      </c>
      <c r="H59" s="96" t="s">
        <v>15140</v>
      </c>
      <c r="I59" s="96" t="s">
        <v>15141</v>
      </c>
      <c r="J59" s="96" t="s">
        <v>15142</v>
      </c>
      <c r="K59" s="96" t="s">
        <v>15143</v>
      </c>
      <c r="L59" s="96" t="s">
        <v>15144</v>
      </c>
      <c r="M59" s="96" t="s">
        <v>15145</v>
      </c>
      <c r="N59" s="96" t="s">
        <v>15146</v>
      </c>
      <c r="O59" s="96" t="s">
        <v>15147</v>
      </c>
      <c r="P59" s="96" t="s">
        <v>15148</v>
      </c>
      <c r="Q59" s="96" t="s">
        <v>15149</v>
      </c>
      <c r="R59" s="96" t="s">
        <v>15150</v>
      </c>
      <c r="S59" s="96" t="s">
        <v>15151</v>
      </c>
      <c r="T59" s="96" t="s">
        <v>15152</v>
      </c>
      <c r="U59" s="96" t="s">
        <v>15153</v>
      </c>
      <c r="V59" s="96" t="s">
        <v>15154</v>
      </c>
      <c r="W59" s="96" t="s">
        <v>15139</v>
      </c>
      <c r="X59" s="96" t="s">
        <v>15155</v>
      </c>
      <c r="Y59" s="96" t="s">
        <v>15156</v>
      </c>
      <c r="Z59" s="96" t="s">
        <v>15157</v>
      </c>
      <c r="AA59" s="96" t="s">
        <v>15158</v>
      </c>
      <c r="AB59" s="96" t="s">
        <v>15146</v>
      </c>
      <c r="AC59" s="96" t="s">
        <v>15159</v>
      </c>
      <c r="AD59" s="57"/>
    </row>
    <row r="60">
      <c r="A60" s="96" t="s">
        <v>11654</v>
      </c>
      <c r="B60" s="96" t="s">
        <v>15160</v>
      </c>
      <c r="C60" s="97" t="s">
        <v>15161</v>
      </c>
      <c r="D60" s="96" t="s">
        <v>15162</v>
      </c>
      <c r="E60" s="96" t="s">
        <v>15163</v>
      </c>
      <c r="F60" s="96" t="s">
        <v>15164</v>
      </c>
      <c r="G60" s="96" t="s">
        <v>15165</v>
      </c>
      <c r="H60" s="96" t="s">
        <v>15166</v>
      </c>
      <c r="I60" s="96" t="s">
        <v>15167</v>
      </c>
      <c r="J60" s="96" t="s">
        <v>15168</v>
      </c>
      <c r="K60" s="96" t="s">
        <v>15169</v>
      </c>
      <c r="L60" s="96" t="s">
        <v>15170</v>
      </c>
      <c r="M60" s="96" t="s">
        <v>15171</v>
      </c>
      <c r="N60" s="96" t="s">
        <v>15172</v>
      </c>
      <c r="O60" s="96" t="s">
        <v>15173</v>
      </c>
      <c r="P60" s="96" t="s">
        <v>15174</v>
      </c>
      <c r="Q60" s="96" t="s">
        <v>15175</v>
      </c>
      <c r="R60" s="96" t="s">
        <v>15176</v>
      </c>
      <c r="S60" s="96" t="s">
        <v>15177</v>
      </c>
      <c r="T60" s="96" t="s">
        <v>15170</v>
      </c>
      <c r="U60" s="96" t="s">
        <v>15178</v>
      </c>
      <c r="V60" s="96" t="s">
        <v>15179</v>
      </c>
      <c r="W60" s="96" t="s">
        <v>15180</v>
      </c>
      <c r="X60" s="96" t="s">
        <v>15181</v>
      </c>
      <c r="Y60" s="96" t="s">
        <v>15182</v>
      </c>
      <c r="Z60" s="96" t="s">
        <v>15183</v>
      </c>
      <c r="AA60" s="96" t="s">
        <v>15184</v>
      </c>
      <c r="AB60" s="96" t="s">
        <v>14788</v>
      </c>
      <c r="AC60" s="96" t="s">
        <v>15185</v>
      </c>
      <c r="AD60" s="57"/>
    </row>
    <row r="61">
      <c r="A61" s="96" t="s">
        <v>11656</v>
      </c>
      <c r="B61" s="96" t="s">
        <v>15186</v>
      </c>
      <c r="C61" s="97" t="s">
        <v>15187</v>
      </c>
      <c r="D61" s="96" t="s">
        <v>15188</v>
      </c>
      <c r="E61" s="96" t="s">
        <v>15189</v>
      </c>
      <c r="F61" s="96" t="s">
        <v>15190</v>
      </c>
      <c r="G61" s="96" t="s">
        <v>15191</v>
      </c>
      <c r="H61" s="96" t="s">
        <v>15192</v>
      </c>
      <c r="I61" s="96" t="s">
        <v>14609</v>
      </c>
      <c r="J61" s="96" t="s">
        <v>15193</v>
      </c>
      <c r="K61" s="96" t="s">
        <v>15194</v>
      </c>
      <c r="L61" s="96" t="s">
        <v>15195</v>
      </c>
      <c r="M61" s="96" t="s">
        <v>15196</v>
      </c>
      <c r="N61" s="96" t="s">
        <v>15197</v>
      </c>
      <c r="O61" s="96" t="s">
        <v>15198</v>
      </c>
      <c r="P61" s="96" t="s">
        <v>15199</v>
      </c>
      <c r="Q61" s="96" t="s">
        <v>15200</v>
      </c>
      <c r="R61" s="96" t="s">
        <v>15201</v>
      </c>
      <c r="S61" s="96" t="s">
        <v>15202</v>
      </c>
      <c r="T61" s="96" t="s">
        <v>15203</v>
      </c>
      <c r="U61" s="96" t="s">
        <v>15204</v>
      </c>
      <c r="V61" s="96" t="s">
        <v>15205</v>
      </c>
      <c r="W61" s="96" t="s">
        <v>15206</v>
      </c>
      <c r="X61" s="96" t="s">
        <v>15207</v>
      </c>
      <c r="Y61" s="96" t="s">
        <v>15208</v>
      </c>
      <c r="Z61" s="96" t="s">
        <v>14626</v>
      </c>
      <c r="AA61" s="96" t="s">
        <v>15209</v>
      </c>
      <c r="AB61" s="96" t="s">
        <v>14628</v>
      </c>
      <c r="AC61" s="96" t="s">
        <v>15210</v>
      </c>
      <c r="AD61" s="57"/>
    </row>
    <row r="62">
      <c r="A62" s="96" t="s">
        <v>11658</v>
      </c>
      <c r="B62" s="96" t="s">
        <v>15211</v>
      </c>
      <c r="C62" s="97" t="s">
        <v>15212</v>
      </c>
      <c r="D62" s="96" t="s">
        <v>15213</v>
      </c>
      <c r="E62" s="96" t="s">
        <v>15214</v>
      </c>
      <c r="F62" s="96" t="s">
        <v>15215</v>
      </c>
      <c r="G62" s="96" t="s">
        <v>15216</v>
      </c>
      <c r="H62" s="96" t="s">
        <v>15217</v>
      </c>
      <c r="I62" s="96" t="s">
        <v>15218</v>
      </c>
      <c r="J62" s="96" t="s">
        <v>15219</v>
      </c>
      <c r="K62" s="96" t="s">
        <v>15220</v>
      </c>
      <c r="L62" s="96" t="s">
        <v>15221</v>
      </c>
      <c r="M62" s="96" t="s">
        <v>15222</v>
      </c>
      <c r="N62" s="96" t="s">
        <v>15223</v>
      </c>
      <c r="O62" s="96" t="s">
        <v>15224</v>
      </c>
      <c r="P62" s="96" t="s">
        <v>15225</v>
      </c>
      <c r="Q62" s="96" t="s">
        <v>15226</v>
      </c>
      <c r="R62" s="96" t="s">
        <v>15227</v>
      </c>
      <c r="S62" s="96" t="s">
        <v>15228</v>
      </c>
      <c r="T62" s="96" t="s">
        <v>15229</v>
      </c>
      <c r="U62" s="96" t="s">
        <v>15230</v>
      </c>
      <c r="V62" s="96" t="s">
        <v>15231</v>
      </c>
      <c r="W62" s="96" t="s">
        <v>15232</v>
      </c>
      <c r="X62" s="96" t="s">
        <v>15233</v>
      </c>
      <c r="Y62" s="96" t="s">
        <v>15234</v>
      </c>
      <c r="Z62" s="96" t="s">
        <v>15235</v>
      </c>
      <c r="AA62" s="96" t="s">
        <v>15236</v>
      </c>
      <c r="AB62" s="96" t="s">
        <v>15237</v>
      </c>
      <c r="AC62" s="96" t="s">
        <v>15238</v>
      </c>
      <c r="AD62" s="57"/>
    </row>
    <row r="63">
      <c r="A63" s="96" t="s">
        <v>11660</v>
      </c>
      <c r="B63" s="96" t="s">
        <v>15239</v>
      </c>
      <c r="C63" s="97" t="s">
        <v>15240</v>
      </c>
      <c r="D63" s="96" t="s">
        <v>15241</v>
      </c>
      <c r="E63" s="96" t="s">
        <v>15242</v>
      </c>
      <c r="F63" s="96" t="s">
        <v>15243</v>
      </c>
      <c r="G63" s="96" t="s">
        <v>15244</v>
      </c>
      <c r="H63" s="96" t="s">
        <v>15245</v>
      </c>
      <c r="I63" s="96" t="s">
        <v>15246</v>
      </c>
      <c r="J63" s="96" t="s">
        <v>15247</v>
      </c>
      <c r="K63" s="96" t="s">
        <v>15248</v>
      </c>
      <c r="L63" s="96" t="s">
        <v>15249</v>
      </c>
      <c r="M63" s="96" t="s">
        <v>15250</v>
      </c>
      <c r="N63" s="96" t="s">
        <v>15251</v>
      </c>
      <c r="O63" s="96" t="s">
        <v>15252</v>
      </c>
      <c r="P63" s="96" t="s">
        <v>15253</v>
      </c>
      <c r="Q63" s="96" t="s">
        <v>15254</v>
      </c>
      <c r="R63" s="96" t="s">
        <v>15255</v>
      </c>
      <c r="S63" s="96" t="s">
        <v>15256</v>
      </c>
      <c r="T63" s="96" t="s">
        <v>15257</v>
      </c>
      <c r="U63" s="96" t="s">
        <v>15258</v>
      </c>
      <c r="V63" s="96" t="s">
        <v>15259</v>
      </c>
      <c r="W63" s="96" t="s">
        <v>15260</v>
      </c>
      <c r="X63" s="96" t="s">
        <v>15261</v>
      </c>
      <c r="Y63" s="96" t="s">
        <v>15262</v>
      </c>
      <c r="Z63" s="96" t="s">
        <v>15263</v>
      </c>
      <c r="AA63" s="96" t="s">
        <v>15264</v>
      </c>
      <c r="AB63" s="96" t="s">
        <v>15265</v>
      </c>
      <c r="AC63" s="96" t="s">
        <v>15266</v>
      </c>
      <c r="AD63" s="57"/>
    </row>
    <row r="64">
      <c r="A64" s="96" t="s">
        <v>9418</v>
      </c>
      <c r="B64" s="96" t="s">
        <v>11662</v>
      </c>
      <c r="C64" s="97" t="s">
        <v>15267</v>
      </c>
      <c r="D64" s="96" t="s">
        <v>15268</v>
      </c>
      <c r="E64" s="96" t="s">
        <v>15269</v>
      </c>
      <c r="F64" s="96" t="s">
        <v>15270</v>
      </c>
      <c r="G64" s="96" t="s">
        <v>15271</v>
      </c>
      <c r="H64" s="96" t="s">
        <v>15272</v>
      </c>
      <c r="I64" s="96" t="s">
        <v>15273</v>
      </c>
      <c r="J64" s="96" t="s">
        <v>15274</v>
      </c>
      <c r="K64" s="96" t="s">
        <v>15275</v>
      </c>
      <c r="L64" s="96" t="s">
        <v>15276</v>
      </c>
      <c r="M64" s="96" t="s">
        <v>15277</v>
      </c>
      <c r="N64" s="96" t="s">
        <v>15278</v>
      </c>
      <c r="O64" s="96" t="s">
        <v>15279</v>
      </c>
      <c r="P64" s="96" t="s">
        <v>15280</v>
      </c>
      <c r="Q64" s="96" t="s">
        <v>15281</v>
      </c>
      <c r="R64" s="96" t="s">
        <v>15282</v>
      </c>
      <c r="S64" s="96" t="s">
        <v>15283</v>
      </c>
      <c r="T64" s="96" t="s">
        <v>15284</v>
      </c>
      <c r="U64" s="96" t="s">
        <v>15285</v>
      </c>
      <c r="V64" s="96" t="s">
        <v>15286</v>
      </c>
      <c r="W64" s="96" t="s">
        <v>15287</v>
      </c>
      <c r="X64" s="96" t="s">
        <v>15288</v>
      </c>
      <c r="Y64" s="96" t="s">
        <v>15289</v>
      </c>
      <c r="Z64" s="96" t="s">
        <v>15290</v>
      </c>
      <c r="AA64" s="96" t="s">
        <v>15291</v>
      </c>
      <c r="AB64" s="96" t="s">
        <v>15292</v>
      </c>
      <c r="AC64" s="96" t="s">
        <v>15293</v>
      </c>
      <c r="AD64" s="57"/>
    </row>
    <row r="65">
      <c r="A65" s="96" t="s">
        <v>11663</v>
      </c>
      <c r="B65" s="96" t="s">
        <v>11664</v>
      </c>
      <c r="C65" s="97" t="s">
        <v>15294</v>
      </c>
      <c r="D65" s="96" t="s">
        <v>15295</v>
      </c>
      <c r="E65" s="96" t="s">
        <v>15296</v>
      </c>
      <c r="F65" s="96" t="s">
        <v>15297</v>
      </c>
      <c r="G65" s="96" t="s">
        <v>15298</v>
      </c>
      <c r="H65" s="96" t="s">
        <v>15299</v>
      </c>
      <c r="I65" s="96" t="s">
        <v>15300</v>
      </c>
      <c r="J65" s="96" t="s">
        <v>15301</v>
      </c>
      <c r="K65" s="96" t="s">
        <v>15302</v>
      </c>
      <c r="L65" s="96" t="s">
        <v>15303</v>
      </c>
      <c r="M65" s="96" t="s">
        <v>15304</v>
      </c>
      <c r="N65" s="96" t="s">
        <v>15305</v>
      </c>
      <c r="O65" s="96" t="s">
        <v>15306</v>
      </c>
      <c r="P65" s="96" t="s">
        <v>15307</v>
      </c>
      <c r="Q65" s="96" t="s">
        <v>15308</v>
      </c>
      <c r="R65" s="96" t="s">
        <v>15309</v>
      </c>
      <c r="S65" s="96" t="s">
        <v>15310</v>
      </c>
      <c r="T65" s="96" t="s">
        <v>15311</v>
      </c>
      <c r="U65" s="96" t="s">
        <v>15312</v>
      </c>
      <c r="V65" s="96" t="s">
        <v>15313</v>
      </c>
      <c r="W65" s="96" t="s">
        <v>15314</v>
      </c>
      <c r="X65" s="96" t="s">
        <v>15315</v>
      </c>
      <c r="Y65" s="96" t="s">
        <v>15316</v>
      </c>
      <c r="Z65" s="96" t="s">
        <v>15317</v>
      </c>
      <c r="AA65" s="96" t="s">
        <v>15318</v>
      </c>
      <c r="AB65" s="96" t="s">
        <v>15319</v>
      </c>
      <c r="AC65" s="96" t="s">
        <v>15320</v>
      </c>
      <c r="AD65" s="57"/>
    </row>
    <row r="66">
      <c r="A66" s="96" t="s">
        <v>11665</v>
      </c>
      <c r="B66" s="96" t="s">
        <v>11666</v>
      </c>
      <c r="C66" s="97" t="s">
        <v>15321</v>
      </c>
      <c r="D66" s="96" t="s">
        <v>15322</v>
      </c>
      <c r="E66" s="96" t="s">
        <v>15323</v>
      </c>
      <c r="F66" s="96" t="s">
        <v>15324</v>
      </c>
      <c r="G66" s="96" t="s">
        <v>15325</v>
      </c>
      <c r="H66" s="96" t="s">
        <v>15326</v>
      </c>
      <c r="I66" s="96" t="s">
        <v>15327</v>
      </c>
      <c r="J66" s="96" t="s">
        <v>15328</v>
      </c>
      <c r="K66" s="96" t="s">
        <v>15329</v>
      </c>
      <c r="L66" s="96" t="s">
        <v>15330</v>
      </c>
      <c r="M66" s="96" t="s">
        <v>15331</v>
      </c>
      <c r="N66" s="96" t="s">
        <v>15332</v>
      </c>
      <c r="O66" s="96" t="s">
        <v>15333</v>
      </c>
      <c r="P66" s="96" t="s">
        <v>15334</v>
      </c>
      <c r="Q66" s="96" t="s">
        <v>15335</v>
      </c>
      <c r="R66" s="96" t="s">
        <v>15336</v>
      </c>
      <c r="S66" s="96" t="s">
        <v>15337</v>
      </c>
      <c r="T66" s="96" t="s">
        <v>15338</v>
      </c>
      <c r="U66" s="96" t="s">
        <v>15339</v>
      </c>
      <c r="V66" s="96" t="s">
        <v>15340</v>
      </c>
      <c r="W66" s="96" t="s">
        <v>15341</v>
      </c>
      <c r="X66" s="96" t="s">
        <v>15342</v>
      </c>
      <c r="Y66" s="96" t="s">
        <v>15343</v>
      </c>
      <c r="Z66" s="96" t="s">
        <v>15344</v>
      </c>
      <c r="AA66" s="96" t="s">
        <v>15345</v>
      </c>
      <c r="AB66" s="96" t="s">
        <v>15346</v>
      </c>
      <c r="AC66" s="96" t="s">
        <v>15347</v>
      </c>
      <c r="AD66" s="57"/>
    </row>
    <row r="67">
      <c r="A67" s="96" t="s">
        <v>9447</v>
      </c>
      <c r="B67" s="96" t="s">
        <v>11667</v>
      </c>
      <c r="C67" s="97" t="s">
        <v>15348</v>
      </c>
      <c r="D67" s="96" t="s">
        <v>15349</v>
      </c>
      <c r="E67" s="96" t="s">
        <v>15350</v>
      </c>
      <c r="F67" s="96" t="s">
        <v>15351</v>
      </c>
      <c r="G67" s="96" t="s">
        <v>15352</v>
      </c>
      <c r="H67" s="96" t="s">
        <v>15353</v>
      </c>
      <c r="I67" s="96" t="s">
        <v>15354</v>
      </c>
      <c r="J67" s="96" t="s">
        <v>15355</v>
      </c>
      <c r="K67" s="96" t="s">
        <v>15356</v>
      </c>
      <c r="L67" s="96" t="s">
        <v>15357</v>
      </c>
      <c r="M67" s="96" t="s">
        <v>15358</v>
      </c>
      <c r="N67" s="96" t="s">
        <v>15359</v>
      </c>
      <c r="O67" s="96" t="s">
        <v>15360</v>
      </c>
      <c r="P67" s="96" t="s">
        <v>15361</v>
      </c>
      <c r="Q67" s="96" t="s">
        <v>15362</v>
      </c>
      <c r="R67" s="96" t="s">
        <v>15363</v>
      </c>
      <c r="S67" s="96" t="s">
        <v>15364</v>
      </c>
      <c r="T67" s="96" t="s">
        <v>15365</v>
      </c>
      <c r="U67" s="96" t="s">
        <v>15366</v>
      </c>
      <c r="V67" s="96" t="s">
        <v>15367</v>
      </c>
      <c r="W67" s="96" t="s">
        <v>15368</v>
      </c>
      <c r="X67" s="96" t="s">
        <v>15369</v>
      </c>
      <c r="Y67" s="96" t="s">
        <v>15370</v>
      </c>
      <c r="Z67" s="96" t="s">
        <v>15371</v>
      </c>
      <c r="AA67" s="96" t="s">
        <v>15372</v>
      </c>
      <c r="AB67" s="96" t="s">
        <v>15373</v>
      </c>
      <c r="AC67" s="96" t="s">
        <v>15374</v>
      </c>
      <c r="AD67" s="57"/>
    </row>
    <row r="68">
      <c r="A68" s="96" t="s">
        <v>11668</v>
      </c>
      <c r="B68" s="96" t="s">
        <v>11669</v>
      </c>
      <c r="C68" s="97" t="s">
        <v>15375</v>
      </c>
      <c r="D68" s="96" t="s">
        <v>15376</v>
      </c>
      <c r="E68" s="96" t="s">
        <v>15377</v>
      </c>
      <c r="F68" s="96" t="s">
        <v>15378</v>
      </c>
      <c r="G68" s="96" t="s">
        <v>15379</v>
      </c>
      <c r="H68" s="96" t="s">
        <v>15380</v>
      </c>
      <c r="I68" s="96" t="s">
        <v>15381</v>
      </c>
      <c r="J68" s="96" t="s">
        <v>15382</v>
      </c>
      <c r="K68" s="96" t="s">
        <v>15383</v>
      </c>
      <c r="L68" s="96" t="s">
        <v>15384</v>
      </c>
      <c r="M68" s="96" t="s">
        <v>15385</v>
      </c>
      <c r="N68" s="96" t="s">
        <v>15386</v>
      </c>
      <c r="O68" s="96" t="s">
        <v>15387</v>
      </c>
      <c r="P68" s="96" t="s">
        <v>15388</v>
      </c>
      <c r="Q68" s="96" t="s">
        <v>15389</v>
      </c>
      <c r="R68" s="96" t="s">
        <v>15390</v>
      </c>
      <c r="S68" s="96" t="s">
        <v>15391</v>
      </c>
      <c r="T68" s="96" t="s">
        <v>15392</v>
      </c>
      <c r="U68" s="96" t="s">
        <v>15393</v>
      </c>
      <c r="V68" s="96" t="s">
        <v>15394</v>
      </c>
      <c r="W68" s="96" t="s">
        <v>15395</v>
      </c>
      <c r="X68" s="96" t="s">
        <v>15396</v>
      </c>
      <c r="Y68" s="96" t="s">
        <v>15397</v>
      </c>
      <c r="Z68" s="96" t="s">
        <v>15398</v>
      </c>
      <c r="AA68" s="96" t="s">
        <v>15399</v>
      </c>
      <c r="AB68" s="96" t="s">
        <v>15400</v>
      </c>
      <c r="AC68" s="96" t="s">
        <v>15401</v>
      </c>
      <c r="AD68" s="57"/>
    </row>
    <row r="69">
      <c r="A69" s="96" t="s">
        <v>9476</v>
      </c>
      <c r="B69" s="96" t="s">
        <v>11670</v>
      </c>
      <c r="C69" s="97" t="s">
        <v>15402</v>
      </c>
      <c r="D69" s="96" t="s">
        <v>15403</v>
      </c>
      <c r="E69" s="96" t="s">
        <v>15404</v>
      </c>
      <c r="F69" s="96" t="s">
        <v>15405</v>
      </c>
      <c r="G69" s="96" t="s">
        <v>15406</v>
      </c>
      <c r="H69" s="96" t="s">
        <v>15407</v>
      </c>
      <c r="I69" s="96" t="s">
        <v>15408</v>
      </c>
      <c r="J69" s="96" t="s">
        <v>15409</v>
      </c>
      <c r="K69" s="96" t="s">
        <v>15410</v>
      </c>
      <c r="L69" s="96" t="s">
        <v>15411</v>
      </c>
      <c r="M69" s="96" t="s">
        <v>15412</v>
      </c>
      <c r="N69" s="96" t="s">
        <v>15413</v>
      </c>
      <c r="O69" s="96" t="s">
        <v>15414</v>
      </c>
      <c r="P69" s="96" t="s">
        <v>15415</v>
      </c>
      <c r="Q69" s="96" t="s">
        <v>15416</v>
      </c>
      <c r="R69" s="96" t="s">
        <v>15417</v>
      </c>
      <c r="S69" s="96" t="s">
        <v>15418</v>
      </c>
      <c r="T69" s="96" t="s">
        <v>15419</v>
      </c>
      <c r="U69" s="96" t="s">
        <v>15420</v>
      </c>
      <c r="V69" s="96" t="s">
        <v>15421</v>
      </c>
      <c r="W69" s="96" t="s">
        <v>15422</v>
      </c>
      <c r="X69" s="96" t="s">
        <v>15423</v>
      </c>
      <c r="Y69" s="96" t="s">
        <v>15424</v>
      </c>
      <c r="Z69" s="96" t="s">
        <v>15425</v>
      </c>
      <c r="AA69" s="96" t="s">
        <v>15426</v>
      </c>
      <c r="AB69" s="96" t="s">
        <v>15427</v>
      </c>
      <c r="AC69" s="96" t="s">
        <v>15428</v>
      </c>
      <c r="AD69" s="57"/>
    </row>
    <row r="70">
      <c r="A70" s="96" t="s">
        <v>11671</v>
      </c>
      <c r="B70" s="96" t="s">
        <v>11672</v>
      </c>
      <c r="C70" s="97" t="s">
        <v>15429</v>
      </c>
      <c r="D70" s="96" t="s">
        <v>15430</v>
      </c>
      <c r="E70" s="96" t="s">
        <v>15431</v>
      </c>
      <c r="F70" s="96" t="s">
        <v>15432</v>
      </c>
      <c r="G70" s="96" t="s">
        <v>15433</v>
      </c>
      <c r="H70" s="96" t="s">
        <v>15434</v>
      </c>
      <c r="I70" s="96" t="s">
        <v>15435</v>
      </c>
      <c r="J70" s="96" t="s">
        <v>15436</v>
      </c>
      <c r="K70" s="96" t="s">
        <v>15437</v>
      </c>
      <c r="L70" s="96" t="s">
        <v>15438</v>
      </c>
      <c r="M70" s="96" t="s">
        <v>15439</v>
      </c>
      <c r="N70" s="96" t="s">
        <v>15440</v>
      </c>
      <c r="O70" s="96" t="s">
        <v>15441</v>
      </c>
      <c r="P70" s="96" t="s">
        <v>15442</v>
      </c>
      <c r="Q70" s="96" t="s">
        <v>15443</v>
      </c>
      <c r="R70" s="96" t="s">
        <v>15444</v>
      </c>
      <c r="S70" s="96" t="s">
        <v>15445</v>
      </c>
      <c r="T70" s="96" t="s">
        <v>15446</v>
      </c>
      <c r="U70" s="96" t="s">
        <v>15447</v>
      </c>
      <c r="V70" s="96" t="s">
        <v>15448</v>
      </c>
      <c r="W70" s="96" t="s">
        <v>15449</v>
      </c>
      <c r="X70" s="96" t="s">
        <v>15450</v>
      </c>
      <c r="Y70" s="96" t="s">
        <v>15451</v>
      </c>
      <c r="Z70" s="96" t="s">
        <v>15452</v>
      </c>
      <c r="AA70" s="96" t="s">
        <v>15453</v>
      </c>
      <c r="AB70" s="96" t="s">
        <v>15454</v>
      </c>
      <c r="AC70" s="96" t="s">
        <v>15455</v>
      </c>
      <c r="AD70" s="57"/>
    </row>
    <row r="71">
      <c r="A71" s="96" t="s">
        <v>11673</v>
      </c>
      <c r="B71" s="96" t="s">
        <v>11674</v>
      </c>
      <c r="C71" s="97" t="s">
        <v>15456</v>
      </c>
      <c r="D71" s="96" t="s">
        <v>15457</v>
      </c>
      <c r="E71" s="96" t="s">
        <v>15458</v>
      </c>
      <c r="F71" s="96" t="s">
        <v>15459</v>
      </c>
      <c r="G71" s="96" t="s">
        <v>15460</v>
      </c>
      <c r="H71" s="96" t="s">
        <v>15461</v>
      </c>
      <c r="I71" s="96" t="s">
        <v>15462</v>
      </c>
      <c r="J71" s="96" t="s">
        <v>15463</v>
      </c>
      <c r="K71" s="96" t="s">
        <v>15464</v>
      </c>
      <c r="L71" s="96" t="s">
        <v>15465</v>
      </c>
      <c r="M71" s="96" t="s">
        <v>15466</v>
      </c>
      <c r="N71" s="96" t="s">
        <v>15467</v>
      </c>
      <c r="O71" s="96" t="s">
        <v>15468</v>
      </c>
      <c r="P71" s="96" t="s">
        <v>15469</v>
      </c>
      <c r="Q71" s="96" t="s">
        <v>15470</v>
      </c>
      <c r="R71" s="96" t="s">
        <v>15471</v>
      </c>
      <c r="S71" s="96" t="s">
        <v>15472</v>
      </c>
      <c r="T71" s="96" t="s">
        <v>15473</v>
      </c>
      <c r="U71" s="96" t="s">
        <v>15474</v>
      </c>
      <c r="V71" s="96" t="s">
        <v>15475</v>
      </c>
      <c r="W71" s="96" t="s">
        <v>15476</v>
      </c>
      <c r="X71" s="96" t="s">
        <v>15477</v>
      </c>
      <c r="Y71" s="96" t="s">
        <v>15478</v>
      </c>
      <c r="Z71" s="96" t="s">
        <v>15479</v>
      </c>
      <c r="AA71" s="96" t="s">
        <v>15480</v>
      </c>
      <c r="AB71" s="96" t="s">
        <v>15481</v>
      </c>
      <c r="AC71" s="96" t="s">
        <v>15482</v>
      </c>
      <c r="AD71" s="57"/>
    </row>
    <row r="72">
      <c r="A72" s="96" t="s">
        <v>8991</v>
      </c>
      <c r="B72" s="96" t="s">
        <v>11675</v>
      </c>
      <c r="C72" s="97" t="s">
        <v>15483</v>
      </c>
      <c r="D72" s="96" t="s">
        <v>15484</v>
      </c>
      <c r="E72" s="96" t="s">
        <v>15485</v>
      </c>
      <c r="F72" s="96" t="s">
        <v>15486</v>
      </c>
      <c r="G72" s="96" t="s">
        <v>15487</v>
      </c>
      <c r="H72" s="96" t="s">
        <v>15488</v>
      </c>
      <c r="I72" s="96" t="s">
        <v>15489</v>
      </c>
      <c r="J72" s="96" t="s">
        <v>15490</v>
      </c>
      <c r="K72" s="96" t="s">
        <v>15491</v>
      </c>
      <c r="L72" s="96" t="s">
        <v>5120</v>
      </c>
      <c r="M72" s="96" t="s">
        <v>15492</v>
      </c>
      <c r="N72" s="96" t="s">
        <v>5122</v>
      </c>
      <c r="O72" s="96" t="s">
        <v>8993</v>
      </c>
      <c r="P72" s="96" t="s">
        <v>15493</v>
      </c>
      <c r="Q72" s="96" t="s">
        <v>5125</v>
      </c>
      <c r="R72" s="96" t="s">
        <v>5126</v>
      </c>
      <c r="S72" s="96" t="s">
        <v>15494</v>
      </c>
      <c r="T72" s="96" t="s">
        <v>5120</v>
      </c>
      <c r="U72" s="96" t="s">
        <v>15495</v>
      </c>
      <c r="V72" s="96" t="s">
        <v>15496</v>
      </c>
      <c r="W72" s="96" t="s">
        <v>15497</v>
      </c>
      <c r="X72" s="96" t="s">
        <v>15498</v>
      </c>
      <c r="Y72" s="96" t="s">
        <v>5132</v>
      </c>
      <c r="Z72" s="96" t="s">
        <v>15499</v>
      </c>
      <c r="AA72" s="96" t="s">
        <v>15500</v>
      </c>
      <c r="AB72" s="96" t="s">
        <v>5135</v>
      </c>
      <c r="AC72" s="96" t="s">
        <v>5136</v>
      </c>
      <c r="AD72" s="57"/>
    </row>
    <row r="73">
      <c r="A73" s="96" t="s">
        <v>7377</v>
      </c>
      <c r="B73" s="96" t="s">
        <v>7378</v>
      </c>
      <c r="C73" s="97" t="s">
        <v>7379</v>
      </c>
      <c r="D73" s="96" t="s">
        <v>7380</v>
      </c>
      <c r="E73" s="96" t="s">
        <v>7381</v>
      </c>
      <c r="F73" s="96" t="s">
        <v>7382</v>
      </c>
      <c r="G73" s="96" t="s">
        <v>7383</v>
      </c>
      <c r="H73" s="96" t="s">
        <v>15501</v>
      </c>
      <c r="I73" s="96" t="s">
        <v>7385</v>
      </c>
      <c r="J73" s="96" t="s">
        <v>7386</v>
      </c>
      <c r="K73" s="96" t="s">
        <v>7387</v>
      </c>
      <c r="L73" s="96" t="s">
        <v>7388</v>
      </c>
      <c r="M73" s="96" t="s">
        <v>7389</v>
      </c>
      <c r="N73" s="96" t="s">
        <v>7390</v>
      </c>
      <c r="O73" s="96" t="s">
        <v>15502</v>
      </c>
      <c r="P73" s="96" t="s">
        <v>7392</v>
      </c>
      <c r="Q73" s="96" t="s">
        <v>7393</v>
      </c>
      <c r="R73" s="96" t="s">
        <v>15503</v>
      </c>
      <c r="S73" s="96" t="s">
        <v>15504</v>
      </c>
      <c r="T73" s="96" t="s">
        <v>15505</v>
      </c>
      <c r="U73" s="96" t="s">
        <v>7381</v>
      </c>
      <c r="V73" s="96" t="s">
        <v>7396</v>
      </c>
      <c r="W73" s="96" t="s">
        <v>7397</v>
      </c>
      <c r="X73" s="96" t="s">
        <v>7398</v>
      </c>
      <c r="Y73" s="96" t="s">
        <v>7399</v>
      </c>
      <c r="Z73" s="96" t="s">
        <v>7400</v>
      </c>
      <c r="AA73" s="96" t="s">
        <v>15506</v>
      </c>
      <c r="AB73" s="96" t="s">
        <v>7402</v>
      </c>
      <c r="AC73" s="96" t="s">
        <v>15507</v>
      </c>
      <c r="AD73" s="57"/>
    </row>
    <row r="74">
      <c r="A74" s="96" t="s">
        <v>7404</v>
      </c>
      <c r="B74" s="96" t="s">
        <v>7405</v>
      </c>
      <c r="C74" s="97" t="s">
        <v>7406</v>
      </c>
      <c r="D74" s="96" t="s">
        <v>7407</v>
      </c>
      <c r="E74" s="96" t="s">
        <v>7408</v>
      </c>
      <c r="F74" s="96" t="s">
        <v>7409</v>
      </c>
      <c r="G74" s="96" t="s">
        <v>7410</v>
      </c>
      <c r="H74" s="96" t="s">
        <v>15508</v>
      </c>
      <c r="I74" s="96" t="s">
        <v>15509</v>
      </c>
      <c r="J74" s="96" t="s">
        <v>7413</v>
      </c>
      <c r="K74" s="96" t="s">
        <v>7414</v>
      </c>
      <c r="L74" s="96" t="s">
        <v>7415</v>
      </c>
      <c r="M74" s="96" t="s">
        <v>7416</v>
      </c>
      <c r="N74" s="96" t="s">
        <v>15510</v>
      </c>
      <c r="O74" s="96" t="s">
        <v>15511</v>
      </c>
      <c r="P74" s="96" t="s">
        <v>15512</v>
      </c>
      <c r="Q74" s="96" t="s">
        <v>7420</v>
      </c>
      <c r="R74" s="96" t="s">
        <v>7421</v>
      </c>
      <c r="S74" s="96" t="s">
        <v>15513</v>
      </c>
      <c r="T74" s="96" t="s">
        <v>7423</v>
      </c>
      <c r="U74" s="96" t="s">
        <v>7424</v>
      </c>
      <c r="V74" s="96" t="s">
        <v>7425</v>
      </c>
      <c r="W74" s="96" t="s">
        <v>7426</v>
      </c>
      <c r="X74" s="96" t="s">
        <v>7427</v>
      </c>
      <c r="Y74" s="96" t="s">
        <v>15514</v>
      </c>
      <c r="Z74" s="96" t="s">
        <v>7429</v>
      </c>
      <c r="AA74" s="96" t="s">
        <v>15515</v>
      </c>
      <c r="AB74" s="96" t="s">
        <v>7431</v>
      </c>
      <c r="AC74" s="96" t="s">
        <v>15516</v>
      </c>
      <c r="AD74" s="57"/>
    </row>
    <row r="75">
      <c r="A75" s="96" t="s">
        <v>7433</v>
      </c>
      <c r="B75" s="96" t="s">
        <v>7434</v>
      </c>
      <c r="C75" s="97" t="s">
        <v>7435</v>
      </c>
      <c r="D75" s="96" t="s">
        <v>7436</v>
      </c>
      <c r="E75" s="96" t="s">
        <v>7437</v>
      </c>
      <c r="F75" s="96" t="s">
        <v>7438</v>
      </c>
      <c r="G75" s="96" t="s">
        <v>7439</v>
      </c>
      <c r="H75" s="96" t="s">
        <v>15517</v>
      </c>
      <c r="I75" s="96" t="s">
        <v>15518</v>
      </c>
      <c r="J75" s="96" t="s">
        <v>7442</v>
      </c>
      <c r="K75" s="96" t="s">
        <v>7443</v>
      </c>
      <c r="L75" s="96" t="s">
        <v>7444</v>
      </c>
      <c r="M75" s="96" t="s">
        <v>7445</v>
      </c>
      <c r="N75" s="96" t="s">
        <v>7446</v>
      </c>
      <c r="O75" s="96" t="s">
        <v>7447</v>
      </c>
      <c r="P75" s="96" t="s">
        <v>15519</v>
      </c>
      <c r="Q75" s="96" t="s">
        <v>15520</v>
      </c>
      <c r="R75" s="96" t="s">
        <v>15521</v>
      </c>
      <c r="S75" s="96" t="s">
        <v>7451</v>
      </c>
      <c r="T75" s="96" t="s">
        <v>15522</v>
      </c>
      <c r="U75" s="96" t="s">
        <v>7452</v>
      </c>
      <c r="V75" s="96" t="s">
        <v>7453</v>
      </c>
      <c r="W75" s="96" t="s">
        <v>7439</v>
      </c>
      <c r="X75" s="96" t="s">
        <v>7454</v>
      </c>
      <c r="Y75" s="96" t="s">
        <v>15523</v>
      </c>
      <c r="Z75" s="96" t="s">
        <v>7456</v>
      </c>
      <c r="AA75" s="96" t="s">
        <v>15524</v>
      </c>
      <c r="AB75" s="96" t="s">
        <v>7458</v>
      </c>
      <c r="AC75" s="96" t="s">
        <v>7459</v>
      </c>
      <c r="AD75" s="57"/>
    </row>
    <row r="76">
      <c r="A76" s="96" t="s">
        <v>7460</v>
      </c>
      <c r="B76" s="96" t="s">
        <v>7461</v>
      </c>
      <c r="C76" s="97" t="s">
        <v>7462</v>
      </c>
      <c r="D76" s="96" t="s">
        <v>15525</v>
      </c>
      <c r="E76" s="96" t="s">
        <v>15526</v>
      </c>
      <c r="F76" s="96" t="s">
        <v>15527</v>
      </c>
      <c r="G76" s="96" t="s">
        <v>7464</v>
      </c>
      <c r="H76" s="96" t="s">
        <v>7465</v>
      </c>
      <c r="I76" s="96" t="s">
        <v>15528</v>
      </c>
      <c r="J76" s="96" t="s">
        <v>7467</v>
      </c>
      <c r="K76" s="96" t="s">
        <v>7468</v>
      </c>
      <c r="L76" s="96" t="s">
        <v>7461</v>
      </c>
      <c r="M76" s="96" t="s">
        <v>7469</v>
      </c>
      <c r="N76" s="96" t="s">
        <v>15529</v>
      </c>
      <c r="O76" s="96" t="s">
        <v>7471</v>
      </c>
      <c r="P76" s="96" t="s">
        <v>15530</v>
      </c>
      <c r="Q76" s="96" t="s">
        <v>15531</v>
      </c>
      <c r="R76" s="96" t="s">
        <v>15532</v>
      </c>
      <c r="S76" s="96" t="s">
        <v>15533</v>
      </c>
      <c r="T76" s="96" t="s">
        <v>7461</v>
      </c>
      <c r="U76" s="96" t="s">
        <v>7476</v>
      </c>
      <c r="V76" s="96" t="s">
        <v>7477</v>
      </c>
      <c r="W76" s="96" t="s">
        <v>7478</v>
      </c>
      <c r="X76" s="96" t="s">
        <v>15534</v>
      </c>
      <c r="Y76" s="96" t="s">
        <v>7480</v>
      </c>
      <c r="Z76" s="96" t="s">
        <v>15535</v>
      </c>
      <c r="AA76" s="96" t="s">
        <v>15536</v>
      </c>
      <c r="AB76" s="96" t="s">
        <v>7483</v>
      </c>
      <c r="AC76" s="96" t="s">
        <v>7484</v>
      </c>
      <c r="AD76" s="57"/>
    </row>
    <row r="77">
      <c r="A77" s="96" t="s">
        <v>7485</v>
      </c>
      <c r="B77" s="96" t="s">
        <v>7486</v>
      </c>
      <c r="C77" s="97" t="s">
        <v>7487</v>
      </c>
      <c r="D77" s="96" t="s">
        <v>7488</v>
      </c>
      <c r="E77" s="96" t="s">
        <v>7489</v>
      </c>
      <c r="F77" s="96" t="s">
        <v>7490</v>
      </c>
      <c r="G77" s="96" t="s">
        <v>7491</v>
      </c>
      <c r="H77" s="96" t="s">
        <v>15537</v>
      </c>
      <c r="I77" s="96" t="s">
        <v>7493</v>
      </c>
      <c r="J77" s="96" t="s">
        <v>7494</v>
      </c>
      <c r="K77" s="96" t="s">
        <v>7495</v>
      </c>
      <c r="L77" s="96" t="s">
        <v>7496</v>
      </c>
      <c r="M77" s="96" t="s">
        <v>7497</v>
      </c>
      <c r="N77" s="96" t="s">
        <v>7498</v>
      </c>
      <c r="O77" s="96" t="s">
        <v>15538</v>
      </c>
      <c r="P77" s="96" t="s">
        <v>15539</v>
      </c>
      <c r="Q77" s="96" t="s">
        <v>7501</v>
      </c>
      <c r="R77" s="96" t="s">
        <v>15540</v>
      </c>
      <c r="S77" s="96" t="s">
        <v>15541</v>
      </c>
      <c r="T77" s="96" t="s">
        <v>15542</v>
      </c>
      <c r="U77" s="96" t="s">
        <v>7505</v>
      </c>
      <c r="V77" s="96" t="s">
        <v>7506</v>
      </c>
      <c r="W77" s="96" t="s">
        <v>7507</v>
      </c>
      <c r="X77" s="96" t="s">
        <v>7508</v>
      </c>
      <c r="Y77" s="96" t="s">
        <v>15543</v>
      </c>
      <c r="Z77" s="96" t="s">
        <v>7510</v>
      </c>
      <c r="AA77" s="96" t="s">
        <v>15544</v>
      </c>
      <c r="AB77" s="96" t="s">
        <v>7512</v>
      </c>
      <c r="AC77" s="96" t="s">
        <v>7513</v>
      </c>
      <c r="AD77" s="57"/>
    </row>
    <row r="78">
      <c r="A78" s="96" t="s">
        <v>7514</v>
      </c>
      <c r="B78" s="96" t="s">
        <v>7515</v>
      </c>
      <c r="C78" s="97" t="s">
        <v>7516</v>
      </c>
      <c r="D78" s="96" t="s">
        <v>7517</v>
      </c>
      <c r="E78" s="96" t="s">
        <v>7518</v>
      </c>
      <c r="F78" s="96" t="s">
        <v>7519</v>
      </c>
      <c r="G78" s="96" t="s">
        <v>7520</v>
      </c>
      <c r="H78" s="96" t="s">
        <v>15545</v>
      </c>
      <c r="I78" s="96" t="s">
        <v>7522</v>
      </c>
      <c r="J78" s="96" t="s">
        <v>7523</v>
      </c>
      <c r="K78" s="96" t="s">
        <v>7524</v>
      </c>
      <c r="L78" s="96" t="s">
        <v>7525</v>
      </c>
      <c r="M78" s="96" t="s">
        <v>7526</v>
      </c>
      <c r="N78" s="96" t="s">
        <v>7527</v>
      </c>
      <c r="O78" s="96" t="s">
        <v>15546</v>
      </c>
      <c r="P78" s="96" t="s">
        <v>15547</v>
      </c>
      <c r="Q78" s="96" t="s">
        <v>7530</v>
      </c>
      <c r="R78" s="96" t="s">
        <v>7531</v>
      </c>
      <c r="S78" s="96" t="s">
        <v>15548</v>
      </c>
      <c r="T78" s="96" t="s">
        <v>15549</v>
      </c>
      <c r="U78" s="96" t="s">
        <v>7518</v>
      </c>
      <c r="V78" s="96" t="s">
        <v>7533</v>
      </c>
      <c r="W78" s="96" t="s">
        <v>7526</v>
      </c>
      <c r="X78" s="96" t="s">
        <v>7534</v>
      </c>
      <c r="Y78" s="96" t="s">
        <v>15550</v>
      </c>
      <c r="Z78" s="96" t="s">
        <v>7536</v>
      </c>
      <c r="AA78" s="96" t="s">
        <v>7537</v>
      </c>
      <c r="AB78" s="96" t="s">
        <v>7538</v>
      </c>
      <c r="AC78" s="96" t="s">
        <v>15551</v>
      </c>
      <c r="AD78" s="57"/>
    </row>
    <row r="79">
      <c r="A79" s="96" t="s">
        <v>7540</v>
      </c>
      <c r="B79" s="96" t="s">
        <v>7541</v>
      </c>
      <c r="C79" s="97" t="s">
        <v>7542</v>
      </c>
      <c r="D79" s="96" t="s">
        <v>7543</v>
      </c>
      <c r="E79" s="96" t="s">
        <v>7544</v>
      </c>
      <c r="F79" s="96" t="s">
        <v>7545</v>
      </c>
      <c r="G79" s="96" t="s">
        <v>7546</v>
      </c>
      <c r="H79" s="96" t="s">
        <v>15552</v>
      </c>
      <c r="I79" s="96" t="s">
        <v>7548</v>
      </c>
      <c r="J79" s="96" t="s">
        <v>7549</v>
      </c>
      <c r="K79" s="96" t="s">
        <v>7550</v>
      </c>
      <c r="L79" s="96" t="s">
        <v>7551</v>
      </c>
      <c r="M79" s="96" t="s">
        <v>7552</v>
      </c>
      <c r="N79" s="96" t="s">
        <v>7553</v>
      </c>
      <c r="O79" s="96" t="s">
        <v>15553</v>
      </c>
      <c r="P79" s="96" t="s">
        <v>7555</v>
      </c>
      <c r="Q79" s="96" t="s">
        <v>7556</v>
      </c>
      <c r="R79" s="96" t="s">
        <v>15554</v>
      </c>
      <c r="S79" s="96" t="s">
        <v>15555</v>
      </c>
      <c r="T79" s="96" t="s">
        <v>7551</v>
      </c>
      <c r="U79" s="96" t="s">
        <v>7559</v>
      </c>
      <c r="V79" s="96" t="s">
        <v>7560</v>
      </c>
      <c r="W79" s="96" t="s">
        <v>7561</v>
      </c>
      <c r="X79" s="96" t="s">
        <v>7562</v>
      </c>
      <c r="Y79" s="96" t="s">
        <v>15556</v>
      </c>
      <c r="Z79" s="96" t="s">
        <v>7564</v>
      </c>
      <c r="AA79" s="96" t="s">
        <v>15557</v>
      </c>
      <c r="AB79" s="96" t="s">
        <v>7566</v>
      </c>
      <c r="AC79" s="96" t="s">
        <v>7567</v>
      </c>
      <c r="AD79" s="57"/>
    </row>
    <row r="80">
      <c r="A80" s="96" t="s">
        <v>7568</v>
      </c>
      <c r="B80" s="96" t="s">
        <v>7569</v>
      </c>
      <c r="C80" s="97" t="s">
        <v>7570</v>
      </c>
      <c r="D80" s="96" t="s">
        <v>7571</v>
      </c>
      <c r="E80" s="96" t="s">
        <v>7572</v>
      </c>
      <c r="F80" s="96" t="s">
        <v>7573</v>
      </c>
      <c r="G80" s="96" t="s">
        <v>7574</v>
      </c>
      <c r="H80" s="96" t="s">
        <v>15558</v>
      </c>
      <c r="I80" s="96" t="s">
        <v>7576</v>
      </c>
      <c r="J80" s="96" t="s">
        <v>7577</v>
      </c>
      <c r="K80" s="96" t="s">
        <v>7578</v>
      </c>
      <c r="L80" s="96" t="s">
        <v>7579</v>
      </c>
      <c r="M80" s="96" t="s">
        <v>7580</v>
      </c>
      <c r="N80" s="96" t="s">
        <v>7581</v>
      </c>
      <c r="O80" s="96" t="s">
        <v>15559</v>
      </c>
      <c r="P80" s="96" t="s">
        <v>7583</v>
      </c>
      <c r="Q80" s="96" t="s">
        <v>7584</v>
      </c>
      <c r="R80" s="96" t="s">
        <v>7585</v>
      </c>
      <c r="S80" s="96" t="s">
        <v>15560</v>
      </c>
      <c r="T80" s="96" t="s">
        <v>15561</v>
      </c>
      <c r="U80" s="96" t="s">
        <v>7588</v>
      </c>
      <c r="V80" s="96" t="s">
        <v>7589</v>
      </c>
      <c r="W80" s="96" t="s">
        <v>7590</v>
      </c>
      <c r="X80" s="96" t="s">
        <v>15562</v>
      </c>
      <c r="Y80" s="96" t="s">
        <v>7592</v>
      </c>
      <c r="Z80" s="96" t="s">
        <v>7593</v>
      </c>
      <c r="AA80" s="96" t="s">
        <v>15563</v>
      </c>
      <c r="AB80" s="96" t="s">
        <v>7595</v>
      </c>
      <c r="AC80" s="96" t="s">
        <v>7596</v>
      </c>
      <c r="AD80" s="57"/>
    </row>
    <row r="81">
      <c r="A81" s="96" t="s">
        <v>7597</v>
      </c>
      <c r="B81" s="96" t="s">
        <v>7598</v>
      </c>
      <c r="C81" s="97" t="s">
        <v>7599</v>
      </c>
      <c r="D81" s="96" t="s">
        <v>7600</v>
      </c>
      <c r="E81" s="96" t="s">
        <v>7601</v>
      </c>
      <c r="F81" s="96" t="s">
        <v>15564</v>
      </c>
      <c r="G81" s="96" t="s">
        <v>7603</v>
      </c>
      <c r="H81" s="96" t="s">
        <v>15565</v>
      </c>
      <c r="I81" s="96" t="s">
        <v>7605</v>
      </c>
      <c r="J81" s="96" t="s">
        <v>7606</v>
      </c>
      <c r="K81" s="96" t="s">
        <v>7607</v>
      </c>
      <c r="L81" s="96" t="s">
        <v>7608</v>
      </c>
      <c r="M81" s="96" t="s">
        <v>7609</v>
      </c>
      <c r="N81" s="96" t="s">
        <v>15566</v>
      </c>
      <c r="O81" s="96" t="s">
        <v>15567</v>
      </c>
      <c r="P81" s="96" t="s">
        <v>15568</v>
      </c>
      <c r="Q81" s="96" t="s">
        <v>7613</v>
      </c>
      <c r="R81" s="96" t="s">
        <v>7614</v>
      </c>
      <c r="S81" s="96" t="s">
        <v>15569</v>
      </c>
      <c r="T81" s="96" t="s">
        <v>15570</v>
      </c>
      <c r="U81" s="96" t="s">
        <v>15571</v>
      </c>
      <c r="V81" s="96" t="s">
        <v>7617</v>
      </c>
      <c r="W81" s="96" t="s">
        <v>7618</v>
      </c>
      <c r="X81" s="96" t="s">
        <v>7619</v>
      </c>
      <c r="Y81" s="96" t="s">
        <v>15572</v>
      </c>
      <c r="Z81" s="96" t="s">
        <v>15573</v>
      </c>
      <c r="AA81" s="96" t="s">
        <v>15574</v>
      </c>
      <c r="AB81" s="96" t="s">
        <v>15575</v>
      </c>
      <c r="AC81" s="96" t="s">
        <v>7624</v>
      </c>
      <c r="AD81" s="57"/>
    </row>
    <row r="82">
      <c r="A82" s="96" t="s">
        <v>7625</v>
      </c>
      <c r="B82" s="96" t="s">
        <v>7626</v>
      </c>
      <c r="C82" s="97" t="s">
        <v>7627</v>
      </c>
      <c r="D82" s="96" t="s">
        <v>7626</v>
      </c>
      <c r="E82" s="96" t="s">
        <v>15576</v>
      </c>
      <c r="F82" s="96" t="s">
        <v>7628</v>
      </c>
      <c r="G82" s="96" t="s">
        <v>15577</v>
      </c>
      <c r="H82" s="96" t="s">
        <v>7626</v>
      </c>
      <c r="I82" s="96" t="s">
        <v>7626</v>
      </c>
      <c r="J82" s="96" t="s">
        <v>15578</v>
      </c>
      <c r="K82" s="96" t="s">
        <v>7629</v>
      </c>
      <c r="L82" s="96" t="s">
        <v>7635</v>
      </c>
      <c r="M82" s="96" t="s">
        <v>15579</v>
      </c>
      <c r="N82" s="96" t="s">
        <v>15580</v>
      </c>
      <c r="O82" s="96" t="s">
        <v>7631</v>
      </c>
      <c r="P82" s="96" t="s">
        <v>15581</v>
      </c>
      <c r="Q82" s="96" t="s">
        <v>15582</v>
      </c>
      <c r="R82" s="96" t="s">
        <v>7634</v>
      </c>
      <c r="S82" s="96" t="s">
        <v>15583</v>
      </c>
      <c r="T82" s="96" t="s">
        <v>7626</v>
      </c>
      <c r="U82" s="96" t="s">
        <v>7635</v>
      </c>
      <c r="V82" s="96" t="s">
        <v>15584</v>
      </c>
      <c r="W82" s="96" t="s">
        <v>7635</v>
      </c>
      <c r="X82" s="96" t="s">
        <v>15585</v>
      </c>
      <c r="Y82" s="96" t="s">
        <v>7637</v>
      </c>
      <c r="Z82" s="96" t="s">
        <v>7626</v>
      </c>
      <c r="AA82" s="96" t="s">
        <v>15586</v>
      </c>
      <c r="AB82" s="96" t="s">
        <v>7639</v>
      </c>
      <c r="AC82" s="96" t="s">
        <v>7640</v>
      </c>
      <c r="AD82" s="57"/>
    </row>
    <row r="83">
      <c r="A83" s="96" t="s">
        <v>7641</v>
      </c>
      <c r="B83" s="96" t="s">
        <v>7642</v>
      </c>
      <c r="C83" s="97" t="s">
        <v>7643</v>
      </c>
      <c r="D83" s="96" t="s">
        <v>15587</v>
      </c>
      <c r="E83" s="96" t="s">
        <v>7644</v>
      </c>
      <c r="F83" s="96" t="s">
        <v>15588</v>
      </c>
      <c r="G83" s="96" t="s">
        <v>7646</v>
      </c>
      <c r="H83" s="96" t="s">
        <v>15589</v>
      </c>
      <c r="I83" s="96" t="s">
        <v>15590</v>
      </c>
      <c r="J83" s="96" t="s">
        <v>7649</v>
      </c>
      <c r="K83" s="96" t="s">
        <v>7650</v>
      </c>
      <c r="L83" s="96" t="s">
        <v>7651</v>
      </c>
      <c r="M83" s="96" t="s">
        <v>7652</v>
      </c>
      <c r="N83" s="96" t="s">
        <v>15591</v>
      </c>
      <c r="O83" s="96" t="s">
        <v>7654</v>
      </c>
      <c r="P83" s="96" t="s">
        <v>7655</v>
      </c>
      <c r="Q83" s="96" t="s">
        <v>7656</v>
      </c>
      <c r="R83" s="96" t="s">
        <v>7657</v>
      </c>
      <c r="S83" s="96" t="s">
        <v>15592</v>
      </c>
      <c r="T83" s="96" t="s">
        <v>7651</v>
      </c>
      <c r="U83" s="96" t="s">
        <v>7659</v>
      </c>
      <c r="V83" s="96" t="s">
        <v>7660</v>
      </c>
      <c r="W83" s="96" t="s">
        <v>7661</v>
      </c>
      <c r="X83" s="96" t="s">
        <v>7662</v>
      </c>
      <c r="Y83" s="96" t="s">
        <v>15593</v>
      </c>
      <c r="Z83" s="96" t="s">
        <v>15594</v>
      </c>
      <c r="AA83" s="96" t="s">
        <v>15595</v>
      </c>
      <c r="AB83" s="96" t="s">
        <v>7665</v>
      </c>
      <c r="AC83" s="96" t="s">
        <v>15596</v>
      </c>
      <c r="AD83" s="57"/>
    </row>
    <row r="84">
      <c r="A84" s="96" t="s">
        <v>7667</v>
      </c>
      <c r="B84" s="96" t="s">
        <v>7668</v>
      </c>
      <c r="C84" s="97" t="s">
        <v>7669</v>
      </c>
      <c r="D84" s="96" t="s">
        <v>7670</v>
      </c>
      <c r="E84" s="96" t="s">
        <v>7671</v>
      </c>
      <c r="F84" s="96" t="s">
        <v>7672</v>
      </c>
      <c r="G84" s="96" t="s">
        <v>7673</v>
      </c>
      <c r="H84" s="96" t="s">
        <v>15597</v>
      </c>
      <c r="I84" s="96" t="s">
        <v>7675</v>
      </c>
      <c r="J84" s="96" t="s">
        <v>7676</v>
      </c>
      <c r="K84" s="96" t="s">
        <v>7677</v>
      </c>
      <c r="L84" s="96" t="s">
        <v>7674</v>
      </c>
      <c r="M84" s="96" t="s">
        <v>7673</v>
      </c>
      <c r="N84" s="96" t="s">
        <v>7678</v>
      </c>
      <c r="O84" s="96" t="s">
        <v>7679</v>
      </c>
      <c r="P84" s="96" t="s">
        <v>15598</v>
      </c>
      <c r="Q84" s="96" t="s">
        <v>7681</v>
      </c>
      <c r="R84" s="96" t="s">
        <v>7682</v>
      </c>
      <c r="S84" s="96" t="s">
        <v>15599</v>
      </c>
      <c r="T84" s="96" t="s">
        <v>7674</v>
      </c>
      <c r="U84" s="96" t="s">
        <v>7684</v>
      </c>
      <c r="V84" s="96" t="s">
        <v>7685</v>
      </c>
      <c r="W84" s="96" t="s">
        <v>7673</v>
      </c>
      <c r="X84" s="96" t="s">
        <v>7686</v>
      </c>
      <c r="Y84" s="96" t="s">
        <v>7687</v>
      </c>
      <c r="Z84" s="96" t="s">
        <v>7688</v>
      </c>
      <c r="AA84" s="96" t="s">
        <v>15600</v>
      </c>
      <c r="AB84" s="96" t="s">
        <v>7690</v>
      </c>
      <c r="AC84" s="96" t="s">
        <v>7691</v>
      </c>
      <c r="AD84" s="57"/>
    </row>
    <row r="85">
      <c r="A85" s="96" t="s">
        <v>7692</v>
      </c>
      <c r="B85" s="96" t="s">
        <v>7693</v>
      </c>
      <c r="C85" s="97" t="s">
        <v>7694</v>
      </c>
      <c r="D85" s="96" t="s">
        <v>15601</v>
      </c>
      <c r="E85" s="96" t="s">
        <v>7693</v>
      </c>
      <c r="F85" s="96" t="s">
        <v>7695</v>
      </c>
      <c r="G85" s="96" t="s">
        <v>15602</v>
      </c>
      <c r="H85" s="96" t="s">
        <v>15603</v>
      </c>
      <c r="I85" s="96" t="s">
        <v>15604</v>
      </c>
      <c r="J85" s="96" t="s">
        <v>7693</v>
      </c>
      <c r="K85" s="96" t="s">
        <v>7698</v>
      </c>
      <c r="L85" s="96" t="s">
        <v>7693</v>
      </c>
      <c r="M85" s="96" t="s">
        <v>7693</v>
      </c>
      <c r="N85" s="96" t="s">
        <v>15605</v>
      </c>
      <c r="O85" s="96" t="s">
        <v>7700</v>
      </c>
      <c r="P85" s="96" t="s">
        <v>7701</v>
      </c>
      <c r="Q85" s="96" t="s">
        <v>15606</v>
      </c>
      <c r="R85" s="96" t="s">
        <v>15607</v>
      </c>
      <c r="S85" s="96" t="s">
        <v>15608</v>
      </c>
      <c r="T85" s="96" t="s">
        <v>7693</v>
      </c>
      <c r="U85" s="96" t="s">
        <v>7693</v>
      </c>
      <c r="V85" s="96" t="s">
        <v>7693</v>
      </c>
      <c r="W85" s="96" t="s">
        <v>7693</v>
      </c>
      <c r="X85" s="96" t="s">
        <v>15609</v>
      </c>
      <c r="Y85" s="96" t="s">
        <v>15610</v>
      </c>
      <c r="Z85" s="96" t="s">
        <v>15611</v>
      </c>
      <c r="AA85" s="96" t="s">
        <v>15612</v>
      </c>
      <c r="AB85" s="96" t="s">
        <v>15613</v>
      </c>
      <c r="AC85" s="96" t="s">
        <v>7708</v>
      </c>
      <c r="AD85" s="57"/>
    </row>
    <row r="86">
      <c r="A86" s="96" t="s">
        <v>7709</v>
      </c>
      <c r="B86" s="96" t="s">
        <v>7710</v>
      </c>
      <c r="C86" s="97" t="s">
        <v>7711</v>
      </c>
      <c r="D86" s="96" t="s">
        <v>7710</v>
      </c>
      <c r="E86" s="96" t="s">
        <v>7710</v>
      </c>
      <c r="F86" s="96" t="s">
        <v>7712</v>
      </c>
      <c r="G86" s="96" t="s">
        <v>15614</v>
      </c>
      <c r="H86" s="96" t="s">
        <v>7709</v>
      </c>
      <c r="I86" s="96" t="s">
        <v>7709</v>
      </c>
      <c r="J86" s="96" t="s">
        <v>7710</v>
      </c>
      <c r="K86" s="96" t="s">
        <v>7713</v>
      </c>
      <c r="L86" s="96" t="s">
        <v>7710</v>
      </c>
      <c r="M86" s="96" t="s">
        <v>7710</v>
      </c>
      <c r="N86" s="96" t="s">
        <v>15615</v>
      </c>
      <c r="O86" s="96" t="s">
        <v>15616</v>
      </c>
      <c r="P86" s="96" t="s">
        <v>15617</v>
      </c>
      <c r="Q86" s="96" t="s">
        <v>7716</v>
      </c>
      <c r="R86" s="96" t="s">
        <v>15618</v>
      </c>
      <c r="S86" s="96" t="s">
        <v>7709</v>
      </c>
      <c r="T86" s="96" t="s">
        <v>7710</v>
      </c>
      <c r="U86" s="96" t="s">
        <v>15619</v>
      </c>
      <c r="V86" s="96" t="s">
        <v>7710</v>
      </c>
      <c r="W86" s="96" t="s">
        <v>7710</v>
      </c>
      <c r="X86" s="96" t="s">
        <v>7718</v>
      </c>
      <c r="Y86" s="96" t="s">
        <v>15620</v>
      </c>
      <c r="Z86" s="96" t="s">
        <v>15621</v>
      </c>
      <c r="AA86" s="96" t="s">
        <v>15622</v>
      </c>
      <c r="AB86" s="96" t="s">
        <v>7721</v>
      </c>
      <c r="AC86" s="96" t="s">
        <v>7722</v>
      </c>
      <c r="AD86" s="57"/>
    </row>
    <row r="87">
      <c r="A87" s="96" t="s">
        <v>7723</v>
      </c>
      <c r="B87" s="96" t="s">
        <v>7724</v>
      </c>
      <c r="C87" s="97" t="s">
        <v>7725</v>
      </c>
      <c r="D87" s="96" t="s">
        <v>7726</v>
      </c>
      <c r="E87" s="96" t="s">
        <v>7727</v>
      </c>
      <c r="F87" s="96" t="s">
        <v>7728</v>
      </c>
      <c r="G87" s="96" t="s">
        <v>7729</v>
      </c>
      <c r="H87" s="96" t="s">
        <v>15623</v>
      </c>
      <c r="I87" s="96" t="s">
        <v>7731</v>
      </c>
      <c r="J87" s="96" t="s">
        <v>7732</v>
      </c>
      <c r="K87" s="96" t="s">
        <v>7733</v>
      </c>
      <c r="L87" s="96" t="s">
        <v>7734</v>
      </c>
      <c r="M87" s="96" t="s">
        <v>7735</v>
      </c>
      <c r="N87" s="96" t="s">
        <v>7736</v>
      </c>
      <c r="O87" s="96" t="s">
        <v>15624</v>
      </c>
      <c r="P87" s="96" t="s">
        <v>7738</v>
      </c>
      <c r="Q87" s="96" t="s">
        <v>7739</v>
      </c>
      <c r="R87" s="96" t="s">
        <v>15625</v>
      </c>
      <c r="S87" s="96" t="s">
        <v>15626</v>
      </c>
      <c r="T87" s="96" t="s">
        <v>7742</v>
      </c>
      <c r="U87" s="96" t="s">
        <v>7743</v>
      </c>
      <c r="V87" s="96" t="s">
        <v>7744</v>
      </c>
      <c r="W87" s="96" t="s">
        <v>7745</v>
      </c>
      <c r="X87" s="96" t="s">
        <v>7746</v>
      </c>
      <c r="Y87" s="96" t="s">
        <v>7747</v>
      </c>
      <c r="Z87" s="96" t="s">
        <v>7748</v>
      </c>
      <c r="AA87" s="96" t="s">
        <v>7749</v>
      </c>
      <c r="AB87" s="96" t="s">
        <v>7750</v>
      </c>
      <c r="AC87" s="96" t="s">
        <v>11703</v>
      </c>
      <c r="AD87" s="57"/>
    </row>
    <row r="88">
      <c r="A88" s="96" t="s">
        <v>7752</v>
      </c>
      <c r="B88" s="96" t="s">
        <v>7753</v>
      </c>
      <c r="C88" s="97" t="s">
        <v>15627</v>
      </c>
      <c r="D88" s="96" t="s">
        <v>7755</v>
      </c>
      <c r="E88" s="96" t="s">
        <v>7756</v>
      </c>
      <c r="F88" s="96" t="s">
        <v>7757</v>
      </c>
      <c r="G88" s="96" t="s">
        <v>7758</v>
      </c>
      <c r="H88" s="96" t="s">
        <v>15628</v>
      </c>
      <c r="I88" s="96" t="s">
        <v>7760</v>
      </c>
      <c r="J88" s="96" t="s">
        <v>7761</v>
      </c>
      <c r="K88" s="96" t="s">
        <v>7762</v>
      </c>
      <c r="L88" s="96" t="s">
        <v>7763</v>
      </c>
      <c r="M88" s="96" t="s">
        <v>7764</v>
      </c>
      <c r="N88" s="96" t="s">
        <v>7765</v>
      </c>
      <c r="O88" s="96" t="s">
        <v>7766</v>
      </c>
      <c r="P88" s="96" t="s">
        <v>15629</v>
      </c>
      <c r="Q88" s="96" t="s">
        <v>7768</v>
      </c>
      <c r="R88" s="96" t="s">
        <v>7769</v>
      </c>
      <c r="S88" s="96" t="s">
        <v>15630</v>
      </c>
      <c r="T88" s="96" t="s">
        <v>15631</v>
      </c>
      <c r="U88" s="96" t="s">
        <v>7772</v>
      </c>
      <c r="V88" s="96" t="s">
        <v>7773</v>
      </c>
      <c r="W88" s="96" t="s">
        <v>7758</v>
      </c>
      <c r="X88" s="96" t="s">
        <v>15632</v>
      </c>
      <c r="Y88" s="96" t="s">
        <v>15633</v>
      </c>
      <c r="Z88" s="96" t="s">
        <v>7776</v>
      </c>
      <c r="AA88" s="96" t="s">
        <v>15634</v>
      </c>
      <c r="AB88" s="96" t="s">
        <v>15635</v>
      </c>
      <c r="AC88" s="96" t="s">
        <v>7779</v>
      </c>
      <c r="AD88" s="57"/>
    </row>
    <row r="89">
      <c r="A89" s="96" t="s">
        <v>7780</v>
      </c>
      <c r="B89" s="96" t="s">
        <v>7781</v>
      </c>
      <c r="C89" s="97" t="s">
        <v>15636</v>
      </c>
      <c r="D89" s="96" t="s">
        <v>7783</v>
      </c>
      <c r="E89" s="96" t="s">
        <v>7784</v>
      </c>
      <c r="F89" s="96" t="s">
        <v>15637</v>
      </c>
      <c r="G89" s="96" t="s">
        <v>7786</v>
      </c>
      <c r="H89" s="96" t="s">
        <v>7787</v>
      </c>
      <c r="I89" s="96" t="s">
        <v>7788</v>
      </c>
      <c r="J89" s="96" t="s">
        <v>7789</v>
      </c>
      <c r="K89" s="96" t="s">
        <v>7790</v>
      </c>
      <c r="L89" s="96" t="s">
        <v>7791</v>
      </c>
      <c r="M89" s="96" t="s">
        <v>7792</v>
      </c>
      <c r="N89" s="96" t="s">
        <v>7793</v>
      </c>
      <c r="O89" s="96" t="s">
        <v>7794</v>
      </c>
      <c r="P89" s="96" t="s">
        <v>15638</v>
      </c>
      <c r="Q89" s="96" t="s">
        <v>7796</v>
      </c>
      <c r="R89" s="96" t="s">
        <v>7797</v>
      </c>
      <c r="S89" s="96" t="s">
        <v>15639</v>
      </c>
      <c r="T89" s="96" t="s">
        <v>7799</v>
      </c>
      <c r="U89" s="96" t="s">
        <v>7784</v>
      </c>
      <c r="V89" s="96" t="s">
        <v>7800</v>
      </c>
      <c r="W89" s="96" t="s">
        <v>7801</v>
      </c>
      <c r="X89" s="96" t="s">
        <v>7802</v>
      </c>
      <c r="Y89" s="96" t="s">
        <v>7803</v>
      </c>
      <c r="Z89" s="96" t="s">
        <v>15640</v>
      </c>
      <c r="AA89" s="96" t="s">
        <v>15641</v>
      </c>
      <c r="AB89" s="96" t="s">
        <v>7806</v>
      </c>
      <c r="AC89" s="96" t="s">
        <v>7807</v>
      </c>
      <c r="AD89" s="57"/>
    </row>
    <row r="90">
      <c r="A90" s="96" t="s">
        <v>7808</v>
      </c>
      <c r="B90" s="96" t="s">
        <v>7809</v>
      </c>
      <c r="C90" s="97" t="s">
        <v>7810</v>
      </c>
      <c r="D90" s="96" t="s">
        <v>7811</v>
      </c>
      <c r="E90" s="96" t="s">
        <v>7809</v>
      </c>
      <c r="F90" s="96" t="s">
        <v>7812</v>
      </c>
      <c r="G90" s="96" t="s">
        <v>7808</v>
      </c>
      <c r="H90" s="96" t="s">
        <v>7808</v>
      </c>
      <c r="I90" s="96" t="s">
        <v>7808</v>
      </c>
      <c r="J90" s="96" t="s">
        <v>7808</v>
      </c>
      <c r="K90" s="96" t="s">
        <v>7814</v>
      </c>
      <c r="L90" s="96" t="s">
        <v>7809</v>
      </c>
      <c r="M90" s="96" t="s">
        <v>7808</v>
      </c>
      <c r="N90" s="96" t="s">
        <v>7815</v>
      </c>
      <c r="O90" s="96" t="s">
        <v>7816</v>
      </c>
      <c r="P90" s="96" t="s">
        <v>7817</v>
      </c>
      <c r="Q90" s="96" t="s">
        <v>7818</v>
      </c>
      <c r="R90" s="96" t="s">
        <v>7819</v>
      </c>
      <c r="S90" s="96" t="s">
        <v>7808</v>
      </c>
      <c r="T90" s="96" t="s">
        <v>7809</v>
      </c>
      <c r="U90" s="96" t="s">
        <v>7809</v>
      </c>
      <c r="V90" s="96" t="s">
        <v>7821</v>
      </c>
      <c r="W90" s="96" t="s">
        <v>7808</v>
      </c>
      <c r="X90" s="96" t="s">
        <v>7822</v>
      </c>
      <c r="Y90" s="96" t="s">
        <v>15642</v>
      </c>
      <c r="Z90" s="96" t="s">
        <v>7824</v>
      </c>
      <c r="AA90" s="96" t="s">
        <v>7825</v>
      </c>
      <c r="AB90" s="96" t="s">
        <v>7826</v>
      </c>
      <c r="AC90" s="96" t="s">
        <v>7827</v>
      </c>
      <c r="AD90" s="57"/>
    </row>
    <row r="91">
      <c r="A91" s="96" t="s">
        <v>7828</v>
      </c>
      <c r="B91" s="96" t="s">
        <v>7829</v>
      </c>
      <c r="C91" s="97" t="s">
        <v>7830</v>
      </c>
      <c r="D91" s="96" t="s">
        <v>7831</v>
      </c>
      <c r="E91" s="96" t="s">
        <v>7832</v>
      </c>
      <c r="F91" s="96" t="s">
        <v>7833</v>
      </c>
      <c r="G91" s="96" t="s">
        <v>7834</v>
      </c>
      <c r="H91" s="96" t="s">
        <v>15643</v>
      </c>
      <c r="I91" s="96" t="s">
        <v>15644</v>
      </c>
      <c r="J91" s="96" t="s">
        <v>7837</v>
      </c>
      <c r="K91" s="96" t="s">
        <v>7838</v>
      </c>
      <c r="L91" s="96" t="s">
        <v>7839</v>
      </c>
      <c r="M91" s="96" t="s">
        <v>7840</v>
      </c>
      <c r="N91" s="96" t="s">
        <v>7841</v>
      </c>
      <c r="O91" s="96" t="s">
        <v>7842</v>
      </c>
      <c r="P91" s="96" t="s">
        <v>7843</v>
      </c>
      <c r="Q91" s="96" t="s">
        <v>7844</v>
      </c>
      <c r="R91" s="96" t="s">
        <v>15645</v>
      </c>
      <c r="S91" s="96" t="s">
        <v>15646</v>
      </c>
      <c r="T91" s="96" t="s">
        <v>15647</v>
      </c>
      <c r="U91" s="96" t="s">
        <v>7847</v>
      </c>
      <c r="V91" s="96" t="s">
        <v>7848</v>
      </c>
      <c r="W91" s="96" t="s">
        <v>7849</v>
      </c>
      <c r="X91" s="96" t="s">
        <v>15648</v>
      </c>
      <c r="Y91" s="96" t="s">
        <v>7851</v>
      </c>
      <c r="Z91" s="96" t="s">
        <v>7852</v>
      </c>
      <c r="AA91" s="96" t="s">
        <v>15649</v>
      </c>
      <c r="AB91" s="96" t="s">
        <v>7854</v>
      </c>
      <c r="AC91" s="96" t="s">
        <v>7855</v>
      </c>
      <c r="AD91" s="57"/>
    </row>
    <row r="92">
      <c r="A92" s="96" t="s">
        <v>7856</v>
      </c>
      <c r="B92" s="96" t="s">
        <v>7857</v>
      </c>
      <c r="C92" s="97" t="s">
        <v>7858</v>
      </c>
      <c r="D92" s="96" t="s">
        <v>7859</v>
      </c>
      <c r="E92" s="96" t="s">
        <v>7860</v>
      </c>
      <c r="F92" s="96" t="s">
        <v>7861</v>
      </c>
      <c r="G92" s="96" t="s">
        <v>7862</v>
      </c>
      <c r="H92" s="96" t="s">
        <v>15650</v>
      </c>
      <c r="I92" s="96" t="s">
        <v>7864</v>
      </c>
      <c r="J92" s="96" t="s">
        <v>7865</v>
      </c>
      <c r="K92" s="96" t="s">
        <v>7866</v>
      </c>
      <c r="L92" s="96" t="s">
        <v>7867</v>
      </c>
      <c r="M92" s="96" t="s">
        <v>7868</v>
      </c>
      <c r="N92" s="96" t="s">
        <v>7869</v>
      </c>
      <c r="O92" s="96" t="s">
        <v>7870</v>
      </c>
      <c r="P92" s="96" t="s">
        <v>15651</v>
      </c>
      <c r="Q92" s="96" t="s">
        <v>7872</v>
      </c>
      <c r="R92" s="96" t="s">
        <v>7873</v>
      </c>
      <c r="S92" s="96" t="s">
        <v>15652</v>
      </c>
      <c r="T92" s="96" t="s">
        <v>7867</v>
      </c>
      <c r="U92" s="96" t="s">
        <v>7875</v>
      </c>
      <c r="V92" s="96" t="s">
        <v>7876</v>
      </c>
      <c r="W92" s="96" t="s">
        <v>7877</v>
      </c>
      <c r="X92" s="96" t="s">
        <v>7878</v>
      </c>
      <c r="Y92" s="96" t="s">
        <v>15653</v>
      </c>
      <c r="Z92" s="96" t="s">
        <v>7880</v>
      </c>
      <c r="AA92" s="96" t="s">
        <v>7881</v>
      </c>
      <c r="AB92" s="96" t="s">
        <v>7882</v>
      </c>
      <c r="AC92" s="96" t="s">
        <v>15654</v>
      </c>
      <c r="AD92" s="57"/>
    </row>
    <row r="93">
      <c r="A93" s="96" t="s">
        <v>7884</v>
      </c>
      <c r="B93" s="96" t="s">
        <v>7885</v>
      </c>
      <c r="C93" s="97" t="s">
        <v>7886</v>
      </c>
      <c r="D93" s="96" t="s">
        <v>7887</v>
      </c>
      <c r="E93" s="96" t="s">
        <v>7888</v>
      </c>
      <c r="F93" s="96" t="s">
        <v>7889</v>
      </c>
      <c r="G93" s="96" t="s">
        <v>7890</v>
      </c>
      <c r="H93" s="96" t="s">
        <v>15655</v>
      </c>
      <c r="I93" s="96" t="s">
        <v>7892</v>
      </c>
      <c r="J93" s="96" t="s">
        <v>7893</v>
      </c>
      <c r="K93" s="96" t="s">
        <v>15656</v>
      </c>
      <c r="L93" s="96" t="s">
        <v>7895</v>
      </c>
      <c r="M93" s="96" t="s">
        <v>7896</v>
      </c>
      <c r="N93" s="96" t="s">
        <v>7897</v>
      </c>
      <c r="O93" s="96" t="s">
        <v>7898</v>
      </c>
      <c r="P93" s="96" t="s">
        <v>7899</v>
      </c>
      <c r="Q93" s="96" t="s">
        <v>7900</v>
      </c>
      <c r="R93" s="96" t="s">
        <v>15657</v>
      </c>
      <c r="S93" s="96" t="s">
        <v>15658</v>
      </c>
      <c r="T93" s="96" t="s">
        <v>7895</v>
      </c>
      <c r="U93" s="96" t="s">
        <v>7903</v>
      </c>
      <c r="V93" s="96" t="s">
        <v>7904</v>
      </c>
      <c r="W93" s="96" t="s">
        <v>7905</v>
      </c>
      <c r="X93" s="96" t="s">
        <v>7906</v>
      </c>
      <c r="Y93" s="96" t="s">
        <v>7907</v>
      </c>
      <c r="Z93" s="96" t="s">
        <v>7908</v>
      </c>
      <c r="AA93" s="96" t="s">
        <v>15659</v>
      </c>
      <c r="AB93" s="96" t="s">
        <v>7910</v>
      </c>
      <c r="AC93" s="96" t="s">
        <v>7911</v>
      </c>
      <c r="AD93" s="57"/>
    </row>
    <row r="94">
      <c r="A94" s="96" t="s">
        <v>7912</v>
      </c>
      <c r="B94" s="96" t="s">
        <v>7913</v>
      </c>
      <c r="C94" s="97" t="s">
        <v>7914</v>
      </c>
      <c r="D94" s="96" t="s">
        <v>15660</v>
      </c>
      <c r="E94" s="96" t="s">
        <v>7916</v>
      </c>
      <c r="F94" s="96" t="s">
        <v>7917</v>
      </c>
      <c r="G94" s="96" t="s">
        <v>7918</v>
      </c>
      <c r="H94" s="96" t="s">
        <v>15661</v>
      </c>
      <c r="I94" s="96" t="s">
        <v>7920</v>
      </c>
      <c r="J94" s="96" t="s">
        <v>7921</v>
      </c>
      <c r="K94" s="96" t="s">
        <v>7922</v>
      </c>
      <c r="L94" s="96" t="s">
        <v>7923</v>
      </c>
      <c r="M94" s="96" t="s">
        <v>7924</v>
      </c>
      <c r="N94" s="96" t="s">
        <v>7925</v>
      </c>
      <c r="O94" s="96" t="s">
        <v>7926</v>
      </c>
      <c r="P94" s="96" t="s">
        <v>15662</v>
      </c>
      <c r="Q94" s="96" t="s">
        <v>15663</v>
      </c>
      <c r="R94" s="96" t="s">
        <v>15664</v>
      </c>
      <c r="S94" s="96" t="s">
        <v>15665</v>
      </c>
      <c r="T94" s="96" t="s">
        <v>15666</v>
      </c>
      <c r="U94" s="96" t="s">
        <v>7932</v>
      </c>
      <c r="V94" s="96" t="s">
        <v>7933</v>
      </c>
      <c r="W94" s="96" t="s">
        <v>7934</v>
      </c>
      <c r="X94" s="96" t="s">
        <v>15667</v>
      </c>
      <c r="Y94" s="96" t="s">
        <v>7936</v>
      </c>
      <c r="Z94" s="96" t="s">
        <v>7937</v>
      </c>
      <c r="AA94" s="96" t="s">
        <v>15668</v>
      </c>
      <c r="AB94" s="96" t="s">
        <v>7939</v>
      </c>
      <c r="AC94" s="96" t="s">
        <v>7940</v>
      </c>
      <c r="AD94" s="57"/>
    </row>
    <row r="95">
      <c r="A95" s="96" t="s">
        <v>7941</v>
      </c>
      <c r="B95" s="96" t="s">
        <v>7942</v>
      </c>
      <c r="C95" s="97" t="s">
        <v>7943</v>
      </c>
      <c r="D95" s="96" t="s">
        <v>7944</v>
      </c>
      <c r="E95" s="96" t="s">
        <v>7945</v>
      </c>
      <c r="F95" s="96" t="s">
        <v>15669</v>
      </c>
      <c r="G95" s="96" t="s">
        <v>15670</v>
      </c>
      <c r="H95" s="96" t="s">
        <v>15671</v>
      </c>
      <c r="I95" s="96" t="s">
        <v>7949</v>
      </c>
      <c r="J95" s="96" t="s">
        <v>7950</v>
      </c>
      <c r="K95" s="96" t="s">
        <v>7951</v>
      </c>
      <c r="L95" s="96" t="s">
        <v>7952</v>
      </c>
      <c r="M95" s="96" t="s">
        <v>7953</v>
      </c>
      <c r="N95" s="96" t="s">
        <v>15672</v>
      </c>
      <c r="O95" s="96" t="s">
        <v>7955</v>
      </c>
      <c r="P95" s="96" t="s">
        <v>15673</v>
      </c>
      <c r="Q95" s="96" t="s">
        <v>7957</v>
      </c>
      <c r="R95" s="96" t="s">
        <v>15674</v>
      </c>
      <c r="S95" s="96" t="s">
        <v>15675</v>
      </c>
      <c r="T95" s="96" t="s">
        <v>15676</v>
      </c>
      <c r="U95" s="96" t="s">
        <v>15677</v>
      </c>
      <c r="V95" s="96" t="s">
        <v>7960</v>
      </c>
      <c r="W95" s="96" t="s">
        <v>7961</v>
      </c>
      <c r="X95" s="96" t="s">
        <v>7962</v>
      </c>
      <c r="Y95" s="96" t="s">
        <v>7963</v>
      </c>
      <c r="Z95" s="96" t="s">
        <v>15678</v>
      </c>
      <c r="AA95" s="96" t="s">
        <v>15679</v>
      </c>
      <c r="AB95" s="96" t="s">
        <v>15680</v>
      </c>
      <c r="AC95" s="96" t="s">
        <v>7967</v>
      </c>
      <c r="AD95" s="57"/>
    </row>
    <row r="96">
      <c r="A96" s="96" t="s">
        <v>7968</v>
      </c>
      <c r="B96" s="96" t="s">
        <v>7969</v>
      </c>
      <c r="C96" s="97" t="s">
        <v>7970</v>
      </c>
      <c r="D96" s="96" t="s">
        <v>7971</v>
      </c>
      <c r="E96" s="96" t="s">
        <v>7972</v>
      </c>
      <c r="F96" s="96" t="s">
        <v>7973</v>
      </c>
      <c r="G96" s="96" t="s">
        <v>7974</v>
      </c>
      <c r="H96" s="96" t="s">
        <v>15681</v>
      </c>
      <c r="I96" s="96" t="s">
        <v>7976</v>
      </c>
      <c r="J96" s="96" t="s">
        <v>7977</v>
      </c>
      <c r="K96" s="96" t="s">
        <v>7978</v>
      </c>
      <c r="L96" s="96" t="s">
        <v>7979</v>
      </c>
      <c r="M96" s="96" t="s">
        <v>7980</v>
      </c>
      <c r="N96" s="96" t="s">
        <v>7981</v>
      </c>
      <c r="O96" s="96" t="s">
        <v>7982</v>
      </c>
      <c r="P96" s="96" t="s">
        <v>15682</v>
      </c>
      <c r="Q96" s="96" t="s">
        <v>7984</v>
      </c>
      <c r="R96" s="96" t="s">
        <v>7985</v>
      </c>
      <c r="S96" s="96" t="s">
        <v>15683</v>
      </c>
      <c r="T96" s="96" t="s">
        <v>7979</v>
      </c>
      <c r="U96" s="96" t="s">
        <v>7987</v>
      </c>
      <c r="V96" s="96" t="s">
        <v>7988</v>
      </c>
      <c r="W96" s="96" t="s">
        <v>7989</v>
      </c>
      <c r="X96" s="96" t="s">
        <v>7990</v>
      </c>
      <c r="Y96" s="96" t="s">
        <v>15684</v>
      </c>
      <c r="Z96" s="96" t="s">
        <v>7992</v>
      </c>
      <c r="AA96" s="96" t="s">
        <v>15685</v>
      </c>
      <c r="AB96" s="96" t="s">
        <v>15686</v>
      </c>
      <c r="AC96" s="96" t="s">
        <v>7995</v>
      </c>
      <c r="AD96" s="57"/>
    </row>
    <row r="97">
      <c r="A97" s="96" t="s">
        <v>7996</v>
      </c>
      <c r="B97" s="96" t="s">
        <v>7997</v>
      </c>
      <c r="C97" s="97" t="s">
        <v>7998</v>
      </c>
      <c r="D97" s="96" t="s">
        <v>7999</v>
      </c>
      <c r="E97" s="96" t="s">
        <v>8000</v>
      </c>
      <c r="F97" s="96" t="s">
        <v>8001</v>
      </c>
      <c r="G97" s="96" t="s">
        <v>8002</v>
      </c>
      <c r="H97" s="96" t="s">
        <v>15687</v>
      </c>
      <c r="I97" s="96" t="s">
        <v>15688</v>
      </c>
      <c r="J97" s="96" t="s">
        <v>8005</v>
      </c>
      <c r="K97" s="96" t="s">
        <v>8006</v>
      </c>
      <c r="L97" s="96" t="s">
        <v>8007</v>
      </c>
      <c r="M97" s="96" t="s">
        <v>8008</v>
      </c>
      <c r="N97" s="96" t="s">
        <v>15689</v>
      </c>
      <c r="O97" s="96" t="s">
        <v>15690</v>
      </c>
      <c r="P97" s="96" t="s">
        <v>8011</v>
      </c>
      <c r="Q97" s="96" t="s">
        <v>8012</v>
      </c>
      <c r="R97" s="96" t="s">
        <v>8013</v>
      </c>
      <c r="S97" s="96" t="s">
        <v>15691</v>
      </c>
      <c r="T97" s="96" t="s">
        <v>15692</v>
      </c>
      <c r="U97" s="96" t="s">
        <v>8015</v>
      </c>
      <c r="V97" s="96" t="s">
        <v>7997</v>
      </c>
      <c r="W97" s="96" t="s">
        <v>8016</v>
      </c>
      <c r="X97" s="96" t="s">
        <v>8017</v>
      </c>
      <c r="Y97" s="96" t="s">
        <v>15693</v>
      </c>
      <c r="Z97" s="96" t="s">
        <v>8019</v>
      </c>
      <c r="AA97" s="96" t="s">
        <v>15694</v>
      </c>
      <c r="AB97" s="96" t="s">
        <v>15695</v>
      </c>
      <c r="AC97" s="96" t="s">
        <v>8022</v>
      </c>
      <c r="AD97" s="57"/>
    </row>
    <row r="98">
      <c r="A98" s="96" t="s">
        <v>8023</v>
      </c>
      <c r="B98" s="96" t="s">
        <v>8024</v>
      </c>
      <c r="C98" s="97" t="s">
        <v>8025</v>
      </c>
      <c r="D98" s="96" t="s">
        <v>8026</v>
      </c>
      <c r="E98" s="96" t="s">
        <v>8027</v>
      </c>
      <c r="F98" s="96" t="s">
        <v>8028</v>
      </c>
      <c r="G98" s="96" t="s">
        <v>8029</v>
      </c>
      <c r="H98" s="96" t="s">
        <v>15696</v>
      </c>
      <c r="I98" s="96" t="s">
        <v>8031</v>
      </c>
      <c r="J98" s="96" t="s">
        <v>8032</v>
      </c>
      <c r="K98" s="96" t="s">
        <v>8033</v>
      </c>
      <c r="L98" s="96" t="s">
        <v>8034</v>
      </c>
      <c r="M98" s="96" t="s">
        <v>8035</v>
      </c>
      <c r="N98" s="96" t="s">
        <v>8036</v>
      </c>
      <c r="O98" s="96" t="s">
        <v>8037</v>
      </c>
      <c r="P98" s="96" t="s">
        <v>15697</v>
      </c>
      <c r="Q98" s="96" t="s">
        <v>8039</v>
      </c>
      <c r="R98" s="96" t="s">
        <v>8040</v>
      </c>
      <c r="S98" s="96" t="s">
        <v>15698</v>
      </c>
      <c r="T98" s="96" t="s">
        <v>15699</v>
      </c>
      <c r="U98" s="96" t="s">
        <v>8024</v>
      </c>
      <c r="V98" s="96" t="s">
        <v>8042</v>
      </c>
      <c r="W98" s="96" t="s">
        <v>8043</v>
      </c>
      <c r="X98" s="96" t="s">
        <v>8044</v>
      </c>
      <c r="Y98" s="96" t="s">
        <v>8045</v>
      </c>
      <c r="Z98" s="96" t="s">
        <v>8046</v>
      </c>
      <c r="AA98" s="96" t="s">
        <v>15700</v>
      </c>
      <c r="AB98" s="96" t="s">
        <v>8048</v>
      </c>
      <c r="AC98" s="96" t="s">
        <v>8049</v>
      </c>
      <c r="AD98" s="57"/>
    </row>
    <row r="99">
      <c r="A99" s="96" t="s">
        <v>3190</v>
      </c>
      <c r="B99" s="96" t="s">
        <v>3191</v>
      </c>
      <c r="C99" s="97" t="s">
        <v>3192</v>
      </c>
      <c r="D99" s="96" t="s">
        <v>3193</v>
      </c>
      <c r="E99" s="96" t="s">
        <v>3194</v>
      </c>
      <c r="F99" s="96" t="s">
        <v>3195</v>
      </c>
      <c r="G99" s="96" t="s">
        <v>3196</v>
      </c>
      <c r="H99" s="96" t="s">
        <v>3197</v>
      </c>
      <c r="I99" s="96" t="s">
        <v>3198</v>
      </c>
      <c r="J99" s="96" t="s">
        <v>3199</v>
      </c>
      <c r="K99" s="96" t="s">
        <v>3200</v>
      </c>
      <c r="L99" s="96" t="s">
        <v>3201</v>
      </c>
      <c r="M99" s="96" t="s">
        <v>3202</v>
      </c>
      <c r="N99" s="96" t="s">
        <v>3203</v>
      </c>
      <c r="O99" s="96" t="s">
        <v>15701</v>
      </c>
      <c r="P99" s="96" t="s">
        <v>3205</v>
      </c>
      <c r="Q99" s="96" t="s">
        <v>3206</v>
      </c>
      <c r="R99" s="96" t="s">
        <v>3207</v>
      </c>
      <c r="S99" s="96" t="s">
        <v>3208</v>
      </c>
      <c r="T99" s="96" t="s">
        <v>15702</v>
      </c>
      <c r="U99" s="96" t="s">
        <v>3210</v>
      </c>
      <c r="V99" s="96" t="s">
        <v>3211</v>
      </c>
      <c r="W99" s="96" t="s">
        <v>3212</v>
      </c>
      <c r="X99" s="96" t="s">
        <v>3213</v>
      </c>
      <c r="Y99" s="96" t="s">
        <v>3214</v>
      </c>
      <c r="Z99" s="96" t="s">
        <v>3215</v>
      </c>
      <c r="AA99" s="96" t="s">
        <v>15703</v>
      </c>
      <c r="AB99" s="96" t="s">
        <v>3217</v>
      </c>
      <c r="AC99" s="96" t="s">
        <v>3218</v>
      </c>
      <c r="AD99" s="57"/>
    </row>
    <row r="100">
      <c r="A100" s="96" t="s">
        <v>3219</v>
      </c>
      <c r="B100" s="96" t="s">
        <v>3220</v>
      </c>
      <c r="C100" s="97" t="s">
        <v>15704</v>
      </c>
      <c r="D100" s="96" t="s">
        <v>3222</v>
      </c>
      <c r="E100" s="96" t="s">
        <v>3223</v>
      </c>
      <c r="F100" s="96" t="s">
        <v>15705</v>
      </c>
      <c r="G100" s="96" t="s">
        <v>3225</v>
      </c>
      <c r="H100" s="96" t="s">
        <v>15706</v>
      </c>
      <c r="I100" s="96" t="s">
        <v>3227</v>
      </c>
      <c r="J100" s="96" t="s">
        <v>3228</v>
      </c>
      <c r="K100" s="96" t="s">
        <v>3229</v>
      </c>
      <c r="L100" s="96" t="s">
        <v>3230</v>
      </c>
      <c r="M100" s="96" t="s">
        <v>3225</v>
      </c>
      <c r="N100" s="96" t="s">
        <v>15707</v>
      </c>
      <c r="O100" s="96" t="s">
        <v>15708</v>
      </c>
      <c r="P100" s="96" t="s">
        <v>15709</v>
      </c>
      <c r="Q100" s="96" t="s">
        <v>3234</v>
      </c>
      <c r="R100" s="96" t="s">
        <v>15710</v>
      </c>
      <c r="S100" s="96" t="s">
        <v>15711</v>
      </c>
      <c r="T100" s="96" t="s">
        <v>15712</v>
      </c>
      <c r="U100" s="96" t="s">
        <v>3238</v>
      </c>
      <c r="V100" s="96" t="s">
        <v>3239</v>
      </c>
      <c r="W100" s="96" t="s">
        <v>3225</v>
      </c>
      <c r="X100" s="96" t="s">
        <v>3240</v>
      </c>
      <c r="Y100" s="96" t="s">
        <v>15713</v>
      </c>
      <c r="Z100" s="96" t="s">
        <v>3237</v>
      </c>
      <c r="AA100" s="96" t="s">
        <v>15714</v>
      </c>
      <c r="AB100" s="96" t="s">
        <v>15715</v>
      </c>
      <c r="AC100" s="96" t="s">
        <v>3244</v>
      </c>
      <c r="AD100" s="57"/>
    </row>
    <row r="101">
      <c r="A101" s="96" t="s">
        <v>11676</v>
      </c>
      <c r="B101" s="96" t="s">
        <v>11677</v>
      </c>
      <c r="C101" s="97" t="s">
        <v>15716</v>
      </c>
      <c r="D101" s="96" t="s">
        <v>15717</v>
      </c>
      <c r="E101" s="96" t="s">
        <v>15718</v>
      </c>
      <c r="F101" s="96" t="s">
        <v>15719</v>
      </c>
      <c r="G101" s="96" t="s">
        <v>15720</v>
      </c>
      <c r="H101" s="96" t="s">
        <v>15721</v>
      </c>
      <c r="I101" s="96" t="s">
        <v>15722</v>
      </c>
      <c r="J101" s="96" t="s">
        <v>15723</v>
      </c>
      <c r="K101" s="96" t="s">
        <v>15724</v>
      </c>
      <c r="L101" s="96" t="s">
        <v>15725</v>
      </c>
      <c r="M101" s="96" t="s">
        <v>15726</v>
      </c>
      <c r="N101" s="96" t="s">
        <v>15727</v>
      </c>
      <c r="O101" s="96" t="s">
        <v>15728</v>
      </c>
      <c r="P101" s="96" t="s">
        <v>15729</v>
      </c>
      <c r="Q101" s="96" t="s">
        <v>15730</v>
      </c>
      <c r="R101" s="96" t="s">
        <v>15731</v>
      </c>
      <c r="S101" s="96" t="s">
        <v>15732</v>
      </c>
      <c r="T101" s="96" t="s">
        <v>15733</v>
      </c>
      <c r="U101" s="96" t="s">
        <v>15734</v>
      </c>
      <c r="V101" s="96" t="s">
        <v>15735</v>
      </c>
      <c r="W101" s="96" t="s">
        <v>15736</v>
      </c>
      <c r="X101" s="96" t="s">
        <v>15737</v>
      </c>
      <c r="Y101" s="96" t="s">
        <v>15738</v>
      </c>
      <c r="Z101" s="96" t="s">
        <v>15739</v>
      </c>
      <c r="AA101" s="96" t="s">
        <v>15740</v>
      </c>
      <c r="AB101" s="96" t="s">
        <v>15741</v>
      </c>
      <c r="AC101" s="96" t="s">
        <v>15742</v>
      </c>
      <c r="AD101" s="57"/>
    </row>
    <row r="102">
      <c r="A102" s="96" t="s">
        <v>11678</v>
      </c>
      <c r="B102" s="96" t="s">
        <v>11679</v>
      </c>
      <c r="C102" s="97" t="s">
        <v>15743</v>
      </c>
      <c r="D102" s="96" t="s">
        <v>15744</v>
      </c>
      <c r="E102" s="96" t="s">
        <v>15745</v>
      </c>
      <c r="F102" s="96" t="s">
        <v>15746</v>
      </c>
      <c r="G102" s="96" t="s">
        <v>15747</v>
      </c>
      <c r="H102" s="96" t="s">
        <v>15748</v>
      </c>
      <c r="I102" s="96" t="s">
        <v>15749</v>
      </c>
      <c r="J102" s="96" t="s">
        <v>15750</v>
      </c>
      <c r="K102" s="96" t="s">
        <v>15751</v>
      </c>
      <c r="L102" s="96" t="s">
        <v>15752</v>
      </c>
      <c r="M102" s="96" t="s">
        <v>15753</v>
      </c>
      <c r="N102" s="96" t="s">
        <v>15754</v>
      </c>
      <c r="O102" s="96" t="s">
        <v>15755</v>
      </c>
      <c r="P102" s="96" t="s">
        <v>15756</v>
      </c>
      <c r="Q102" s="96" t="s">
        <v>15757</v>
      </c>
      <c r="R102" s="96" t="s">
        <v>15758</v>
      </c>
      <c r="S102" s="96" t="s">
        <v>15759</v>
      </c>
      <c r="T102" s="96" t="s">
        <v>15760</v>
      </c>
      <c r="U102" s="96" t="s">
        <v>15761</v>
      </c>
      <c r="V102" s="96" t="s">
        <v>15762</v>
      </c>
      <c r="W102" s="96" t="s">
        <v>15763</v>
      </c>
      <c r="X102" s="96" t="s">
        <v>15764</v>
      </c>
      <c r="Y102" s="96" t="s">
        <v>15765</v>
      </c>
      <c r="Z102" s="96" t="s">
        <v>15766</v>
      </c>
      <c r="AA102" s="96" t="s">
        <v>15767</v>
      </c>
      <c r="AB102" s="96" t="s">
        <v>15768</v>
      </c>
      <c r="AC102" s="96" t="s">
        <v>15769</v>
      </c>
      <c r="AD102" s="57"/>
    </row>
    <row r="103">
      <c r="A103" s="96" t="s">
        <v>11680</v>
      </c>
      <c r="B103" s="96" t="s">
        <v>11681</v>
      </c>
      <c r="C103" s="97" t="s">
        <v>15770</v>
      </c>
      <c r="D103" s="96" t="s">
        <v>15771</v>
      </c>
      <c r="E103" s="96" t="s">
        <v>15772</v>
      </c>
      <c r="F103" s="96" t="s">
        <v>15773</v>
      </c>
      <c r="G103" s="96" t="s">
        <v>15774</v>
      </c>
      <c r="H103" s="96" t="s">
        <v>15775</v>
      </c>
      <c r="I103" s="96" t="s">
        <v>15776</v>
      </c>
      <c r="J103" s="96" t="s">
        <v>15777</v>
      </c>
      <c r="K103" s="96" t="s">
        <v>15778</v>
      </c>
      <c r="L103" s="96" t="s">
        <v>15779</v>
      </c>
      <c r="M103" s="96" t="s">
        <v>15780</v>
      </c>
      <c r="N103" s="96" t="s">
        <v>15781</v>
      </c>
      <c r="O103" s="96" t="s">
        <v>15782</v>
      </c>
      <c r="P103" s="96" t="s">
        <v>15783</v>
      </c>
      <c r="Q103" s="96" t="s">
        <v>15784</v>
      </c>
      <c r="R103" s="96" t="s">
        <v>15785</v>
      </c>
      <c r="S103" s="96" t="s">
        <v>15786</v>
      </c>
      <c r="T103" s="96" t="s">
        <v>15787</v>
      </c>
      <c r="U103" s="96" t="s">
        <v>15788</v>
      </c>
      <c r="V103" s="96" t="s">
        <v>15789</v>
      </c>
      <c r="W103" s="96" t="s">
        <v>15790</v>
      </c>
      <c r="X103" s="96" t="s">
        <v>15791</v>
      </c>
      <c r="Y103" s="96" t="s">
        <v>15792</v>
      </c>
      <c r="Z103" s="96" t="s">
        <v>15793</v>
      </c>
      <c r="AA103" s="96" t="s">
        <v>15794</v>
      </c>
      <c r="AB103" s="96" t="s">
        <v>15795</v>
      </c>
      <c r="AC103" s="96" t="s">
        <v>15796</v>
      </c>
      <c r="AD103" s="57"/>
    </row>
    <row r="104">
      <c r="A104" s="96" t="s">
        <v>11682</v>
      </c>
      <c r="B104" s="96" t="s">
        <v>11683</v>
      </c>
      <c r="C104" s="97" t="s">
        <v>15797</v>
      </c>
      <c r="D104" s="96" t="s">
        <v>15798</v>
      </c>
      <c r="E104" s="96" t="s">
        <v>15799</v>
      </c>
      <c r="F104" s="96" t="s">
        <v>15800</v>
      </c>
      <c r="G104" s="96" t="s">
        <v>15801</v>
      </c>
      <c r="H104" s="96" t="s">
        <v>15802</v>
      </c>
      <c r="I104" s="96" t="s">
        <v>15803</v>
      </c>
      <c r="J104" s="96" t="s">
        <v>15804</v>
      </c>
      <c r="K104" s="96" t="s">
        <v>15805</v>
      </c>
      <c r="L104" s="96" t="s">
        <v>15806</v>
      </c>
      <c r="M104" s="96" t="s">
        <v>15807</v>
      </c>
      <c r="N104" s="96" t="s">
        <v>15808</v>
      </c>
      <c r="O104" s="96" t="s">
        <v>15809</v>
      </c>
      <c r="P104" s="96" t="s">
        <v>15810</v>
      </c>
      <c r="Q104" s="96" t="s">
        <v>15811</v>
      </c>
      <c r="R104" s="96" t="s">
        <v>15812</v>
      </c>
      <c r="S104" s="96" t="s">
        <v>15813</v>
      </c>
      <c r="T104" s="96" t="s">
        <v>15814</v>
      </c>
      <c r="U104" s="96" t="s">
        <v>15815</v>
      </c>
      <c r="V104" s="96" t="s">
        <v>15816</v>
      </c>
      <c r="W104" s="96" t="s">
        <v>15817</v>
      </c>
      <c r="X104" s="96" t="s">
        <v>15818</v>
      </c>
      <c r="Y104" s="96" t="s">
        <v>15819</v>
      </c>
      <c r="Z104" s="96" t="s">
        <v>15820</v>
      </c>
      <c r="AA104" s="96" t="s">
        <v>15821</v>
      </c>
      <c r="AB104" s="96" t="s">
        <v>15822</v>
      </c>
      <c r="AC104" s="96" t="s">
        <v>15823</v>
      </c>
      <c r="AD104" s="57"/>
    </row>
    <row r="105">
      <c r="A105" s="96" t="s">
        <v>7148</v>
      </c>
      <c r="B105" s="96" t="s">
        <v>11684</v>
      </c>
      <c r="C105" s="97" t="s">
        <v>15824</v>
      </c>
      <c r="D105" s="96" t="s">
        <v>15825</v>
      </c>
      <c r="E105" s="96" t="s">
        <v>15826</v>
      </c>
      <c r="F105" s="96" t="s">
        <v>15827</v>
      </c>
      <c r="G105" s="96" t="s">
        <v>15828</v>
      </c>
      <c r="H105" s="96" t="s">
        <v>15829</v>
      </c>
      <c r="I105" s="96" t="s">
        <v>15830</v>
      </c>
      <c r="J105" s="96" t="s">
        <v>15831</v>
      </c>
      <c r="K105" s="96" t="s">
        <v>15832</v>
      </c>
      <c r="L105" s="96" t="s">
        <v>15833</v>
      </c>
      <c r="M105" s="96" t="s">
        <v>15834</v>
      </c>
      <c r="N105" s="96" t="s">
        <v>15835</v>
      </c>
      <c r="O105" s="96" t="s">
        <v>15836</v>
      </c>
      <c r="P105" s="96" t="s">
        <v>15837</v>
      </c>
      <c r="Q105" s="96" t="s">
        <v>15838</v>
      </c>
      <c r="R105" s="96" t="s">
        <v>15839</v>
      </c>
      <c r="S105" s="96" t="s">
        <v>15840</v>
      </c>
      <c r="T105" s="96" t="s">
        <v>15841</v>
      </c>
      <c r="U105" s="96" t="s">
        <v>15842</v>
      </c>
      <c r="V105" s="96" t="s">
        <v>15843</v>
      </c>
      <c r="W105" s="96" t="s">
        <v>15844</v>
      </c>
      <c r="X105" s="96" t="s">
        <v>15845</v>
      </c>
      <c r="Y105" s="96" t="s">
        <v>15846</v>
      </c>
      <c r="Z105" s="96" t="s">
        <v>15847</v>
      </c>
      <c r="AA105" s="96" t="s">
        <v>15848</v>
      </c>
      <c r="AB105" s="96" t="s">
        <v>15849</v>
      </c>
      <c r="AC105" s="96" t="s">
        <v>15850</v>
      </c>
      <c r="AD105" s="57"/>
    </row>
    <row r="106">
      <c r="A106" s="96" t="s">
        <v>11685</v>
      </c>
      <c r="B106" s="96" t="s">
        <v>11686</v>
      </c>
      <c r="C106" s="97" t="s">
        <v>15851</v>
      </c>
      <c r="D106" s="96" t="s">
        <v>15852</v>
      </c>
      <c r="E106" s="96" t="s">
        <v>15853</v>
      </c>
      <c r="F106" s="96" t="s">
        <v>15854</v>
      </c>
      <c r="G106" s="96" t="s">
        <v>15855</v>
      </c>
      <c r="H106" s="96" t="s">
        <v>15856</v>
      </c>
      <c r="I106" s="96" t="s">
        <v>15857</v>
      </c>
      <c r="J106" s="96" t="s">
        <v>15858</v>
      </c>
      <c r="K106" s="96" t="s">
        <v>15859</v>
      </c>
      <c r="L106" s="96" t="s">
        <v>15860</v>
      </c>
      <c r="M106" s="96" t="s">
        <v>15861</v>
      </c>
      <c r="N106" s="96" t="s">
        <v>15862</v>
      </c>
      <c r="O106" s="96" t="s">
        <v>15863</v>
      </c>
      <c r="P106" s="96" t="s">
        <v>15864</v>
      </c>
      <c r="Q106" s="96" t="s">
        <v>15865</v>
      </c>
      <c r="R106" s="96" t="s">
        <v>15866</v>
      </c>
      <c r="S106" s="96" t="s">
        <v>15867</v>
      </c>
      <c r="T106" s="96" t="s">
        <v>15868</v>
      </c>
      <c r="U106" s="96" t="s">
        <v>15869</v>
      </c>
      <c r="V106" s="96" t="s">
        <v>15870</v>
      </c>
      <c r="W106" s="96" t="s">
        <v>15871</v>
      </c>
      <c r="X106" s="96" t="s">
        <v>15872</v>
      </c>
      <c r="Y106" s="96" t="s">
        <v>15873</v>
      </c>
      <c r="Z106" s="96" t="s">
        <v>15874</v>
      </c>
      <c r="AA106" s="96" t="s">
        <v>15875</v>
      </c>
      <c r="AB106" s="96" t="s">
        <v>15876</v>
      </c>
      <c r="AC106" s="96" t="s">
        <v>15877</v>
      </c>
      <c r="AD106" s="57"/>
    </row>
    <row r="107">
      <c r="A107" s="96" t="s">
        <v>11687</v>
      </c>
      <c r="B107" s="96" t="s">
        <v>11688</v>
      </c>
      <c r="C107" s="97" t="s">
        <v>15878</v>
      </c>
      <c r="D107" s="96" t="s">
        <v>15879</v>
      </c>
      <c r="E107" s="96" t="s">
        <v>15880</v>
      </c>
      <c r="F107" s="96" t="s">
        <v>15881</v>
      </c>
      <c r="G107" s="96" t="s">
        <v>15882</v>
      </c>
      <c r="H107" s="96" t="s">
        <v>15883</v>
      </c>
      <c r="I107" s="96" t="s">
        <v>15884</v>
      </c>
      <c r="J107" s="96" t="s">
        <v>15885</v>
      </c>
      <c r="K107" s="96" t="s">
        <v>15886</v>
      </c>
      <c r="L107" s="96" t="s">
        <v>15887</v>
      </c>
      <c r="M107" s="96" t="s">
        <v>15888</v>
      </c>
      <c r="N107" s="96" t="s">
        <v>15889</v>
      </c>
      <c r="O107" s="96" t="s">
        <v>15890</v>
      </c>
      <c r="P107" s="96" t="s">
        <v>15891</v>
      </c>
      <c r="Q107" s="96" t="s">
        <v>15892</v>
      </c>
      <c r="R107" s="96" t="s">
        <v>15893</v>
      </c>
      <c r="S107" s="96" t="s">
        <v>15894</v>
      </c>
      <c r="T107" s="96" t="s">
        <v>15895</v>
      </c>
      <c r="U107" s="96" t="s">
        <v>15896</v>
      </c>
      <c r="V107" s="96" t="s">
        <v>15897</v>
      </c>
      <c r="W107" s="96" t="s">
        <v>15898</v>
      </c>
      <c r="X107" s="96" t="s">
        <v>15899</v>
      </c>
      <c r="Y107" s="96" t="s">
        <v>15900</v>
      </c>
      <c r="Z107" s="96" t="s">
        <v>15901</v>
      </c>
      <c r="AA107" s="96" t="s">
        <v>15902</v>
      </c>
      <c r="AB107" s="96" t="s">
        <v>15903</v>
      </c>
      <c r="AC107" s="96" t="s">
        <v>15904</v>
      </c>
      <c r="AD107" s="57"/>
    </row>
    <row r="108">
      <c r="A108" s="96" t="s">
        <v>11689</v>
      </c>
      <c r="B108" s="96" t="s">
        <v>11690</v>
      </c>
      <c r="C108" s="97" t="s">
        <v>15905</v>
      </c>
      <c r="D108" s="96" t="s">
        <v>15906</v>
      </c>
      <c r="E108" s="96" t="s">
        <v>15907</v>
      </c>
      <c r="F108" s="96" t="s">
        <v>15908</v>
      </c>
      <c r="G108" s="96" t="s">
        <v>15909</v>
      </c>
      <c r="H108" s="96" t="s">
        <v>15910</v>
      </c>
      <c r="I108" s="96" t="s">
        <v>15911</v>
      </c>
      <c r="J108" s="96" t="s">
        <v>15912</v>
      </c>
      <c r="K108" s="96" t="s">
        <v>15913</v>
      </c>
      <c r="L108" s="96" t="s">
        <v>15914</v>
      </c>
      <c r="M108" s="96" t="s">
        <v>15915</v>
      </c>
      <c r="N108" s="96" t="s">
        <v>15916</v>
      </c>
      <c r="O108" s="96" t="s">
        <v>15917</v>
      </c>
      <c r="P108" s="96" t="s">
        <v>15918</v>
      </c>
      <c r="Q108" s="96" t="s">
        <v>15919</v>
      </c>
      <c r="R108" s="96" t="s">
        <v>15920</v>
      </c>
      <c r="S108" s="96" t="s">
        <v>15921</v>
      </c>
      <c r="T108" s="96" t="s">
        <v>15922</v>
      </c>
      <c r="U108" s="96" t="s">
        <v>15923</v>
      </c>
      <c r="V108" s="96" t="s">
        <v>15924</v>
      </c>
      <c r="W108" s="96" t="s">
        <v>15925</v>
      </c>
      <c r="X108" s="96" t="s">
        <v>15926</v>
      </c>
      <c r="Y108" s="96" t="s">
        <v>15927</v>
      </c>
      <c r="Z108" s="96" t="s">
        <v>15928</v>
      </c>
      <c r="AA108" s="96" t="s">
        <v>15929</v>
      </c>
      <c r="AB108" s="96" t="s">
        <v>15930</v>
      </c>
      <c r="AC108" s="96" t="s">
        <v>15931</v>
      </c>
      <c r="AD108" s="57"/>
    </row>
    <row r="109">
      <c r="A109" s="96" t="s">
        <v>11691</v>
      </c>
      <c r="B109" s="96" t="s">
        <v>11692</v>
      </c>
      <c r="C109" s="97" t="s">
        <v>15932</v>
      </c>
      <c r="D109" s="96" t="s">
        <v>15933</v>
      </c>
      <c r="E109" s="96" t="s">
        <v>15934</v>
      </c>
      <c r="F109" s="96" t="s">
        <v>15935</v>
      </c>
      <c r="G109" s="96" t="s">
        <v>15936</v>
      </c>
      <c r="H109" s="96" t="s">
        <v>15937</v>
      </c>
      <c r="I109" s="96" t="s">
        <v>15938</v>
      </c>
      <c r="J109" s="96" t="s">
        <v>15939</v>
      </c>
      <c r="K109" s="96" t="s">
        <v>15940</v>
      </c>
      <c r="L109" s="96" t="s">
        <v>15941</v>
      </c>
      <c r="M109" s="96" t="s">
        <v>15942</v>
      </c>
      <c r="N109" s="96" t="s">
        <v>15943</v>
      </c>
      <c r="O109" s="96" t="s">
        <v>15944</v>
      </c>
      <c r="P109" s="96" t="s">
        <v>15945</v>
      </c>
      <c r="Q109" s="96" t="s">
        <v>15946</v>
      </c>
      <c r="R109" s="96" t="s">
        <v>15947</v>
      </c>
      <c r="S109" s="96" t="s">
        <v>15948</v>
      </c>
      <c r="T109" s="96" t="s">
        <v>15941</v>
      </c>
      <c r="U109" s="96" t="s">
        <v>15949</v>
      </c>
      <c r="V109" s="96" t="s">
        <v>15950</v>
      </c>
      <c r="W109" s="96" t="s">
        <v>15951</v>
      </c>
      <c r="X109" s="96" t="s">
        <v>15952</v>
      </c>
      <c r="Y109" s="96" t="s">
        <v>15953</v>
      </c>
      <c r="Z109" s="96" t="s">
        <v>15954</v>
      </c>
      <c r="AA109" s="96" t="s">
        <v>15955</v>
      </c>
      <c r="AB109" s="96" t="s">
        <v>15956</v>
      </c>
      <c r="AC109" s="96" t="s">
        <v>15957</v>
      </c>
      <c r="AD109" s="57"/>
    </row>
    <row r="110">
      <c r="A110" s="96" t="s">
        <v>11693</v>
      </c>
      <c r="B110" s="96" t="s">
        <v>11694</v>
      </c>
      <c r="C110" s="97" t="s">
        <v>15958</v>
      </c>
      <c r="D110" s="96" t="s">
        <v>15959</v>
      </c>
      <c r="E110" s="96" t="s">
        <v>15960</v>
      </c>
      <c r="F110" s="96" t="s">
        <v>15961</v>
      </c>
      <c r="G110" s="96" t="s">
        <v>15962</v>
      </c>
      <c r="H110" s="96" t="s">
        <v>15963</v>
      </c>
      <c r="I110" s="96" t="s">
        <v>15964</v>
      </c>
      <c r="J110" s="96" t="s">
        <v>15965</v>
      </c>
      <c r="K110" s="96" t="s">
        <v>15966</v>
      </c>
      <c r="L110" s="96" t="s">
        <v>15967</v>
      </c>
      <c r="M110" s="96" t="s">
        <v>15968</v>
      </c>
      <c r="N110" s="96" t="s">
        <v>15969</v>
      </c>
      <c r="O110" s="96" t="s">
        <v>15970</v>
      </c>
      <c r="P110" s="96" t="s">
        <v>15971</v>
      </c>
      <c r="Q110" s="96" t="s">
        <v>15972</v>
      </c>
      <c r="R110" s="96" t="s">
        <v>15973</v>
      </c>
      <c r="S110" s="96" t="s">
        <v>15974</v>
      </c>
      <c r="T110" s="96" t="s">
        <v>15975</v>
      </c>
      <c r="U110" s="96" t="s">
        <v>15976</v>
      </c>
      <c r="V110" s="96" t="s">
        <v>15977</v>
      </c>
      <c r="W110" s="96" t="s">
        <v>15978</v>
      </c>
      <c r="X110" s="96" t="s">
        <v>15979</v>
      </c>
      <c r="Y110" s="96" t="s">
        <v>15980</v>
      </c>
      <c r="Z110" s="96" t="s">
        <v>15981</v>
      </c>
      <c r="AA110" s="96" t="s">
        <v>15982</v>
      </c>
      <c r="AB110" s="96" t="s">
        <v>15983</v>
      </c>
      <c r="AC110" s="96" t="s">
        <v>15984</v>
      </c>
      <c r="AD110" s="57"/>
    </row>
    <row r="111">
      <c r="A111" s="96" t="s">
        <v>11695</v>
      </c>
      <c r="B111" s="96" t="s">
        <v>11696</v>
      </c>
      <c r="C111" s="97" t="s">
        <v>15985</v>
      </c>
      <c r="D111" s="96" t="s">
        <v>15986</v>
      </c>
      <c r="E111" s="96" t="s">
        <v>15987</v>
      </c>
      <c r="F111" s="96" t="s">
        <v>15988</v>
      </c>
      <c r="G111" s="96" t="s">
        <v>15989</v>
      </c>
      <c r="H111" s="96" t="s">
        <v>15990</v>
      </c>
      <c r="I111" s="96" t="s">
        <v>15991</v>
      </c>
      <c r="J111" s="96" t="s">
        <v>15992</v>
      </c>
      <c r="K111" s="96" t="s">
        <v>15993</v>
      </c>
      <c r="L111" s="96" t="s">
        <v>15994</v>
      </c>
      <c r="M111" s="96" t="s">
        <v>15995</v>
      </c>
      <c r="N111" s="96" t="s">
        <v>15996</v>
      </c>
      <c r="O111" s="96" t="s">
        <v>15997</v>
      </c>
      <c r="P111" s="96" t="s">
        <v>15998</v>
      </c>
      <c r="Q111" s="96" t="s">
        <v>15999</v>
      </c>
      <c r="R111" s="96" t="s">
        <v>16000</v>
      </c>
      <c r="S111" s="96" t="s">
        <v>16001</v>
      </c>
      <c r="T111" s="96" t="s">
        <v>15994</v>
      </c>
      <c r="U111" s="96" t="s">
        <v>16002</v>
      </c>
      <c r="V111" s="96" t="s">
        <v>16003</v>
      </c>
      <c r="W111" s="96" t="s">
        <v>16004</v>
      </c>
      <c r="X111" s="96" t="s">
        <v>16005</v>
      </c>
      <c r="Y111" s="96" t="s">
        <v>16006</v>
      </c>
      <c r="Z111" s="96" t="s">
        <v>16007</v>
      </c>
      <c r="AA111" s="96" t="s">
        <v>16008</v>
      </c>
      <c r="AB111" s="96" t="s">
        <v>16009</v>
      </c>
      <c r="AC111" s="96" t="s">
        <v>16010</v>
      </c>
      <c r="AD111" s="57"/>
    </row>
    <row r="112">
      <c r="A112" s="96" t="s">
        <v>11697</v>
      </c>
      <c r="B112" s="96" t="s">
        <v>11698</v>
      </c>
      <c r="C112" s="97" t="s">
        <v>16011</v>
      </c>
      <c r="D112" s="96" t="s">
        <v>16012</v>
      </c>
      <c r="E112" s="96" t="s">
        <v>16013</v>
      </c>
      <c r="F112" s="96" t="s">
        <v>16014</v>
      </c>
      <c r="G112" s="96" t="s">
        <v>16015</v>
      </c>
      <c r="H112" s="96" t="s">
        <v>16016</v>
      </c>
      <c r="I112" s="96" t="s">
        <v>16017</v>
      </c>
      <c r="J112" s="96" t="s">
        <v>16018</v>
      </c>
      <c r="K112" s="96" t="s">
        <v>16019</v>
      </c>
      <c r="L112" s="96" t="s">
        <v>16020</v>
      </c>
      <c r="M112" s="96" t="s">
        <v>16021</v>
      </c>
      <c r="N112" s="96" t="s">
        <v>16022</v>
      </c>
      <c r="O112" s="96" t="s">
        <v>16023</v>
      </c>
      <c r="P112" s="96" t="s">
        <v>16024</v>
      </c>
      <c r="Q112" s="96" t="s">
        <v>16025</v>
      </c>
      <c r="R112" s="96" t="s">
        <v>16026</v>
      </c>
      <c r="S112" s="96" t="s">
        <v>16027</v>
      </c>
      <c r="T112" s="96" t="s">
        <v>16028</v>
      </c>
      <c r="U112" s="96" t="s">
        <v>16029</v>
      </c>
      <c r="V112" s="96" t="s">
        <v>16030</v>
      </c>
      <c r="W112" s="96" t="s">
        <v>16031</v>
      </c>
      <c r="X112" s="96" t="s">
        <v>16032</v>
      </c>
      <c r="Y112" s="96" t="s">
        <v>16033</v>
      </c>
      <c r="Z112" s="96" t="s">
        <v>16034</v>
      </c>
      <c r="AA112" s="96" t="s">
        <v>16035</v>
      </c>
      <c r="AB112" s="96" t="s">
        <v>16036</v>
      </c>
      <c r="AC112" s="96" t="s">
        <v>16037</v>
      </c>
      <c r="AD112" s="57"/>
    </row>
    <row r="113">
      <c r="A113" s="96" t="s">
        <v>11699</v>
      </c>
      <c r="B113" s="96" t="s">
        <v>11700</v>
      </c>
      <c r="C113" s="97" t="s">
        <v>16038</v>
      </c>
      <c r="D113" s="96" t="s">
        <v>16039</v>
      </c>
      <c r="E113" s="96" t="s">
        <v>16040</v>
      </c>
      <c r="F113" s="96" t="s">
        <v>16041</v>
      </c>
      <c r="G113" s="96" t="s">
        <v>16042</v>
      </c>
      <c r="H113" s="96" t="s">
        <v>16043</v>
      </c>
      <c r="I113" s="96" t="s">
        <v>16044</v>
      </c>
      <c r="J113" s="96" t="s">
        <v>16045</v>
      </c>
      <c r="K113" s="96" t="s">
        <v>16046</v>
      </c>
      <c r="L113" s="96" t="s">
        <v>16047</v>
      </c>
      <c r="M113" s="96" t="s">
        <v>16048</v>
      </c>
      <c r="N113" s="96" t="s">
        <v>16049</v>
      </c>
      <c r="O113" s="96" t="s">
        <v>16050</v>
      </c>
      <c r="P113" s="96" t="s">
        <v>16051</v>
      </c>
      <c r="Q113" s="96" t="s">
        <v>16052</v>
      </c>
      <c r="R113" s="96" t="s">
        <v>16053</v>
      </c>
      <c r="S113" s="96" t="s">
        <v>16054</v>
      </c>
      <c r="T113" s="96" t="s">
        <v>16055</v>
      </c>
      <c r="U113" s="96" t="s">
        <v>16056</v>
      </c>
      <c r="V113" s="96" t="s">
        <v>16057</v>
      </c>
      <c r="W113" s="96" t="s">
        <v>16058</v>
      </c>
      <c r="X113" s="96" t="s">
        <v>16059</v>
      </c>
      <c r="Y113" s="96" t="s">
        <v>16060</v>
      </c>
      <c r="Z113" s="96" t="s">
        <v>16061</v>
      </c>
      <c r="AA113" s="96" t="s">
        <v>16062</v>
      </c>
      <c r="AB113" s="96" t="s">
        <v>16063</v>
      </c>
      <c r="AC113" s="96" t="s">
        <v>16064</v>
      </c>
      <c r="AD113" s="57"/>
    </row>
    <row r="114">
      <c r="A114" s="96" t="s">
        <v>11701</v>
      </c>
      <c r="B114" s="96" t="s">
        <v>11702</v>
      </c>
      <c r="C114" s="97" t="s">
        <v>16065</v>
      </c>
      <c r="D114" s="96" t="s">
        <v>16066</v>
      </c>
      <c r="E114" s="96" t="s">
        <v>16067</v>
      </c>
      <c r="F114" s="96" t="s">
        <v>16068</v>
      </c>
      <c r="G114" s="96" t="s">
        <v>16069</v>
      </c>
      <c r="H114" s="96" t="s">
        <v>16070</v>
      </c>
      <c r="I114" s="96" t="s">
        <v>16071</v>
      </c>
      <c r="J114" s="96" t="s">
        <v>16072</v>
      </c>
      <c r="K114" s="96" t="s">
        <v>16073</v>
      </c>
      <c r="L114" s="96" t="s">
        <v>16074</v>
      </c>
      <c r="M114" s="96" t="s">
        <v>16075</v>
      </c>
      <c r="N114" s="96" t="s">
        <v>16076</v>
      </c>
      <c r="O114" s="96" t="s">
        <v>16077</v>
      </c>
      <c r="P114" s="96" t="s">
        <v>16078</v>
      </c>
      <c r="Q114" s="96" t="s">
        <v>16079</v>
      </c>
      <c r="R114" s="96" t="s">
        <v>16080</v>
      </c>
      <c r="S114" s="96" t="s">
        <v>16081</v>
      </c>
      <c r="T114" s="96" t="s">
        <v>16082</v>
      </c>
      <c r="U114" s="96" t="s">
        <v>16083</v>
      </c>
      <c r="V114" s="96" t="s">
        <v>16084</v>
      </c>
      <c r="W114" s="96" t="s">
        <v>16085</v>
      </c>
      <c r="X114" s="96" t="s">
        <v>16086</v>
      </c>
      <c r="Y114" s="96" t="s">
        <v>16087</v>
      </c>
      <c r="Z114" s="96" t="s">
        <v>16088</v>
      </c>
      <c r="AA114" s="96" t="s">
        <v>16089</v>
      </c>
      <c r="AB114" s="96" t="s">
        <v>16090</v>
      </c>
      <c r="AC114" s="96" t="s">
        <v>16091</v>
      </c>
      <c r="AD114" s="57"/>
    </row>
    <row r="115">
      <c r="A115" s="96" t="s">
        <v>2647</v>
      </c>
      <c r="B115" s="96" t="s">
        <v>2648</v>
      </c>
      <c r="C115" s="97" t="s">
        <v>2649</v>
      </c>
      <c r="D115" s="96" t="s">
        <v>2650</v>
      </c>
      <c r="E115" s="96" t="s">
        <v>2651</v>
      </c>
      <c r="F115" s="96" t="s">
        <v>2652</v>
      </c>
      <c r="G115" s="96" t="s">
        <v>2653</v>
      </c>
      <c r="H115" s="96" t="s">
        <v>2654</v>
      </c>
      <c r="I115" s="96" t="s">
        <v>2655</v>
      </c>
      <c r="J115" s="96" t="s">
        <v>2656</v>
      </c>
      <c r="K115" s="96" t="s">
        <v>2657</v>
      </c>
      <c r="L115" s="96" t="s">
        <v>2658</v>
      </c>
      <c r="M115" s="96" t="s">
        <v>2648</v>
      </c>
      <c r="N115" s="96" t="s">
        <v>2659</v>
      </c>
      <c r="O115" s="96" t="s">
        <v>10385</v>
      </c>
      <c r="P115" s="96" t="s">
        <v>2661</v>
      </c>
      <c r="Q115" s="96" t="s">
        <v>2662</v>
      </c>
      <c r="R115" s="96" t="s">
        <v>2663</v>
      </c>
      <c r="S115" s="96" t="s">
        <v>2664</v>
      </c>
      <c r="T115" s="96" t="s">
        <v>2665</v>
      </c>
      <c r="U115" s="96" t="s">
        <v>2648</v>
      </c>
      <c r="V115" s="96" t="s">
        <v>2666</v>
      </c>
      <c r="W115" s="96" t="s">
        <v>2667</v>
      </c>
      <c r="X115" s="96" t="s">
        <v>2668</v>
      </c>
      <c r="Y115" s="96" t="s">
        <v>2669</v>
      </c>
      <c r="Z115" s="96" t="s">
        <v>2670</v>
      </c>
      <c r="AA115" s="96" t="s">
        <v>10386</v>
      </c>
      <c r="AB115" s="96" t="s">
        <v>2672</v>
      </c>
      <c r="AC115" s="96" t="s">
        <v>10919</v>
      </c>
      <c r="AD115" s="57"/>
    </row>
    <row r="116">
      <c r="A116" s="96" t="s">
        <v>10128</v>
      </c>
      <c r="B116" s="96" t="s">
        <v>2733</v>
      </c>
      <c r="C116" s="97" t="s">
        <v>2734</v>
      </c>
      <c r="D116" s="96" t="s">
        <v>2735</v>
      </c>
      <c r="E116" s="96" t="s">
        <v>2736</v>
      </c>
      <c r="F116" s="96" t="s">
        <v>10129</v>
      </c>
      <c r="G116" s="96" t="s">
        <v>2738</v>
      </c>
      <c r="H116" s="96" t="s">
        <v>2739</v>
      </c>
      <c r="I116" s="96" t="s">
        <v>2740</v>
      </c>
      <c r="J116" s="96" t="s">
        <v>2741</v>
      </c>
      <c r="K116" s="96" t="s">
        <v>2742</v>
      </c>
      <c r="L116" s="96" t="s">
        <v>2743</v>
      </c>
      <c r="M116" s="96" t="s">
        <v>2744</v>
      </c>
      <c r="N116" s="96" t="s">
        <v>2745</v>
      </c>
      <c r="O116" s="96" t="s">
        <v>2746</v>
      </c>
      <c r="P116" s="96" t="s">
        <v>2747</v>
      </c>
      <c r="Q116" s="96" t="s">
        <v>2748</v>
      </c>
      <c r="R116" s="96" t="s">
        <v>2749</v>
      </c>
      <c r="S116" s="96" t="s">
        <v>2750</v>
      </c>
      <c r="T116" s="96" t="s">
        <v>2751</v>
      </c>
      <c r="U116" s="96" t="s">
        <v>2752</v>
      </c>
      <c r="V116" s="96" t="s">
        <v>2753</v>
      </c>
      <c r="W116" s="96" t="s">
        <v>2754</v>
      </c>
      <c r="X116" s="96" t="s">
        <v>2755</v>
      </c>
      <c r="Y116" s="96" t="s">
        <v>2756</v>
      </c>
      <c r="Z116" s="96" t="s">
        <v>2757</v>
      </c>
      <c r="AA116" s="96" t="s">
        <v>2758</v>
      </c>
      <c r="AB116" s="96" t="s">
        <v>2759</v>
      </c>
      <c r="AC116" s="96" t="s">
        <v>2760</v>
      </c>
      <c r="AD116" s="57"/>
    </row>
    <row r="117">
      <c r="A117" s="96" t="s">
        <v>10130</v>
      </c>
      <c r="B117" s="96" t="s">
        <v>2704</v>
      </c>
      <c r="C117" s="97" t="s">
        <v>2705</v>
      </c>
      <c r="D117" s="96" t="s">
        <v>2706</v>
      </c>
      <c r="E117" s="96" t="s">
        <v>2707</v>
      </c>
      <c r="F117" s="96" t="s">
        <v>2708</v>
      </c>
      <c r="G117" s="96" t="s">
        <v>2709</v>
      </c>
      <c r="H117" s="96" t="s">
        <v>2710</v>
      </c>
      <c r="I117" s="96" t="s">
        <v>2711</v>
      </c>
      <c r="J117" s="96" t="s">
        <v>2712</v>
      </c>
      <c r="K117" s="96" t="s">
        <v>2713</v>
      </c>
      <c r="L117" s="96" t="s">
        <v>2714</v>
      </c>
      <c r="M117" s="96" t="s">
        <v>2715</v>
      </c>
      <c r="N117" s="96" t="s">
        <v>2716</v>
      </c>
      <c r="O117" s="96" t="s">
        <v>10131</v>
      </c>
      <c r="P117" s="96" t="s">
        <v>2718</v>
      </c>
      <c r="Q117" s="96" t="s">
        <v>10132</v>
      </c>
      <c r="R117" s="96" t="s">
        <v>2720</v>
      </c>
      <c r="S117" s="96" t="s">
        <v>2721</v>
      </c>
      <c r="T117" s="96" t="s">
        <v>2722</v>
      </c>
      <c r="U117" s="96" t="s">
        <v>2723</v>
      </c>
      <c r="V117" s="96" t="s">
        <v>2724</v>
      </c>
      <c r="W117" s="96" t="s">
        <v>2725</v>
      </c>
      <c r="X117" s="96" t="s">
        <v>2726</v>
      </c>
      <c r="Y117" s="96" t="s">
        <v>2727</v>
      </c>
      <c r="Z117" s="96" t="s">
        <v>2728</v>
      </c>
      <c r="AA117" s="96" t="s">
        <v>2729</v>
      </c>
      <c r="AB117" s="96" t="s">
        <v>2730</v>
      </c>
      <c r="AC117" s="96" t="s">
        <v>2731</v>
      </c>
      <c r="AD117" s="57"/>
    </row>
    <row r="118">
      <c r="A118" s="96" t="s">
        <v>10320</v>
      </c>
      <c r="B118" s="96" t="s">
        <v>10321</v>
      </c>
      <c r="C118" s="97" t="s">
        <v>10322</v>
      </c>
      <c r="D118" s="96" t="s">
        <v>10323</v>
      </c>
      <c r="E118" s="96" t="s">
        <v>10324</v>
      </c>
      <c r="F118" s="96" t="s">
        <v>10325</v>
      </c>
      <c r="G118" s="96" t="s">
        <v>10326</v>
      </c>
      <c r="H118" s="96" t="s">
        <v>10327</v>
      </c>
      <c r="I118" s="96" t="s">
        <v>10328</v>
      </c>
      <c r="J118" s="96" t="s">
        <v>10329</v>
      </c>
      <c r="K118" s="96" t="s">
        <v>10330</v>
      </c>
      <c r="L118" s="96" t="s">
        <v>10331</v>
      </c>
      <c r="M118" s="96" t="s">
        <v>10332</v>
      </c>
      <c r="N118" s="96" t="s">
        <v>10333</v>
      </c>
      <c r="O118" s="96" t="s">
        <v>10334</v>
      </c>
      <c r="P118" s="96" t="s">
        <v>10335</v>
      </c>
      <c r="Q118" s="96" t="s">
        <v>10336</v>
      </c>
      <c r="R118" s="96" t="s">
        <v>10337</v>
      </c>
      <c r="S118" s="96" t="s">
        <v>10338</v>
      </c>
      <c r="T118" s="96" t="s">
        <v>10339</v>
      </c>
      <c r="U118" s="96" t="s">
        <v>10340</v>
      </c>
      <c r="V118" s="96" t="s">
        <v>10341</v>
      </c>
      <c r="W118" s="96" t="s">
        <v>10342</v>
      </c>
      <c r="X118" s="96" t="s">
        <v>10343</v>
      </c>
      <c r="Y118" s="96" t="s">
        <v>10344</v>
      </c>
      <c r="Z118" s="96" t="s">
        <v>10345</v>
      </c>
      <c r="AA118" s="96" t="s">
        <v>10346</v>
      </c>
      <c r="AB118" s="96" t="s">
        <v>10347</v>
      </c>
      <c r="AC118" s="96" t="s">
        <v>10348</v>
      </c>
      <c r="AD118" s="57"/>
    </row>
    <row r="119">
      <c r="A119" s="96" t="s">
        <v>10349</v>
      </c>
      <c r="B119" s="96" t="s">
        <v>10350</v>
      </c>
      <c r="C119" s="97" t="s">
        <v>16092</v>
      </c>
      <c r="D119" s="96" t="s">
        <v>16093</v>
      </c>
      <c r="E119" s="96" t="s">
        <v>16094</v>
      </c>
      <c r="F119" s="96" t="s">
        <v>16095</v>
      </c>
      <c r="G119" s="96" t="s">
        <v>16096</v>
      </c>
      <c r="H119" s="96" t="s">
        <v>16097</v>
      </c>
      <c r="I119" s="96" t="s">
        <v>16098</v>
      </c>
      <c r="J119" s="96" t="s">
        <v>16099</v>
      </c>
      <c r="K119" s="96" t="s">
        <v>16100</v>
      </c>
      <c r="L119" s="96" t="s">
        <v>10360</v>
      </c>
      <c r="M119" s="96" t="s">
        <v>16101</v>
      </c>
      <c r="N119" s="96" t="s">
        <v>16102</v>
      </c>
      <c r="O119" s="96" t="s">
        <v>16103</v>
      </c>
      <c r="P119" s="96" t="s">
        <v>16104</v>
      </c>
      <c r="Q119" s="96" t="s">
        <v>16105</v>
      </c>
      <c r="R119" s="96" t="s">
        <v>10366</v>
      </c>
      <c r="S119" s="96" t="s">
        <v>16106</v>
      </c>
      <c r="T119" s="96" t="s">
        <v>16107</v>
      </c>
      <c r="U119" s="96" t="s">
        <v>16108</v>
      </c>
      <c r="V119" s="96" t="s">
        <v>16109</v>
      </c>
      <c r="W119" s="96" t="s">
        <v>16110</v>
      </c>
      <c r="X119" s="96" t="s">
        <v>16111</v>
      </c>
      <c r="Y119" s="96" t="s">
        <v>16112</v>
      </c>
      <c r="Z119" s="96" t="s">
        <v>16113</v>
      </c>
      <c r="AA119" s="96" t="s">
        <v>16114</v>
      </c>
      <c r="AB119" s="96" t="s">
        <v>16115</v>
      </c>
      <c r="AC119" s="96" t="s">
        <v>16116</v>
      </c>
      <c r="AD119" s="57"/>
    </row>
    <row r="120">
      <c r="A120" s="96" t="s">
        <v>10378</v>
      </c>
      <c r="B120" s="96" t="s">
        <v>9110</v>
      </c>
      <c r="C120" s="97" t="s">
        <v>6050</v>
      </c>
      <c r="D120" s="96" t="s">
        <v>9111</v>
      </c>
      <c r="E120" s="96" t="s">
        <v>9110</v>
      </c>
      <c r="F120" s="96" t="s">
        <v>9112</v>
      </c>
      <c r="G120" s="96" t="s">
        <v>9113</v>
      </c>
      <c r="H120" s="96" t="s">
        <v>10379</v>
      </c>
      <c r="I120" s="96" t="s">
        <v>9110</v>
      </c>
      <c r="J120" s="96" t="s">
        <v>9116</v>
      </c>
      <c r="K120" s="96" t="s">
        <v>9117</v>
      </c>
      <c r="L120" s="96" t="s">
        <v>9118</v>
      </c>
      <c r="M120" s="96" t="s">
        <v>9119</v>
      </c>
      <c r="N120" s="96" t="s">
        <v>9120</v>
      </c>
      <c r="O120" s="96" t="s">
        <v>10380</v>
      </c>
      <c r="P120" s="96" t="s">
        <v>9122</v>
      </c>
      <c r="Q120" s="96" t="s">
        <v>9123</v>
      </c>
      <c r="R120" s="96" t="s">
        <v>9124</v>
      </c>
      <c r="S120" s="96" t="s">
        <v>10381</v>
      </c>
      <c r="T120" s="96" t="s">
        <v>9126</v>
      </c>
      <c r="U120" s="96" t="s">
        <v>9127</v>
      </c>
      <c r="V120" s="96" t="s">
        <v>9128</v>
      </c>
      <c r="W120" s="96" t="s">
        <v>9129</v>
      </c>
      <c r="X120" s="96" t="s">
        <v>9130</v>
      </c>
      <c r="Y120" s="96" t="s">
        <v>9131</v>
      </c>
      <c r="Z120" s="96" t="s">
        <v>9132</v>
      </c>
      <c r="AA120" s="96" t="s">
        <v>10382</v>
      </c>
      <c r="AB120" s="96" t="s">
        <v>9134</v>
      </c>
      <c r="AC120" s="96" t="s">
        <v>9135</v>
      </c>
      <c r="AD120" s="57"/>
    </row>
    <row r="121">
      <c r="A121" s="96" t="s">
        <v>10383</v>
      </c>
      <c r="B121" s="96" t="s">
        <v>109</v>
      </c>
      <c r="C121" s="97" t="s">
        <v>110</v>
      </c>
      <c r="D121" s="96" t="s">
        <v>111</v>
      </c>
      <c r="E121" s="96" t="s">
        <v>112</v>
      </c>
      <c r="F121" s="96" t="s">
        <v>113</v>
      </c>
      <c r="G121" s="96" t="s">
        <v>114</v>
      </c>
      <c r="H121" s="96" t="s">
        <v>10036</v>
      </c>
      <c r="I121" s="96" t="s">
        <v>116</v>
      </c>
      <c r="J121" s="96" t="s">
        <v>117</v>
      </c>
      <c r="K121" s="96" t="s">
        <v>118</v>
      </c>
      <c r="L121" s="96" t="s">
        <v>119</v>
      </c>
      <c r="M121" s="96" t="s">
        <v>120</v>
      </c>
      <c r="N121" s="96" t="s">
        <v>121</v>
      </c>
      <c r="O121" s="96" t="s">
        <v>10037</v>
      </c>
      <c r="P121" s="96" t="s">
        <v>10038</v>
      </c>
      <c r="Q121" s="96" t="s">
        <v>124</v>
      </c>
      <c r="R121" s="96" t="s">
        <v>125</v>
      </c>
      <c r="S121" s="96" t="s">
        <v>126</v>
      </c>
      <c r="T121" s="96" t="s">
        <v>10039</v>
      </c>
      <c r="U121" s="96" t="s">
        <v>128</v>
      </c>
      <c r="V121" s="96" t="s">
        <v>129</v>
      </c>
      <c r="W121" s="96" t="s">
        <v>114</v>
      </c>
      <c r="X121" s="96" t="s">
        <v>130</v>
      </c>
      <c r="Y121" s="96" t="s">
        <v>131</v>
      </c>
      <c r="Z121" s="96" t="s">
        <v>132</v>
      </c>
      <c r="AA121" s="96" t="s">
        <v>133</v>
      </c>
      <c r="AB121" s="96" t="s">
        <v>134</v>
      </c>
      <c r="AC121" s="96" t="s">
        <v>135</v>
      </c>
      <c r="AD121" s="57"/>
    </row>
    <row r="122">
      <c r="A122" s="96" t="s">
        <v>10384</v>
      </c>
      <c r="B122" s="96" t="s">
        <v>2648</v>
      </c>
      <c r="C122" s="97" t="s">
        <v>2649</v>
      </c>
      <c r="D122" s="96" t="s">
        <v>2650</v>
      </c>
      <c r="E122" s="96" t="s">
        <v>2651</v>
      </c>
      <c r="F122" s="96" t="s">
        <v>2652</v>
      </c>
      <c r="G122" s="96" t="s">
        <v>2653</v>
      </c>
      <c r="H122" s="96" t="s">
        <v>2654</v>
      </c>
      <c r="I122" s="96" t="s">
        <v>2655</v>
      </c>
      <c r="J122" s="96" t="s">
        <v>2656</v>
      </c>
      <c r="K122" s="96" t="s">
        <v>2657</v>
      </c>
      <c r="L122" s="96" t="s">
        <v>2658</v>
      </c>
      <c r="M122" s="96" t="s">
        <v>2648</v>
      </c>
      <c r="N122" s="96" t="s">
        <v>2659</v>
      </c>
      <c r="O122" s="96" t="s">
        <v>10385</v>
      </c>
      <c r="P122" s="96" t="s">
        <v>2661</v>
      </c>
      <c r="Q122" s="96" t="s">
        <v>2662</v>
      </c>
      <c r="R122" s="96" t="s">
        <v>2663</v>
      </c>
      <c r="S122" s="96" t="s">
        <v>2664</v>
      </c>
      <c r="T122" s="96" t="s">
        <v>2665</v>
      </c>
      <c r="U122" s="96" t="s">
        <v>2648</v>
      </c>
      <c r="V122" s="96" t="s">
        <v>2666</v>
      </c>
      <c r="W122" s="96" t="s">
        <v>2667</v>
      </c>
      <c r="X122" s="96" t="s">
        <v>2668</v>
      </c>
      <c r="Y122" s="96" t="s">
        <v>2669</v>
      </c>
      <c r="Z122" s="96" t="s">
        <v>2670</v>
      </c>
      <c r="AA122" s="96" t="s">
        <v>10386</v>
      </c>
      <c r="AB122" s="96" t="s">
        <v>2672</v>
      </c>
      <c r="AC122" s="96" t="s">
        <v>10919</v>
      </c>
      <c r="AD122" s="57"/>
    </row>
    <row r="123">
      <c r="A123" s="96" t="s">
        <v>10387</v>
      </c>
      <c r="B123" s="96" t="s">
        <v>10388</v>
      </c>
      <c r="C123" s="97" t="s">
        <v>16117</v>
      </c>
      <c r="D123" s="96" t="s">
        <v>10390</v>
      </c>
      <c r="E123" s="96" t="s">
        <v>10391</v>
      </c>
      <c r="F123" s="96" t="s">
        <v>10392</v>
      </c>
      <c r="G123" s="96" t="s">
        <v>10393</v>
      </c>
      <c r="H123" s="96" t="s">
        <v>10394</v>
      </c>
      <c r="I123" s="96" t="s">
        <v>10395</v>
      </c>
      <c r="J123" s="96" t="s">
        <v>10396</v>
      </c>
      <c r="K123" s="96" t="s">
        <v>10397</v>
      </c>
      <c r="L123" s="96" t="s">
        <v>10398</v>
      </c>
      <c r="M123" s="96" t="s">
        <v>10399</v>
      </c>
      <c r="N123" s="96" t="s">
        <v>10400</v>
      </c>
      <c r="O123" s="96" t="s">
        <v>10401</v>
      </c>
      <c r="P123" s="96" t="s">
        <v>10402</v>
      </c>
      <c r="Q123" s="96" t="s">
        <v>10403</v>
      </c>
      <c r="R123" s="96" t="s">
        <v>10404</v>
      </c>
      <c r="S123" s="96" t="s">
        <v>10405</v>
      </c>
      <c r="T123" s="96" t="s">
        <v>10406</v>
      </c>
      <c r="U123" s="96" t="s">
        <v>10407</v>
      </c>
      <c r="V123" s="96" t="s">
        <v>10408</v>
      </c>
      <c r="W123" s="96" t="s">
        <v>10409</v>
      </c>
      <c r="X123" s="96" t="s">
        <v>10410</v>
      </c>
      <c r="Y123" s="96" t="s">
        <v>10411</v>
      </c>
      <c r="Z123" s="96" t="s">
        <v>10412</v>
      </c>
      <c r="AA123" s="96" t="s">
        <v>10413</v>
      </c>
      <c r="AB123" s="96" t="s">
        <v>10414</v>
      </c>
      <c r="AC123" s="96" t="s">
        <v>10415</v>
      </c>
      <c r="AD123" s="57"/>
    </row>
    <row r="124">
      <c r="A124" s="37" t="s">
        <v>16118</v>
      </c>
      <c r="B124" s="38" t="s">
        <v>16119</v>
      </c>
      <c r="C124" s="39" t="s">
        <v>16120</v>
      </c>
      <c r="D124" s="38" t="s">
        <v>16121</v>
      </c>
      <c r="E124" s="38" t="s">
        <v>16122</v>
      </c>
      <c r="F124" s="38" t="s">
        <v>16123</v>
      </c>
      <c r="G124" s="38" t="s">
        <v>16124</v>
      </c>
      <c r="H124" s="38" t="s">
        <v>16125</v>
      </c>
      <c r="I124" s="38" t="s">
        <v>16126</v>
      </c>
      <c r="J124" s="38" t="s">
        <v>16127</v>
      </c>
      <c r="K124" s="40" t="s">
        <v>16128</v>
      </c>
      <c r="L124" s="38" t="s">
        <v>16129</v>
      </c>
      <c r="M124" s="38" t="s">
        <v>16130</v>
      </c>
      <c r="N124" s="41" t="s">
        <v>16131</v>
      </c>
      <c r="O124" s="42" t="s">
        <v>16132</v>
      </c>
      <c r="P124" s="43" t="s">
        <v>16133</v>
      </c>
      <c r="Q124" s="44" t="s">
        <v>16134</v>
      </c>
      <c r="R124" s="45" t="s">
        <v>16135</v>
      </c>
      <c r="S124" s="38" t="s">
        <v>16136</v>
      </c>
      <c r="T124" s="38" t="s">
        <v>16137</v>
      </c>
      <c r="U124" s="38" t="s">
        <v>16138</v>
      </c>
      <c r="V124" s="38" t="s">
        <v>16139</v>
      </c>
      <c r="W124" s="38" t="s">
        <v>16140</v>
      </c>
      <c r="X124" s="38" t="s">
        <v>16141</v>
      </c>
      <c r="Y124" s="46" t="s">
        <v>16142</v>
      </c>
      <c r="Z124" s="38" t="s">
        <v>16143</v>
      </c>
      <c r="AA124" s="38" t="s">
        <v>16144</v>
      </c>
      <c r="AB124" s="41" t="s">
        <v>16145</v>
      </c>
      <c r="AC124" s="38" t="s">
        <v>16146</v>
      </c>
      <c r="AD124" s="21"/>
    </row>
    <row r="125">
      <c r="A125" s="37" t="s">
        <v>16147</v>
      </c>
      <c r="B125" s="38" t="s">
        <v>16148</v>
      </c>
      <c r="C125" s="39" t="s">
        <v>16149</v>
      </c>
      <c r="D125" s="38" t="s">
        <v>16150</v>
      </c>
      <c r="E125" s="38" t="s">
        <v>16151</v>
      </c>
      <c r="F125" s="38" t="s">
        <v>16152</v>
      </c>
      <c r="G125" s="38" t="s">
        <v>16153</v>
      </c>
      <c r="H125" s="38" t="s">
        <v>16154</v>
      </c>
      <c r="I125" s="38" t="s">
        <v>16155</v>
      </c>
      <c r="J125" s="38" t="s">
        <v>16156</v>
      </c>
      <c r="K125" s="40" t="s">
        <v>16157</v>
      </c>
      <c r="L125" s="38" t="s">
        <v>16158</v>
      </c>
      <c r="M125" s="38" t="s">
        <v>16159</v>
      </c>
      <c r="N125" s="41" t="s">
        <v>16160</v>
      </c>
      <c r="O125" s="42" t="s">
        <v>16161</v>
      </c>
      <c r="P125" s="43" t="s">
        <v>16162</v>
      </c>
      <c r="Q125" s="44" t="s">
        <v>16163</v>
      </c>
      <c r="R125" s="45" t="s">
        <v>16164</v>
      </c>
      <c r="S125" s="38" t="s">
        <v>16165</v>
      </c>
      <c r="T125" s="38" t="s">
        <v>16166</v>
      </c>
      <c r="U125" s="38" t="s">
        <v>16167</v>
      </c>
      <c r="V125" s="38" t="s">
        <v>16168</v>
      </c>
      <c r="W125" s="38" t="s">
        <v>16169</v>
      </c>
      <c r="X125" s="38" t="s">
        <v>16170</v>
      </c>
      <c r="Y125" s="46" t="s">
        <v>16171</v>
      </c>
      <c r="Z125" s="38" t="s">
        <v>16172</v>
      </c>
      <c r="AA125" s="38" t="s">
        <v>16173</v>
      </c>
      <c r="AB125" s="41" t="s">
        <v>16174</v>
      </c>
      <c r="AC125" s="38" t="s">
        <v>16175</v>
      </c>
      <c r="AD125" s="21"/>
    </row>
    <row r="126">
      <c r="A126" s="57" t="s">
        <v>16176</v>
      </c>
      <c r="B126" s="57" t="s">
        <v>16177</v>
      </c>
      <c r="C126" s="99" t="s">
        <v>16178</v>
      </c>
      <c r="D126" s="57" t="s">
        <v>16179</v>
      </c>
      <c r="E126" s="57" t="s">
        <v>16180</v>
      </c>
      <c r="F126" s="57" t="s">
        <v>16181</v>
      </c>
      <c r="G126" s="57" t="s">
        <v>16182</v>
      </c>
      <c r="H126" s="57" t="s">
        <v>16183</v>
      </c>
      <c r="I126" s="57" t="s">
        <v>16184</v>
      </c>
      <c r="J126" s="57" t="s">
        <v>16185</v>
      </c>
      <c r="K126" s="57" t="s">
        <v>16186</v>
      </c>
      <c r="L126" s="57" t="s">
        <v>16187</v>
      </c>
      <c r="M126" s="57" t="s">
        <v>16188</v>
      </c>
      <c r="N126" s="57" t="s">
        <v>16189</v>
      </c>
      <c r="O126" s="57" t="s">
        <v>16190</v>
      </c>
      <c r="P126" s="57" t="s">
        <v>16191</v>
      </c>
      <c r="Q126" s="57" t="s">
        <v>16192</v>
      </c>
      <c r="R126" s="57" t="s">
        <v>16193</v>
      </c>
      <c r="S126" s="57" t="s">
        <v>16194</v>
      </c>
      <c r="T126" s="57" t="s">
        <v>16195</v>
      </c>
      <c r="U126" s="57" t="s">
        <v>16196</v>
      </c>
      <c r="V126" s="57" t="s">
        <v>16197</v>
      </c>
      <c r="W126" s="57" t="s">
        <v>16182</v>
      </c>
      <c r="X126" s="57" t="s">
        <v>16198</v>
      </c>
      <c r="Y126" s="57" t="s">
        <v>16199</v>
      </c>
      <c r="Z126" s="57" t="s">
        <v>16200</v>
      </c>
      <c r="AA126" s="57" t="s">
        <v>16201</v>
      </c>
      <c r="AB126" s="57" t="s">
        <v>16202</v>
      </c>
      <c r="AC126" s="57" t="s">
        <v>16203</v>
      </c>
      <c r="AD126" s="21"/>
    </row>
    <row r="127">
      <c r="A127" s="57" t="s">
        <v>16204</v>
      </c>
      <c r="B127" s="57" t="s">
        <v>16205</v>
      </c>
      <c r="C127" s="99" t="s">
        <v>16206</v>
      </c>
      <c r="D127" s="57" t="s">
        <v>16207</v>
      </c>
      <c r="E127" s="57" t="s">
        <v>16208</v>
      </c>
      <c r="F127" s="57" t="s">
        <v>16209</v>
      </c>
      <c r="G127" s="57" t="s">
        <v>16210</v>
      </c>
      <c r="H127" s="57" t="s">
        <v>16211</v>
      </c>
      <c r="I127" s="57" t="s">
        <v>16212</v>
      </c>
      <c r="J127" s="57" t="s">
        <v>16213</v>
      </c>
      <c r="K127" s="57" t="s">
        <v>16214</v>
      </c>
      <c r="L127" s="57" t="s">
        <v>16215</v>
      </c>
      <c r="M127" s="57" t="s">
        <v>16216</v>
      </c>
      <c r="N127" s="57" t="s">
        <v>16217</v>
      </c>
      <c r="O127" s="57" t="s">
        <v>16218</v>
      </c>
      <c r="P127" s="57" t="s">
        <v>16219</v>
      </c>
      <c r="Q127" s="57" t="s">
        <v>16220</v>
      </c>
      <c r="R127" s="57" t="s">
        <v>16221</v>
      </c>
      <c r="S127" s="57" t="s">
        <v>16222</v>
      </c>
      <c r="T127" s="57" t="s">
        <v>16223</v>
      </c>
      <c r="U127" s="57" t="s">
        <v>16224</v>
      </c>
      <c r="V127" s="57" t="s">
        <v>16225</v>
      </c>
      <c r="W127" s="57" t="s">
        <v>16210</v>
      </c>
      <c r="X127" s="57" t="s">
        <v>16226</v>
      </c>
      <c r="Y127" s="57" t="s">
        <v>16227</v>
      </c>
      <c r="Z127" s="57" t="s">
        <v>16228</v>
      </c>
      <c r="AA127" s="57" t="s">
        <v>16229</v>
      </c>
      <c r="AB127" s="57" t="s">
        <v>16230</v>
      </c>
      <c r="AC127" s="57" t="s">
        <v>16231</v>
      </c>
      <c r="AD127" s="21"/>
    </row>
    <row r="128">
      <c r="A128" s="57" t="s">
        <v>326</v>
      </c>
      <c r="B128" s="57" t="s">
        <v>327</v>
      </c>
      <c r="C128" s="99" t="s">
        <v>328</v>
      </c>
      <c r="D128" s="57" t="s">
        <v>329</v>
      </c>
      <c r="E128" s="57" t="s">
        <v>330</v>
      </c>
      <c r="F128" s="57" t="s">
        <v>331</v>
      </c>
      <c r="G128" s="57" t="s">
        <v>332</v>
      </c>
      <c r="H128" s="57" t="s">
        <v>10912</v>
      </c>
      <c r="I128" s="57" t="s">
        <v>334</v>
      </c>
      <c r="J128" s="57" t="s">
        <v>335</v>
      </c>
      <c r="K128" s="57" t="s">
        <v>336</v>
      </c>
      <c r="L128" s="57" t="s">
        <v>337</v>
      </c>
      <c r="M128" s="57" t="s">
        <v>338</v>
      </c>
      <c r="N128" s="57" t="s">
        <v>339</v>
      </c>
      <c r="O128" s="57" t="s">
        <v>10913</v>
      </c>
      <c r="P128" s="57" t="s">
        <v>10914</v>
      </c>
      <c r="Q128" s="57" t="s">
        <v>342</v>
      </c>
      <c r="R128" s="57" t="s">
        <v>10915</v>
      </c>
      <c r="S128" s="57" t="s">
        <v>10916</v>
      </c>
      <c r="T128" s="57" t="s">
        <v>10917</v>
      </c>
      <c r="U128" s="57" t="s">
        <v>346</v>
      </c>
      <c r="V128" s="57" t="s">
        <v>347</v>
      </c>
      <c r="W128" s="57" t="s">
        <v>348</v>
      </c>
      <c r="X128" s="57" t="s">
        <v>349</v>
      </c>
      <c r="Y128" s="57" t="s">
        <v>350</v>
      </c>
      <c r="Z128" s="57" t="s">
        <v>351</v>
      </c>
      <c r="AA128" s="57" t="s">
        <v>10918</v>
      </c>
      <c r="AB128" s="57" t="s">
        <v>353</v>
      </c>
      <c r="AC128" s="57" t="s">
        <v>354</v>
      </c>
      <c r="AD128" s="21"/>
    </row>
    <row r="129">
      <c r="A129" s="57" t="s">
        <v>16232</v>
      </c>
      <c r="B129" s="57" t="s">
        <v>16233</v>
      </c>
      <c r="C129" s="99" t="s">
        <v>16234</v>
      </c>
      <c r="D129" s="57" t="s">
        <v>16235</v>
      </c>
      <c r="E129" s="57" t="s">
        <v>16236</v>
      </c>
      <c r="F129" s="57" t="s">
        <v>16237</v>
      </c>
      <c r="G129" s="57" t="s">
        <v>16238</v>
      </c>
      <c r="H129" s="57" t="s">
        <v>16239</v>
      </c>
      <c r="I129" s="57" t="s">
        <v>16240</v>
      </c>
      <c r="J129" s="57" t="s">
        <v>16241</v>
      </c>
      <c r="K129" s="57" t="s">
        <v>16242</v>
      </c>
      <c r="L129" s="57" t="s">
        <v>16243</v>
      </c>
      <c r="M129" s="57" t="s">
        <v>16244</v>
      </c>
      <c r="N129" s="57" t="s">
        <v>16245</v>
      </c>
      <c r="O129" s="57" t="s">
        <v>16246</v>
      </c>
      <c r="P129" s="57" t="s">
        <v>16247</v>
      </c>
      <c r="Q129" s="57" t="s">
        <v>16248</v>
      </c>
      <c r="R129" s="57" t="s">
        <v>16249</v>
      </c>
      <c r="S129" s="57" t="s">
        <v>16250</v>
      </c>
      <c r="T129" s="57" t="s">
        <v>16243</v>
      </c>
      <c r="U129" s="57" t="s">
        <v>16251</v>
      </c>
      <c r="V129" s="57" t="s">
        <v>16252</v>
      </c>
      <c r="W129" s="57" t="s">
        <v>16253</v>
      </c>
      <c r="X129" s="57" t="s">
        <v>16254</v>
      </c>
      <c r="Y129" s="57" t="s">
        <v>16255</v>
      </c>
      <c r="Z129" s="57" t="s">
        <v>16256</v>
      </c>
      <c r="AA129" s="57" t="s">
        <v>16257</v>
      </c>
      <c r="AB129" s="57" t="s">
        <v>16258</v>
      </c>
      <c r="AC129" s="57" t="s">
        <v>16259</v>
      </c>
      <c r="AD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row>
    <row r="100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88"/>
    <col customWidth="1" min="3" max="3" width="25.88"/>
    <col customWidth="1" min="4" max="4" width="19.13"/>
    <col customWidth="1" min="29" max="29" width="21.0"/>
  </cols>
  <sheetData>
    <row r="1">
      <c r="A1" s="101" t="s">
        <v>48</v>
      </c>
      <c r="B1" s="101" t="s">
        <v>2</v>
      </c>
      <c r="C1" s="101" t="s">
        <v>4</v>
      </c>
      <c r="D1" s="101" t="s">
        <v>5</v>
      </c>
      <c r="E1" s="96" t="s">
        <v>6</v>
      </c>
      <c r="F1" s="96" t="s">
        <v>7</v>
      </c>
      <c r="G1" s="96" t="s">
        <v>8</v>
      </c>
      <c r="H1" s="96" t="s">
        <v>9</v>
      </c>
      <c r="I1" s="96" t="s">
        <v>10</v>
      </c>
      <c r="J1" s="96" t="s">
        <v>11</v>
      </c>
      <c r="K1" s="96" t="s">
        <v>12</v>
      </c>
      <c r="L1" s="96" t="s">
        <v>13</v>
      </c>
      <c r="M1" s="96" t="s">
        <v>14</v>
      </c>
      <c r="N1" s="96" t="s">
        <v>15</v>
      </c>
      <c r="O1" s="96" t="s">
        <v>16</v>
      </c>
      <c r="P1" s="96" t="s">
        <v>17</v>
      </c>
      <c r="Q1" s="96" t="s">
        <v>18</v>
      </c>
      <c r="R1" s="96" t="s">
        <v>19</v>
      </c>
      <c r="S1" s="96" t="s">
        <v>20</v>
      </c>
      <c r="T1" s="96" t="s">
        <v>21</v>
      </c>
      <c r="U1" s="96" t="s">
        <v>22</v>
      </c>
      <c r="V1" s="96" t="s">
        <v>23</v>
      </c>
      <c r="W1" s="96" t="s">
        <v>24</v>
      </c>
      <c r="X1" s="96" t="s">
        <v>25</v>
      </c>
      <c r="Y1" s="96" t="s">
        <v>26</v>
      </c>
      <c r="Z1" s="96" t="s">
        <v>27</v>
      </c>
      <c r="AA1" s="96" t="s">
        <v>28</v>
      </c>
      <c r="AB1" s="96" t="s">
        <v>29</v>
      </c>
      <c r="AC1" s="96" t="s">
        <v>3</v>
      </c>
      <c r="AD1" s="57"/>
    </row>
    <row r="2">
      <c r="A2" s="22" t="s">
        <v>8995</v>
      </c>
      <c r="B2" s="23" t="s">
        <v>16260</v>
      </c>
      <c r="C2" s="32" t="s">
        <v>16261</v>
      </c>
      <c r="D2" s="23" t="s">
        <v>16262</v>
      </c>
      <c r="E2" s="23" t="s">
        <v>16263</v>
      </c>
      <c r="F2" s="23" t="s">
        <v>16264</v>
      </c>
      <c r="G2" s="23" t="s">
        <v>16265</v>
      </c>
      <c r="H2" s="23" t="s">
        <v>16266</v>
      </c>
      <c r="I2" s="23" t="s">
        <v>16267</v>
      </c>
      <c r="J2" s="23" t="s">
        <v>16268</v>
      </c>
      <c r="K2" s="25" t="s">
        <v>16269</v>
      </c>
      <c r="L2" s="23" t="s">
        <v>16270</v>
      </c>
      <c r="M2" s="23" t="s">
        <v>16271</v>
      </c>
      <c r="N2" s="26" t="s">
        <v>16272</v>
      </c>
      <c r="O2" s="27" t="s">
        <v>16273</v>
      </c>
      <c r="P2" s="28" t="s">
        <v>16274</v>
      </c>
      <c r="Q2" s="29" t="s">
        <v>16275</v>
      </c>
      <c r="R2" s="30" t="s">
        <v>16276</v>
      </c>
      <c r="S2" s="23" t="s">
        <v>16277</v>
      </c>
      <c r="T2" s="23" t="s">
        <v>16278</v>
      </c>
      <c r="U2" s="23" t="s">
        <v>16279</v>
      </c>
      <c r="V2" s="23" t="s">
        <v>16280</v>
      </c>
      <c r="W2" s="23" t="s">
        <v>16281</v>
      </c>
      <c r="X2" s="23" t="s">
        <v>16282</v>
      </c>
      <c r="Y2" s="31" t="s">
        <v>16283</v>
      </c>
      <c r="Z2" s="23" t="s">
        <v>16284</v>
      </c>
      <c r="AA2" s="23" t="s">
        <v>16285</v>
      </c>
      <c r="AB2" s="26" t="s">
        <v>16286</v>
      </c>
      <c r="AC2" s="23" t="s">
        <v>16287</v>
      </c>
      <c r="AD2" s="57"/>
    </row>
    <row r="3">
      <c r="A3" s="22" t="s">
        <v>9418</v>
      </c>
      <c r="B3" s="23" t="s">
        <v>16288</v>
      </c>
      <c r="C3" s="32" t="s">
        <v>16289</v>
      </c>
      <c r="D3" s="23" t="s">
        <v>16290</v>
      </c>
      <c r="E3" s="23" t="s">
        <v>16291</v>
      </c>
      <c r="F3" s="23" t="s">
        <v>16292</v>
      </c>
      <c r="G3" s="23" t="s">
        <v>16293</v>
      </c>
      <c r="H3" s="23" t="s">
        <v>16294</v>
      </c>
      <c r="I3" s="23" t="s">
        <v>16295</v>
      </c>
      <c r="J3" s="23" t="s">
        <v>16296</v>
      </c>
      <c r="K3" s="25" t="s">
        <v>16297</v>
      </c>
      <c r="L3" s="23" t="s">
        <v>16298</v>
      </c>
      <c r="M3" s="23" t="s">
        <v>16299</v>
      </c>
      <c r="N3" s="26" t="s">
        <v>16300</v>
      </c>
      <c r="O3" s="27" t="s">
        <v>16301</v>
      </c>
      <c r="P3" s="28" t="s">
        <v>16302</v>
      </c>
      <c r="Q3" s="29" t="s">
        <v>16303</v>
      </c>
      <c r="R3" s="30" t="s">
        <v>16304</v>
      </c>
      <c r="S3" s="23" t="s">
        <v>16305</v>
      </c>
      <c r="T3" s="23" t="s">
        <v>16306</v>
      </c>
      <c r="U3" s="23" t="s">
        <v>16307</v>
      </c>
      <c r="V3" s="23" t="s">
        <v>16308</v>
      </c>
      <c r="W3" s="23" t="s">
        <v>16309</v>
      </c>
      <c r="X3" s="23" t="s">
        <v>16310</v>
      </c>
      <c r="Y3" s="31" t="s">
        <v>16311</v>
      </c>
      <c r="Z3" s="23" t="s">
        <v>16312</v>
      </c>
      <c r="AA3" s="23" t="s">
        <v>16313</v>
      </c>
      <c r="AB3" s="26" t="s">
        <v>16314</v>
      </c>
      <c r="AC3" s="23" t="s">
        <v>16315</v>
      </c>
      <c r="AD3" s="57"/>
    </row>
    <row r="4">
      <c r="A4" s="22" t="s">
        <v>11663</v>
      </c>
      <c r="B4" s="23" t="s">
        <v>16316</v>
      </c>
      <c r="C4" s="24" t="s">
        <v>16317</v>
      </c>
      <c r="D4" s="23" t="s">
        <v>16318</v>
      </c>
      <c r="E4" s="23" t="s">
        <v>16319</v>
      </c>
      <c r="F4" s="23" t="s">
        <v>16320</v>
      </c>
      <c r="G4" s="23" t="s">
        <v>16321</v>
      </c>
      <c r="H4" s="23" t="s">
        <v>16322</v>
      </c>
      <c r="I4" s="23" t="s">
        <v>16323</v>
      </c>
      <c r="J4" s="23" t="s">
        <v>16324</v>
      </c>
      <c r="K4" s="25" t="s">
        <v>16325</v>
      </c>
      <c r="L4" s="23" t="s">
        <v>16326</v>
      </c>
      <c r="M4" s="23" t="s">
        <v>16327</v>
      </c>
      <c r="N4" s="26" t="s">
        <v>16328</v>
      </c>
      <c r="O4" s="27" t="s">
        <v>16329</v>
      </c>
      <c r="P4" s="28" t="s">
        <v>16330</v>
      </c>
      <c r="Q4" s="29" t="s">
        <v>16331</v>
      </c>
      <c r="R4" s="30" t="s">
        <v>16332</v>
      </c>
      <c r="S4" s="23" t="s">
        <v>16333</v>
      </c>
      <c r="T4" s="23" t="s">
        <v>16334</v>
      </c>
      <c r="U4" s="23" t="s">
        <v>16335</v>
      </c>
      <c r="V4" s="23" t="s">
        <v>16336</v>
      </c>
      <c r="W4" s="23" t="s">
        <v>16337</v>
      </c>
      <c r="X4" s="23" t="s">
        <v>16338</v>
      </c>
      <c r="Y4" s="31" t="s">
        <v>16339</v>
      </c>
      <c r="Z4" s="23" t="s">
        <v>16340</v>
      </c>
      <c r="AA4" s="23" t="s">
        <v>16341</v>
      </c>
      <c r="AB4" s="26" t="s">
        <v>16342</v>
      </c>
      <c r="AC4" s="23" t="s">
        <v>16343</v>
      </c>
      <c r="AD4" s="57"/>
    </row>
    <row r="5">
      <c r="A5" s="22" t="s">
        <v>9447</v>
      </c>
      <c r="B5" s="23" t="s">
        <v>16344</v>
      </c>
      <c r="C5" s="24" t="s">
        <v>16345</v>
      </c>
      <c r="D5" s="23" t="s">
        <v>16346</v>
      </c>
      <c r="E5" s="23" t="s">
        <v>16347</v>
      </c>
      <c r="F5" s="23" t="s">
        <v>16348</v>
      </c>
      <c r="G5" s="23" t="s">
        <v>16349</v>
      </c>
      <c r="H5" s="23" t="s">
        <v>16350</v>
      </c>
      <c r="I5" s="23" t="s">
        <v>16351</v>
      </c>
      <c r="J5" s="23" t="s">
        <v>16352</v>
      </c>
      <c r="K5" s="25" t="s">
        <v>16353</v>
      </c>
      <c r="L5" s="23" t="s">
        <v>16354</v>
      </c>
      <c r="M5" s="23" t="s">
        <v>16355</v>
      </c>
      <c r="N5" s="23" t="s">
        <v>16356</v>
      </c>
      <c r="O5" s="23" t="s">
        <v>16357</v>
      </c>
      <c r="P5" s="28" t="s">
        <v>16358</v>
      </c>
      <c r="Q5" s="23" t="s">
        <v>16359</v>
      </c>
      <c r="R5" s="23" t="s">
        <v>16360</v>
      </c>
      <c r="S5" s="23" t="s">
        <v>16361</v>
      </c>
      <c r="T5" s="23" t="s">
        <v>16362</v>
      </c>
      <c r="U5" s="23" t="s">
        <v>16363</v>
      </c>
      <c r="V5" s="23" t="s">
        <v>16364</v>
      </c>
      <c r="W5" s="23" t="s">
        <v>16365</v>
      </c>
      <c r="X5" s="23" t="s">
        <v>16366</v>
      </c>
      <c r="Y5" s="31" t="s">
        <v>16367</v>
      </c>
      <c r="Z5" s="23" t="s">
        <v>16368</v>
      </c>
      <c r="AA5" s="23" t="s">
        <v>16369</v>
      </c>
      <c r="AB5" s="26" t="s">
        <v>16370</v>
      </c>
      <c r="AC5" s="23" t="s">
        <v>16371</v>
      </c>
      <c r="AD5" s="57"/>
    </row>
    <row r="6">
      <c r="A6" s="22" t="s">
        <v>9476</v>
      </c>
      <c r="B6" s="23" t="s">
        <v>16372</v>
      </c>
      <c r="C6" s="24" t="s">
        <v>16373</v>
      </c>
      <c r="D6" s="23" t="s">
        <v>16374</v>
      </c>
      <c r="E6" s="23" t="s">
        <v>16375</v>
      </c>
      <c r="F6" s="23" t="s">
        <v>16376</v>
      </c>
      <c r="G6" s="23" t="s">
        <v>16377</v>
      </c>
      <c r="H6" s="23" t="s">
        <v>16378</v>
      </c>
      <c r="I6" s="23" t="s">
        <v>16379</v>
      </c>
      <c r="J6" s="23" t="s">
        <v>16380</v>
      </c>
      <c r="K6" s="25" t="s">
        <v>16381</v>
      </c>
      <c r="L6" s="23" t="s">
        <v>16382</v>
      </c>
      <c r="M6" s="23" t="s">
        <v>16383</v>
      </c>
      <c r="N6" s="23" t="s">
        <v>16384</v>
      </c>
      <c r="O6" s="23" t="s">
        <v>16385</v>
      </c>
      <c r="P6" s="28" t="s">
        <v>16386</v>
      </c>
      <c r="Q6" s="23" t="s">
        <v>16387</v>
      </c>
      <c r="R6" s="23" t="s">
        <v>16388</v>
      </c>
      <c r="S6" s="23" t="s">
        <v>16389</v>
      </c>
      <c r="T6" s="23" t="s">
        <v>16390</v>
      </c>
      <c r="U6" s="23" t="s">
        <v>16391</v>
      </c>
      <c r="V6" s="23" t="s">
        <v>16392</v>
      </c>
      <c r="W6" s="23" t="s">
        <v>16393</v>
      </c>
      <c r="X6" s="23" t="s">
        <v>16394</v>
      </c>
      <c r="Y6" s="31" t="s">
        <v>16395</v>
      </c>
      <c r="Z6" s="23" t="s">
        <v>16396</v>
      </c>
      <c r="AA6" s="23" t="s">
        <v>16397</v>
      </c>
      <c r="AB6" s="26" t="s">
        <v>16398</v>
      </c>
      <c r="AC6" s="23" t="s">
        <v>16399</v>
      </c>
      <c r="AD6" s="57"/>
    </row>
    <row r="7">
      <c r="A7" s="101" t="s">
        <v>11559</v>
      </c>
      <c r="B7" s="101" t="s">
        <v>11560</v>
      </c>
      <c r="C7" s="102" t="s">
        <v>13991</v>
      </c>
      <c r="D7" s="96" t="s">
        <v>13992</v>
      </c>
      <c r="E7" s="96" t="s">
        <v>13993</v>
      </c>
      <c r="F7" s="96" t="s">
        <v>13994</v>
      </c>
      <c r="G7" s="96" t="s">
        <v>636</v>
      </c>
      <c r="H7" s="96" t="s">
        <v>13995</v>
      </c>
      <c r="I7" s="96" t="s">
        <v>13996</v>
      </c>
      <c r="J7" s="96" t="s">
        <v>13997</v>
      </c>
      <c r="K7" s="96" t="s">
        <v>13998</v>
      </c>
      <c r="L7" s="96" t="s">
        <v>13999</v>
      </c>
      <c r="M7" s="96" t="s">
        <v>14000</v>
      </c>
      <c r="N7" s="96" t="s">
        <v>14001</v>
      </c>
      <c r="O7" s="96" t="s">
        <v>14002</v>
      </c>
      <c r="P7" s="96" t="s">
        <v>14003</v>
      </c>
      <c r="Q7" s="96" t="s">
        <v>14004</v>
      </c>
      <c r="R7" s="96" t="s">
        <v>14005</v>
      </c>
      <c r="S7" s="96" t="s">
        <v>14006</v>
      </c>
      <c r="T7" s="96" t="s">
        <v>13999</v>
      </c>
      <c r="U7" s="96" t="s">
        <v>14007</v>
      </c>
      <c r="V7" s="96" t="s">
        <v>14008</v>
      </c>
      <c r="W7" s="96" t="s">
        <v>636</v>
      </c>
      <c r="X7" s="96" t="s">
        <v>14009</v>
      </c>
      <c r="Y7" s="96" t="s">
        <v>14010</v>
      </c>
      <c r="Z7" s="96" t="s">
        <v>14011</v>
      </c>
      <c r="AA7" s="96" t="s">
        <v>14012</v>
      </c>
      <c r="AB7" s="96" t="s">
        <v>14013</v>
      </c>
      <c r="AC7" s="96" t="s">
        <v>14014</v>
      </c>
      <c r="AD7" s="57"/>
    </row>
    <row r="8">
      <c r="A8" s="101" t="s">
        <v>11561</v>
      </c>
      <c r="B8" s="101" t="s">
        <v>11562</v>
      </c>
      <c r="C8" s="102" t="s">
        <v>14015</v>
      </c>
      <c r="D8" s="96" t="s">
        <v>14016</v>
      </c>
      <c r="E8" s="96" t="s">
        <v>14017</v>
      </c>
      <c r="F8" s="96" t="s">
        <v>14018</v>
      </c>
      <c r="G8" s="96" t="s">
        <v>14019</v>
      </c>
      <c r="H8" s="96" t="s">
        <v>14020</v>
      </c>
      <c r="I8" s="96" t="s">
        <v>14021</v>
      </c>
      <c r="J8" s="96" t="s">
        <v>14022</v>
      </c>
      <c r="K8" s="96" t="s">
        <v>14023</v>
      </c>
      <c r="L8" s="96" t="s">
        <v>14024</v>
      </c>
      <c r="M8" s="96" t="s">
        <v>14025</v>
      </c>
      <c r="N8" s="96" t="s">
        <v>14026</v>
      </c>
      <c r="O8" s="96" t="s">
        <v>14027</v>
      </c>
      <c r="P8" s="96" t="s">
        <v>14028</v>
      </c>
      <c r="Q8" s="96" t="s">
        <v>14029</v>
      </c>
      <c r="R8" s="96" t="s">
        <v>14030</v>
      </c>
      <c r="S8" s="96" t="s">
        <v>14031</v>
      </c>
      <c r="T8" s="96" t="s">
        <v>14032</v>
      </c>
      <c r="U8" s="96" t="s">
        <v>14033</v>
      </c>
      <c r="V8" s="96" t="s">
        <v>14034</v>
      </c>
      <c r="W8" s="96" t="s">
        <v>14035</v>
      </c>
      <c r="X8" s="96" t="s">
        <v>14036</v>
      </c>
      <c r="Y8" s="96" t="s">
        <v>14037</v>
      </c>
      <c r="Z8" s="96" t="s">
        <v>14038</v>
      </c>
      <c r="AA8" s="96" t="s">
        <v>14039</v>
      </c>
      <c r="AB8" s="96" t="s">
        <v>14040</v>
      </c>
      <c r="AC8" s="96" t="s">
        <v>14041</v>
      </c>
      <c r="AD8" s="57"/>
    </row>
    <row r="9">
      <c r="A9" s="101" t="s">
        <v>11563</v>
      </c>
      <c r="B9" s="101" t="s">
        <v>11564</v>
      </c>
      <c r="C9" s="102" t="s">
        <v>14042</v>
      </c>
      <c r="D9" s="96" t="s">
        <v>14043</v>
      </c>
      <c r="E9" s="96" t="s">
        <v>11564</v>
      </c>
      <c r="F9" s="96" t="s">
        <v>11564</v>
      </c>
      <c r="G9" s="96" t="s">
        <v>11616</v>
      </c>
      <c r="H9" s="96" t="s">
        <v>14044</v>
      </c>
      <c r="I9" s="96" t="s">
        <v>14045</v>
      </c>
      <c r="J9" s="96" t="s">
        <v>11564</v>
      </c>
      <c r="K9" s="96" t="s">
        <v>14046</v>
      </c>
      <c r="L9" s="96" t="s">
        <v>14047</v>
      </c>
      <c r="M9" s="96" t="s">
        <v>14047</v>
      </c>
      <c r="N9" s="96" t="s">
        <v>14048</v>
      </c>
      <c r="O9" s="96" t="s">
        <v>14049</v>
      </c>
      <c r="P9" s="96" t="s">
        <v>14050</v>
      </c>
      <c r="Q9" s="96" t="s">
        <v>14051</v>
      </c>
      <c r="R9" s="96" t="s">
        <v>14052</v>
      </c>
      <c r="S9" s="96" t="s">
        <v>14053</v>
      </c>
      <c r="T9" s="96" t="s">
        <v>14047</v>
      </c>
      <c r="U9" s="96" t="s">
        <v>11564</v>
      </c>
      <c r="V9" s="96" t="s">
        <v>14054</v>
      </c>
      <c r="W9" s="96" t="s">
        <v>11564</v>
      </c>
      <c r="X9" s="96" t="s">
        <v>14055</v>
      </c>
      <c r="Y9" s="96" t="s">
        <v>14056</v>
      </c>
      <c r="Z9" s="96" t="s">
        <v>14057</v>
      </c>
      <c r="AA9" s="96" t="s">
        <v>14058</v>
      </c>
      <c r="AB9" s="96" t="s">
        <v>14059</v>
      </c>
      <c r="AC9" s="96" t="s">
        <v>14047</v>
      </c>
      <c r="AD9" s="57"/>
    </row>
    <row r="10">
      <c r="A10" s="101" t="s">
        <v>11565</v>
      </c>
      <c r="B10" s="101" t="s">
        <v>11566</v>
      </c>
      <c r="C10" s="102" t="s">
        <v>14060</v>
      </c>
      <c r="D10" s="96" t="s">
        <v>14061</v>
      </c>
      <c r="E10" s="96" t="s">
        <v>14062</v>
      </c>
      <c r="F10" s="96" t="s">
        <v>14063</v>
      </c>
      <c r="G10" s="96" t="s">
        <v>14064</v>
      </c>
      <c r="H10" s="96" t="s">
        <v>14065</v>
      </c>
      <c r="I10" s="96" t="s">
        <v>14066</v>
      </c>
      <c r="J10" s="96" t="s">
        <v>14067</v>
      </c>
      <c r="K10" s="96" t="s">
        <v>14068</v>
      </c>
      <c r="L10" s="96" t="s">
        <v>14069</v>
      </c>
      <c r="M10" s="96" t="s">
        <v>14070</v>
      </c>
      <c r="N10" s="96" t="s">
        <v>14071</v>
      </c>
      <c r="O10" s="96" t="s">
        <v>14072</v>
      </c>
      <c r="P10" s="96" t="s">
        <v>14073</v>
      </c>
      <c r="Q10" s="96" t="s">
        <v>14074</v>
      </c>
      <c r="R10" s="96" t="s">
        <v>10085</v>
      </c>
      <c r="S10" s="96" t="s">
        <v>14075</v>
      </c>
      <c r="T10" s="96" t="s">
        <v>14076</v>
      </c>
      <c r="U10" s="96" t="s">
        <v>14077</v>
      </c>
      <c r="V10" s="96" t="s">
        <v>14061</v>
      </c>
      <c r="W10" s="96" t="s">
        <v>14078</v>
      </c>
      <c r="X10" s="96" t="s">
        <v>14079</v>
      </c>
      <c r="Y10" s="96" t="s">
        <v>14080</v>
      </c>
      <c r="Z10" s="96" t="s">
        <v>14081</v>
      </c>
      <c r="AA10" s="96" t="s">
        <v>14082</v>
      </c>
      <c r="AB10" s="96" t="s">
        <v>14083</v>
      </c>
      <c r="AC10" s="96" t="s">
        <v>10096</v>
      </c>
      <c r="AD10" s="57"/>
    </row>
    <row r="11">
      <c r="A11" s="101" t="s">
        <v>11567</v>
      </c>
      <c r="B11" s="101" t="s">
        <v>36</v>
      </c>
      <c r="C11" s="102" t="s">
        <v>692</v>
      </c>
      <c r="D11" s="96" t="s">
        <v>693</v>
      </c>
      <c r="E11" s="96" t="s">
        <v>694</v>
      </c>
      <c r="F11" s="96" t="s">
        <v>695</v>
      </c>
      <c r="G11" s="96" t="s">
        <v>696</v>
      </c>
      <c r="H11" s="96" t="s">
        <v>10910</v>
      </c>
      <c r="I11" s="96" t="s">
        <v>698</v>
      </c>
      <c r="J11" s="96" t="s">
        <v>699</v>
      </c>
      <c r="K11" s="96" t="s">
        <v>700</v>
      </c>
      <c r="L11" s="96" t="s">
        <v>701</v>
      </c>
      <c r="M11" s="96" t="s">
        <v>702</v>
      </c>
      <c r="N11" s="96" t="s">
        <v>703</v>
      </c>
      <c r="O11" s="96" t="s">
        <v>704</v>
      </c>
      <c r="P11" s="96" t="s">
        <v>705</v>
      </c>
      <c r="Q11" s="96" t="s">
        <v>706</v>
      </c>
      <c r="R11" s="96" t="s">
        <v>867</v>
      </c>
      <c r="S11" s="96" t="s">
        <v>708</v>
      </c>
      <c r="T11" s="96" t="s">
        <v>10911</v>
      </c>
      <c r="U11" s="96" t="s">
        <v>710</v>
      </c>
      <c r="V11" s="96" t="s">
        <v>711</v>
      </c>
      <c r="W11" s="96" t="s">
        <v>712</v>
      </c>
      <c r="X11" s="96" t="s">
        <v>713</v>
      </c>
      <c r="Y11" s="96" t="s">
        <v>714</v>
      </c>
      <c r="Z11" s="96" t="s">
        <v>715</v>
      </c>
      <c r="AA11" s="96" t="s">
        <v>716</v>
      </c>
      <c r="AB11" s="96" t="s">
        <v>717</v>
      </c>
      <c r="AC11" s="96" t="s">
        <v>718</v>
      </c>
      <c r="AD11" s="57"/>
    </row>
    <row r="12">
      <c r="A12" s="101" t="s">
        <v>11568</v>
      </c>
      <c r="B12" s="101" t="s">
        <v>11569</v>
      </c>
      <c r="C12" s="102" t="s">
        <v>14084</v>
      </c>
      <c r="D12" s="96" t="s">
        <v>14085</v>
      </c>
      <c r="E12" s="96" t="s">
        <v>14086</v>
      </c>
      <c r="F12" s="96" t="s">
        <v>14087</v>
      </c>
      <c r="G12" s="96" t="s">
        <v>14088</v>
      </c>
      <c r="H12" s="96" t="s">
        <v>14089</v>
      </c>
      <c r="I12" s="96" t="s">
        <v>14090</v>
      </c>
      <c r="J12" s="96" t="s">
        <v>14091</v>
      </c>
      <c r="K12" s="96" t="s">
        <v>14092</v>
      </c>
      <c r="L12" s="96" t="s">
        <v>14093</v>
      </c>
      <c r="M12" s="96" t="s">
        <v>14094</v>
      </c>
      <c r="N12" s="96" t="s">
        <v>14095</v>
      </c>
      <c r="O12" s="96" t="s">
        <v>14096</v>
      </c>
      <c r="P12" s="96" t="s">
        <v>14097</v>
      </c>
      <c r="Q12" s="96" t="s">
        <v>14098</v>
      </c>
      <c r="R12" s="96" t="s">
        <v>14099</v>
      </c>
      <c r="S12" s="96" t="s">
        <v>14100</v>
      </c>
      <c r="T12" s="96" t="s">
        <v>14101</v>
      </c>
      <c r="U12" s="96" t="s">
        <v>14102</v>
      </c>
      <c r="V12" s="96" t="s">
        <v>14103</v>
      </c>
      <c r="W12" s="96" t="s">
        <v>14104</v>
      </c>
      <c r="X12" s="96" t="s">
        <v>14105</v>
      </c>
      <c r="Y12" s="96" t="s">
        <v>14106</v>
      </c>
      <c r="Z12" s="96" t="s">
        <v>14107</v>
      </c>
      <c r="AA12" s="96" t="s">
        <v>14108</v>
      </c>
      <c r="AB12" s="96" t="s">
        <v>14109</v>
      </c>
      <c r="AC12" s="96" t="s">
        <v>14110</v>
      </c>
      <c r="AD12" s="57"/>
    </row>
    <row r="13">
      <c r="A13" s="96" t="s">
        <v>11570</v>
      </c>
      <c r="B13" s="96" t="s">
        <v>11571</v>
      </c>
      <c r="C13" s="97" t="s">
        <v>14111</v>
      </c>
      <c r="D13" s="96" t="s">
        <v>14112</v>
      </c>
      <c r="E13" s="96" t="s">
        <v>14113</v>
      </c>
      <c r="F13" s="96" t="s">
        <v>14114</v>
      </c>
      <c r="G13" s="96" t="s">
        <v>14113</v>
      </c>
      <c r="H13" s="96" t="s">
        <v>14113</v>
      </c>
      <c r="I13" s="96" t="s">
        <v>14115</v>
      </c>
      <c r="J13" s="96" t="s">
        <v>11571</v>
      </c>
      <c r="K13" s="96" t="s">
        <v>14116</v>
      </c>
      <c r="L13" s="96" t="s">
        <v>14113</v>
      </c>
      <c r="M13" s="96" t="s">
        <v>14113</v>
      </c>
      <c r="N13" s="96" t="s">
        <v>14117</v>
      </c>
      <c r="O13" s="96" t="s">
        <v>14118</v>
      </c>
      <c r="P13" s="96" t="s">
        <v>14119</v>
      </c>
      <c r="Q13" s="96" t="s">
        <v>14120</v>
      </c>
      <c r="R13" s="96" t="s">
        <v>14121</v>
      </c>
      <c r="S13" s="96" t="s">
        <v>14122</v>
      </c>
      <c r="T13" s="96" t="s">
        <v>14113</v>
      </c>
      <c r="U13" s="96" t="s">
        <v>14113</v>
      </c>
      <c r="V13" s="96" t="s">
        <v>14123</v>
      </c>
      <c r="W13" s="96" t="s">
        <v>14124</v>
      </c>
      <c r="X13" s="96" t="s">
        <v>14125</v>
      </c>
      <c r="Y13" s="96" t="s">
        <v>14126</v>
      </c>
      <c r="Z13" s="96" t="s">
        <v>14127</v>
      </c>
      <c r="AA13" s="96" t="s">
        <v>14125</v>
      </c>
      <c r="AB13" s="96" t="s">
        <v>14128</v>
      </c>
      <c r="AC13" s="96" t="s">
        <v>14129</v>
      </c>
      <c r="AD13" s="57"/>
    </row>
    <row r="14">
      <c r="A14" s="96" t="s">
        <v>11572</v>
      </c>
      <c r="B14" s="96" t="s">
        <v>11573</v>
      </c>
      <c r="C14" s="97" t="s">
        <v>14130</v>
      </c>
      <c r="D14" s="96" t="s">
        <v>11573</v>
      </c>
      <c r="E14" s="96" t="s">
        <v>11573</v>
      </c>
      <c r="F14" s="96" t="s">
        <v>14131</v>
      </c>
      <c r="G14" s="96" t="s">
        <v>14132</v>
      </c>
      <c r="H14" s="96" t="s">
        <v>14133</v>
      </c>
      <c r="I14" s="96" t="s">
        <v>14134</v>
      </c>
      <c r="J14" s="96" t="s">
        <v>14135</v>
      </c>
      <c r="K14" s="96" t="s">
        <v>14136</v>
      </c>
      <c r="L14" s="96" t="s">
        <v>14137</v>
      </c>
      <c r="M14" s="96" t="s">
        <v>14138</v>
      </c>
      <c r="N14" s="96" t="s">
        <v>14139</v>
      </c>
      <c r="O14" s="96" t="s">
        <v>14140</v>
      </c>
      <c r="P14" s="96" t="s">
        <v>14141</v>
      </c>
      <c r="Q14" s="96" t="s">
        <v>14142</v>
      </c>
      <c r="R14" s="96" t="s">
        <v>10537</v>
      </c>
      <c r="S14" s="96" t="s">
        <v>14143</v>
      </c>
      <c r="T14" s="96" t="s">
        <v>14137</v>
      </c>
      <c r="U14" s="96" t="s">
        <v>14133</v>
      </c>
      <c r="V14" s="96" t="s">
        <v>14133</v>
      </c>
      <c r="W14" s="96" t="s">
        <v>14132</v>
      </c>
      <c r="X14" s="96" t="s">
        <v>14144</v>
      </c>
      <c r="Y14" s="96" t="s">
        <v>1151</v>
      </c>
      <c r="Z14" s="96" t="s">
        <v>14145</v>
      </c>
      <c r="AA14" s="96" t="s">
        <v>14146</v>
      </c>
      <c r="AB14" s="96" t="s">
        <v>14147</v>
      </c>
      <c r="AC14" s="96" t="s">
        <v>14148</v>
      </c>
      <c r="AD14" s="57"/>
    </row>
    <row r="15">
      <c r="A15" s="96" t="s">
        <v>11574</v>
      </c>
      <c r="B15" s="96" t="s">
        <v>11575</v>
      </c>
      <c r="C15" s="97" t="s">
        <v>14149</v>
      </c>
      <c r="D15" s="96" t="s">
        <v>14150</v>
      </c>
      <c r="E15" s="96" t="s">
        <v>14150</v>
      </c>
      <c r="F15" s="96" t="s">
        <v>14151</v>
      </c>
      <c r="G15" s="96" t="s">
        <v>14152</v>
      </c>
      <c r="H15" s="96" t="s">
        <v>14153</v>
      </c>
      <c r="I15" s="96" t="s">
        <v>14154</v>
      </c>
      <c r="J15" s="96" t="s">
        <v>14150</v>
      </c>
      <c r="K15" s="96" t="s">
        <v>14155</v>
      </c>
      <c r="L15" s="96" t="s">
        <v>14156</v>
      </c>
      <c r="M15" s="96" t="s">
        <v>14154</v>
      </c>
      <c r="N15" s="96" t="s">
        <v>14157</v>
      </c>
      <c r="O15" s="96" t="s">
        <v>14158</v>
      </c>
      <c r="P15" s="96" t="s">
        <v>14159</v>
      </c>
      <c r="Q15" s="96" t="s">
        <v>14160</v>
      </c>
      <c r="R15" s="96" t="s">
        <v>14161</v>
      </c>
      <c r="S15" s="96" t="s">
        <v>14162</v>
      </c>
      <c r="T15" s="96" t="s">
        <v>14156</v>
      </c>
      <c r="U15" s="96" t="s">
        <v>14163</v>
      </c>
      <c r="V15" s="96" t="s">
        <v>14164</v>
      </c>
      <c r="W15" s="96" t="s">
        <v>14164</v>
      </c>
      <c r="X15" s="96" t="s">
        <v>14165</v>
      </c>
      <c r="Y15" s="96" t="s">
        <v>14166</v>
      </c>
      <c r="Z15" s="96" t="s">
        <v>14156</v>
      </c>
      <c r="AA15" s="96" t="s">
        <v>14165</v>
      </c>
      <c r="AB15" s="96" t="s">
        <v>14167</v>
      </c>
      <c r="AC15" s="96" t="s">
        <v>14168</v>
      </c>
      <c r="AD15" s="57"/>
    </row>
    <row r="16">
      <c r="A16" s="96" t="s">
        <v>11576</v>
      </c>
      <c r="B16" s="96" t="s">
        <v>11577</v>
      </c>
      <c r="C16" s="97" t="s">
        <v>14169</v>
      </c>
      <c r="D16" s="96" t="s">
        <v>14170</v>
      </c>
      <c r="E16" s="96" t="s">
        <v>14171</v>
      </c>
      <c r="F16" s="96" t="s">
        <v>14172</v>
      </c>
      <c r="G16" s="96" t="s">
        <v>14173</v>
      </c>
      <c r="H16" s="96" t="s">
        <v>14174</v>
      </c>
      <c r="I16" s="96" t="s">
        <v>14175</v>
      </c>
      <c r="J16" s="96" t="s">
        <v>14176</v>
      </c>
      <c r="K16" s="96" t="s">
        <v>14177</v>
      </c>
      <c r="L16" s="96" t="s">
        <v>14178</v>
      </c>
      <c r="M16" s="96" t="s">
        <v>14179</v>
      </c>
      <c r="N16" s="96" t="s">
        <v>14180</v>
      </c>
      <c r="O16" s="96" t="s">
        <v>14181</v>
      </c>
      <c r="P16" s="96" t="s">
        <v>14182</v>
      </c>
      <c r="Q16" s="96" t="s">
        <v>14183</v>
      </c>
      <c r="R16" s="96" t="s">
        <v>14184</v>
      </c>
      <c r="S16" s="96" t="s">
        <v>14185</v>
      </c>
      <c r="T16" s="96" t="s">
        <v>14186</v>
      </c>
      <c r="U16" s="96" t="s">
        <v>14187</v>
      </c>
      <c r="V16" s="96" t="s">
        <v>14188</v>
      </c>
      <c r="W16" s="96" t="s">
        <v>14173</v>
      </c>
      <c r="X16" s="96" t="s">
        <v>14189</v>
      </c>
      <c r="Y16" s="96" t="s">
        <v>14190</v>
      </c>
      <c r="Z16" s="96" t="s">
        <v>14191</v>
      </c>
      <c r="AA16" s="96" t="s">
        <v>14192</v>
      </c>
      <c r="AB16" s="96" t="s">
        <v>14193</v>
      </c>
      <c r="AC16" s="96" t="s">
        <v>14194</v>
      </c>
      <c r="AD16" s="57"/>
    </row>
    <row r="17">
      <c r="A17" s="96" t="s">
        <v>11578</v>
      </c>
      <c r="B17" s="96" t="s">
        <v>11579</v>
      </c>
      <c r="C17" s="97" t="s">
        <v>14195</v>
      </c>
      <c r="D17" s="96" t="s">
        <v>14196</v>
      </c>
      <c r="E17" s="96" t="s">
        <v>14197</v>
      </c>
      <c r="F17" s="96" t="s">
        <v>14198</v>
      </c>
      <c r="G17" s="96" t="s">
        <v>14199</v>
      </c>
      <c r="H17" s="96" t="s">
        <v>14200</v>
      </c>
      <c r="I17" s="96" t="s">
        <v>14201</v>
      </c>
      <c r="J17" s="96" t="s">
        <v>14202</v>
      </c>
      <c r="K17" s="96" t="s">
        <v>14203</v>
      </c>
      <c r="L17" s="96" t="s">
        <v>14204</v>
      </c>
      <c r="M17" s="96" t="s">
        <v>14205</v>
      </c>
      <c r="N17" s="96" t="s">
        <v>14206</v>
      </c>
      <c r="O17" s="96" t="s">
        <v>14207</v>
      </c>
      <c r="P17" s="96" t="s">
        <v>14208</v>
      </c>
      <c r="Q17" s="96" t="s">
        <v>14209</v>
      </c>
      <c r="R17" s="96" t="s">
        <v>14210</v>
      </c>
      <c r="S17" s="96" t="s">
        <v>14211</v>
      </c>
      <c r="T17" s="96" t="s">
        <v>14212</v>
      </c>
      <c r="U17" s="96" t="s">
        <v>14213</v>
      </c>
      <c r="V17" s="96" t="s">
        <v>14214</v>
      </c>
      <c r="W17" s="96" t="s">
        <v>14215</v>
      </c>
      <c r="X17" s="96" t="s">
        <v>14216</v>
      </c>
      <c r="Y17" s="96" t="s">
        <v>14217</v>
      </c>
      <c r="Z17" s="96" t="s">
        <v>14218</v>
      </c>
      <c r="AA17" s="96" t="s">
        <v>14219</v>
      </c>
      <c r="AB17" s="96" t="s">
        <v>14220</v>
      </c>
      <c r="AC17" s="96" t="s">
        <v>14221</v>
      </c>
      <c r="AD17" s="57"/>
    </row>
    <row r="18">
      <c r="A18" s="96" t="s">
        <v>11580</v>
      </c>
      <c r="B18" s="96" t="s">
        <v>11581</v>
      </c>
      <c r="C18" s="97" t="s">
        <v>14222</v>
      </c>
      <c r="D18" s="96" t="s">
        <v>14223</v>
      </c>
      <c r="E18" s="96" t="s">
        <v>14224</v>
      </c>
      <c r="F18" s="96" t="s">
        <v>14225</v>
      </c>
      <c r="G18" s="96" t="s">
        <v>14226</v>
      </c>
      <c r="H18" s="96" t="s">
        <v>11581</v>
      </c>
      <c r="I18" s="96" t="s">
        <v>14227</v>
      </c>
      <c r="J18" s="96" t="s">
        <v>14228</v>
      </c>
      <c r="K18" s="96" t="s">
        <v>14229</v>
      </c>
      <c r="L18" s="96" t="s">
        <v>14230</v>
      </c>
      <c r="M18" s="96" t="s">
        <v>11581</v>
      </c>
      <c r="N18" s="96" t="s">
        <v>14231</v>
      </c>
      <c r="O18" s="96" t="s">
        <v>14232</v>
      </c>
      <c r="P18" s="96" t="s">
        <v>14233</v>
      </c>
      <c r="Q18" s="96" t="s">
        <v>14234</v>
      </c>
      <c r="R18" s="96" t="s">
        <v>14235</v>
      </c>
      <c r="S18" s="96" t="s">
        <v>14236</v>
      </c>
      <c r="T18" s="96" t="s">
        <v>14237</v>
      </c>
      <c r="U18" s="96" t="s">
        <v>14238</v>
      </c>
      <c r="V18" s="96" t="s">
        <v>14239</v>
      </c>
      <c r="W18" s="96" t="s">
        <v>14240</v>
      </c>
      <c r="X18" s="96" t="s">
        <v>14241</v>
      </c>
      <c r="Y18" s="96" t="s">
        <v>14242</v>
      </c>
      <c r="Z18" s="96" t="s">
        <v>14243</v>
      </c>
      <c r="AA18" s="96" t="s">
        <v>14241</v>
      </c>
      <c r="AB18" s="96" t="s">
        <v>14244</v>
      </c>
      <c r="AC18" s="96" t="s">
        <v>14245</v>
      </c>
      <c r="AD18" s="57"/>
    </row>
    <row r="19">
      <c r="A19" s="96" t="s">
        <v>11582</v>
      </c>
      <c r="B19" s="96" t="s">
        <v>11583</v>
      </c>
      <c r="C19" s="97" t="s">
        <v>14246</v>
      </c>
      <c r="D19" s="96" t="s">
        <v>14247</v>
      </c>
      <c r="E19" s="96" t="s">
        <v>14248</v>
      </c>
      <c r="F19" s="96" t="s">
        <v>14249</v>
      </c>
      <c r="G19" s="96" t="s">
        <v>14250</v>
      </c>
      <c r="H19" s="96" t="s">
        <v>14251</v>
      </c>
      <c r="I19" s="96" t="s">
        <v>14252</v>
      </c>
      <c r="J19" s="96" t="s">
        <v>14253</v>
      </c>
      <c r="K19" s="96" t="s">
        <v>14254</v>
      </c>
      <c r="L19" s="96" t="s">
        <v>14255</v>
      </c>
      <c r="M19" s="96" t="s">
        <v>14256</v>
      </c>
      <c r="N19" s="96" t="s">
        <v>14257</v>
      </c>
      <c r="O19" s="96" t="s">
        <v>14258</v>
      </c>
      <c r="P19" s="96" t="s">
        <v>14259</v>
      </c>
      <c r="Q19" s="96" t="s">
        <v>14260</v>
      </c>
      <c r="R19" s="96" t="s">
        <v>14261</v>
      </c>
      <c r="S19" s="96" t="s">
        <v>14262</v>
      </c>
      <c r="T19" s="96" t="s">
        <v>14263</v>
      </c>
      <c r="U19" s="96" t="s">
        <v>14264</v>
      </c>
      <c r="V19" s="96" t="s">
        <v>14265</v>
      </c>
      <c r="W19" s="96" t="s">
        <v>14266</v>
      </c>
      <c r="X19" s="96" t="s">
        <v>14267</v>
      </c>
      <c r="Y19" s="96" t="s">
        <v>14268</v>
      </c>
      <c r="Z19" s="96" t="s">
        <v>14269</v>
      </c>
      <c r="AA19" s="96" t="s">
        <v>14270</v>
      </c>
      <c r="AB19" s="96" t="s">
        <v>14271</v>
      </c>
      <c r="AC19" s="96" t="s">
        <v>14272</v>
      </c>
      <c r="AD19" s="57"/>
    </row>
    <row r="20">
      <c r="A20" s="96" t="s">
        <v>11584</v>
      </c>
      <c r="B20" s="96" t="s">
        <v>11585</v>
      </c>
      <c r="C20" s="97" t="s">
        <v>14273</v>
      </c>
      <c r="D20" s="96" t="s">
        <v>14274</v>
      </c>
      <c r="E20" s="96" t="s">
        <v>14275</v>
      </c>
      <c r="F20" s="96" t="s">
        <v>14276</v>
      </c>
      <c r="G20" s="96" t="s">
        <v>14277</v>
      </c>
      <c r="H20" s="96" t="s">
        <v>14278</v>
      </c>
      <c r="I20" s="96" t="s">
        <v>14279</v>
      </c>
      <c r="J20" s="96" t="s">
        <v>14280</v>
      </c>
      <c r="K20" s="96" t="s">
        <v>14281</v>
      </c>
      <c r="L20" s="96" t="s">
        <v>14282</v>
      </c>
      <c r="M20" s="96" t="s">
        <v>14283</v>
      </c>
      <c r="N20" s="96" t="s">
        <v>14284</v>
      </c>
      <c r="O20" s="96" t="s">
        <v>14285</v>
      </c>
      <c r="P20" s="96" t="s">
        <v>14286</v>
      </c>
      <c r="Q20" s="96" t="s">
        <v>14287</v>
      </c>
      <c r="R20" s="96" t="s">
        <v>14288</v>
      </c>
      <c r="S20" s="96" t="s">
        <v>14289</v>
      </c>
      <c r="T20" s="96" t="s">
        <v>14282</v>
      </c>
      <c r="U20" s="96" t="s">
        <v>14290</v>
      </c>
      <c r="V20" s="96" t="s">
        <v>14291</v>
      </c>
      <c r="W20" s="96" t="s">
        <v>14292</v>
      </c>
      <c r="X20" s="96" t="s">
        <v>14293</v>
      </c>
      <c r="Y20" s="96" t="s">
        <v>14294</v>
      </c>
      <c r="Z20" s="96" t="s">
        <v>14295</v>
      </c>
      <c r="AA20" s="96" t="s">
        <v>14293</v>
      </c>
      <c r="AB20" s="96" t="s">
        <v>14296</v>
      </c>
      <c r="AC20" s="96" t="s">
        <v>14297</v>
      </c>
      <c r="AD20" s="57"/>
    </row>
    <row r="21">
      <c r="A21" s="96" t="s">
        <v>11586</v>
      </c>
      <c r="B21" s="96" t="s">
        <v>11587</v>
      </c>
      <c r="C21" s="97" t="s">
        <v>14298</v>
      </c>
      <c r="D21" s="96" t="s">
        <v>14299</v>
      </c>
      <c r="E21" s="96" t="s">
        <v>14300</v>
      </c>
      <c r="F21" s="96" t="s">
        <v>14301</v>
      </c>
      <c r="G21" s="96" t="s">
        <v>14302</v>
      </c>
      <c r="H21" s="96" t="s">
        <v>14303</v>
      </c>
      <c r="I21" s="96" t="s">
        <v>14304</v>
      </c>
      <c r="J21" s="96" t="s">
        <v>14305</v>
      </c>
      <c r="K21" s="96" t="s">
        <v>14306</v>
      </c>
      <c r="L21" s="96" t="s">
        <v>14307</v>
      </c>
      <c r="M21" s="96" t="s">
        <v>14308</v>
      </c>
      <c r="N21" s="96" t="s">
        <v>14309</v>
      </c>
      <c r="O21" s="96" t="s">
        <v>14310</v>
      </c>
      <c r="P21" s="96" t="s">
        <v>14311</v>
      </c>
      <c r="Q21" s="96" t="s">
        <v>14312</v>
      </c>
      <c r="R21" s="96" t="s">
        <v>14313</v>
      </c>
      <c r="S21" s="96" t="s">
        <v>14314</v>
      </c>
      <c r="T21" s="96" t="s">
        <v>14307</v>
      </c>
      <c r="U21" s="96" t="s">
        <v>14315</v>
      </c>
      <c r="V21" s="96" t="s">
        <v>14316</v>
      </c>
      <c r="W21" s="96" t="s">
        <v>14317</v>
      </c>
      <c r="X21" s="96" t="s">
        <v>14318</v>
      </c>
      <c r="Y21" s="96" t="s">
        <v>14319</v>
      </c>
      <c r="Z21" s="96" t="s">
        <v>14320</v>
      </c>
      <c r="AA21" s="96" t="s">
        <v>14321</v>
      </c>
      <c r="AB21" s="96" t="s">
        <v>14322</v>
      </c>
      <c r="AC21" s="96" t="s">
        <v>14323</v>
      </c>
      <c r="AD21" s="57"/>
    </row>
    <row r="22">
      <c r="A22" s="96" t="s">
        <v>11588</v>
      </c>
      <c r="B22" s="96" t="s">
        <v>11589</v>
      </c>
      <c r="C22" s="97" t="s">
        <v>14324</v>
      </c>
      <c r="D22" s="96" t="s">
        <v>14325</v>
      </c>
      <c r="E22" s="96" t="s">
        <v>14326</v>
      </c>
      <c r="F22" s="96" t="s">
        <v>14327</v>
      </c>
      <c r="G22" s="96" t="s">
        <v>14328</v>
      </c>
      <c r="H22" s="96" t="s">
        <v>14329</v>
      </c>
      <c r="I22" s="96" t="s">
        <v>14330</v>
      </c>
      <c r="J22" s="96" t="s">
        <v>14331</v>
      </c>
      <c r="K22" s="96" t="s">
        <v>14332</v>
      </c>
      <c r="L22" s="96" t="s">
        <v>11589</v>
      </c>
      <c r="M22" s="96" t="s">
        <v>14333</v>
      </c>
      <c r="N22" s="96" t="s">
        <v>14334</v>
      </c>
      <c r="O22" s="96" t="s">
        <v>14335</v>
      </c>
      <c r="P22" s="96" t="s">
        <v>14336</v>
      </c>
      <c r="Q22" s="96" t="s">
        <v>14337</v>
      </c>
      <c r="R22" s="96" t="s">
        <v>14338</v>
      </c>
      <c r="S22" s="96" t="s">
        <v>14339</v>
      </c>
      <c r="T22" s="96" t="s">
        <v>14340</v>
      </c>
      <c r="U22" s="96" t="s">
        <v>14341</v>
      </c>
      <c r="V22" s="96" t="s">
        <v>14342</v>
      </c>
      <c r="W22" s="96" t="s">
        <v>14328</v>
      </c>
      <c r="X22" s="96" t="s">
        <v>14343</v>
      </c>
      <c r="Y22" s="96" t="s">
        <v>14344</v>
      </c>
      <c r="Z22" s="96" t="s">
        <v>14345</v>
      </c>
      <c r="AA22" s="96" t="s">
        <v>14346</v>
      </c>
      <c r="AB22" s="96" t="s">
        <v>14347</v>
      </c>
      <c r="AC22" s="96" t="s">
        <v>14348</v>
      </c>
      <c r="AD22" s="57"/>
    </row>
    <row r="23">
      <c r="A23" s="96" t="s">
        <v>11590</v>
      </c>
      <c r="B23" s="96" t="s">
        <v>11591</v>
      </c>
      <c r="C23" s="97" t="s">
        <v>14324</v>
      </c>
      <c r="D23" s="96" t="s">
        <v>14349</v>
      </c>
      <c r="E23" s="96" t="s">
        <v>14350</v>
      </c>
      <c r="F23" s="96" t="s">
        <v>14351</v>
      </c>
      <c r="G23" s="96" t="s">
        <v>14352</v>
      </c>
      <c r="H23" s="96" t="s">
        <v>14353</v>
      </c>
      <c r="I23" s="96" t="s">
        <v>14354</v>
      </c>
      <c r="J23" s="96" t="s">
        <v>14355</v>
      </c>
      <c r="K23" s="96" t="s">
        <v>14332</v>
      </c>
      <c r="L23" s="96" t="s">
        <v>11591</v>
      </c>
      <c r="M23" s="96" t="s">
        <v>14356</v>
      </c>
      <c r="N23" s="96" t="s">
        <v>14334</v>
      </c>
      <c r="O23" s="96" t="s">
        <v>14335</v>
      </c>
      <c r="P23" s="96" t="s">
        <v>14336</v>
      </c>
      <c r="Q23" s="96" t="s">
        <v>14337</v>
      </c>
      <c r="R23" s="96" t="s">
        <v>14338</v>
      </c>
      <c r="S23" s="96" t="s">
        <v>14357</v>
      </c>
      <c r="T23" s="96" t="s">
        <v>14358</v>
      </c>
      <c r="U23" s="96" t="s">
        <v>14359</v>
      </c>
      <c r="V23" s="96" t="s">
        <v>14360</v>
      </c>
      <c r="W23" s="96" t="s">
        <v>14352</v>
      </c>
      <c r="X23" s="96" t="s">
        <v>14361</v>
      </c>
      <c r="Y23" s="96" t="s">
        <v>14344</v>
      </c>
      <c r="Z23" s="96" t="s">
        <v>237</v>
      </c>
      <c r="AA23" s="96" t="s">
        <v>14362</v>
      </c>
      <c r="AB23" s="96" t="s">
        <v>14347</v>
      </c>
      <c r="AC23" s="96" t="s">
        <v>718</v>
      </c>
      <c r="AD23" s="57"/>
    </row>
    <row r="24">
      <c r="A24" s="96" t="s">
        <v>11592</v>
      </c>
      <c r="B24" s="96" t="s">
        <v>11593</v>
      </c>
      <c r="C24" s="97" t="s">
        <v>14363</v>
      </c>
      <c r="D24" s="96" t="s">
        <v>14364</v>
      </c>
      <c r="E24" s="96" t="s">
        <v>14365</v>
      </c>
      <c r="F24" s="96" t="s">
        <v>14366</v>
      </c>
      <c r="G24" s="96" t="s">
        <v>14367</v>
      </c>
      <c r="H24" s="96" t="s">
        <v>14368</v>
      </c>
      <c r="I24" s="96" t="s">
        <v>14369</v>
      </c>
      <c r="J24" s="96" t="s">
        <v>14370</v>
      </c>
      <c r="K24" s="96" t="s">
        <v>14371</v>
      </c>
      <c r="L24" s="96" t="s">
        <v>14372</v>
      </c>
      <c r="M24" s="96" t="s">
        <v>14373</v>
      </c>
      <c r="N24" s="96" t="s">
        <v>14374</v>
      </c>
      <c r="O24" s="96" t="s">
        <v>14375</v>
      </c>
      <c r="P24" s="96" t="s">
        <v>14376</v>
      </c>
      <c r="Q24" s="96" t="s">
        <v>14377</v>
      </c>
      <c r="R24" s="96" t="s">
        <v>11593</v>
      </c>
      <c r="S24" s="96" t="s">
        <v>14378</v>
      </c>
      <c r="T24" s="96" t="s">
        <v>14379</v>
      </c>
      <c r="U24" s="96" t="s">
        <v>14380</v>
      </c>
      <c r="V24" s="96" t="s">
        <v>14381</v>
      </c>
      <c r="W24" s="96" t="s">
        <v>14382</v>
      </c>
      <c r="X24" s="96" t="s">
        <v>14383</v>
      </c>
      <c r="Y24" s="96" t="s">
        <v>14384</v>
      </c>
      <c r="Z24" s="96" t="s">
        <v>14385</v>
      </c>
      <c r="AA24" s="96" t="s">
        <v>14386</v>
      </c>
      <c r="AB24" s="96" t="s">
        <v>14387</v>
      </c>
      <c r="AC24" s="96" t="s">
        <v>14388</v>
      </c>
      <c r="AD24" s="57"/>
    </row>
    <row r="25">
      <c r="A25" s="96" t="s">
        <v>11594</v>
      </c>
      <c r="B25" s="96" t="s">
        <v>11595</v>
      </c>
      <c r="C25" s="97" t="s">
        <v>14389</v>
      </c>
      <c r="D25" s="96" t="s">
        <v>14390</v>
      </c>
      <c r="E25" s="96" t="s">
        <v>14391</v>
      </c>
      <c r="F25" s="96" t="s">
        <v>14392</v>
      </c>
      <c r="G25" s="96" t="s">
        <v>14393</v>
      </c>
      <c r="H25" s="96" t="s">
        <v>14394</v>
      </c>
      <c r="I25" s="96" t="s">
        <v>14395</v>
      </c>
      <c r="J25" s="96" t="s">
        <v>14396</v>
      </c>
      <c r="K25" s="96" t="s">
        <v>14397</v>
      </c>
      <c r="L25" s="96" t="s">
        <v>14398</v>
      </c>
      <c r="M25" s="96" t="s">
        <v>14399</v>
      </c>
      <c r="N25" s="96" t="s">
        <v>14400</v>
      </c>
      <c r="O25" s="96" t="s">
        <v>14401</v>
      </c>
      <c r="P25" s="96" t="s">
        <v>14402</v>
      </c>
      <c r="Q25" s="96" t="s">
        <v>14403</v>
      </c>
      <c r="R25" s="96" t="s">
        <v>14404</v>
      </c>
      <c r="S25" s="96" t="s">
        <v>14405</v>
      </c>
      <c r="T25" s="96" t="s">
        <v>14406</v>
      </c>
      <c r="U25" s="96" t="s">
        <v>14407</v>
      </c>
      <c r="V25" s="96" t="s">
        <v>14408</v>
      </c>
      <c r="W25" s="96" t="s">
        <v>14409</v>
      </c>
      <c r="X25" s="96" t="s">
        <v>14410</v>
      </c>
      <c r="Y25" s="96" t="s">
        <v>14411</v>
      </c>
      <c r="Z25" s="96" t="s">
        <v>14412</v>
      </c>
      <c r="AA25" s="96" t="s">
        <v>14413</v>
      </c>
      <c r="AB25" s="96" t="s">
        <v>14414</v>
      </c>
      <c r="AC25" s="96" t="s">
        <v>14415</v>
      </c>
      <c r="AD25" s="57"/>
    </row>
    <row r="26">
      <c r="A26" s="96" t="s">
        <v>11596</v>
      </c>
      <c r="B26" s="96" t="s">
        <v>11597</v>
      </c>
      <c r="C26" s="97" t="s">
        <v>14416</v>
      </c>
      <c r="D26" s="96" t="s">
        <v>14417</v>
      </c>
      <c r="E26" s="96" t="s">
        <v>14418</v>
      </c>
      <c r="F26" s="96" t="s">
        <v>14419</v>
      </c>
      <c r="G26" s="96" t="s">
        <v>14420</v>
      </c>
      <c r="H26" s="96" t="s">
        <v>14421</v>
      </c>
      <c r="I26" s="96" t="s">
        <v>14422</v>
      </c>
      <c r="J26" s="96" t="s">
        <v>14423</v>
      </c>
      <c r="K26" s="96" t="s">
        <v>14424</v>
      </c>
      <c r="L26" s="96" t="s">
        <v>14425</v>
      </c>
      <c r="M26" s="96" t="s">
        <v>14426</v>
      </c>
      <c r="N26" s="96" t="s">
        <v>14427</v>
      </c>
      <c r="O26" s="96" t="s">
        <v>14428</v>
      </c>
      <c r="P26" s="96" t="s">
        <v>14429</v>
      </c>
      <c r="Q26" s="96" t="s">
        <v>14430</v>
      </c>
      <c r="R26" s="96" t="s">
        <v>14431</v>
      </c>
      <c r="S26" s="96" t="s">
        <v>14432</v>
      </c>
      <c r="T26" s="96" t="s">
        <v>14433</v>
      </c>
      <c r="U26" s="96" t="s">
        <v>14434</v>
      </c>
      <c r="V26" s="96" t="s">
        <v>14435</v>
      </c>
      <c r="W26" s="96" t="s">
        <v>14436</v>
      </c>
      <c r="X26" s="96" t="s">
        <v>14437</v>
      </c>
      <c r="Y26" s="96" t="s">
        <v>14438</v>
      </c>
      <c r="Z26" s="96" t="s">
        <v>14439</v>
      </c>
      <c r="AA26" s="96" t="s">
        <v>14440</v>
      </c>
      <c r="AB26" s="96" t="s">
        <v>14441</v>
      </c>
      <c r="AC26" s="96" t="s">
        <v>14442</v>
      </c>
      <c r="AD26" s="57"/>
    </row>
    <row r="27">
      <c r="A27" s="96" t="s">
        <v>11598</v>
      </c>
      <c r="B27" s="96" t="s">
        <v>11599</v>
      </c>
      <c r="C27" s="97" t="s">
        <v>14443</v>
      </c>
      <c r="D27" s="96" t="s">
        <v>14444</v>
      </c>
      <c r="E27" s="96" t="s">
        <v>14445</v>
      </c>
      <c r="F27" s="96" t="s">
        <v>14446</v>
      </c>
      <c r="G27" s="96" t="s">
        <v>14447</v>
      </c>
      <c r="H27" s="96" t="s">
        <v>14448</v>
      </c>
      <c r="I27" s="96" t="s">
        <v>14449</v>
      </c>
      <c r="J27" s="96" t="s">
        <v>14450</v>
      </c>
      <c r="K27" s="96" t="s">
        <v>14451</v>
      </c>
      <c r="L27" s="96" t="s">
        <v>14452</v>
      </c>
      <c r="M27" s="96" t="s">
        <v>14453</v>
      </c>
      <c r="N27" s="96" t="s">
        <v>14454</v>
      </c>
      <c r="O27" s="96" t="s">
        <v>14455</v>
      </c>
      <c r="P27" s="96" t="s">
        <v>14456</v>
      </c>
      <c r="Q27" s="96" t="s">
        <v>14457</v>
      </c>
      <c r="R27" s="96" t="s">
        <v>14458</v>
      </c>
      <c r="S27" s="96" t="s">
        <v>14459</v>
      </c>
      <c r="T27" s="96" t="s">
        <v>14460</v>
      </c>
      <c r="U27" s="96" t="s">
        <v>14461</v>
      </c>
      <c r="V27" s="96" t="s">
        <v>14462</v>
      </c>
      <c r="W27" s="96" t="s">
        <v>14463</v>
      </c>
      <c r="X27" s="96" t="s">
        <v>14464</v>
      </c>
      <c r="Y27" s="96" t="s">
        <v>14465</v>
      </c>
      <c r="Z27" s="96" t="s">
        <v>14466</v>
      </c>
      <c r="AA27" s="96" t="s">
        <v>14467</v>
      </c>
      <c r="AB27" s="96" t="s">
        <v>14468</v>
      </c>
      <c r="AC27" s="96" t="s">
        <v>14469</v>
      </c>
      <c r="AD27" s="57"/>
    </row>
    <row r="28">
      <c r="A28" s="96" t="s">
        <v>11600</v>
      </c>
      <c r="B28" s="96" t="s">
        <v>11601</v>
      </c>
      <c r="C28" s="97" t="s">
        <v>14470</v>
      </c>
      <c r="D28" s="96" t="s">
        <v>14471</v>
      </c>
      <c r="E28" s="96" t="s">
        <v>14472</v>
      </c>
      <c r="F28" s="96" t="s">
        <v>14473</v>
      </c>
      <c r="G28" s="96" t="s">
        <v>14474</v>
      </c>
      <c r="H28" s="96" t="s">
        <v>14475</v>
      </c>
      <c r="I28" s="96" t="s">
        <v>14476</v>
      </c>
      <c r="J28" s="96" t="s">
        <v>14477</v>
      </c>
      <c r="K28" s="96" t="s">
        <v>14478</v>
      </c>
      <c r="L28" s="96" t="s">
        <v>14479</v>
      </c>
      <c r="M28" s="96" t="s">
        <v>14480</v>
      </c>
      <c r="N28" s="96" t="s">
        <v>14481</v>
      </c>
      <c r="O28" s="96" t="s">
        <v>14482</v>
      </c>
      <c r="P28" s="96" t="s">
        <v>14483</v>
      </c>
      <c r="Q28" s="96" t="s">
        <v>14484</v>
      </c>
      <c r="R28" s="96" t="s">
        <v>14485</v>
      </c>
      <c r="S28" s="96" t="s">
        <v>14486</v>
      </c>
      <c r="T28" s="96" t="s">
        <v>14487</v>
      </c>
      <c r="U28" s="96" t="s">
        <v>14488</v>
      </c>
      <c r="V28" s="96" t="s">
        <v>14489</v>
      </c>
      <c r="W28" s="96" t="s">
        <v>14490</v>
      </c>
      <c r="X28" s="96" t="s">
        <v>14491</v>
      </c>
      <c r="Y28" s="96" t="s">
        <v>14492</v>
      </c>
      <c r="Z28" s="96" t="s">
        <v>14493</v>
      </c>
      <c r="AA28" s="96" t="s">
        <v>14494</v>
      </c>
      <c r="AB28" s="96" t="s">
        <v>14495</v>
      </c>
      <c r="AC28" s="96" t="s">
        <v>14496</v>
      </c>
      <c r="AD28" s="57"/>
    </row>
    <row r="29">
      <c r="A29" s="96" t="s">
        <v>11602</v>
      </c>
      <c r="B29" s="96" t="s">
        <v>11603</v>
      </c>
      <c r="C29" s="97" t="s">
        <v>14497</v>
      </c>
      <c r="D29" s="96" t="s">
        <v>14498</v>
      </c>
      <c r="E29" s="96" t="s">
        <v>14499</v>
      </c>
      <c r="F29" s="96" t="s">
        <v>14500</v>
      </c>
      <c r="G29" s="96" t="s">
        <v>14501</v>
      </c>
      <c r="H29" s="96" t="s">
        <v>14502</v>
      </c>
      <c r="I29" s="96" t="s">
        <v>14503</v>
      </c>
      <c r="J29" s="96" t="s">
        <v>14504</v>
      </c>
      <c r="K29" s="96" t="s">
        <v>14505</v>
      </c>
      <c r="L29" s="96" t="s">
        <v>14506</v>
      </c>
      <c r="M29" s="96" t="s">
        <v>14507</v>
      </c>
      <c r="N29" s="96" t="s">
        <v>14508</v>
      </c>
      <c r="O29" s="96" t="s">
        <v>14509</v>
      </c>
      <c r="P29" s="96" t="s">
        <v>14510</v>
      </c>
      <c r="Q29" s="96" t="s">
        <v>14511</v>
      </c>
      <c r="R29" s="96" t="s">
        <v>14512</v>
      </c>
      <c r="S29" s="96" t="s">
        <v>14513</v>
      </c>
      <c r="T29" s="96" t="s">
        <v>14514</v>
      </c>
      <c r="U29" s="96" t="s">
        <v>14515</v>
      </c>
      <c r="V29" s="96" t="s">
        <v>14516</v>
      </c>
      <c r="W29" s="96" t="s">
        <v>14517</v>
      </c>
      <c r="X29" s="96" t="s">
        <v>14518</v>
      </c>
      <c r="Y29" s="96" t="s">
        <v>14519</v>
      </c>
      <c r="Z29" s="96" t="s">
        <v>14520</v>
      </c>
      <c r="AA29" s="96" t="s">
        <v>14521</v>
      </c>
      <c r="AB29" s="96" t="s">
        <v>14522</v>
      </c>
      <c r="AC29" s="96" t="s">
        <v>14523</v>
      </c>
      <c r="AD29" s="57"/>
    </row>
    <row r="30">
      <c r="A30" s="96" t="s">
        <v>11604</v>
      </c>
      <c r="B30" s="96" t="s">
        <v>11605</v>
      </c>
      <c r="C30" s="97" t="s">
        <v>14524</v>
      </c>
      <c r="D30" s="96" t="s">
        <v>11139</v>
      </c>
      <c r="E30" s="96" t="s">
        <v>14525</v>
      </c>
      <c r="F30" s="96" t="s">
        <v>14526</v>
      </c>
      <c r="G30" s="96" t="s">
        <v>14527</v>
      </c>
      <c r="H30" s="96" t="s">
        <v>14528</v>
      </c>
      <c r="I30" s="96" t="s">
        <v>14529</v>
      </c>
      <c r="J30" s="96" t="s">
        <v>14530</v>
      </c>
      <c r="K30" s="96" t="s">
        <v>14531</v>
      </c>
      <c r="L30" s="96" t="s">
        <v>14532</v>
      </c>
      <c r="M30" s="96" t="s">
        <v>14533</v>
      </c>
      <c r="N30" s="96" t="s">
        <v>14534</v>
      </c>
      <c r="O30" s="96" t="s">
        <v>14535</v>
      </c>
      <c r="P30" s="96" t="s">
        <v>14536</v>
      </c>
      <c r="Q30" s="96" t="s">
        <v>14537</v>
      </c>
      <c r="R30" s="96" t="s">
        <v>14538</v>
      </c>
      <c r="S30" s="96" t="s">
        <v>14539</v>
      </c>
      <c r="T30" s="96" t="s">
        <v>14540</v>
      </c>
      <c r="U30" s="96" t="s">
        <v>14541</v>
      </c>
      <c r="V30" s="96" t="s">
        <v>14542</v>
      </c>
      <c r="W30" s="96" t="s">
        <v>14543</v>
      </c>
      <c r="X30" s="96" t="s">
        <v>14544</v>
      </c>
      <c r="Y30" s="96" t="s">
        <v>14545</v>
      </c>
      <c r="Z30" s="96" t="s">
        <v>14546</v>
      </c>
      <c r="AA30" s="96" t="s">
        <v>14547</v>
      </c>
      <c r="AB30" s="96" t="s">
        <v>14548</v>
      </c>
      <c r="AC30" s="96" t="s">
        <v>14549</v>
      </c>
      <c r="AD30" s="57"/>
    </row>
    <row r="31">
      <c r="A31" s="96" t="s">
        <v>11606</v>
      </c>
      <c r="B31" s="96" t="s">
        <v>11607</v>
      </c>
      <c r="C31" s="97" t="s">
        <v>14550</v>
      </c>
      <c r="D31" s="96" t="s">
        <v>14551</v>
      </c>
      <c r="E31" s="96" t="s">
        <v>14552</v>
      </c>
      <c r="F31" s="96" t="s">
        <v>14553</v>
      </c>
      <c r="G31" s="96" t="s">
        <v>14554</v>
      </c>
      <c r="H31" s="96" t="s">
        <v>14555</v>
      </c>
      <c r="I31" s="96" t="s">
        <v>14556</v>
      </c>
      <c r="J31" s="96" t="s">
        <v>14557</v>
      </c>
      <c r="K31" s="96" t="s">
        <v>14558</v>
      </c>
      <c r="L31" s="96" t="s">
        <v>14559</v>
      </c>
      <c r="M31" s="96" t="s">
        <v>14560</v>
      </c>
      <c r="N31" s="96" t="s">
        <v>14561</v>
      </c>
      <c r="O31" s="96" t="s">
        <v>14562</v>
      </c>
      <c r="P31" s="96" t="s">
        <v>14563</v>
      </c>
      <c r="Q31" s="96" t="s">
        <v>14564</v>
      </c>
      <c r="R31" s="96" t="s">
        <v>14565</v>
      </c>
      <c r="S31" s="96" t="s">
        <v>14566</v>
      </c>
      <c r="T31" s="96" t="s">
        <v>14567</v>
      </c>
      <c r="U31" s="96" t="s">
        <v>14568</v>
      </c>
      <c r="V31" s="96" t="s">
        <v>14569</v>
      </c>
      <c r="W31" s="96" t="s">
        <v>14570</v>
      </c>
      <c r="X31" s="96" t="s">
        <v>14571</v>
      </c>
      <c r="Y31" s="96" t="s">
        <v>14572</v>
      </c>
      <c r="Z31" s="96" t="s">
        <v>14573</v>
      </c>
      <c r="AA31" s="96" t="s">
        <v>14574</v>
      </c>
      <c r="AB31" s="96" t="s">
        <v>14575</v>
      </c>
      <c r="AC31" s="96" t="s">
        <v>14576</v>
      </c>
      <c r="AD31" s="57"/>
    </row>
    <row r="32">
      <c r="A32" s="96" t="s">
        <v>11608</v>
      </c>
      <c r="B32" s="96" t="s">
        <v>11609</v>
      </c>
      <c r="C32" s="97" t="s">
        <v>14577</v>
      </c>
      <c r="D32" s="96" t="s">
        <v>14578</v>
      </c>
      <c r="E32" s="96" t="s">
        <v>14579</v>
      </c>
      <c r="F32" s="96" t="s">
        <v>14580</v>
      </c>
      <c r="G32" s="96" t="s">
        <v>14581</v>
      </c>
      <c r="H32" s="96" t="s">
        <v>14582</v>
      </c>
      <c r="I32" s="96" t="s">
        <v>14583</v>
      </c>
      <c r="J32" s="96" t="s">
        <v>14584</v>
      </c>
      <c r="K32" s="96" t="s">
        <v>14585</v>
      </c>
      <c r="L32" s="96" t="s">
        <v>14586</v>
      </c>
      <c r="M32" s="96" t="s">
        <v>14587</v>
      </c>
      <c r="N32" s="96" t="s">
        <v>14588</v>
      </c>
      <c r="O32" s="96" t="s">
        <v>14589</v>
      </c>
      <c r="P32" s="96" t="s">
        <v>14590</v>
      </c>
      <c r="Q32" s="96" t="s">
        <v>14591</v>
      </c>
      <c r="R32" s="96" t="s">
        <v>14592</v>
      </c>
      <c r="S32" s="96" t="s">
        <v>14593</v>
      </c>
      <c r="T32" s="96" t="s">
        <v>14586</v>
      </c>
      <c r="U32" s="96" t="s">
        <v>14594</v>
      </c>
      <c r="V32" s="96" t="s">
        <v>14595</v>
      </c>
      <c r="W32" s="96" t="s">
        <v>14596</v>
      </c>
      <c r="X32" s="96" t="s">
        <v>14597</v>
      </c>
      <c r="Y32" s="96" t="s">
        <v>14598</v>
      </c>
      <c r="Z32" s="96" t="s">
        <v>14599</v>
      </c>
      <c r="AA32" s="96" t="s">
        <v>14600</v>
      </c>
      <c r="AB32" s="96" t="s">
        <v>14601</v>
      </c>
      <c r="AC32" s="96" t="s">
        <v>14602</v>
      </c>
      <c r="AD32" s="57"/>
    </row>
    <row r="33">
      <c r="A33" s="96" t="s">
        <v>11610</v>
      </c>
      <c r="B33" s="96" t="s">
        <v>11611</v>
      </c>
      <c r="C33" s="97" t="s">
        <v>14603</v>
      </c>
      <c r="D33" s="96" t="s">
        <v>14604</v>
      </c>
      <c r="E33" s="96" t="s">
        <v>14605</v>
      </c>
      <c r="F33" s="96" t="s">
        <v>14606</v>
      </c>
      <c r="G33" s="96" t="s">
        <v>14607</v>
      </c>
      <c r="H33" s="96" t="s">
        <v>14608</v>
      </c>
      <c r="I33" s="96" t="s">
        <v>14609</v>
      </c>
      <c r="J33" s="96" t="s">
        <v>14610</v>
      </c>
      <c r="K33" s="96" t="s">
        <v>14611</v>
      </c>
      <c r="L33" s="96" t="s">
        <v>14612</v>
      </c>
      <c r="M33" s="96" t="s">
        <v>14613</v>
      </c>
      <c r="N33" s="96" t="s">
        <v>14614</v>
      </c>
      <c r="O33" s="96" t="s">
        <v>14615</v>
      </c>
      <c r="P33" s="96" t="s">
        <v>14616</v>
      </c>
      <c r="Q33" s="96" t="s">
        <v>14617</v>
      </c>
      <c r="R33" s="96" t="s">
        <v>14618</v>
      </c>
      <c r="S33" s="96" t="s">
        <v>14619</v>
      </c>
      <c r="T33" s="96" t="s">
        <v>14620</v>
      </c>
      <c r="U33" s="96" t="s">
        <v>14621</v>
      </c>
      <c r="V33" s="96" t="s">
        <v>14622</v>
      </c>
      <c r="W33" s="96" t="s">
        <v>14623</v>
      </c>
      <c r="X33" s="96" t="s">
        <v>14624</v>
      </c>
      <c r="Y33" s="96" t="s">
        <v>14625</v>
      </c>
      <c r="Z33" s="96" t="s">
        <v>14626</v>
      </c>
      <c r="AA33" s="96" t="s">
        <v>14627</v>
      </c>
      <c r="AB33" s="96" t="s">
        <v>14628</v>
      </c>
      <c r="AC33" s="96" t="s">
        <v>14629</v>
      </c>
      <c r="AD33" s="57"/>
    </row>
    <row r="34">
      <c r="A34" s="96" t="s">
        <v>11612</v>
      </c>
      <c r="B34" s="96" t="s">
        <v>11613</v>
      </c>
      <c r="C34" s="97" t="s">
        <v>14630</v>
      </c>
      <c r="D34" s="96" t="s">
        <v>14631</v>
      </c>
      <c r="E34" s="96" t="s">
        <v>14632</v>
      </c>
      <c r="F34" s="96" t="s">
        <v>14633</v>
      </c>
      <c r="G34" s="96" t="s">
        <v>14634</v>
      </c>
      <c r="H34" s="96" t="s">
        <v>14635</v>
      </c>
      <c r="I34" s="96" t="s">
        <v>14636</v>
      </c>
      <c r="J34" s="96" t="s">
        <v>14637</v>
      </c>
      <c r="K34" s="96" t="s">
        <v>14068</v>
      </c>
      <c r="L34" s="96" t="s">
        <v>11613</v>
      </c>
      <c r="M34" s="96" t="s">
        <v>14638</v>
      </c>
      <c r="N34" s="96" t="s">
        <v>14071</v>
      </c>
      <c r="O34" s="96" t="s">
        <v>14639</v>
      </c>
      <c r="P34" s="96" t="s">
        <v>14640</v>
      </c>
      <c r="Q34" s="96" t="s">
        <v>14641</v>
      </c>
      <c r="R34" s="96" t="s">
        <v>14642</v>
      </c>
      <c r="S34" s="96" t="s">
        <v>14643</v>
      </c>
      <c r="T34" s="96" t="s">
        <v>11613</v>
      </c>
      <c r="U34" s="96" t="s">
        <v>14644</v>
      </c>
      <c r="V34" s="96" t="s">
        <v>14645</v>
      </c>
      <c r="W34" s="96" t="s">
        <v>14646</v>
      </c>
      <c r="X34" s="96" t="s">
        <v>14647</v>
      </c>
      <c r="Y34" s="96" t="s">
        <v>14648</v>
      </c>
      <c r="Z34" s="96" t="s">
        <v>14649</v>
      </c>
      <c r="AA34" s="96" t="s">
        <v>14650</v>
      </c>
      <c r="AB34" s="96" t="s">
        <v>14651</v>
      </c>
      <c r="AC34" s="96" t="s">
        <v>14652</v>
      </c>
      <c r="AD34" s="57"/>
    </row>
    <row r="35">
      <c r="A35" s="96" t="s">
        <v>11614</v>
      </c>
      <c r="B35" s="96" t="s">
        <v>11566</v>
      </c>
      <c r="C35" s="97" t="s">
        <v>14060</v>
      </c>
      <c r="D35" s="96" t="s">
        <v>14061</v>
      </c>
      <c r="E35" s="96" t="s">
        <v>14062</v>
      </c>
      <c r="F35" s="96" t="s">
        <v>14063</v>
      </c>
      <c r="G35" s="96" t="s">
        <v>14064</v>
      </c>
      <c r="H35" s="96" t="s">
        <v>14065</v>
      </c>
      <c r="I35" s="96" t="s">
        <v>14066</v>
      </c>
      <c r="J35" s="96" t="s">
        <v>14067</v>
      </c>
      <c r="K35" s="96" t="s">
        <v>14068</v>
      </c>
      <c r="L35" s="96" t="s">
        <v>14069</v>
      </c>
      <c r="M35" s="96" t="s">
        <v>14070</v>
      </c>
      <c r="N35" s="96" t="s">
        <v>14071</v>
      </c>
      <c r="O35" s="96" t="s">
        <v>14072</v>
      </c>
      <c r="P35" s="96" t="s">
        <v>14073</v>
      </c>
      <c r="Q35" s="96" t="s">
        <v>14074</v>
      </c>
      <c r="R35" s="96" t="s">
        <v>10085</v>
      </c>
      <c r="S35" s="96" t="s">
        <v>14075</v>
      </c>
      <c r="T35" s="96" t="s">
        <v>14076</v>
      </c>
      <c r="U35" s="96" t="s">
        <v>14077</v>
      </c>
      <c r="V35" s="96" t="s">
        <v>14061</v>
      </c>
      <c r="W35" s="96" t="s">
        <v>14078</v>
      </c>
      <c r="X35" s="96" t="s">
        <v>14079</v>
      </c>
      <c r="Y35" s="96" t="s">
        <v>14080</v>
      </c>
      <c r="Z35" s="96" t="s">
        <v>14081</v>
      </c>
      <c r="AA35" s="96" t="s">
        <v>14082</v>
      </c>
      <c r="AB35" s="96" t="s">
        <v>14083</v>
      </c>
      <c r="AC35" s="96" t="s">
        <v>10096</v>
      </c>
      <c r="AD35" s="57"/>
    </row>
    <row r="36">
      <c r="A36" s="96" t="s">
        <v>11615</v>
      </c>
      <c r="B36" s="96" t="s">
        <v>11562</v>
      </c>
      <c r="C36" s="97" t="s">
        <v>14015</v>
      </c>
      <c r="D36" s="96" t="s">
        <v>14016</v>
      </c>
      <c r="E36" s="96" t="s">
        <v>14017</v>
      </c>
      <c r="F36" s="96" t="s">
        <v>14018</v>
      </c>
      <c r="G36" s="96" t="s">
        <v>14019</v>
      </c>
      <c r="H36" s="96" t="s">
        <v>14020</v>
      </c>
      <c r="I36" s="96" t="s">
        <v>14021</v>
      </c>
      <c r="J36" s="96" t="s">
        <v>14022</v>
      </c>
      <c r="K36" s="96" t="s">
        <v>14023</v>
      </c>
      <c r="L36" s="96" t="s">
        <v>14024</v>
      </c>
      <c r="M36" s="96" t="s">
        <v>14025</v>
      </c>
      <c r="N36" s="96" t="s">
        <v>14026</v>
      </c>
      <c r="O36" s="96" t="s">
        <v>14027</v>
      </c>
      <c r="P36" s="96" t="s">
        <v>14028</v>
      </c>
      <c r="Q36" s="96" t="s">
        <v>14029</v>
      </c>
      <c r="R36" s="96" t="s">
        <v>14030</v>
      </c>
      <c r="S36" s="96" t="s">
        <v>14031</v>
      </c>
      <c r="T36" s="96" t="s">
        <v>14032</v>
      </c>
      <c r="U36" s="96" t="s">
        <v>14033</v>
      </c>
      <c r="V36" s="96" t="s">
        <v>14034</v>
      </c>
      <c r="W36" s="96" t="s">
        <v>14035</v>
      </c>
      <c r="X36" s="96" t="s">
        <v>14036</v>
      </c>
      <c r="Y36" s="96" t="s">
        <v>14037</v>
      </c>
      <c r="Z36" s="96" t="s">
        <v>14038</v>
      </c>
      <c r="AA36" s="96" t="s">
        <v>14039</v>
      </c>
      <c r="AB36" s="96" t="s">
        <v>14040</v>
      </c>
      <c r="AC36" s="96" t="s">
        <v>14041</v>
      </c>
      <c r="AD36" s="57"/>
    </row>
    <row r="37">
      <c r="A37" s="96" t="s">
        <v>11616</v>
      </c>
      <c r="B37" s="96" t="s">
        <v>11564</v>
      </c>
      <c r="C37" s="97" t="s">
        <v>14042</v>
      </c>
      <c r="D37" s="96" t="s">
        <v>14043</v>
      </c>
      <c r="E37" s="96" t="s">
        <v>11564</v>
      </c>
      <c r="F37" s="96" t="s">
        <v>11564</v>
      </c>
      <c r="G37" s="96" t="s">
        <v>11616</v>
      </c>
      <c r="H37" s="96" t="s">
        <v>14044</v>
      </c>
      <c r="I37" s="96" t="s">
        <v>14045</v>
      </c>
      <c r="J37" s="96" t="s">
        <v>11564</v>
      </c>
      <c r="K37" s="96" t="s">
        <v>14046</v>
      </c>
      <c r="L37" s="96" t="s">
        <v>14047</v>
      </c>
      <c r="M37" s="96" t="s">
        <v>14047</v>
      </c>
      <c r="N37" s="96" t="s">
        <v>14048</v>
      </c>
      <c r="O37" s="96" t="s">
        <v>14049</v>
      </c>
      <c r="P37" s="96" t="s">
        <v>14050</v>
      </c>
      <c r="Q37" s="96" t="s">
        <v>14051</v>
      </c>
      <c r="R37" s="96" t="s">
        <v>14052</v>
      </c>
      <c r="S37" s="96" t="s">
        <v>14053</v>
      </c>
      <c r="T37" s="96" t="s">
        <v>14047</v>
      </c>
      <c r="U37" s="96" t="s">
        <v>11564</v>
      </c>
      <c r="V37" s="96" t="s">
        <v>14054</v>
      </c>
      <c r="W37" s="96" t="s">
        <v>11564</v>
      </c>
      <c r="X37" s="96" t="s">
        <v>14055</v>
      </c>
      <c r="Y37" s="96" t="s">
        <v>14056</v>
      </c>
      <c r="Z37" s="96" t="s">
        <v>14057</v>
      </c>
      <c r="AA37" s="96" t="s">
        <v>14058</v>
      </c>
      <c r="AB37" s="96" t="s">
        <v>14059</v>
      </c>
      <c r="AC37" s="96" t="s">
        <v>14047</v>
      </c>
      <c r="AD37" s="57"/>
    </row>
    <row r="38">
      <c r="A38" s="96" t="s">
        <v>7034</v>
      </c>
      <c r="B38" s="96" t="s">
        <v>7035</v>
      </c>
      <c r="C38" s="97" t="s">
        <v>7036</v>
      </c>
      <c r="D38" s="96" t="s">
        <v>7037</v>
      </c>
      <c r="E38" s="96" t="s">
        <v>7038</v>
      </c>
      <c r="F38" s="96" t="s">
        <v>7039</v>
      </c>
      <c r="G38" s="96" t="s">
        <v>7040</v>
      </c>
      <c r="H38" s="96" t="s">
        <v>7041</v>
      </c>
      <c r="I38" s="96" t="s">
        <v>7042</v>
      </c>
      <c r="J38" s="96" t="s">
        <v>7043</v>
      </c>
      <c r="K38" s="96" t="s">
        <v>7044</v>
      </c>
      <c r="L38" s="96" t="s">
        <v>7045</v>
      </c>
      <c r="M38" s="96" t="s">
        <v>7046</v>
      </c>
      <c r="N38" s="96" t="s">
        <v>7047</v>
      </c>
      <c r="O38" s="96" t="s">
        <v>14653</v>
      </c>
      <c r="P38" s="96" t="s">
        <v>14654</v>
      </c>
      <c r="Q38" s="96" t="s">
        <v>7050</v>
      </c>
      <c r="R38" s="96" t="s">
        <v>14655</v>
      </c>
      <c r="S38" s="96" t="s">
        <v>7052</v>
      </c>
      <c r="T38" s="96" t="s">
        <v>7053</v>
      </c>
      <c r="U38" s="96" t="s">
        <v>7054</v>
      </c>
      <c r="V38" s="96" t="s">
        <v>7055</v>
      </c>
      <c r="W38" s="96" t="s">
        <v>7035</v>
      </c>
      <c r="X38" s="96" t="s">
        <v>7056</v>
      </c>
      <c r="Y38" s="96" t="s">
        <v>14656</v>
      </c>
      <c r="Z38" s="96" t="s">
        <v>7058</v>
      </c>
      <c r="AA38" s="96" t="s">
        <v>14657</v>
      </c>
      <c r="AB38" s="96" t="s">
        <v>7060</v>
      </c>
      <c r="AC38" s="96" t="s">
        <v>7061</v>
      </c>
      <c r="AD38" s="57"/>
    </row>
    <row r="39">
      <c r="A39" s="96" t="s">
        <v>11617</v>
      </c>
      <c r="B39" s="96" t="s">
        <v>14658</v>
      </c>
      <c r="C39" s="97" t="s">
        <v>14659</v>
      </c>
      <c r="D39" s="96" t="s">
        <v>14660</v>
      </c>
      <c r="E39" s="96" t="s">
        <v>14661</v>
      </c>
      <c r="F39" s="96" t="s">
        <v>14662</v>
      </c>
      <c r="G39" s="96" t="s">
        <v>14663</v>
      </c>
      <c r="H39" s="96" t="s">
        <v>14664</v>
      </c>
      <c r="I39" s="96" t="s">
        <v>14665</v>
      </c>
      <c r="J39" s="96" t="s">
        <v>14666</v>
      </c>
      <c r="K39" s="96" t="s">
        <v>14667</v>
      </c>
      <c r="L39" s="96" t="s">
        <v>14668</v>
      </c>
      <c r="M39" s="96" t="s">
        <v>14669</v>
      </c>
      <c r="N39" s="96" t="s">
        <v>14670</v>
      </c>
      <c r="O39" s="96" t="s">
        <v>14671</v>
      </c>
      <c r="P39" s="96" t="s">
        <v>14672</v>
      </c>
      <c r="Q39" s="96" t="s">
        <v>14673</v>
      </c>
      <c r="R39" s="96" t="s">
        <v>14674</v>
      </c>
      <c r="S39" s="96" t="s">
        <v>14675</v>
      </c>
      <c r="T39" s="96" t="s">
        <v>14668</v>
      </c>
      <c r="U39" s="96" t="s">
        <v>14676</v>
      </c>
      <c r="V39" s="96" t="s">
        <v>14677</v>
      </c>
      <c r="W39" s="96" t="s">
        <v>14678</v>
      </c>
      <c r="X39" s="96" t="s">
        <v>14679</v>
      </c>
      <c r="Y39" s="96" t="s">
        <v>14680</v>
      </c>
      <c r="Z39" s="96" t="s">
        <v>14681</v>
      </c>
      <c r="AA39" s="96" t="s">
        <v>14682</v>
      </c>
      <c r="AB39" s="96" t="s">
        <v>14683</v>
      </c>
      <c r="AC39" s="96" t="s">
        <v>14684</v>
      </c>
      <c r="AD39" s="57"/>
    </row>
    <row r="40">
      <c r="A40" s="22" t="s">
        <v>11619</v>
      </c>
      <c r="B40" s="23" t="s">
        <v>14685</v>
      </c>
      <c r="C40" s="24" t="s">
        <v>14686</v>
      </c>
      <c r="D40" s="23" t="s">
        <v>14687</v>
      </c>
      <c r="E40" s="23" t="s">
        <v>14688</v>
      </c>
      <c r="F40" s="23" t="s">
        <v>14689</v>
      </c>
      <c r="G40" s="23" t="s">
        <v>14690</v>
      </c>
      <c r="H40" s="23" t="s">
        <v>14691</v>
      </c>
      <c r="I40" s="23" t="s">
        <v>14692</v>
      </c>
      <c r="J40" s="23" t="s">
        <v>14693</v>
      </c>
      <c r="K40" s="23" t="s">
        <v>14694</v>
      </c>
      <c r="L40" s="23" t="s">
        <v>14695</v>
      </c>
      <c r="M40" s="23" t="s">
        <v>14696</v>
      </c>
      <c r="N40" s="23" t="s">
        <v>14697</v>
      </c>
      <c r="O40" s="27" t="s">
        <v>14698</v>
      </c>
      <c r="P40" s="23" t="s">
        <v>14699</v>
      </c>
      <c r="Q40" s="29" t="s">
        <v>14700</v>
      </c>
      <c r="R40" s="30" t="s">
        <v>14701</v>
      </c>
      <c r="S40" s="23" t="s">
        <v>14702</v>
      </c>
      <c r="T40" s="23" t="s">
        <v>14703</v>
      </c>
      <c r="U40" s="23" t="s">
        <v>14704</v>
      </c>
      <c r="V40" s="23" t="s">
        <v>14705</v>
      </c>
      <c r="W40" s="23" t="s">
        <v>14706</v>
      </c>
      <c r="X40" s="23" t="s">
        <v>14707</v>
      </c>
      <c r="Y40" s="31" t="s">
        <v>14708</v>
      </c>
      <c r="Z40" s="23" t="s">
        <v>14709</v>
      </c>
      <c r="AA40" s="23" t="s">
        <v>14710</v>
      </c>
      <c r="AB40" s="26" t="s">
        <v>14711</v>
      </c>
      <c r="AC40" s="23" t="s">
        <v>14712</v>
      </c>
      <c r="AD40" s="57"/>
    </row>
    <row r="41">
      <c r="A41" s="96" t="s">
        <v>11621</v>
      </c>
      <c r="B41" s="96" t="s">
        <v>11622</v>
      </c>
      <c r="C41" s="97" t="s">
        <v>14713</v>
      </c>
      <c r="D41" s="96" t="s">
        <v>14714</v>
      </c>
      <c r="E41" s="96" t="s">
        <v>14715</v>
      </c>
      <c r="F41" s="96" t="s">
        <v>14716</v>
      </c>
      <c r="G41" s="96" t="s">
        <v>14717</v>
      </c>
      <c r="H41" s="96" t="s">
        <v>14718</v>
      </c>
      <c r="I41" s="96" t="s">
        <v>5974</v>
      </c>
      <c r="J41" s="96" t="s">
        <v>5975</v>
      </c>
      <c r="K41" s="96" t="s">
        <v>14719</v>
      </c>
      <c r="L41" s="96" t="s">
        <v>14720</v>
      </c>
      <c r="M41" s="96" t="s">
        <v>14721</v>
      </c>
      <c r="N41" s="96" t="s">
        <v>14722</v>
      </c>
      <c r="O41" s="96" t="s">
        <v>14723</v>
      </c>
      <c r="P41" s="96" t="s">
        <v>14724</v>
      </c>
      <c r="Q41" s="96" t="s">
        <v>14725</v>
      </c>
      <c r="R41" s="96" t="s">
        <v>14726</v>
      </c>
      <c r="S41" s="96" t="s">
        <v>14727</v>
      </c>
      <c r="T41" s="96" t="s">
        <v>14728</v>
      </c>
      <c r="U41" s="96" t="s">
        <v>14729</v>
      </c>
      <c r="V41" s="96" t="s">
        <v>14730</v>
      </c>
      <c r="W41" s="96" t="s">
        <v>14717</v>
      </c>
      <c r="X41" s="96" t="s">
        <v>14731</v>
      </c>
      <c r="Y41" s="96" t="s">
        <v>14732</v>
      </c>
      <c r="Z41" s="96" t="s">
        <v>14733</v>
      </c>
      <c r="AA41" s="96" t="s">
        <v>14734</v>
      </c>
      <c r="AB41" s="96" t="s">
        <v>14735</v>
      </c>
      <c r="AC41" s="96" t="s">
        <v>14736</v>
      </c>
      <c r="AD41" s="57"/>
    </row>
    <row r="42">
      <c r="A42" s="96" t="s">
        <v>11623</v>
      </c>
      <c r="B42" s="96" t="s">
        <v>11624</v>
      </c>
      <c r="C42" s="97" t="s">
        <v>14737</v>
      </c>
      <c r="D42" s="96" t="s">
        <v>14738</v>
      </c>
      <c r="E42" s="96" t="s">
        <v>14739</v>
      </c>
      <c r="F42" s="96" t="s">
        <v>14740</v>
      </c>
      <c r="G42" s="96" t="s">
        <v>14741</v>
      </c>
      <c r="H42" s="96" t="s">
        <v>14742</v>
      </c>
      <c r="I42" s="96" t="s">
        <v>14743</v>
      </c>
      <c r="J42" s="96" t="s">
        <v>14744</v>
      </c>
      <c r="K42" s="96" t="s">
        <v>14745</v>
      </c>
      <c r="L42" s="96" t="s">
        <v>14746</v>
      </c>
      <c r="M42" s="96" t="s">
        <v>14747</v>
      </c>
      <c r="N42" s="96" t="s">
        <v>14748</v>
      </c>
      <c r="O42" s="96" t="s">
        <v>14749</v>
      </c>
      <c r="P42" s="96" t="s">
        <v>14750</v>
      </c>
      <c r="Q42" s="96" t="s">
        <v>14751</v>
      </c>
      <c r="R42" s="96" t="s">
        <v>14752</v>
      </c>
      <c r="S42" s="96" t="s">
        <v>14753</v>
      </c>
      <c r="T42" s="96" t="s">
        <v>14754</v>
      </c>
      <c r="U42" s="96" t="s">
        <v>14755</v>
      </c>
      <c r="V42" s="96" t="s">
        <v>14756</v>
      </c>
      <c r="W42" s="96" t="s">
        <v>14757</v>
      </c>
      <c r="X42" s="96" t="s">
        <v>14758</v>
      </c>
      <c r="Y42" s="96" t="s">
        <v>14759</v>
      </c>
      <c r="Z42" s="96" t="s">
        <v>14760</v>
      </c>
      <c r="AA42" s="96" t="s">
        <v>14761</v>
      </c>
      <c r="AB42" s="96" t="s">
        <v>14762</v>
      </c>
      <c r="AC42" s="96" t="s">
        <v>14763</v>
      </c>
      <c r="AD42" s="57"/>
    </row>
    <row r="43">
      <c r="A43" s="96" t="s">
        <v>11625</v>
      </c>
      <c r="B43" s="96" t="s">
        <v>11626</v>
      </c>
      <c r="C43" s="97" t="s">
        <v>14764</v>
      </c>
      <c r="D43" s="96" t="s">
        <v>14765</v>
      </c>
      <c r="E43" s="96" t="s">
        <v>14766</v>
      </c>
      <c r="F43" s="96" t="s">
        <v>14767</v>
      </c>
      <c r="G43" s="96" t="s">
        <v>14768</v>
      </c>
      <c r="H43" s="96" t="s">
        <v>14769</v>
      </c>
      <c r="I43" s="96" t="s">
        <v>14770</v>
      </c>
      <c r="J43" s="96" t="s">
        <v>14771</v>
      </c>
      <c r="K43" s="96" t="s">
        <v>14772</v>
      </c>
      <c r="L43" s="96" t="s">
        <v>14773</v>
      </c>
      <c r="M43" s="96" t="s">
        <v>14774</v>
      </c>
      <c r="N43" s="96" t="s">
        <v>14775</v>
      </c>
      <c r="O43" s="96" t="s">
        <v>14776</v>
      </c>
      <c r="P43" s="96" t="s">
        <v>14777</v>
      </c>
      <c r="Q43" s="96" t="s">
        <v>14778</v>
      </c>
      <c r="R43" s="96" t="s">
        <v>14779</v>
      </c>
      <c r="S43" s="96" t="s">
        <v>14780</v>
      </c>
      <c r="T43" s="96" t="s">
        <v>14781</v>
      </c>
      <c r="U43" s="96" t="s">
        <v>14782</v>
      </c>
      <c r="V43" s="96" t="s">
        <v>14783</v>
      </c>
      <c r="W43" s="96" t="s">
        <v>14768</v>
      </c>
      <c r="X43" s="96" t="s">
        <v>14784</v>
      </c>
      <c r="Y43" s="96" t="s">
        <v>14785</v>
      </c>
      <c r="Z43" s="96" t="s">
        <v>14786</v>
      </c>
      <c r="AA43" s="96" t="s">
        <v>14787</v>
      </c>
      <c r="AB43" s="96" t="s">
        <v>14788</v>
      </c>
      <c r="AC43" s="96" t="s">
        <v>14789</v>
      </c>
      <c r="AD43" s="57"/>
    </row>
    <row r="44">
      <c r="A44" s="96" t="s">
        <v>11627</v>
      </c>
      <c r="B44" s="96" t="s">
        <v>11628</v>
      </c>
      <c r="C44" s="97" t="s">
        <v>14790</v>
      </c>
      <c r="D44" s="96" t="s">
        <v>14791</v>
      </c>
      <c r="E44" s="96" t="s">
        <v>14792</v>
      </c>
      <c r="F44" s="96" t="s">
        <v>14793</v>
      </c>
      <c r="G44" s="96" t="s">
        <v>14794</v>
      </c>
      <c r="H44" s="96" t="s">
        <v>14795</v>
      </c>
      <c r="I44" s="96" t="s">
        <v>14796</v>
      </c>
      <c r="J44" s="96" t="s">
        <v>14797</v>
      </c>
      <c r="K44" s="96" t="s">
        <v>14798</v>
      </c>
      <c r="L44" s="96" t="s">
        <v>14799</v>
      </c>
      <c r="M44" s="96" t="s">
        <v>14800</v>
      </c>
      <c r="N44" s="96" t="s">
        <v>14801</v>
      </c>
      <c r="O44" s="96" t="s">
        <v>14802</v>
      </c>
      <c r="P44" s="96" t="s">
        <v>14803</v>
      </c>
      <c r="Q44" s="96" t="s">
        <v>14804</v>
      </c>
      <c r="R44" s="96" t="s">
        <v>14805</v>
      </c>
      <c r="S44" s="96" t="s">
        <v>14806</v>
      </c>
      <c r="T44" s="96" t="s">
        <v>14807</v>
      </c>
      <c r="U44" s="96" t="s">
        <v>14808</v>
      </c>
      <c r="V44" s="96" t="s">
        <v>14809</v>
      </c>
      <c r="W44" s="96" t="s">
        <v>14810</v>
      </c>
      <c r="X44" s="96" t="s">
        <v>14811</v>
      </c>
      <c r="Y44" s="96" t="s">
        <v>14812</v>
      </c>
      <c r="Z44" s="96" t="s">
        <v>14813</v>
      </c>
      <c r="AA44" s="96" t="s">
        <v>14814</v>
      </c>
      <c r="AB44" s="96" t="s">
        <v>14815</v>
      </c>
      <c r="AC44" s="96" t="s">
        <v>14816</v>
      </c>
      <c r="AD44" s="57"/>
    </row>
    <row r="45">
      <c r="A45" s="96" t="s">
        <v>11629</v>
      </c>
      <c r="B45" s="96" t="s">
        <v>11630</v>
      </c>
      <c r="C45" s="97" t="s">
        <v>14817</v>
      </c>
      <c r="D45" s="96" t="s">
        <v>14818</v>
      </c>
      <c r="E45" s="96" t="s">
        <v>14819</v>
      </c>
      <c r="F45" s="96" t="s">
        <v>14820</v>
      </c>
      <c r="G45" s="96" t="s">
        <v>14821</v>
      </c>
      <c r="H45" s="96" t="s">
        <v>14822</v>
      </c>
      <c r="I45" s="96" t="s">
        <v>14823</v>
      </c>
      <c r="J45" s="96" t="s">
        <v>14824</v>
      </c>
      <c r="K45" s="96" t="s">
        <v>14825</v>
      </c>
      <c r="L45" s="96" t="s">
        <v>14826</v>
      </c>
      <c r="M45" s="96" t="s">
        <v>14827</v>
      </c>
      <c r="N45" s="96" t="s">
        <v>14828</v>
      </c>
      <c r="O45" s="96" t="s">
        <v>14829</v>
      </c>
      <c r="P45" s="96" t="s">
        <v>14830</v>
      </c>
      <c r="Q45" s="96" t="s">
        <v>14831</v>
      </c>
      <c r="R45" s="96" t="s">
        <v>14832</v>
      </c>
      <c r="S45" s="96" t="s">
        <v>14833</v>
      </c>
      <c r="T45" s="96" t="s">
        <v>14834</v>
      </c>
      <c r="U45" s="96" t="s">
        <v>14835</v>
      </c>
      <c r="V45" s="96" t="s">
        <v>14836</v>
      </c>
      <c r="W45" s="96" t="s">
        <v>14837</v>
      </c>
      <c r="X45" s="96" t="s">
        <v>14838</v>
      </c>
      <c r="Y45" s="96" t="s">
        <v>14839</v>
      </c>
      <c r="Z45" s="96" t="s">
        <v>14840</v>
      </c>
      <c r="AA45" s="96" t="s">
        <v>14841</v>
      </c>
      <c r="AB45" s="96" t="s">
        <v>14842</v>
      </c>
      <c r="AC45" s="96" t="s">
        <v>14843</v>
      </c>
      <c r="AD45" s="57"/>
    </row>
    <row r="46">
      <c r="A46" s="96" t="s">
        <v>11631</v>
      </c>
      <c r="B46" s="96" t="s">
        <v>11632</v>
      </c>
      <c r="C46" s="97" t="s">
        <v>14844</v>
      </c>
      <c r="D46" s="96" t="s">
        <v>14845</v>
      </c>
      <c r="E46" s="96" t="s">
        <v>14846</v>
      </c>
      <c r="F46" s="96" t="s">
        <v>14847</v>
      </c>
      <c r="G46" s="96" t="s">
        <v>14848</v>
      </c>
      <c r="H46" s="96" t="s">
        <v>14849</v>
      </c>
      <c r="I46" s="96" t="s">
        <v>14850</v>
      </c>
      <c r="J46" s="96" t="s">
        <v>14851</v>
      </c>
      <c r="K46" s="96" t="s">
        <v>14852</v>
      </c>
      <c r="L46" s="96" t="s">
        <v>14853</v>
      </c>
      <c r="M46" s="96" t="s">
        <v>14854</v>
      </c>
      <c r="N46" s="96" t="s">
        <v>14855</v>
      </c>
      <c r="O46" s="96" t="s">
        <v>14856</v>
      </c>
      <c r="P46" s="96" t="s">
        <v>14857</v>
      </c>
      <c r="Q46" s="96" t="s">
        <v>14858</v>
      </c>
      <c r="R46" s="96" t="s">
        <v>14859</v>
      </c>
      <c r="S46" s="96" t="s">
        <v>14860</v>
      </c>
      <c r="T46" s="96" t="s">
        <v>14861</v>
      </c>
      <c r="U46" s="96" t="s">
        <v>14862</v>
      </c>
      <c r="V46" s="96" t="s">
        <v>14863</v>
      </c>
      <c r="W46" s="96" t="s">
        <v>14864</v>
      </c>
      <c r="X46" s="96" t="s">
        <v>14865</v>
      </c>
      <c r="Y46" s="96" t="s">
        <v>14866</v>
      </c>
      <c r="Z46" s="96" t="s">
        <v>14867</v>
      </c>
      <c r="AA46" s="96" t="s">
        <v>14868</v>
      </c>
      <c r="AB46" s="96" t="s">
        <v>14869</v>
      </c>
      <c r="AC46" s="96" t="s">
        <v>14870</v>
      </c>
      <c r="AD46" s="57"/>
    </row>
    <row r="47">
      <c r="A47" s="96" t="s">
        <v>11633</v>
      </c>
      <c r="B47" s="96" t="s">
        <v>11634</v>
      </c>
      <c r="C47" s="97" t="s">
        <v>14871</v>
      </c>
      <c r="D47" s="96" t="s">
        <v>14872</v>
      </c>
      <c r="E47" s="96" t="s">
        <v>14873</v>
      </c>
      <c r="F47" s="96" t="s">
        <v>14874</v>
      </c>
      <c r="G47" s="96" t="s">
        <v>14875</v>
      </c>
      <c r="H47" s="96" t="s">
        <v>14876</v>
      </c>
      <c r="I47" s="96" t="s">
        <v>14877</v>
      </c>
      <c r="J47" s="96" t="s">
        <v>14878</v>
      </c>
      <c r="K47" s="96" t="s">
        <v>14879</v>
      </c>
      <c r="L47" s="96" t="s">
        <v>14880</v>
      </c>
      <c r="M47" s="96" t="s">
        <v>14881</v>
      </c>
      <c r="N47" s="96" t="s">
        <v>14882</v>
      </c>
      <c r="O47" s="96" t="s">
        <v>14883</v>
      </c>
      <c r="P47" s="96" t="s">
        <v>14884</v>
      </c>
      <c r="Q47" s="96" t="s">
        <v>14885</v>
      </c>
      <c r="R47" s="96" t="s">
        <v>14886</v>
      </c>
      <c r="S47" s="96" t="s">
        <v>14887</v>
      </c>
      <c r="T47" s="96" t="s">
        <v>14888</v>
      </c>
      <c r="U47" s="96" t="s">
        <v>14889</v>
      </c>
      <c r="V47" s="96" t="s">
        <v>14890</v>
      </c>
      <c r="W47" s="96" t="s">
        <v>14891</v>
      </c>
      <c r="X47" s="96" t="s">
        <v>14892</v>
      </c>
      <c r="Y47" s="96" t="s">
        <v>14893</v>
      </c>
      <c r="Z47" s="96" t="s">
        <v>14894</v>
      </c>
      <c r="AA47" s="96" t="s">
        <v>14895</v>
      </c>
      <c r="AB47" s="96" t="s">
        <v>14896</v>
      </c>
      <c r="AC47" s="96" t="s">
        <v>14897</v>
      </c>
      <c r="AD47" s="57"/>
    </row>
    <row r="48">
      <c r="A48" s="96" t="s">
        <v>4545</v>
      </c>
      <c r="B48" s="96" t="s">
        <v>2934</v>
      </c>
      <c r="C48" s="97" t="s">
        <v>2935</v>
      </c>
      <c r="D48" s="96" t="s">
        <v>2936</v>
      </c>
      <c r="E48" s="96" t="s">
        <v>2937</v>
      </c>
      <c r="F48" s="96" t="s">
        <v>2938</v>
      </c>
      <c r="G48" s="96" t="s">
        <v>2939</v>
      </c>
      <c r="H48" s="96" t="s">
        <v>2940</v>
      </c>
      <c r="I48" s="96" t="s">
        <v>2941</v>
      </c>
      <c r="J48" s="96" t="s">
        <v>2942</v>
      </c>
      <c r="K48" s="96" t="s">
        <v>2943</v>
      </c>
      <c r="L48" s="96" t="s">
        <v>2944</v>
      </c>
      <c r="M48" s="96" t="s">
        <v>2945</v>
      </c>
      <c r="N48" s="96" t="s">
        <v>2946</v>
      </c>
      <c r="O48" s="96" t="s">
        <v>2947</v>
      </c>
      <c r="P48" s="96" t="s">
        <v>2948</v>
      </c>
      <c r="Q48" s="96" t="s">
        <v>2949</v>
      </c>
      <c r="R48" s="96" t="s">
        <v>2950</v>
      </c>
      <c r="S48" s="96" t="s">
        <v>14898</v>
      </c>
      <c r="T48" s="96" t="s">
        <v>14899</v>
      </c>
      <c r="U48" s="96" t="s">
        <v>2953</v>
      </c>
      <c r="V48" s="96" t="s">
        <v>2954</v>
      </c>
      <c r="W48" s="96" t="s">
        <v>2955</v>
      </c>
      <c r="X48" s="96" t="s">
        <v>2956</v>
      </c>
      <c r="Y48" s="96" t="s">
        <v>2957</v>
      </c>
      <c r="Z48" s="96" t="s">
        <v>2958</v>
      </c>
      <c r="AA48" s="96" t="s">
        <v>2959</v>
      </c>
      <c r="AB48" s="96" t="s">
        <v>2946</v>
      </c>
      <c r="AC48" s="96" t="s">
        <v>2960</v>
      </c>
      <c r="AD48" s="57"/>
    </row>
    <row r="49">
      <c r="A49" s="96" t="s">
        <v>383</v>
      </c>
      <c r="B49" s="96" t="s">
        <v>384</v>
      </c>
      <c r="C49" s="97" t="s">
        <v>385</v>
      </c>
      <c r="D49" s="96" t="s">
        <v>386</v>
      </c>
      <c r="E49" s="96" t="s">
        <v>387</v>
      </c>
      <c r="F49" s="96" t="s">
        <v>388</v>
      </c>
      <c r="G49" s="96" t="s">
        <v>389</v>
      </c>
      <c r="H49" s="96" t="s">
        <v>390</v>
      </c>
      <c r="I49" s="96" t="s">
        <v>391</v>
      </c>
      <c r="J49" s="96" t="s">
        <v>392</v>
      </c>
      <c r="K49" s="96" t="s">
        <v>393</v>
      </c>
      <c r="L49" s="96" t="s">
        <v>394</v>
      </c>
      <c r="M49" s="96" t="s">
        <v>395</v>
      </c>
      <c r="N49" s="96" t="s">
        <v>396</v>
      </c>
      <c r="O49" s="96" t="s">
        <v>397</v>
      </c>
      <c r="P49" s="96" t="s">
        <v>398</v>
      </c>
      <c r="Q49" s="96" t="s">
        <v>399</v>
      </c>
      <c r="R49" s="96" t="s">
        <v>14900</v>
      </c>
      <c r="S49" s="96" t="s">
        <v>401</v>
      </c>
      <c r="T49" s="96" t="s">
        <v>402</v>
      </c>
      <c r="U49" s="96" t="s">
        <v>403</v>
      </c>
      <c r="V49" s="96" t="s">
        <v>404</v>
      </c>
      <c r="W49" s="96" t="s">
        <v>405</v>
      </c>
      <c r="X49" s="96" t="s">
        <v>406</v>
      </c>
      <c r="Y49" s="96" t="s">
        <v>407</v>
      </c>
      <c r="Z49" s="96" t="s">
        <v>408</v>
      </c>
      <c r="AA49" s="96" t="s">
        <v>409</v>
      </c>
      <c r="AB49" s="96" t="s">
        <v>410</v>
      </c>
      <c r="AC49" s="96" t="s">
        <v>411</v>
      </c>
      <c r="AD49" s="57"/>
    </row>
    <row r="50">
      <c r="A50" s="96" t="s">
        <v>11636</v>
      </c>
      <c r="B50" s="96" t="s">
        <v>11637</v>
      </c>
      <c r="C50" s="97" t="s">
        <v>14901</v>
      </c>
      <c r="D50" s="96" t="s">
        <v>14902</v>
      </c>
      <c r="E50" s="96" t="s">
        <v>14903</v>
      </c>
      <c r="F50" s="96" t="s">
        <v>14904</v>
      </c>
      <c r="G50" s="96" t="s">
        <v>14905</v>
      </c>
      <c r="H50" s="96" t="s">
        <v>14906</v>
      </c>
      <c r="I50" s="96" t="s">
        <v>14907</v>
      </c>
      <c r="J50" s="96" t="s">
        <v>14908</v>
      </c>
      <c r="K50" s="96" t="s">
        <v>14909</v>
      </c>
      <c r="L50" s="96" t="s">
        <v>14910</v>
      </c>
      <c r="M50" s="96" t="s">
        <v>14911</v>
      </c>
      <c r="N50" s="96" t="s">
        <v>14912</v>
      </c>
      <c r="O50" s="96" t="s">
        <v>14913</v>
      </c>
      <c r="P50" s="96" t="s">
        <v>14914</v>
      </c>
      <c r="Q50" s="96" t="s">
        <v>14915</v>
      </c>
      <c r="R50" s="96" t="s">
        <v>14916</v>
      </c>
      <c r="S50" s="96" t="s">
        <v>14917</v>
      </c>
      <c r="T50" s="96" t="s">
        <v>14918</v>
      </c>
      <c r="U50" s="96" t="s">
        <v>14919</v>
      </c>
      <c r="V50" s="96" t="s">
        <v>14920</v>
      </c>
      <c r="W50" s="96" t="s">
        <v>14921</v>
      </c>
      <c r="X50" s="96" t="s">
        <v>14922</v>
      </c>
      <c r="Y50" s="96" t="s">
        <v>14923</v>
      </c>
      <c r="Z50" s="96" t="s">
        <v>14924</v>
      </c>
      <c r="AA50" s="96" t="s">
        <v>14925</v>
      </c>
      <c r="AB50" s="96" t="s">
        <v>14926</v>
      </c>
      <c r="AC50" s="96" t="s">
        <v>14927</v>
      </c>
      <c r="AD50" s="57"/>
    </row>
    <row r="51">
      <c r="A51" s="96" t="s">
        <v>11638</v>
      </c>
      <c r="B51" s="96" t="s">
        <v>11639</v>
      </c>
      <c r="C51" s="97" t="s">
        <v>14928</v>
      </c>
      <c r="D51" s="96" t="s">
        <v>14929</v>
      </c>
      <c r="E51" s="96" t="s">
        <v>14930</v>
      </c>
      <c r="F51" s="96" t="s">
        <v>14931</v>
      </c>
      <c r="G51" s="96" t="s">
        <v>14932</v>
      </c>
      <c r="H51" s="96" t="s">
        <v>14933</v>
      </c>
      <c r="I51" s="96" t="s">
        <v>14934</v>
      </c>
      <c r="J51" s="96" t="s">
        <v>14935</v>
      </c>
      <c r="K51" s="96" t="s">
        <v>14936</v>
      </c>
      <c r="L51" s="96" t="s">
        <v>14937</v>
      </c>
      <c r="M51" s="96" t="s">
        <v>14938</v>
      </c>
      <c r="N51" s="96" t="s">
        <v>14939</v>
      </c>
      <c r="O51" s="96" t="s">
        <v>14940</v>
      </c>
      <c r="P51" s="96" t="s">
        <v>14941</v>
      </c>
      <c r="Q51" s="96" t="s">
        <v>14942</v>
      </c>
      <c r="R51" s="96" t="s">
        <v>14943</v>
      </c>
      <c r="S51" s="96" t="s">
        <v>14944</v>
      </c>
      <c r="T51" s="96" t="s">
        <v>14945</v>
      </c>
      <c r="U51" s="96" t="s">
        <v>14946</v>
      </c>
      <c r="V51" s="96" t="s">
        <v>14947</v>
      </c>
      <c r="W51" s="96" t="s">
        <v>14932</v>
      </c>
      <c r="X51" s="96" t="s">
        <v>14948</v>
      </c>
      <c r="Y51" s="96" t="s">
        <v>14949</v>
      </c>
      <c r="Z51" s="96" t="s">
        <v>14950</v>
      </c>
      <c r="AA51" s="96" t="s">
        <v>14951</v>
      </c>
      <c r="AB51" s="96" t="s">
        <v>14952</v>
      </c>
      <c r="AC51" s="96" t="s">
        <v>14953</v>
      </c>
      <c r="AD51" s="57"/>
    </row>
    <row r="52">
      <c r="A52" s="96" t="s">
        <v>215</v>
      </c>
      <c r="B52" s="96" t="s">
        <v>11640</v>
      </c>
      <c r="C52" s="97" t="s">
        <v>217</v>
      </c>
      <c r="D52" s="96" t="s">
        <v>14954</v>
      </c>
      <c r="E52" s="96" t="s">
        <v>14955</v>
      </c>
      <c r="F52" s="96" t="s">
        <v>14956</v>
      </c>
      <c r="G52" s="96" t="s">
        <v>14957</v>
      </c>
      <c r="H52" s="96" t="s">
        <v>11640</v>
      </c>
      <c r="I52" s="96" t="s">
        <v>14958</v>
      </c>
      <c r="J52" s="96" t="s">
        <v>14959</v>
      </c>
      <c r="K52" s="96" t="s">
        <v>225</v>
      </c>
      <c r="L52" s="96" t="s">
        <v>14960</v>
      </c>
      <c r="M52" s="96" t="s">
        <v>14961</v>
      </c>
      <c r="N52" s="96" t="s">
        <v>227</v>
      </c>
      <c r="O52" s="96" t="s">
        <v>14962</v>
      </c>
      <c r="P52" s="96" t="s">
        <v>229</v>
      </c>
      <c r="Q52" s="96" t="s">
        <v>230</v>
      </c>
      <c r="R52" s="96" t="s">
        <v>231</v>
      </c>
      <c r="S52" s="96" t="s">
        <v>14963</v>
      </c>
      <c r="T52" s="96" t="s">
        <v>11640</v>
      </c>
      <c r="U52" s="96" t="s">
        <v>14964</v>
      </c>
      <c r="V52" s="96" t="s">
        <v>14965</v>
      </c>
      <c r="W52" s="96" t="s">
        <v>14957</v>
      </c>
      <c r="X52" s="96" t="s">
        <v>14966</v>
      </c>
      <c r="Y52" s="96" t="s">
        <v>236</v>
      </c>
      <c r="Z52" s="96" t="s">
        <v>14345</v>
      </c>
      <c r="AA52" s="96" t="s">
        <v>14967</v>
      </c>
      <c r="AB52" s="96" t="s">
        <v>239</v>
      </c>
      <c r="AC52" s="96" t="s">
        <v>14968</v>
      </c>
      <c r="AD52" s="57"/>
    </row>
    <row r="53">
      <c r="A53" s="96" t="s">
        <v>11641</v>
      </c>
      <c r="B53" s="96" t="s">
        <v>11642</v>
      </c>
      <c r="C53" s="97" t="s">
        <v>14969</v>
      </c>
      <c r="D53" s="96" t="s">
        <v>14970</v>
      </c>
      <c r="E53" s="96" t="s">
        <v>14971</v>
      </c>
      <c r="F53" s="96" t="s">
        <v>14972</v>
      </c>
      <c r="G53" s="96" t="s">
        <v>14973</v>
      </c>
      <c r="H53" s="96" t="s">
        <v>14974</v>
      </c>
      <c r="I53" s="96" t="s">
        <v>14975</v>
      </c>
      <c r="J53" s="96" t="s">
        <v>14976</v>
      </c>
      <c r="K53" s="96" t="s">
        <v>14977</v>
      </c>
      <c r="L53" s="96" t="s">
        <v>14978</v>
      </c>
      <c r="M53" s="96" t="s">
        <v>14979</v>
      </c>
      <c r="N53" s="96" t="s">
        <v>14980</v>
      </c>
      <c r="O53" s="96" t="s">
        <v>14981</v>
      </c>
      <c r="P53" s="96" t="s">
        <v>14982</v>
      </c>
      <c r="Q53" s="96" t="s">
        <v>14983</v>
      </c>
      <c r="R53" s="96" t="s">
        <v>14984</v>
      </c>
      <c r="S53" s="96" t="s">
        <v>14985</v>
      </c>
      <c r="T53" s="96" t="s">
        <v>14978</v>
      </c>
      <c r="U53" s="96" t="s">
        <v>14986</v>
      </c>
      <c r="V53" s="96" t="s">
        <v>14987</v>
      </c>
      <c r="W53" s="96" t="s">
        <v>14988</v>
      </c>
      <c r="X53" s="96" t="s">
        <v>14989</v>
      </c>
      <c r="Y53" s="96" t="s">
        <v>14990</v>
      </c>
      <c r="Z53" s="96" t="s">
        <v>14991</v>
      </c>
      <c r="AA53" s="96" t="s">
        <v>14992</v>
      </c>
      <c r="AB53" s="96" t="s">
        <v>14993</v>
      </c>
      <c r="AC53" s="96" t="s">
        <v>14994</v>
      </c>
      <c r="AD53" s="57"/>
    </row>
    <row r="54">
      <c r="A54" s="96" t="s">
        <v>11643</v>
      </c>
      <c r="B54" s="96" t="s">
        <v>11644</v>
      </c>
      <c r="C54" s="97" t="s">
        <v>3108</v>
      </c>
      <c r="D54" s="96" t="s">
        <v>14995</v>
      </c>
      <c r="E54" s="96" t="s">
        <v>14996</v>
      </c>
      <c r="F54" s="96" t="s">
        <v>14997</v>
      </c>
      <c r="G54" s="96" t="s">
        <v>14998</v>
      </c>
      <c r="H54" s="96" t="s">
        <v>14999</v>
      </c>
      <c r="I54" s="96" t="s">
        <v>15000</v>
      </c>
      <c r="J54" s="96" t="s">
        <v>15001</v>
      </c>
      <c r="K54" s="96" t="s">
        <v>15002</v>
      </c>
      <c r="L54" s="96" t="s">
        <v>15003</v>
      </c>
      <c r="M54" s="96" t="s">
        <v>15004</v>
      </c>
      <c r="N54" s="96" t="s">
        <v>15005</v>
      </c>
      <c r="O54" s="96" t="s">
        <v>15006</v>
      </c>
      <c r="P54" s="96" t="s">
        <v>15007</v>
      </c>
      <c r="Q54" s="96" t="s">
        <v>15008</v>
      </c>
      <c r="R54" s="96" t="s">
        <v>15009</v>
      </c>
      <c r="S54" s="96" t="s">
        <v>15010</v>
      </c>
      <c r="T54" s="96" t="s">
        <v>15011</v>
      </c>
      <c r="U54" s="96" t="s">
        <v>15012</v>
      </c>
      <c r="V54" s="96" t="s">
        <v>15013</v>
      </c>
      <c r="W54" s="96" t="s">
        <v>15014</v>
      </c>
      <c r="X54" s="96" t="s">
        <v>15015</v>
      </c>
      <c r="Y54" s="96" t="s">
        <v>15016</v>
      </c>
      <c r="Z54" s="96" t="s">
        <v>15017</v>
      </c>
      <c r="AA54" s="96" t="s">
        <v>15018</v>
      </c>
      <c r="AB54" s="96" t="s">
        <v>15019</v>
      </c>
      <c r="AC54" s="96" t="s">
        <v>15020</v>
      </c>
      <c r="AD54" s="57"/>
    </row>
    <row r="55">
      <c r="A55" s="96" t="s">
        <v>11645</v>
      </c>
      <c r="B55" s="96" t="s">
        <v>4444</v>
      </c>
      <c r="C55" s="97" t="s">
        <v>4445</v>
      </c>
      <c r="D55" s="96" t="s">
        <v>4446</v>
      </c>
      <c r="E55" s="96" t="s">
        <v>4447</v>
      </c>
      <c r="F55" s="96" t="s">
        <v>4448</v>
      </c>
      <c r="G55" s="96" t="s">
        <v>4449</v>
      </c>
      <c r="H55" s="96" t="s">
        <v>15021</v>
      </c>
      <c r="I55" s="96" t="s">
        <v>4451</v>
      </c>
      <c r="J55" s="96" t="s">
        <v>4452</v>
      </c>
      <c r="K55" s="96" t="s">
        <v>4453</v>
      </c>
      <c r="L55" s="96" t="s">
        <v>4454</v>
      </c>
      <c r="M55" s="96" t="s">
        <v>4455</v>
      </c>
      <c r="N55" s="96" t="s">
        <v>4456</v>
      </c>
      <c r="O55" s="96" t="s">
        <v>10289</v>
      </c>
      <c r="P55" s="96" t="s">
        <v>10290</v>
      </c>
      <c r="Q55" s="96" t="s">
        <v>4459</v>
      </c>
      <c r="R55" s="96" t="s">
        <v>10291</v>
      </c>
      <c r="S55" s="96" t="s">
        <v>4461</v>
      </c>
      <c r="T55" s="96" t="s">
        <v>15022</v>
      </c>
      <c r="U55" s="96" t="s">
        <v>4463</v>
      </c>
      <c r="V55" s="96" t="s">
        <v>4464</v>
      </c>
      <c r="W55" s="96" t="s">
        <v>4449</v>
      </c>
      <c r="X55" s="96" t="s">
        <v>4465</v>
      </c>
      <c r="Y55" s="96" t="s">
        <v>4466</v>
      </c>
      <c r="Z55" s="96" t="s">
        <v>4467</v>
      </c>
      <c r="AA55" s="96" t="s">
        <v>15023</v>
      </c>
      <c r="AB55" s="96" t="s">
        <v>4469</v>
      </c>
      <c r="AC55" s="96" t="s">
        <v>4470</v>
      </c>
      <c r="AD55" s="57"/>
    </row>
    <row r="56">
      <c r="A56" s="96" t="s">
        <v>11646</v>
      </c>
      <c r="B56" s="96" t="s">
        <v>11647</v>
      </c>
      <c r="C56" s="97" t="s">
        <v>15024</v>
      </c>
      <c r="D56" s="96" t="s">
        <v>15025</v>
      </c>
      <c r="E56" s="96" t="s">
        <v>15026</v>
      </c>
      <c r="F56" s="96" t="s">
        <v>15027</v>
      </c>
      <c r="G56" s="96" t="s">
        <v>15028</v>
      </c>
      <c r="H56" s="96" t="s">
        <v>15029</v>
      </c>
      <c r="I56" s="96" t="s">
        <v>15030</v>
      </c>
      <c r="J56" s="96" t="s">
        <v>15031</v>
      </c>
      <c r="K56" s="96" t="s">
        <v>15032</v>
      </c>
      <c r="L56" s="96" t="s">
        <v>15033</v>
      </c>
      <c r="M56" s="96" t="s">
        <v>15034</v>
      </c>
      <c r="N56" s="96" t="s">
        <v>15035</v>
      </c>
      <c r="O56" s="96" t="s">
        <v>15036</v>
      </c>
      <c r="P56" s="96" t="s">
        <v>15037</v>
      </c>
      <c r="Q56" s="96" t="s">
        <v>15038</v>
      </c>
      <c r="R56" s="96" t="s">
        <v>15039</v>
      </c>
      <c r="S56" s="96" t="s">
        <v>15040</v>
      </c>
      <c r="T56" s="96" t="s">
        <v>15041</v>
      </c>
      <c r="U56" s="96" t="s">
        <v>15042</v>
      </c>
      <c r="V56" s="96" t="s">
        <v>15043</v>
      </c>
      <c r="W56" s="96" t="s">
        <v>15044</v>
      </c>
      <c r="X56" s="96" t="s">
        <v>15045</v>
      </c>
      <c r="Y56" s="96" t="s">
        <v>15046</v>
      </c>
      <c r="Z56" s="96" t="s">
        <v>15047</v>
      </c>
      <c r="AA56" s="96" t="s">
        <v>15048</v>
      </c>
      <c r="AB56" s="96" t="s">
        <v>15049</v>
      </c>
      <c r="AC56" s="96" t="s">
        <v>15050</v>
      </c>
      <c r="AD56" s="57"/>
    </row>
    <row r="57">
      <c r="A57" s="96" t="s">
        <v>11648</v>
      </c>
      <c r="B57" s="96" t="s">
        <v>11649</v>
      </c>
      <c r="C57" s="97" t="s">
        <v>15051</v>
      </c>
      <c r="D57" s="96" t="s">
        <v>15052</v>
      </c>
      <c r="E57" s="96" t="s">
        <v>11649</v>
      </c>
      <c r="F57" s="96" t="s">
        <v>15053</v>
      </c>
      <c r="G57" s="96" t="s">
        <v>15054</v>
      </c>
      <c r="H57" s="96" t="s">
        <v>15055</v>
      </c>
      <c r="I57" s="96" t="s">
        <v>11649</v>
      </c>
      <c r="J57" s="96" t="s">
        <v>15056</v>
      </c>
      <c r="K57" s="96" t="s">
        <v>15057</v>
      </c>
      <c r="L57" s="96" t="s">
        <v>15058</v>
      </c>
      <c r="M57" s="96" t="s">
        <v>15059</v>
      </c>
      <c r="N57" s="96" t="s">
        <v>15060</v>
      </c>
      <c r="O57" s="96" t="s">
        <v>15061</v>
      </c>
      <c r="P57" s="96" t="s">
        <v>15062</v>
      </c>
      <c r="Q57" s="96" t="s">
        <v>15063</v>
      </c>
      <c r="R57" s="96" t="s">
        <v>15064</v>
      </c>
      <c r="S57" s="96" t="s">
        <v>15065</v>
      </c>
      <c r="T57" s="96" t="s">
        <v>15066</v>
      </c>
      <c r="U57" s="96" t="s">
        <v>15067</v>
      </c>
      <c r="V57" s="96" t="s">
        <v>15068</v>
      </c>
      <c r="W57" s="96" t="s">
        <v>15069</v>
      </c>
      <c r="X57" s="96" t="s">
        <v>15070</v>
      </c>
      <c r="Y57" s="96" t="s">
        <v>15071</v>
      </c>
      <c r="Z57" s="96" t="s">
        <v>15072</v>
      </c>
      <c r="AA57" s="96" t="s">
        <v>15070</v>
      </c>
      <c r="AB57" s="96" t="s">
        <v>15073</v>
      </c>
      <c r="AC57" s="96" t="s">
        <v>15074</v>
      </c>
      <c r="AD57" s="57"/>
    </row>
    <row r="58">
      <c r="A58" s="96" t="s">
        <v>136</v>
      </c>
      <c r="B58" s="96" t="s">
        <v>137</v>
      </c>
      <c r="C58" s="97" t="s">
        <v>138</v>
      </c>
      <c r="D58" s="96" t="s">
        <v>139</v>
      </c>
      <c r="E58" s="96" t="s">
        <v>140</v>
      </c>
      <c r="F58" s="96" t="s">
        <v>141</v>
      </c>
      <c r="G58" s="96" t="s">
        <v>142</v>
      </c>
      <c r="H58" s="96" t="s">
        <v>15075</v>
      </c>
      <c r="I58" s="96" t="s">
        <v>144</v>
      </c>
      <c r="J58" s="96" t="s">
        <v>145</v>
      </c>
      <c r="K58" s="96" t="s">
        <v>146</v>
      </c>
      <c r="L58" s="96" t="s">
        <v>147</v>
      </c>
      <c r="M58" s="96" t="s">
        <v>148</v>
      </c>
      <c r="N58" s="96" t="s">
        <v>149</v>
      </c>
      <c r="O58" s="96" t="s">
        <v>15076</v>
      </c>
      <c r="P58" s="96" t="s">
        <v>15077</v>
      </c>
      <c r="Q58" s="96" t="s">
        <v>152</v>
      </c>
      <c r="R58" s="96" t="s">
        <v>15078</v>
      </c>
      <c r="S58" s="96" t="s">
        <v>15079</v>
      </c>
      <c r="T58" s="96" t="s">
        <v>147</v>
      </c>
      <c r="U58" s="96" t="s">
        <v>155</v>
      </c>
      <c r="V58" s="96" t="s">
        <v>156</v>
      </c>
      <c r="W58" s="96" t="s">
        <v>157</v>
      </c>
      <c r="X58" s="96" t="s">
        <v>158</v>
      </c>
      <c r="Y58" s="96" t="s">
        <v>159</v>
      </c>
      <c r="Z58" s="96" t="s">
        <v>160</v>
      </c>
      <c r="AA58" s="96" t="s">
        <v>15080</v>
      </c>
      <c r="AB58" s="96" t="s">
        <v>162</v>
      </c>
      <c r="AC58" s="96" t="s">
        <v>163</v>
      </c>
      <c r="AD58" s="57"/>
    </row>
    <row r="59">
      <c r="A59" s="96" t="s">
        <v>10249</v>
      </c>
      <c r="B59" s="96" t="s">
        <v>11650</v>
      </c>
      <c r="C59" s="97" t="s">
        <v>15081</v>
      </c>
      <c r="D59" s="96" t="s">
        <v>15082</v>
      </c>
      <c r="E59" s="96" t="s">
        <v>15083</v>
      </c>
      <c r="F59" s="96" t="s">
        <v>15084</v>
      </c>
      <c r="G59" s="96" t="s">
        <v>15085</v>
      </c>
      <c r="H59" s="96" t="s">
        <v>15086</v>
      </c>
      <c r="I59" s="96" t="s">
        <v>15087</v>
      </c>
      <c r="J59" s="96" t="s">
        <v>15088</v>
      </c>
      <c r="K59" s="96" t="s">
        <v>15089</v>
      </c>
      <c r="L59" s="96" t="s">
        <v>15090</v>
      </c>
      <c r="M59" s="96" t="s">
        <v>15091</v>
      </c>
      <c r="N59" s="96" t="s">
        <v>15092</v>
      </c>
      <c r="O59" s="96" t="s">
        <v>15093</v>
      </c>
      <c r="P59" s="96" t="s">
        <v>15094</v>
      </c>
      <c r="Q59" s="96" t="s">
        <v>15095</v>
      </c>
      <c r="R59" s="96" t="s">
        <v>15096</v>
      </c>
      <c r="S59" s="96" t="s">
        <v>15097</v>
      </c>
      <c r="T59" s="96" t="s">
        <v>15098</v>
      </c>
      <c r="U59" s="96" t="s">
        <v>15099</v>
      </c>
      <c r="V59" s="96" t="s">
        <v>15100</v>
      </c>
      <c r="W59" s="96" t="s">
        <v>15101</v>
      </c>
      <c r="X59" s="96" t="s">
        <v>15102</v>
      </c>
      <c r="Y59" s="96" t="s">
        <v>15103</v>
      </c>
      <c r="Z59" s="96" t="s">
        <v>15104</v>
      </c>
      <c r="AA59" s="96" t="s">
        <v>15105</v>
      </c>
      <c r="AB59" s="96" t="s">
        <v>15106</v>
      </c>
      <c r="AC59" s="96" t="s">
        <v>15107</v>
      </c>
      <c r="AD59" s="57"/>
    </row>
    <row r="60">
      <c r="A60" s="96" t="s">
        <v>9808</v>
      </c>
      <c r="B60" s="96" t="s">
        <v>11651</v>
      </c>
      <c r="C60" s="97" t="s">
        <v>15108</v>
      </c>
      <c r="D60" s="96" t="s">
        <v>15109</v>
      </c>
      <c r="E60" s="96" t="s">
        <v>15110</v>
      </c>
      <c r="F60" s="96" t="s">
        <v>15111</v>
      </c>
      <c r="G60" s="96" t="s">
        <v>15112</v>
      </c>
      <c r="H60" s="96" t="s">
        <v>15113</v>
      </c>
      <c r="I60" s="96" t="s">
        <v>15114</v>
      </c>
      <c r="J60" s="96" t="s">
        <v>15115</v>
      </c>
      <c r="K60" s="96" t="s">
        <v>15116</v>
      </c>
      <c r="L60" s="96" t="s">
        <v>15117</v>
      </c>
      <c r="M60" s="96" t="s">
        <v>15118</v>
      </c>
      <c r="N60" s="96" t="s">
        <v>15119</v>
      </c>
      <c r="O60" s="96" t="s">
        <v>15120</v>
      </c>
      <c r="P60" s="96" t="s">
        <v>15121</v>
      </c>
      <c r="Q60" s="96" t="s">
        <v>15122</v>
      </c>
      <c r="R60" s="96" t="s">
        <v>15123</v>
      </c>
      <c r="S60" s="96" t="s">
        <v>15124</v>
      </c>
      <c r="T60" s="96" t="s">
        <v>15125</v>
      </c>
      <c r="U60" s="96" t="s">
        <v>15126</v>
      </c>
      <c r="V60" s="96" t="s">
        <v>15127</v>
      </c>
      <c r="W60" s="96" t="s">
        <v>15128</v>
      </c>
      <c r="X60" s="96" t="s">
        <v>15129</v>
      </c>
      <c r="Y60" s="96" t="s">
        <v>15130</v>
      </c>
      <c r="Z60" s="96" t="s">
        <v>15131</v>
      </c>
      <c r="AA60" s="96" t="s">
        <v>15132</v>
      </c>
      <c r="AB60" s="96" t="s">
        <v>15133</v>
      </c>
      <c r="AC60" s="96" t="s">
        <v>15134</v>
      </c>
      <c r="AD60" s="57"/>
    </row>
    <row r="61">
      <c r="A61" s="96" t="s">
        <v>7234</v>
      </c>
      <c r="B61" s="96" t="s">
        <v>7235</v>
      </c>
      <c r="C61" s="97" t="s">
        <v>9837</v>
      </c>
      <c r="D61" s="96" t="s">
        <v>9838</v>
      </c>
      <c r="E61" s="96" t="s">
        <v>7238</v>
      </c>
      <c r="F61" s="96" t="s">
        <v>7239</v>
      </c>
      <c r="G61" s="96" t="s">
        <v>7240</v>
      </c>
      <c r="H61" s="96" t="s">
        <v>7241</v>
      </c>
      <c r="I61" s="96" t="s">
        <v>4885</v>
      </c>
      <c r="J61" s="96" t="s">
        <v>7243</v>
      </c>
      <c r="K61" s="96" t="s">
        <v>7244</v>
      </c>
      <c r="L61" s="96" t="s">
        <v>7245</v>
      </c>
      <c r="M61" s="96" t="s">
        <v>9839</v>
      </c>
      <c r="N61" s="96" t="s">
        <v>7247</v>
      </c>
      <c r="O61" s="96" t="s">
        <v>9840</v>
      </c>
      <c r="P61" s="96" t="s">
        <v>7249</v>
      </c>
      <c r="Q61" s="96" t="s">
        <v>7250</v>
      </c>
      <c r="R61" s="96" t="s">
        <v>9841</v>
      </c>
      <c r="S61" s="96" t="s">
        <v>9842</v>
      </c>
      <c r="T61" s="96" t="s">
        <v>7253</v>
      </c>
      <c r="U61" s="96" t="s">
        <v>7254</v>
      </c>
      <c r="V61" s="96" t="s">
        <v>7255</v>
      </c>
      <c r="W61" s="96" t="s">
        <v>9843</v>
      </c>
      <c r="X61" s="96" t="s">
        <v>9844</v>
      </c>
      <c r="Y61" s="96" t="s">
        <v>7258</v>
      </c>
      <c r="Z61" s="96" t="s">
        <v>9845</v>
      </c>
      <c r="AA61" s="96" t="s">
        <v>9846</v>
      </c>
      <c r="AB61" s="96" t="s">
        <v>7261</v>
      </c>
      <c r="AC61" s="96" t="s">
        <v>7262</v>
      </c>
      <c r="AD61" s="57"/>
    </row>
    <row r="62">
      <c r="A62" s="96" t="s">
        <v>10162</v>
      </c>
      <c r="B62" s="96" t="s">
        <v>10163</v>
      </c>
      <c r="C62" s="97" t="s">
        <v>10164</v>
      </c>
      <c r="D62" s="96" t="s">
        <v>10165</v>
      </c>
      <c r="E62" s="96" t="s">
        <v>10166</v>
      </c>
      <c r="F62" s="96" t="s">
        <v>10167</v>
      </c>
      <c r="G62" s="96" t="s">
        <v>10168</v>
      </c>
      <c r="H62" s="96" t="s">
        <v>10169</v>
      </c>
      <c r="I62" s="96" t="s">
        <v>10170</v>
      </c>
      <c r="J62" s="96" t="s">
        <v>10171</v>
      </c>
      <c r="K62" s="96" t="s">
        <v>10172</v>
      </c>
      <c r="L62" s="96" t="s">
        <v>10173</v>
      </c>
      <c r="M62" s="96" t="s">
        <v>10174</v>
      </c>
      <c r="N62" s="96" t="s">
        <v>10175</v>
      </c>
      <c r="O62" s="96" t="s">
        <v>10176</v>
      </c>
      <c r="P62" s="96" t="s">
        <v>10177</v>
      </c>
      <c r="Q62" s="96" t="s">
        <v>10178</v>
      </c>
      <c r="R62" s="96" t="s">
        <v>10179</v>
      </c>
      <c r="S62" s="96" t="s">
        <v>10180</v>
      </c>
      <c r="T62" s="96" t="s">
        <v>10181</v>
      </c>
      <c r="U62" s="96" t="s">
        <v>10182</v>
      </c>
      <c r="V62" s="96" t="s">
        <v>10183</v>
      </c>
      <c r="W62" s="96" t="s">
        <v>10184</v>
      </c>
      <c r="X62" s="96" t="s">
        <v>10185</v>
      </c>
      <c r="Y62" s="96" t="s">
        <v>10186</v>
      </c>
      <c r="Z62" s="96" t="s">
        <v>10187</v>
      </c>
      <c r="AA62" s="96" t="s">
        <v>10188</v>
      </c>
      <c r="AB62" s="96" t="s">
        <v>10189</v>
      </c>
      <c r="AC62" s="96" t="s">
        <v>10190</v>
      </c>
      <c r="AD62" s="57"/>
    </row>
    <row r="63">
      <c r="A63" s="96" t="s">
        <v>11652</v>
      </c>
      <c r="B63" s="96" t="s">
        <v>11653</v>
      </c>
      <c r="C63" s="97" t="s">
        <v>15135</v>
      </c>
      <c r="D63" s="96" t="s">
        <v>15136</v>
      </c>
      <c r="E63" s="96" t="s">
        <v>15137</v>
      </c>
      <c r="F63" s="96" t="s">
        <v>15138</v>
      </c>
      <c r="G63" s="96" t="s">
        <v>15139</v>
      </c>
      <c r="H63" s="96" t="s">
        <v>15140</v>
      </c>
      <c r="I63" s="96" t="s">
        <v>15141</v>
      </c>
      <c r="J63" s="96" t="s">
        <v>15142</v>
      </c>
      <c r="K63" s="96" t="s">
        <v>15143</v>
      </c>
      <c r="L63" s="96" t="s">
        <v>15144</v>
      </c>
      <c r="M63" s="96" t="s">
        <v>15145</v>
      </c>
      <c r="N63" s="96" t="s">
        <v>15146</v>
      </c>
      <c r="O63" s="96" t="s">
        <v>15147</v>
      </c>
      <c r="P63" s="96" t="s">
        <v>15148</v>
      </c>
      <c r="Q63" s="96" t="s">
        <v>15149</v>
      </c>
      <c r="R63" s="96" t="s">
        <v>15150</v>
      </c>
      <c r="S63" s="96" t="s">
        <v>15151</v>
      </c>
      <c r="T63" s="96" t="s">
        <v>15152</v>
      </c>
      <c r="U63" s="96" t="s">
        <v>15153</v>
      </c>
      <c r="V63" s="96" t="s">
        <v>15154</v>
      </c>
      <c r="W63" s="96" t="s">
        <v>15139</v>
      </c>
      <c r="X63" s="96" t="s">
        <v>15155</v>
      </c>
      <c r="Y63" s="96" t="s">
        <v>15156</v>
      </c>
      <c r="Z63" s="96" t="s">
        <v>15157</v>
      </c>
      <c r="AA63" s="96" t="s">
        <v>15158</v>
      </c>
      <c r="AB63" s="96" t="s">
        <v>15146</v>
      </c>
      <c r="AC63" s="96" t="s">
        <v>15159</v>
      </c>
      <c r="AD63" s="57"/>
    </row>
    <row r="64">
      <c r="A64" s="96" t="s">
        <v>11654</v>
      </c>
      <c r="B64" s="96" t="s">
        <v>15160</v>
      </c>
      <c r="C64" s="97" t="s">
        <v>15161</v>
      </c>
      <c r="D64" s="96" t="s">
        <v>15162</v>
      </c>
      <c r="E64" s="96" t="s">
        <v>15163</v>
      </c>
      <c r="F64" s="96" t="s">
        <v>15164</v>
      </c>
      <c r="G64" s="96" t="s">
        <v>15165</v>
      </c>
      <c r="H64" s="96" t="s">
        <v>15166</v>
      </c>
      <c r="I64" s="96" t="s">
        <v>15167</v>
      </c>
      <c r="J64" s="96" t="s">
        <v>15168</v>
      </c>
      <c r="K64" s="96" t="s">
        <v>15169</v>
      </c>
      <c r="L64" s="96" t="s">
        <v>15170</v>
      </c>
      <c r="M64" s="96" t="s">
        <v>15171</v>
      </c>
      <c r="N64" s="96" t="s">
        <v>15172</v>
      </c>
      <c r="O64" s="96" t="s">
        <v>15173</v>
      </c>
      <c r="P64" s="96" t="s">
        <v>15174</v>
      </c>
      <c r="Q64" s="96" t="s">
        <v>15175</v>
      </c>
      <c r="R64" s="96" t="s">
        <v>15176</v>
      </c>
      <c r="S64" s="96" t="s">
        <v>15177</v>
      </c>
      <c r="T64" s="96" t="s">
        <v>15170</v>
      </c>
      <c r="U64" s="96" t="s">
        <v>15178</v>
      </c>
      <c r="V64" s="96" t="s">
        <v>15179</v>
      </c>
      <c r="W64" s="96" t="s">
        <v>15180</v>
      </c>
      <c r="X64" s="96" t="s">
        <v>15181</v>
      </c>
      <c r="Y64" s="96" t="s">
        <v>15182</v>
      </c>
      <c r="Z64" s="96" t="s">
        <v>15183</v>
      </c>
      <c r="AA64" s="96" t="s">
        <v>15184</v>
      </c>
      <c r="AB64" s="96" t="s">
        <v>14788</v>
      </c>
      <c r="AC64" s="96" t="s">
        <v>15185</v>
      </c>
      <c r="AD64" s="57"/>
    </row>
    <row r="65">
      <c r="A65" s="96" t="s">
        <v>11656</v>
      </c>
      <c r="B65" s="96" t="s">
        <v>15186</v>
      </c>
      <c r="C65" s="97" t="s">
        <v>15187</v>
      </c>
      <c r="D65" s="96" t="s">
        <v>15188</v>
      </c>
      <c r="E65" s="96" t="s">
        <v>15189</v>
      </c>
      <c r="F65" s="96" t="s">
        <v>15190</v>
      </c>
      <c r="G65" s="96" t="s">
        <v>15191</v>
      </c>
      <c r="H65" s="96" t="s">
        <v>15192</v>
      </c>
      <c r="I65" s="96" t="s">
        <v>14609</v>
      </c>
      <c r="J65" s="96" t="s">
        <v>15193</v>
      </c>
      <c r="K65" s="96" t="s">
        <v>15194</v>
      </c>
      <c r="L65" s="96" t="s">
        <v>15195</v>
      </c>
      <c r="M65" s="96" t="s">
        <v>15196</v>
      </c>
      <c r="N65" s="96" t="s">
        <v>15197</v>
      </c>
      <c r="O65" s="96" t="s">
        <v>15198</v>
      </c>
      <c r="P65" s="96" t="s">
        <v>15199</v>
      </c>
      <c r="Q65" s="96" t="s">
        <v>15200</v>
      </c>
      <c r="R65" s="96" t="s">
        <v>15201</v>
      </c>
      <c r="S65" s="96" t="s">
        <v>15202</v>
      </c>
      <c r="T65" s="96" t="s">
        <v>15203</v>
      </c>
      <c r="U65" s="96" t="s">
        <v>15204</v>
      </c>
      <c r="V65" s="96" t="s">
        <v>15205</v>
      </c>
      <c r="W65" s="96" t="s">
        <v>15206</v>
      </c>
      <c r="X65" s="96" t="s">
        <v>15207</v>
      </c>
      <c r="Y65" s="96" t="s">
        <v>15208</v>
      </c>
      <c r="Z65" s="96" t="s">
        <v>14626</v>
      </c>
      <c r="AA65" s="96" t="s">
        <v>15209</v>
      </c>
      <c r="AB65" s="96" t="s">
        <v>14628</v>
      </c>
      <c r="AC65" s="96" t="s">
        <v>15210</v>
      </c>
      <c r="AD65" s="57"/>
    </row>
    <row r="66">
      <c r="A66" s="96" t="s">
        <v>11658</v>
      </c>
      <c r="B66" s="96" t="s">
        <v>15211</v>
      </c>
      <c r="C66" s="97" t="s">
        <v>15212</v>
      </c>
      <c r="D66" s="96" t="s">
        <v>15213</v>
      </c>
      <c r="E66" s="96" t="s">
        <v>15214</v>
      </c>
      <c r="F66" s="96" t="s">
        <v>15215</v>
      </c>
      <c r="G66" s="96" t="s">
        <v>15216</v>
      </c>
      <c r="H66" s="96" t="s">
        <v>15217</v>
      </c>
      <c r="I66" s="96" t="s">
        <v>15218</v>
      </c>
      <c r="J66" s="96" t="s">
        <v>15219</v>
      </c>
      <c r="K66" s="96" t="s">
        <v>15220</v>
      </c>
      <c r="L66" s="96" t="s">
        <v>15221</v>
      </c>
      <c r="M66" s="96" t="s">
        <v>15222</v>
      </c>
      <c r="N66" s="96" t="s">
        <v>15223</v>
      </c>
      <c r="O66" s="96" t="s">
        <v>15224</v>
      </c>
      <c r="P66" s="96" t="s">
        <v>15225</v>
      </c>
      <c r="Q66" s="96" t="s">
        <v>15226</v>
      </c>
      <c r="R66" s="96" t="s">
        <v>15227</v>
      </c>
      <c r="S66" s="96" t="s">
        <v>15228</v>
      </c>
      <c r="T66" s="96" t="s">
        <v>15229</v>
      </c>
      <c r="U66" s="96" t="s">
        <v>15230</v>
      </c>
      <c r="V66" s="96" t="s">
        <v>15231</v>
      </c>
      <c r="W66" s="96" t="s">
        <v>15232</v>
      </c>
      <c r="X66" s="96" t="s">
        <v>15233</v>
      </c>
      <c r="Y66" s="96" t="s">
        <v>15234</v>
      </c>
      <c r="Z66" s="96" t="s">
        <v>15235</v>
      </c>
      <c r="AA66" s="96" t="s">
        <v>15236</v>
      </c>
      <c r="AB66" s="96" t="s">
        <v>15237</v>
      </c>
      <c r="AC66" s="96" t="s">
        <v>15238</v>
      </c>
      <c r="AD66" s="57"/>
    </row>
    <row r="67">
      <c r="A67" s="96" t="s">
        <v>11660</v>
      </c>
      <c r="B67" s="96" t="s">
        <v>15239</v>
      </c>
      <c r="C67" s="97" t="s">
        <v>15240</v>
      </c>
      <c r="D67" s="96" t="s">
        <v>15241</v>
      </c>
      <c r="E67" s="96" t="s">
        <v>15242</v>
      </c>
      <c r="F67" s="96" t="s">
        <v>15243</v>
      </c>
      <c r="G67" s="96" t="s">
        <v>15244</v>
      </c>
      <c r="H67" s="96" t="s">
        <v>15245</v>
      </c>
      <c r="I67" s="96" t="s">
        <v>15246</v>
      </c>
      <c r="J67" s="96" t="s">
        <v>15247</v>
      </c>
      <c r="K67" s="96" t="s">
        <v>15248</v>
      </c>
      <c r="L67" s="96" t="s">
        <v>15249</v>
      </c>
      <c r="M67" s="96" t="s">
        <v>15250</v>
      </c>
      <c r="N67" s="96" t="s">
        <v>15251</v>
      </c>
      <c r="O67" s="96" t="s">
        <v>15252</v>
      </c>
      <c r="P67" s="96" t="s">
        <v>15253</v>
      </c>
      <c r="Q67" s="96" t="s">
        <v>15254</v>
      </c>
      <c r="R67" s="96" t="s">
        <v>15255</v>
      </c>
      <c r="S67" s="96" t="s">
        <v>15256</v>
      </c>
      <c r="T67" s="96" t="s">
        <v>15257</v>
      </c>
      <c r="U67" s="96" t="s">
        <v>15258</v>
      </c>
      <c r="V67" s="96" t="s">
        <v>15259</v>
      </c>
      <c r="W67" s="96" t="s">
        <v>15260</v>
      </c>
      <c r="X67" s="96" t="s">
        <v>15261</v>
      </c>
      <c r="Y67" s="96" t="s">
        <v>15262</v>
      </c>
      <c r="Z67" s="96" t="s">
        <v>15263</v>
      </c>
      <c r="AA67" s="96" t="s">
        <v>15264</v>
      </c>
      <c r="AB67" s="96" t="s">
        <v>15265</v>
      </c>
      <c r="AC67" s="96" t="s">
        <v>15266</v>
      </c>
      <c r="AD67" s="57"/>
    </row>
    <row r="68">
      <c r="A68" s="96" t="s">
        <v>11665</v>
      </c>
      <c r="B68" s="96" t="s">
        <v>11666</v>
      </c>
      <c r="C68" s="97" t="s">
        <v>15321</v>
      </c>
      <c r="D68" s="96" t="s">
        <v>15322</v>
      </c>
      <c r="E68" s="96" t="s">
        <v>15323</v>
      </c>
      <c r="F68" s="96" t="s">
        <v>15324</v>
      </c>
      <c r="G68" s="96" t="s">
        <v>15325</v>
      </c>
      <c r="H68" s="96" t="s">
        <v>15326</v>
      </c>
      <c r="I68" s="96" t="s">
        <v>15327</v>
      </c>
      <c r="J68" s="96" t="s">
        <v>15328</v>
      </c>
      <c r="K68" s="96" t="s">
        <v>15329</v>
      </c>
      <c r="L68" s="96" t="s">
        <v>15330</v>
      </c>
      <c r="M68" s="96" t="s">
        <v>15331</v>
      </c>
      <c r="N68" s="96" t="s">
        <v>15332</v>
      </c>
      <c r="O68" s="96" t="s">
        <v>15333</v>
      </c>
      <c r="P68" s="96" t="s">
        <v>15334</v>
      </c>
      <c r="Q68" s="96" t="s">
        <v>15335</v>
      </c>
      <c r="R68" s="96" t="s">
        <v>15336</v>
      </c>
      <c r="S68" s="96" t="s">
        <v>15337</v>
      </c>
      <c r="T68" s="96" t="s">
        <v>15338</v>
      </c>
      <c r="U68" s="96" t="s">
        <v>15339</v>
      </c>
      <c r="V68" s="96" t="s">
        <v>15340</v>
      </c>
      <c r="W68" s="96" t="s">
        <v>15341</v>
      </c>
      <c r="X68" s="96" t="s">
        <v>15342</v>
      </c>
      <c r="Y68" s="96" t="s">
        <v>15343</v>
      </c>
      <c r="Z68" s="96" t="s">
        <v>15344</v>
      </c>
      <c r="AA68" s="96" t="s">
        <v>15345</v>
      </c>
      <c r="AB68" s="96" t="s">
        <v>15346</v>
      </c>
      <c r="AC68" s="96" t="s">
        <v>15347</v>
      </c>
      <c r="AD68" s="57"/>
    </row>
    <row r="69">
      <c r="A69" s="96" t="s">
        <v>11668</v>
      </c>
      <c r="B69" s="96" t="s">
        <v>11669</v>
      </c>
      <c r="C69" s="97" t="s">
        <v>15375</v>
      </c>
      <c r="D69" s="96" t="s">
        <v>15376</v>
      </c>
      <c r="E69" s="96" t="s">
        <v>15377</v>
      </c>
      <c r="F69" s="96" t="s">
        <v>15378</v>
      </c>
      <c r="G69" s="96" t="s">
        <v>15379</v>
      </c>
      <c r="H69" s="96" t="s">
        <v>15380</v>
      </c>
      <c r="I69" s="96" t="s">
        <v>15381</v>
      </c>
      <c r="J69" s="96" t="s">
        <v>15382</v>
      </c>
      <c r="K69" s="96" t="s">
        <v>15383</v>
      </c>
      <c r="L69" s="96" t="s">
        <v>15384</v>
      </c>
      <c r="M69" s="96" t="s">
        <v>15385</v>
      </c>
      <c r="N69" s="96" t="s">
        <v>15386</v>
      </c>
      <c r="O69" s="96" t="s">
        <v>15387</v>
      </c>
      <c r="P69" s="96" t="s">
        <v>15388</v>
      </c>
      <c r="Q69" s="96" t="s">
        <v>15389</v>
      </c>
      <c r="R69" s="96" t="s">
        <v>15390</v>
      </c>
      <c r="S69" s="96" t="s">
        <v>15391</v>
      </c>
      <c r="T69" s="96" t="s">
        <v>15392</v>
      </c>
      <c r="U69" s="96" t="s">
        <v>15393</v>
      </c>
      <c r="V69" s="96" t="s">
        <v>15394</v>
      </c>
      <c r="W69" s="96" t="s">
        <v>15395</v>
      </c>
      <c r="X69" s="96" t="s">
        <v>15396</v>
      </c>
      <c r="Y69" s="96" t="s">
        <v>15397</v>
      </c>
      <c r="Z69" s="96" t="s">
        <v>15398</v>
      </c>
      <c r="AA69" s="96" t="s">
        <v>15399</v>
      </c>
      <c r="AB69" s="96" t="s">
        <v>15400</v>
      </c>
      <c r="AC69" s="96" t="s">
        <v>15401</v>
      </c>
      <c r="AD69" s="57"/>
    </row>
    <row r="70">
      <c r="A70" s="96" t="s">
        <v>11671</v>
      </c>
      <c r="B70" s="96" t="s">
        <v>11672</v>
      </c>
      <c r="C70" s="97" t="s">
        <v>15429</v>
      </c>
      <c r="D70" s="96" t="s">
        <v>15430</v>
      </c>
      <c r="E70" s="96" t="s">
        <v>15431</v>
      </c>
      <c r="F70" s="96" t="s">
        <v>15432</v>
      </c>
      <c r="G70" s="96" t="s">
        <v>15433</v>
      </c>
      <c r="H70" s="96" t="s">
        <v>15434</v>
      </c>
      <c r="I70" s="96" t="s">
        <v>15435</v>
      </c>
      <c r="J70" s="96" t="s">
        <v>15436</v>
      </c>
      <c r="K70" s="96" t="s">
        <v>15437</v>
      </c>
      <c r="L70" s="96" t="s">
        <v>15438</v>
      </c>
      <c r="M70" s="96" t="s">
        <v>15439</v>
      </c>
      <c r="N70" s="96" t="s">
        <v>15440</v>
      </c>
      <c r="O70" s="96" t="s">
        <v>15441</v>
      </c>
      <c r="P70" s="96" t="s">
        <v>15442</v>
      </c>
      <c r="Q70" s="96" t="s">
        <v>15443</v>
      </c>
      <c r="R70" s="96" t="s">
        <v>15444</v>
      </c>
      <c r="S70" s="96" t="s">
        <v>15445</v>
      </c>
      <c r="T70" s="96" t="s">
        <v>15446</v>
      </c>
      <c r="U70" s="96" t="s">
        <v>15447</v>
      </c>
      <c r="V70" s="96" t="s">
        <v>15448</v>
      </c>
      <c r="W70" s="96" t="s">
        <v>15449</v>
      </c>
      <c r="X70" s="96" t="s">
        <v>15450</v>
      </c>
      <c r="Y70" s="96" t="s">
        <v>15451</v>
      </c>
      <c r="Z70" s="96" t="s">
        <v>15452</v>
      </c>
      <c r="AA70" s="96" t="s">
        <v>15453</v>
      </c>
      <c r="AB70" s="96" t="s">
        <v>15454</v>
      </c>
      <c r="AC70" s="96" t="s">
        <v>15455</v>
      </c>
      <c r="AD70" s="57"/>
    </row>
    <row r="71">
      <c r="A71" s="96" t="s">
        <v>11673</v>
      </c>
      <c r="B71" s="96" t="s">
        <v>11674</v>
      </c>
      <c r="C71" s="97" t="s">
        <v>15456</v>
      </c>
      <c r="D71" s="96" t="s">
        <v>15457</v>
      </c>
      <c r="E71" s="96" t="s">
        <v>15458</v>
      </c>
      <c r="F71" s="96" t="s">
        <v>15459</v>
      </c>
      <c r="G71" s="96" t="s">
        <v>15460</v>
      </c>
      <c r="H71" s="96" t="s">
        <v>15461</v>
      </c>
      <c r="I71" s="96" t="s">
        <v>15462</v>
      </c>
      <c r="J71" s="96" t="s">
        <v>15463</v>
      </c>
      <c r="K71" s="96" t="s">
        <v>15464</v>
      </c>
      <c r="L71" s="96" t="s">
        <v>15465</v>
      </c>
      <c r="M71" s="96" t="s">
        <v>15466</v>
      </c>
      <c r="N71" s="96" t="s">
        <v>15467</v>
      </c>
      <c r="O71" s="96" t="s">
        <v>15468</v>
      </c>
      <c r="P71" s="96" t="s">
        <v>15469</v>
      </c>
      <c r="Q71" s="96" t="s">
        <v>15470</v>
      </c>
      <c r="R71" s="96" t="s">
        <v>15471</v>
      </c>
      <c r="S71" s="96" t="s">
        <v>15472</v>
      </c>
      <c r="T71" s="96" t="s">
        <v>15473</v>
      </c>
      <c r="U71" s="96" t="s">
        <v>15474</v>
      </c>
      <c r="V71" s="96" t="s">
        <v>15475</v>
      </c>
      <c r="W71" s="96" t="s">
        <v>15476</v>
      </c>
      <c r="X71" s="96" t="s">
        <v>15477</v>
      </c>
      <c r="Y71" s="96" t="s">
        <v>15478</v>
      </c>
      <c r="Z71" s="96" t="s">
        <v>15479</v>
      </c>
      <c r="AA71" s="96" t="s">
        <v>15480</v>
      </c>
      <c r="AB71" s="96" t="s">
        <v>15481</v>
      </c>
      <c r="AC71" s="96" t="s">
        <v>15482</v>
      </c>
      <c r="AD71" s="57"/>
    </row>
    <row r="72">
      <c r="A72" s="96" t="s">
        <v>8991</v>
      </c>
      <c r="B72" s="96" t="s">
        <v>11675</v>
      </c>
      <c r="C72" s="97" t="s">
        <v>15483</v>
      </c>
      <c r="D72" s="96" t="s">
        <v>15484</v>
      </c>
      <c r="E72" s="96" t="s">
        <v>15485</v>
      </c>
      <c r="F72" s="96" t="s">
        <v>15486</v>
      </c>
      <c r="G72" s="96" t="s">
        <v>15487</v>
      </c>
      <c r="H72" s="96" t="s">
        <v>15488</v>
      </c>
      <c r="I72" s="96" t="s">
        <v>15489</v>
      </c>
      <c r="J72" s="96" t="s">
        <v>15490</v>
      </c>
      <c r="K72" s="96" t="s">
        <v>15491</v>
      </c>
      <c r="L72" s="96" t="s">
        <v>5120</v>
      </c>
      <c r="M72" s="96" t="s">
        <v>15492</v>
      </c>
      <c r="N72" s="96" t="s">
        <v>5122</v>
      </c>
      <c r="O72" s="96" t="s">
        <v>8993</v>
      </c>
      <c r="P72" s="96" t="s">
        <v>15493</v>
      </c>
      <c r="Q72" s="96" t="s">
        <v>5125</v>
      </c>
      <c r="R72" s="96" t="s">
        <v>5126</v>
      </c>
      <c r="S72" s="96" t="s">
        <v>15494</v>
      </c>
      <c r="T72" s="96" t="s">
        <v>5120</v>
      </c>
      <c r="U72" s="96" t="s">
        <v>15495</v>
      </c>
      <c r="V72" s="96" t="s">
        <v>15496</v>
      </c>
      <c r="W72" s="96" t="s">
        <v>15497</v>
      </c>
      <c r="X72" s="96" t="s">
        <v>15498</v>
      </c>
      <c r="Y72" s="96" t="s">
        <v>5132</v>
      </c>
      <c r="Z72" s="96" t="s">
        <v>15499</v>
      </c>
      <c r="AA72" s="96" t="s">
        <v>15500</v>
      </c>
      <c r="AB72" s="96" t="s">
        <v>5135</v>
      </c>
      <c r="AC72" s="96" t="s">
        <v>5136</v>
      </c>
      <c r="AD72" s="57"/>
    </row>
    <row r="73">
      <c r="A73" s="96" t="s">
        <v>7377</v>
      </c>
      <c r="B73" s="96" t="s">
        <v>7378</v>
      </c>
      <c r="C73" s="97" t="s">
        <v>7379</v>
      </c>
      <c r="D73" s="96" t="s">
        <v>7380</v>
      </c>
      <c r="E73" s="96" t="s">
        <v>7381</v>
      </c>
      <c r="F73" s="96" t="s">
        <v>7382</v>
      </c>
      <c r="G73" s="96" t="s">
        <v>7383</v>
      </c>
      <c r="H73" s="96" t="s">
        <v>15501</v>
      </c>
      <c r="I73" s="96" t="s">
        <v>7385</v>
      </c>
      <c r="J73" s="96" t="s">
        <v>7386</v>
      </c>
      <c r="K73" s="96" t="s">
        <v>7387</v>
      </c>
      <c r="L73" s="96" t="s">
        <v>7388</v>
      </c>
      <c r="M73" s="96" t="s">
        <v>7389</v>
      </c>
      <c r="N73" s="96" t="s">
        <v>7390</v>
      </c>
      <c r="O73" s="96" t="s">
        <v>15502</v>
      </c>
      <c r="P73" s="96" t="s">
        <v>7392</v>
      </c>
      <c r="Q73" s="96" t="s">
        <v>7393</v>
      </c>
      <c r="R73" s="96" t="s">
        <v>15503</v>
      </c>
      <c r="S73" s="96" t="s">
        <v>15504</v>
      </c>
      <c r="T73" s="96" t="s">
        <v>15505</v>
      </c>
      <c r="U73" s="96" t="s">
        <v>7381</v>
      </c>
      <c r="V73" s="96" t="s">
        <v>7396</v>
      </c>
      <c r="W73" s="96" t="s">
        <v>7397</v>
      </c>
      <c r="X73" s="96" t="s">
        <v>7398</v>
      </c>
      <c r="Y73" s="96" t="s">
        <v>7399</v>
      </c>
      <c r="Z73" s="96" t="s">
        <v>7400</v>
      </c>
      <c r="AA73" s="96" t="s">
        <v>15506</v>
      </c>
      <c r="AB73" s="96" t="s">
        <v>7402</v>
      </c>
      <c r="AC73" s="96" t="s">
        <v>15507</v>
      </c>
      <c r="AD73" s="57"/>
    </row>
    <row r="74">
      <c r="A74" s="96" t="s">
        <v>7404</v>
      </c>
      <c r="B74" s="96" t="s">
        <v>7405</v>
      </c>
      <c r="C74" s="97" t="s">
        <v>7406</v>
      </c>
      <c r="D74" s="96" t="s">
        <v>7407</v>
      </c>
      <c r="E74" s="96" t="s">
        <v>7408</v>
      </c>
      <c r="F74" s="96" t="s">
        <v>7409</v>
      </c>
      <c r="G74" s="96" t="s">
        <v>7410</v>
      </c>
      <c r="H74" s="96" t="s">
        <v>15508</v>
      </c>
      <c r="I74" s="96" t="s">
        <v>15509</v>
      </c>
      <c r="J74" s="96" t="s">
        <v>7413</v>
      </c>
      <c r="K74" s="96" t="s">
        <v>7414</v>
      </c>
      <c r="L74" s="96" t="s">
        <v>7415</v>
      </c>
      <c r="M74" s="96" t="s">
        <v>7416</v>
      </c>
      <c r="N74" s="96" t="s">
        <v>15510</v>
      </c>
      <c r="O74" s="96" t="s">
        <v>15511</v>
      </c>
      <c r="P74" s="96" t="s">
        <v>15512</v>
      </c>
      <c r="Q74" s="96" t="s">
        <v>7420</v>
      </c>
      <c r="R74" s="96" t="s">
        <v>7421</v>
      </c>
      <c r="S74" s="96" t="s">
        <v>15513</v>
      </c>
      <c r="T74" s="96" t="s">
        <v>7423</v>
      </c>
      <c r="U74" s="96" t="s">
        <v>7424</v>
      </c>
      <c r="V74" s="96" t="s">
        <v>7425</v>
      </c>
      <c r="W74" s="96" t="s">
        <v>7426</v>
      </c>
      <c r="X74" s="96" t="s">
        <v>7427</v>
      </c>
      <c r="Y74" s="96" t="s">
        <v>15514</v>
      </c>
      <c r="Z74" s="96" t="s">
        <v>7429</v>
      </c>
      <c r="AA74" s="96" t="s">
        <v>15515</v>
      </c>
      <c r="AB74" s="96" t="s">
        <v>7431</v>
      </c>
      <c r="AC74" s="96" t="s">
        <v>15516</v>
      </c>
      <c r="AD74" s="57"/>
    </row>
    <row r="75">
      <c r="A75" s="96" t="s">
        <v>7433</v>
      </c>
      <c r="B75" s="96" t="s">
        <v>7434</v>
      </c>
      <c r="C75" s="97" t="s">
        <v>7435</v>
      </c>
      <c r="D75" s="96" t="s">
        <v>7436</v>
      </c>
      <c r="E75" s="96" t="s">
        <v>7437</v>
      </c>
      <c r="F75" s="96" t="s">
        <v>7438</v>
      </c>
      <c r="G75" s="96" t="s">
        <v>7439</v>
      </c>
      <c r="H75" s="96" t="s">
        <v>15517</v>
      </c>
      <c r="I75" s="96" t="s">
        <v>15518</v>
      </c>
      <c r="J75" s="96" t="s">
        <v>7442</v>
      </c>
      <c r="K75" s="96" t="s">
        <v>7443</v>
      </c>
      <c r="L75" s="96" t="s">
        <v>7444</v>
      </c>
      <c r="M75" s="96" t="s">
        <v>7445</v>
      </c>
      <c r="N75" s="96" t="s">
        <v>7446</v>
      </c>
      <c r="O75" s="96" t="s">
        <v>7447</v>
      </c>
      <c r="P75" s="96" t="s">
        <v>15519</v>
      </c>
      <c r="Q75" s="96" t="s">
        <v>15520</v>
      </c>
      <c r="R75" s="96" t="s">
        <v>15521</v>
      </c>
      <c r="S75" s="96" t="s">
        <v>7451</v>
      </c>
      <c r="T75" s="96" t="s">
        <v>15522</v>
      </c>
      <c r="U75" s="96" t="s">
        <v>7452</v>
      </c>
      <c r="V75" s="96" t="s">
        <v>7453</v>
      </c>
      <c r="W75" s="96" t="s">
        <v>7439</v>
      </c>
      <c r="X75" s="96" t="s">
        <v>7454</v>
      </c>
      <c r="Y75" s="96" t="s">
        <v>15523</v>
      </c>
      <c r="Z75" s="96" t="s">
        <v>7456</v>
      </c>
      <c r="AA75" s="96" t="s">
        <v>15524</v>
      </c>
      <c r="AB75" s="96" t="s">
        <v>7458</v>
      </c>
      <c r="AC75" s="96" t="s">
        <v>7459</v>
      </c>
      <c r="AD75" s="57"/>
    </row>
    <row r="76">
      <c r="A76" s="96" t="s">
        <v>7460</v>
      </c>
      <c r="B76" s="96" t="s">
        <v>7461</v>
      </c>
      <c r="C76" s="97" t="s">
        <v>7462</v>
      </c>
      <c r="D76" s="96" t="s">
        <v>15525</v>
      </c>
      <c r="E76" s="96" t="s">
        <v>15526</v>
      </c>
      <c r="F76" s="96" t="s">
        <v>15527</v>
      </c>
      <c r="G76" s="96" t="s">
        <v>7464</v>
      </c>
      <c r="H76" s="96" t="s">
        <v>7465</v>
      </c>
      <c r="I76" s="96" t="s">
        <v>15528</v>
      </c>
      <c r="J76" s="96" t="s">
        <v>7467</v>
      </c>
      <c r="K76" s="96" t="s">
        <v>7468</v>
      </c>
      <c r="L76" s="96" t="s">
        <v>7461</v>
      </c>
      <c r="M76" s="96" t="s">
        <v>7469</v>
      </c>
      <c r="N76" s="96" t="s">
        <v>15529</v>
      </c>
      <c r="O76" s="96" t="s">
        <v>7471</v>
      </c>
      <c r="P76" s="96" t="s">
        <v>15530</v>
      </c>
      <c r="Q76" s="96" t="s">
        <v>15531</v>
      </c>
      <c r="R76" s="96" t="s">
        <v>15532</v>
      </c>
      <c r="S76" s="96" t="s">
        <v>15533</v>
      </c>
      <c r="T76" s="96" t="s">
        <v>7461</v>
      </c>
      <c r="U76" s="96" t="s">
        <v>7476</v>
      </c>
      <c r="V76" s="96" t="s">
        <v>7477</v>
      </c>
      <c r="W76" s="96" t="s">
        <v>7478</v>
      </c>
      <c r="X76" s="96" t="s">
        <v>15534</v>
      </c>
      <c r="Y76" s="96" t="s">
        <v>7480</v>
      </c>
      <c r="Z76" s="96" t="s">
        <v>15535</v>
      </c>
      <c r="AA76" s="96" t="s">
        <v>15536</v>
      </c>
      <c r="AB76" s="96" t="s">
        <v>7483</v>
      </c>
      <c r="AC76" s="96" t="s">
        <v>7484</v>
      </c>
      <c r="AD76" s="57"/>
    </row>
    <row r="77">
      <c r="A77" s="96" t="s">
        <v>7485</v>
      </c>
      <c r="B77" s="96" t="s">
        <v>7486</v>
      </c>
      <c r="C77" s="97" t="s">
        <v>7487</v>
      </c>
      <c r="D77" s="96" t="s">
        <v>7488</v>
      </c>
      <c r="E77" s="96" t="s">
        <v>7489</v>
      </c>
      <c r="F77" s="96" t="s">
        <v>7490</v>
      </c>
      <c r="G77" s="96" t="s">
        <v>7491</v>
      </c>
      <c r="H77" s="96" t="s">
        <v>15537</v>
      </c>
      <c r="I77" s="96" t="s">
        <v>7493</v>
      </c>
      <c r="J77" s="96" t="s">
        <v>7494</v>
      </c>
      <c r="K77" s="96" t="s">
        <v>7495</v>
      </c>
      <c r="L77" s="96" t="s">
        <v>7496</v>
      </c>
      <c r="M77" s="96" t="s">
        <v>7497</v>
      </c>
      <c r="N77" s="96" t="s">
        <v>7498</v>
      </c>
      <c r="O77" s="96" t="s">
        <v>15538</v>
      </c>
      <c r="P77" s="96" t="s">
        <v>15539</v>
      </c>
      <c r="Q77" s="96" t="s">
        <v>7501</v>
      </c>
      <c r="R77" s="96" t="s">
        <v>15540</v>
      </c>
      <c r="S77" s="96" t="s">
        <v>15541</v>
      </c>
      <c r="T77" s="96" t="s">
        <v>15542</v>
      </c>
      <c r="U77" s="96" t="s">
        <v>7505</v>
      </c>
      <c r="V77" s="96" t="s">
        <v>7506</v>
      </c>
      <c r="W77" s="96" t="s">
        <v>7507</v>
      </c>
      <c r="X77" s="96" t="s">
        <v>7508</v>
      </c>
      <c r="Y77" s="96" t="s">
        <v>15543</v>
      </c>
      <c r="Z77" s="96" t="s">
        <v>7510</v>
      </c>
      <c r="AA77" s="96" t="s">
        <v>15544</v>
      </c>
      <c r="AB77" s="96" t="s">
        <v>7512</v>
      </c>
      <c r="AC77" s="96" t="s">
        <v>7513</v>
      </c>
      <c r="AD77" s="57"/>
    </row>
    <row r="78">
      <c r="A78" s="96" t="s">
        <v>7514</v>
      </c>
      <c r="B78" s="96" t="s">
        <v>7515</v>
      </c>
      <c r="C78" s="97" t="s">
        <v>7516</v>
      </c>
      <c r="D78" s="96" t="s">
        <v>7517</v>
      </c>
      <c r="E78" s="96" t="s">
        <v>7518</v>
      </c>
      <c r="F78" s="96" t="s">
        <v>7519</v>
      </c>
      <c r="G78" s="96" t="s">
        <v>7520</v>
      </c>
      <c r="H78" s="96" t="s">
        <v>15545</v>
      </c>
      <c r="I78" s="96" t="s">
        <v>7522</v>
      </c>
      <c r="J78" s="96" t="s">
        <v>7523</v>
      </c>
      <c r="K78" s="96" t="s">
        <v>7524</v>
      </c>
      <c r="L78" s="96" t="s">
        <v>7525</v>
      </c>
      <c r="M78" s="96" t="s">
        <v>7526</v>
      </c>
      <c r="N78" s="96" t="s">
        <v>7527</v>
      </c>
      <c r="O78" s="96" t="s">
        <v>15546</v>
      </c>
      <c r="P78" s="96" t="s">
        <v>15547</v>
      </c>
      <c r="Q78" s="96" t="s">
        <v>7530</v>
      </c>
      <c r="R78" s="96" t="s">
        <v>7531</v>
      </c>
      <c r="S78" s="96" t="s">
        <v>15548</v>
      </c>
      <c r="T78" s="96" t="s">
        <v>15549</v>
      </c>
      <c r="U78" s="96" t="s">
        <v>7518</v>
      </c>
      <c r="V78" s="96" t="s">
        <v>7533</v>
      </c>
      <c r="W78" s="96" t="s">
        <v>7526</v>
      </c>
      <c r="X78" s="96" t="s">
        <v>7534</v>
      </c>
      <c r="Y78" s="96" t="s">
        <v>15550</v>
      </c>
      <c r="Z78" s="96" t="s">
        <v>7536</v>
      </c>
      <c r="AA78" s="96" t="s">
        <v>7537</v>
      </c>
      <c r="AB78" s="96" t="s">
        <v>7538</v>
      </c>
      <c r="AC78" s="96" t="s">
        <v>15551</v>
      </c>
      <c r="AD78" s="57"/>
    </row>
    <row r="79">
      <c r="A79" s="96" t="s">
        <v>7540</v>
      </c>
      <c r="B79" s="96" t="s">
        <v>7541</v>
      </c>
      <c r="C79" s="97" t="s">
        <v>7542</v>
      </c>
      <c r="D79" s="96" t="s">
        <v>7543</v>
      </c>
      <c r="E79" s="96" t="s">
        <v>7544</v>
      </c>
      <c r="F79" s="96" t="s">
        <v>7545</v>
      </c>
      <c r="G79" s="96" t="s">
        <v>7546</v>
      </c>
      <c r="H79" s="96" t="s">
        <v>15552</v>
      </c>
      <c r="I79" s="96" t="s">
        <v>7548</v>
      </c>
      <c r="J79" s="96" t="s">
        <v>7549</v>
      </c>
      <c r="K79" s="96" t="s">
        <v>7550</v>
      </c>
      <c r="L79" s="96" t="s">
        <v>7551</v>
      </c>
      <c r="M79" s="96" t="s">
        <v>7552</v>
      </c>
      <c r="N79" s="96" t="s">
        <v>7553</v>
      </c>
      <c r="O79" s="96" t="s">
        <v>15553</v>
      </c>
      <c r="P79" s="96" t="s">
        <v>7555</v>
      </c>
      <c r="Q79" s="96" t="s">
        <v>7556</v>
      </c>
      <c r="R79" s="96" t="s">
        <v>15554</v>
      </c>
      <c r="S79" s="96" t="s">
        <v>15555</v>
      </c>
      <c r="T79" s="96" t="s">
        <v>7551</v>
      </c>
      <c r="U79" s="96" t="s">
        <v>7559</v>
      </c>
      <c r="V79" s="96" t="s">
        <v>7560</v>
      </c>
      <c r="W79" s="96" t="s">
        <v>7561</v>
      </c>
      <c r="X79" s="96" t="s">
        <v>7562</v>
      </c>
      <c r="Y79" s="96" t="s">
        <v>15556</v>
      </c>
      <c r="Z79" s="96" t="s">
        <v>7564</v>
      </c>
      <c r="AA79" s="96" t="s">
        <v>15557</v>
      </c>
      <c r="AB79" s="96" t="s">
        <v>7566</v>
      </c>
      <c r="AC79" s="96" t="s">
        <v>7567</v>
      </c>
      <c r="AD79" s="57"/>
    </row>
    <row r="80">
      <c r="A80" s="96" t="s">
        <v>7568</v>
      </c>
      <c r="B80" s="96" t="s">
        <v>7569</v>
      </c>
      <c r="C80" s="97" t="s">
        <v>7570</v>
      </c>
      <c r="D80" s="96" t="s">
        <v>7571</v>
      </c>
      <c r="E80" s="96" t="s">
        <v>7572</v>
      </c>
      <c r="F80" s="96" t="s">
        <v>7573</v>
      </c>
      <c r="G80" s="96" t="s">
        <v>7574</v>
      </c>
      <c r="H80" s="96" t="s">
        <v>15558</v>
      </c>
      <c r="I80" s="96" t="s">
        <v>7576</v>
      </c>
      <c r="J80" s="96" t="s">
        <v>7577</v>
      </c>
      <c r="K80" s="96" t="s">
        <v>7578</v>
      </c>
      <c r="L80" s="96" t="s">
        <v>7579</v>
      </c>
      <c r="M80" s="96" t="s">
        <v>7580</v>
      </c>
      <c r="N80" s="96" t="s">
        <v>7581</v>
      </c>
      <c r="O80" s="96" t="s">
        <v>15559</v>
      </c>
      <c r="P80" s="96" t="s">
        <v>7583</v>
      </c>
      <c r="Q80" s="96" t="s">
        <v>7584</v>
      </c>
      <c r="R80" s="96" t="s">
        <v>7585</v>
      </c>
      <c r="S80" s="96" t="s">
        <v>15560</v>
      </c>
      <c r="T80" s="96" t="s">
        <v>15561</v>
      </c>
      <c r="U80" s="96" t="s">
        <v>7588</v>
      </c>
      <c r="V80" s="96" t="s">
        <v>7589</v>
      </c>
      <c r="W80" s="96" t="s">
        <v>7590</v>
      </c>
      <c r="X80" s="96" t="s">
        <v>15562</v>
      </c>
      <c r="Y80" s="96" t="s">
        <v>7592</v>
      </c>
      <c r="Z80" s="96" t="s">
        <v>7593</v>
      </c>
      <c r="AA80" s="96" t="s">
        <v>15563</v>
      </c>
      <c r="AB80" s="96" t="s">
        <v>7595</v>
      </c>
      <c r="AC80" s="96" t="s">
        <v>7596</v>
      </c>
      <c r="AD80" s="57"/>
    </row>
    <row r="81">
      <c r="A81" s="96" t="s">
        <v>7597</v>
      </c>
      <c r="B81" s="96" t="s">
        <v>7598</v>
      </c>
      <c r="C81" s="97" t="s">
        <v>7599</v>
      </c>
      <c r="D81" s="96" t="s">
        <v>7600</v>
      </c>
      <c r="E81" s="96" t="s">
        <v>7601</v>
      </c>
      <c r="F81" s="96" t="s">
        <v>15564</v>
      </c>
      <c r="G81" s="96" t="s">
        <v>7603</v>
      </c>
      <c r="H81" s="96" t="s">
        <v>15565</v>
      </c>
      <c r="I81" s="96" t="s">
        <v>7605</v>
      </c>
      <c r="J81" s="96" t="s">
        <v>7606</v>
      </c>
      <c r="K81" s="96" t="s">
        <v>7607</v>
      </c>
      <c r="L81" s="96" t="s">
        <v>7608</v>
      </c>
      <c r="M81" s="96" t="s">
        <v>7609</v>
      </c>
      <c r="N81" s="96" t="s">
        <v>15566</v>
      </c>
      <c r="O81" s="96" t="s">
        <v>15567</v>
      </c>
      <c r="P81" s="96" t="s">
        <v>15568</v>
      </c>
      <c r="Q81" s="96" t="s">
        <v>7613</v>
      </c>
      <c r="R81" s="96" t="s">
        <v>7614</v>
      </c>
      <c r="S81" s="96" t="s">
        <v>15569</v>
      </c>
      <c r="T81" s="96" t="s">
        <v>15570</v>
      </c>
      <c r="U81" s="96" t="s">
        <v>15571</v>
      </c>
      <c r="V81" s="96" t="s">
        <v>7617</v>
      </c>
      <c r="W81" s="96" t="s">
        <v>7618</v>
      </c>
      <c r="X81" s="96" t="s">
        <v>7619</v>
      </c>
      <c r="Y81" s="96" t="s">
        <v>15572</v>
      </c>
      <c r="Z81" s="96" t="s">
        <v>15573</v>
      </c>
      <c r="AA81" s="96" t="s">
        <v>15574</v>
      </c>
      <c r="AB81" s="96" t="s">
        <v>15575</v>
      </c>
      <c r="AC81" s="96" t="s">
        <v>7624</v>
      </c>
      <c r="AD81" s="57"/>
    </row>
    <row r="82">
      <c r="A82" s="96" t="s">
        <v>7625</v>
      </c>
      <c r="B82" s="96" t="s">
        <v>7626</v>
      </c>
      <c r="C82" s="97" t="s">
        <v>7627</v>
      </c>
      <c r="D82" s="96" t="s">
        <v>7626</v>
      </c>
      <c r="E82" s="96" t="s">
        <v>15576</v>
      </c>
      <c r="F82" s="96" t="s">
        <v>7628</v>
      </c>
      <c r="G82" s="96" t="s">
        <v>15577</v>
      </c>
      <c r="H82" s="96" t="s">
        <v>7626</v>
      </c>
      <c r="I82" s="96" t="s">
        <v>7626</v>
      </c>
      <c r="J82" s="96" t="s">
        <v>15578</v>
      </c>
      <c r="K82" s="96" t="s">
        <v>7629</v>
      </c>
      <c r="L82" s="96" t="s">
        <v>7635</v>
      </c>
      <c r="M82" s="96" t="s">
        <v>15579</v>
      </c>
      <c r="N82" s="96" t="s">
        <v>15580</v>
      </c>
      <c r="O82" s="96" t="s">
        <v>7631</v>
      </c>
      <c r="P82" s="96" t="s">
        <v>15581</v>
      </c>
      <c r="Q82" s="96" t="s">
        <v>15582</v>
      </c>
      <c r="R82" s="96" t="s">
        <v>7634</v>
      </c>
      <c r="S82" s="96" t="s">
        <v>15583</v>
      </c>
      <c r="T82" s="96" t="s">
        <v>7626</v>
      </c>
      <c r="U82" s="96" t="s">
        <v>7635</v>
      </c>
      <c r="V82" s="96" t="s">
        <v>15584</v>
      </c>
      <c r="W82" s="96" t="s">
        <v>7635</v>
      </c>
      <c r="X82" s="96" t="s">
        <v>15585</v>
      </c>
      <c r="Y82" s="96" t="s">
        <v>7637</v>
      </c>
      <c r="Z82" s="96" t="s">
        <v>7626</v>
      </c>
      <c r="AA82" s="96" t="s">
        <v>15586</v>
      </c>
      <c r="AB82" s="96" t="s">
        <v>7639</v>
      </c>
      <c r="AC82" s="96" t="s">
        <v>7640</v>
      </c>
      <c r="AD82" s="57"/>
    </row>
    <row r="83">
      <c r="A83" s="96" t="s">
        <v>7641</v>
      </c>
      <c r="B83" s="96" t="s">
        <v>7642</v>
      </c>
      <c r="C83" s="97" t="s">
        <v>7643</v>
      </c>
      <c r="D83" s="96" t="s">
        <v>15587</v>
      </c>
      <c r="E83" s="96" t="s">
        <v>7644</v>
      </c>
      <c r="F83" s="96" t="s">
        <v>15588</v>
      </c>
      <c r="G83" s="96" t="s">
        <v>7646</v>
      </c>
      <c r="H83" s="96" t="s">
        <v>15589</v>
      </c>
      <c r="I83" s="96" t="s">
        <v>15590</v>
      </c>
      <c r="J83" s="96" t="s">
        <v>7649</v>
      </c>
      <c r="K83" s="96" t="s">
        <v>7650</v>
      </c>
      <c r="L83" s="96" t="s">
        <v>7651</v>
      </c>
      <c r="M83" s="96" t="s">
        <v>7652</v>
      </c>
      <c r="N83" s="96" t="s">
        <v>15591</v>
      </c>
      <c r="O83" s="96" t="s">
        <v>7654</v>
      </c>
      <c r="P83" s="96" t="s">
        <v>7655</v>
      </c>
      <c r="Q83" s="96" t="s">
        <v>7656</v>
      </c>
      <c r="R83" s="96" t="s">
        <v>7657</v>
      </c>
      <c r="S83" s="96" t="s">
        <v>15592</v>
      </c>
      <c r="T83" s="96" t="s">
        <v>7651</v>
      </c>
      <c r="U83" s="96" t="s">
        <v>7659</v>
      </c>
      <c r="V83" s="96" t="s">
        <v>7660</v>
      </c>
      <c r="W83" s="96" t="s">
        <v>7661</v>
      </c>
      <c r="X83" s="96" t="s">
        <v>7662</v>
      </c>
      <c r="Y83" s="96" t="s">
        <v>15593</v>
      </c>
      <c r="Z83" s="96" t="s">
        <v>15594</v>
      </c>
      <c r="AA83" s="96" t="s">
        <v>15595</v>
      </c>
      <c r="AB83" s="96" t="s">
        <v>7665</v>
      </c>
      <c r="AC83" s="96" t="s">
        <v>15596</v>
      </c>
      <c r="AD83" s="57"/>
    </row>
    <row r="84">
      <c r="A84" s="96" t="s">
        <v>7667</v>
      </c>
      <c r="B84" s="96" t="s">
        <v>7668</v>
      </c>
      <c r="C84" s="97" t="s">
        <v>7669</v>
      </c>
      <c r="D84" s="96" t="s">
        <v>7670</v>
      </c>
      <c r="E84" s="96" t="s">
        <v>7671</v>
      </c>
      <c r="F84" s="96" t="s">
        <v>7672</v>
      </c>
      <c r="G84" s="96" t="s">
        <v>7673</v>
      </c>
      <c r="H84" s="96" t="s">
        <v>15597</v>
      </c>
      <c r="I84" s="96" t="s">
        <v>7675</v>
      </c>
      <c r="J84" s="96" t="s">
        <v>7676</v>
      </c>
      <c r="K84" s="96" t="s">
        <v>7677</v>
      </c>
      <c r="L84" s="96" t="s">
        <v>7674</v>
      </c>
      <c r="M84" s="96" t="s">
        <v>7673</v>
      </c>
      <c r="N84" s="96" t="s">
        <v>7678</v>
      </c>
      <c r="O84" s="96" t="s">
        <v>7679</v>
      </c>
      <c r="P84" s="96" t="s">
        <v>15598</v>
      </c>
      <c r="Q84" s="96" t="s">
        <v>7681</v>
      </c>
      <c r="R84" s="96" t="s">
        <v>7682</v>
      </c>
      <c r="S84" s="96" t="s">
        <v>15599</v>
      </c>
      <c r="T84" s="96" t="s">
        <v>7674</v>
      </c>
      <c r="U84" s="96" t="s">
        <v>7684</v>
      </c>
      <c r="V84" s="96" t="s">
        <v>7685</v>
      </c>
      <c r="W84" s="96" t="s">
        <v>7673</v>
      </c>
      <c r="X84" s="96" t="s">
        <v>7686</v>
      </c>
      <c r="Y84" s="96" t="s">
        <v>7687</v>
      </c>
      <c r="Z84" s="96" t="s">
        <v>7688</v>
      </c>
      <c r="AA84" s="96" t="s">
        <v>15600</v>
      </c>
      <c r="AB84" s="96" t="s">
        <v>7690</v>
      </c>
      <c r="AC84" s="96" t="s">
        <v>7691</v>
      </c>
      <c r="AD84" s="57"/>
    </row>
    <row r="85">
      <c r="A85" s="96" t="s">
        <v>7692</v>
      </c>
      <c r="B85" s="96" t="s">
        <v>7693</v>
      </c>
      <c r="C85" s="97" t="s">
        <v>7694</v>
      </c>
      <c r="D85" s="96" t="s">
        <v>15601</v>
      </c>
      <c r="E85" s="96" t="s">
        <v>7693</v>
      </c>
      <c r="F85" s="96" t="s">
        <v>7695</v>
      </c>
      <c r="G85" s="96" t="s">
        <v>15602</v>
      </c>
      <c r="H85" s="96" t="s">
        <v>15603</v>
      </c>
      <c r="I85" s="96" t="s">
        <v>15604</v>
      </c>
      <c r="J85" s="96" t="s">
        <v>7693</v>
      </c>
      <c r="K85" s="96" t="s">
        <v>7698</v>
      </c>
      <c r="L85" s="96" t="s">
        <v>7693</v>
      </c>
      <c r="M85" s="96" t="s">
        <v>7693</v>
      </c>
      <c r="N85" s="96" t="s">
        <v>15605</v>
      </c>
      <c r="O85" s="96" t="s">
        <v>7700</v>
      </c>
      <c r="P85" s="96" t="s">
        <v>7701</v>
      </c>
      <c r="Q85" s="96" t="s">
        <v>15606</v>
      </c>
      <c r="R85" s="96" t="s">
        <v>15607</v>
      </c>
      <c r="S85" s="96" t="s">
        <v>15608</v>
      </c>
      <c r="T85" s="96" t="s">
        <v>7693</v>
      </c>
      <c r="U85" s="96" t="s">
        <v>7693</v>
      </c>
      <c r="V85" s="96" t="s">
        <v>7693</v>
      </c>
      <c r="W85" s="96" t="s">
        <v>7693</v>
      </c>
      <c r="X85" s="96" t="s">
        <v>15609</v>
      </c>
      <c r="Y85" s="96" t="s">
        <v>15610</v>
      </c>
      <c r="Z85" s="96" t="s">
        <v>15611</v>
      </c>
      <c r="AA85" s="96" t="s">
        <v>15612</v>
      </c>
      <c r="AB85" s="96" t="s">
        <v>15613</v>
      </c>
      <c r="AC85" s="96" t="s">
        <v>7708</v>
      </c>
      <c r="AD85" s="57"/>
    </row>
    <row r="86">
      <c r="A86" s="96" t="s">
        <v>7709</v>
      </c>
      <c r="B86" s="96" t="s">
        <v>7710</v>
      </c>
      <c r="C86" s="97" t="s">
        <v>7711</v>
      </c>
      <c r="D86" s="96" t="s">
        <v>7710</v>
      </c>
      <c r="E86" s="96" t="s">
        <v>7710</v>
      </c>
      <c r="F86" s="96" t="s">
        <v>7712</v>
      </c>
      <c r="G86" s="96" t="s">
        <v>15614</v>
      </c>
      <c r="H86" s="96" t="s">
        <v>7709</v>
      </c>
      <c r="I86" s="96" t="s">
        <v>7709</v>
      </c>
      <c r="J86" s="96" t="s">
        <v>7710</v>
      </c>
      <c r="K86" s="96" t="s">
        <v>7713</v>
      </c>
      <c r="L86" s="96" t="s">
        <v>7710</v>
      </c>
      <c r="M86" s="96" t="s">
        <v>7710</v>
      </c>
      <c r="N86" s="96" t="s">
        <v>15615</v>
      </c>
      <c r="O86" s="96" t="s">
        <v>15616</v>
      </c>
      <c r="P86" s="96" t="s">
        <v>15617</v>
      </c>
      <c r="Q86" s="96" t="s">
        <v>7716</v>
      </c>
      <c r="R86" s="96" t="s">
        <v>15618</v>
      </c>
      <c r="S86" s="96" t="s">
        <v>7709</v>
      </c>
      <c r="T86" s="96" t="s">
        <v>7710</v>
      </c>
      <c r="U86" s="96" t="s">
        <v>15619</v>
      </c>
      <c r="V86" s="96" t="s">
        <v>7710</v>
      </c>
      <c r="W86" s="96" t="s">
        <v>7710</v>
      </c>
      <c r="X86" s="96" t="s">
        <v>7718</v>
      </c>
      <c r="Y86" s="96" t="s">
        <v>15620</v>
      </c>
      <c r="Z86" s="96" t="s">
        <v>15621</v>
      </c>
      <c r="AA86" s="96" t="s">
        <v>15622</v>
      </c>
      <c r="AB86" s="96" t="s">
        <v>7721</v>
      </c>
      <c r="AC86" s="96" t="s">
        <v>7722</v>
      </c>
      <c r="AD86" s="57"/>
    </row>
    <row r="87">
      <c r="A87" s="96" t="s">
        <v>7723</v>
      </c>
      <c r="B87" s="96" t="s">
        <v>7724</v>
      </c>
      <c r="C87" s="97" t="s">
        <v>7725</v>
      </c>
      <c r="D87" s="96" t="s">
        <v>7726</v>
      </c>
      <c r="E87" s="96" t="s">
        <v>7727</v>
      </c>
      <c r="F87" s="96" t="s">
        <v>7728</v>
      </c>
      <c r="G87" s="96" t="s">
        <v>7729</v>
      </c>
      <c r="H87" s="96" t="s">
        <v>15623</v>
      </c>
      <c r="I87" s="96" t="s">
        <v>7731</v>
      </c>
      <c r="J87" s="96" t="s">
        <v>7732</v>
      </c>
      <c r="K87" s="96" t="s">
        <v>7733</v>
      </c>
      <c r="L87" s="96" t="s">
        <v>7734</v>
      </c>
      <c r="M87" s="96" t="s">
        <v>7735</v>
      </c>
      <c r="N87" s="96" t="s">
        <v>7736</v>
      </c>
      <c r="O87" s="96" t="s">
        <v>15624</v>
      </c>
      <c r="P87" s="96" t="s">
        <v>7738</v>
      </c>
      <c r="Q87" s="96" t="s">
        <v>7739</v>
      </c>
      <c r="R87" s="96" t="s">
        <v>15625</v>
      </c>
      <c r="S87" s="96" t="s">
        <v>15626</v>
      </c>
      <c r="T87" s="96" t="s">
        <v>7742</v>
      </c>
      <c r="U87" s="96" t="s">
        <v>7743</v>
      </c>
      <c r="V87" s="96" t="s">
        <v>7744</v>
      </c>
      <c r="W87" s="96" t="s">
        <v>7745</v>
      </c>
      <c r="X87" s="96" t="s">
        <v>7746</v>
      </c>
      <c r="Y87" s="96" t="s">
        <v>7747</v>
      </c>
      <c r="Z87" s="96" t="s">
        <v>7748</v>
      </c>
      <c r="AA87" s="96" t="s">
        <v>7749</v>
      </c>
      <c r="AB87" s="96" t="s">
        <v>7750</v>
      </c>
      <c r="AC87" s="96" t="s">
        <v>11703</v>
      </c>
      <c r="AD87" s="57"/>
    </row>
    <row r="88">
      <c r="A88" s="96" t="s">
        <v>7752</v>
      </c>
      <c r="B88" s="96" t="s">
        <v>7753</v>
      </c>
      <c r="C88" s="97" t="s">
        <v>15627</v>
      </c>
      <c r="D88" s="96" t="s">
        <v>7755</v>
      </c>
      <c r="E88" s="96" t="s">
        <v>7756</v>
      </c>
      <c r="F88" s="96" t="s">
        <v>7757</v>
      </c>
      <c r="G88" s="96" t="s">
        <v>7758</v>
      </c>
      <c r="H88" s="96" t="s">
        <v>15628</v>
      </c>
      <c r="I88" s="96" t="s">
        <v>7760</v>
      </c>
      <c r="J88" s="96" t="s">
        <v>7761</v>
      </c>
      <c r="K88" s="96" t="s">
        <v>7762</v>
      </c>
      <c r="L88" s="96" t="s">
        <v>7763</v>
      </c>
      <c r="M88" s="96" t="s">
        <v>7764</v>
      </c>
      <c r="N88" s="96" t="s">
        <v>7765</v>
      </c>
      <c r="O88" s="96" t="s">
        <v>7766</v>
      </c>
      <c r="P88" s="96" t="s">
        <v>15629</v>
      </c>
      <c r="Q88" s="96" t="s">
        <v>7768</v>
      </c>
      <c r="R88" s="96" t="s">
        <v>7769</v>
      </c>
      <c r="S88" s="96" t="s">
        <v>15630</v>
      </c>
      <c r="T88" s="96" t="s">
        <v>15631</v>
      </c>
      <c r="U88" s="96" t="s">
        <v>7772</v>
      </c>
      <c r="V88" s="96" t="s">
        <v>7773</v>
      </c>
      <c r="W88" s="96" t="s">
        <v>7758</v>
      </c>
      <c r="X88" s="96" t="s">
        <v>15632</v>
      </c>
      <c r="Y88" s="96" t="s">
        <v>15633</v>
      </c>
      <c r="Z88" s="96" t="s">
        <v>7776</v>
      </c>
      <c r="AA88" s="96" t="s">
        <v>15634</v>
      </c>
      <c r="AB88" s="96" t="s">
        <v>15635</v>
      </c>
      <c r="AC88" s="96" t="s">
        <v>7779</v>
      </c>
      <c r="AD88" s="57"/>
    </row>
    <row r="89">
      <c r="A89" s="96" t="s">
        <v>7780</v>
      </c>
      <c r="B89" s="96" t="s">
        <v>7781</v>
      </c>
      <c r="C89" s="97" t="s">
        <v>15636</v>
      </c>
      <c r="D89" s="96" t="s">
        <v>7783</v>
      </c>
      <c r="E89" s="96" t="s">
        <v>7784</v>
      </c>
      <c r="F89" s="96" t="s">
        <v>15637</v>
      </c>
      <c r="G89" s="96" t="s">
        <v>7786</v>
      </c>
      <c r="H89" s="96" t="s">
        <v>7787</v>
      </c>
      <c r="I89" s="96" t="s">
        <v>7788</v>
      </c>
      <c r="J89" s="96" t="s">
        <v>7789</v>
      </c>
      <c r="K89" s="96" t="s">
        <v>7790</v>
      </c>
      <c r="L89" s="96" t="s">
        <v>7791</v>
      </c>
      <c r="M89" s="96" t="s">
        <v>7792</v>
      </c>
      <c r="N89" s="96" t="s">
        <v>7793</v>
      </c>
      <c r="O89" s="96" t="s">
        <v>7794</v>
      </c>
      <c r="P89" s="96" t="s">
        <v>15638</v>
      </c>
      <c r="Q89" s="96" t="s">
        <v>7796</v>
      </c>
      <c r="R89" s="96" t="s">
        <v>7797</v>
      </c>
      <c r="S89" s="96" t="s">
        <v>15639</v>
      </c>
      <c r="T89" s="96" t="s">
        <v>7799</v>
      </c>
      <c r="U89" s="96" t="s">
        <v>7784</v>
      </c>
      <c r="V89" s="96" t="s">
        <v>7800</v>
      </c>
      <c r="W89" s="96" t="s">
        <v>7801</v>
      </c>
      <c r="X89" s="96" t="s">
        <v>7802</v>
      </c>
      <c r="Y89" s="96" t="s">
        <v>7803</v>
      </c>
      <c r="Z89" s="96" t="s">
        <v>15640</v>
      </c>
      <c r="AA89" s="96" t="s">
        <v>15641</v>
      </c>
      <c r="AB89" s="96" t="s">
        <v>7806</v>
      </c>
      <c r="AC89" s="96" t="s">
        <v>7807</v>
      </c>
      <c r="AD89" s="57"/>
    </row>
    <row r="90">
      <c r="A90" s="96" t="s">
        <v>7808</v>
      </c>
      <c r="B90" s="96" t="s">
        <v>7809</v>
      </c>
      <c r="C90" s="97" t="s">
        <v>7810</v>
      </c>
      <c r="D90" s="96" t="s">
        <v>7811</v>
      </c>
      <c r="E90" s="96" t="s">
        <v>7809</v>
      </c>
      <c r="F90" s="96" t="s">
        <v>7812</v>
      </c>
      <c r="G90" s="96" t="s">
        <v>7808</v>
      </c>
      <c r="H90" s="96" t="s">
        <v>7808</v>
      </c>
      <c r="I90" s="96" t="s">
        <v>7808</v>
      </c>
      <c r="J90" s="96" t="s">
        <v>7808</v>
      </c>
      <c r="K90" s="96" t="s">
        <v>7814</v>
      </c>
      <c r="L90" s="96" t="s">
        <v>7809</v>
      </c>
      <c r="M90" s="96" t="s">
        <v>7808</v>
      </c>
      <c r="N90" s="96" t="s">
        <v>7815</v>
      </c>
      <c r="O90" s="96" t="s">
        <v>7816</v>
      </c>
      <c r="P90" s="96" t="s">
        <v>7817</v>
      </c>
      <c r="Q90" s="96" t="s">
        <v>7818</v>
      </c>
      <c r="R90" s="96" t="s">
        <v>7819</v>
      </c>
      <c r="S90" s="96" t="s">
        <v>7808</v>
      </c>
      <c r="T90" s="96" t="s">
        <v>7809</v>
      </c>
      <c r="U90" s="96" t="s">
        <v>7809</v>
      </c>
      <c r="V90" s="96" t="s">
        <v>7821</v>
      </c>
      <c r="W90" s="96" t="s">
        <v>7808</v>
      </c>
      <c r="X90" s="96" t="s">
        <v>7822</v>
      </c>
      <c r="Y90" s="96" t="s">
        <v>15642</v>
      </c>
      <c r="Z90" s="96" t="s">
        <v>7824</v>
      </c>
      <c r="AA90" s="96" t="s">
        <v>7825</v>
      </c>
      <c r="AB90" s="96" t="s">
        <v>7826</v>
      </c>
      <c r="AC90" s="96" t="s">
        <v>7827</v>
      </c>
      <c r="AD90" s="57"/>
    </row>
    <row r="91">
      <c r="A91" s="96" t="s">
        <v>7828</v>
      </c>
      <c r="B91" s="96" t="s">
        <v>7829</v>
      </c>
      <c r="C91" s="97" t="s">
        <v>7830</v>
      </c>
      <c r="D91" s="96" t="s">
        <v>7831</v>
      </c>
      <c r="E91" s="96" t="s">
        <v>7832</v>
      </c>
      <c r="F91" s="96" t="s">
        <v>7833</v>
      </c>
      <c r="G91" s="96" t="s">
        <v>7834</v>
      </c>
      <c r="H91" s="96" t="s">
        <v>15643</v>
      </c>
      <c r="I91" s="96" t="s">
        <v>15644</v>
      </c>
      <c r="J91" s="96" t="s">
        <v>7837</v>
      </c>
      <c r="K91" s="96" t="s">
        <v>7838</v>
      </c>
      <c r="L91" s="96" t="s">
        <v>7839</v>
      </c>
      <c r="M91" s="96" t="s">
        <v>7840</v>
      </c>
      <c r="N91" s="96" t="s">
        <v>7841</v>
      </c>
      <c r="O91" s="96" t="s">
        <v>7842</v>
      </c>
      <c r="P91" s="96" t="s">
        <v>7843</v>
      </c>
      <c r="Q91" s="96" t="s">
        <v>7844</v>
      </c>
      <c r="R91" s="96" t="s">
        <v>15645</v>
      </c>
      <c r="S91" s="96" t="s">
        <v>15646</v>
      </c>
      <c r="T91" s="96" t="s">
        <v>15647</v>
      </c>
      <c r="U91" s="96" t="s">
        <v>7847</v>
      </c>
      <c r="V91" s="96" t="s">
        <v>7848</v>
      </c>
      <c r="W91" s="96" t="s">
        <v>7849</v>
      </c>
      <c r="X91" s="96" t="s">
        <v>15648</v>
      </c>
      <c r="Y91" s="96" t="s">
        <v>7851</v>
      </c>
      <c r="Z91" s="96" t="s">
        <v>7852</v>
      </c>
      <c r="AA91" s="96" t="s">
        <v>15649</v>
      </c>
      <c r="AB91" s="96" t="s">
        <v>7854</v>
      </c>
      <c r="AC91" s="96" t="s">
        <v>7855</v>
      </c>
      <c r="AD91" s="57"/>
    </row>
    <row r="92">
      <c r="A92" s="96" t="s">
        <v>7856</v>
      </c>
      <c r="B92" s="96" t="s">
        <v>7857</v>
      </c>
      <c r="C92" s="97" t="s">
        <v>7858</v>
      </c>
      <c r="D92" s="96" t="s">
        <v>7859</v>
      </c>
      <c r="E92" s="96" t="s">
        <v>7860</v>
      </c>
      <c r="F92" s="96" t="s">
        <v>7861</v>
      </c>
      <c r="G92" s="96" t="s">
        <v>7862</v>
      </c>
      <c r="H92" s="96" t="s">
        <v>15650</v>
      </c>
      <c r="I92" s="96" t="s">
        <v>7864</v>
      </c>
      <c r="J92" s="96" t="s">
        <v>7865</v>
      </c>
      <c r="K92" s="96" t="s">
        <v>7866</v>
      </c>
      <c r="L92" s="96" t="s">
        <v>7867</v>
      </c>
      <c r="M92" s="96" t="s">
        <v>7868</v>
      </c>
      <c r="N92" s="96" t="s">
        <v>7869</v>
      </c>
      <c r="O92" s="96" t="s">
        <v>7870</v>
      </c>
      <c r="P92" s="96" t="s">
        <v>15651</v>
      </c>
      <c r="Q92" s="96" t="s">
        <v>7872</v>
      </c>
      <c r="R92" s="96" t="s">
        <v>7873</v>
      </c>
      <c r="S92" s="96" t="s">
        <v>15652</v>
      </c>
      <c r="T92" s="96" t="s">
        <v>7867</v>
      </c>
      <c r="U92" s="96" t="s">
        <v>7875</v>
      </c>
      <c r="V92" s="96" t="s">
        <v>7876</v>
      </c>
      <c r="W92" s="96" t="s">
        <v>7877</v>
      </c>
      <c r="X92" s="96" t="s">
        <v>7878</v>
      </c>
      <c r="Y92" s="96" t="s">
        <v>15653</v>
      </c>
      <c r="Z92" s="96" t="s">
        <v>7880</v>
      </c>
      <c r="AA92" s="96" t="s">
        <v>7881</v>
      </c>
      <c r="AB92" s="96" t="s">
        <v>7882</v>
      </c>
      <c r="AC92" s="96" t="s">
        <v>15654</v>
      </c>
      <c r="AD92" s="57"/>
    </row>
    <row r="93">
      <c r="A93" s="96" t="s">
        <v>7884</v>
      </c>
      <c r="B93" s="96" t="s">
        <v>7885</v>
      </c>
      <c r="C93" s="97" t="s">
        <v>7886</v>
      </c>
      <c r="D93" s="96" t="s">
        <v>7887</v>
      </c>
      <c r="E93" s="96" t="s">
        <v>7888</v>
      </c>
      <c r="F93" s="96" t="s">
        <v>7889</v>
      </c>
      <c r="G93" s="96" t="s">
        <v>7890</v>
      </c>
      <c r="H93" s="96" t="s">
        <v>15655</v>
      </c>
      <c r="I93" s="96" t="s">
        <v>7892</v>
      </c>
      <c r="J93" s="96" t="s">
        <v>7893</v>
      </c>
      <c r="K93" s="96" t="s">
        <v>15656</v>
      </c>
      <c r="L93" s="96" t="s">
        <v>7895</v>
      </c>
      <c r="M93" s="96" t="s">
        <v>7896</v>
      </c>
      <c r="N93" s="96" t="s">
        <v>7897</v>
      </c>
      <c r="O93" s="96" t="s">
        <v>7898</v>
      </c>
      <c r="P93" s="96" t="s">
        <v>7899</v>
      </c>
      <c r="Q93" s="96" t="s">
        <v>7900</v>
      </c>
      <c r="R93" s="96" t="s">
        <v>15657</v>
      </c>
      <c r="S93" s="96" t="s">
        <v>15658</v>
      </c>
      <c r="T93" s="96" t="s">
        <v>7895</v>
      </c>
      <c r="U93" s="96" t="s">
        <v>7903</v>
      </c>
      <c r="V93" s="96" t="s">
        <v>7904</v>
      </c>
      <c r="W93" s="96" t="s">
        <v>7905</v>
      </c>
      <c r="X93" s="96" t="s">
        <v>7906</v>
      </c>
      <c r="Y93" s="96" t="s">
        <v>7907</v>
      </c>
      <c r="Z93" s="96" t="s">
        <v>7908</v>
      </c>
      <c r="AA93" s="96" t="s">
        <v>15659</v>
      </c>
      <c r="AB93" s="96" t="s">
        <v>7910</v>
      </c>
      <c r="AC93" s="96" t="s">
        <v>7911</v>
      </c>
      <c r="AD93" s="57"/>
    </row>
    <row r="94">
      <c r="A94" s="96" t="s">
        <v>7912</v>
      </c>
      <c r="B94" s="96" t="s">
        <v>7913</v>
      </c>
      <c r="C94" s="97" t="s">
        <v>7914</v>
      </c>
      <c r="D94" s="96" t="s">
        <v>15660</v>
      </c>
      <c r="E94" s="96" t="s">
        <v>7916</v>
      </c>
      <c r="F94" s="96" t="s">
        <v>7917</v>
      </c>
      <c r="G94" s="96" t="s">
        <v>7918</v>
      </c>
      <c r="H94" s="96" t="s">
        <v>15661</v>
      </c>
      <c r="I94" s="96" t="s">
        <v>7920</v>
      </c>
      <c r="J94" s="96" t="s">
        <v>7921</v>
      </c>
      <c r="K94" s="96" t="s">
        <v>7922</v>
      </c>
      <c r="L94" s="96" t="s">
        <v>7923</v>
      </c>
      <c r="M94" s="96" t="s">
        <v>7924</v>
      </c>
      <c r="N94" s="96" t="s">
        <v>7925</v>
      </c>
      <c r="O94" s="96" t="s">
        <v>7926</v>
      </c>
      <c r="P94" s="96" t="s">
        <v>15662</v>
      </c>
      <c r="Q94" s="96" t="s">
        <v>15663</v>
      </c>
      <c r="R94" s="96" t="s">
        <v>15664</v>
      </c>
      <c r="S94" s="96" t="s">
        <v>15665</v>
      </c>
      <c r="T94" s="96" t="s">
        <v>15666</v>
      </c>
      <c r="U94" s="96" t="s">
        <v>7932</v>
      </c>
      <c r="V94" s="96" t="s">
        <v>7933</v>
      </c>
      <c r="W94" s="96" t="s">
        <v>7934</v>
      </c>
      <c r="X94" s="96" t="s">
        <v>15667</v>
      </c>
      <c r="Y94" s="96" t="s">
        <v>7936</v>
      </c>
      <c r="Z94" s="96" t="s">
        <v>7937</v>
      </c>
      <c r="AA94" s="96" t="s">
        <v>15668</v>
      </c>
      <c r="AB94" s="96" t="s">
        <v>7939</v>
      </c>
      <c r="AC94" s="96" t="s">
        <v>7940</v>
      </c>
      <c r="AD94" s="57"/>
    </row>
    <row r="95">
      <c r="A95" s="96" t="s">
        <v>7941</v>
      </c>
      <c r="B95" s="96" t="s">
        <v>7942</v>
      </c>
      <c r="C95" s="97" t="s">
        <v>7943</v>
      </c>
      <c r="D95" s="96" t="s">
        <v>7944</v>
      </c>
      <c r="E95" s="96" t="s">
        <v>7945</v>
      </c>
      <c r="F95" s="96" t="s">
        <v>15669</v>
      </c>
      <c r="G95" s="96" t="s">
        <v>15670</v>
      </c>
      <c r="H95" s="96" t="s">
        <v>15671</v>
      </c>
      <c r="I95" s="96" t="s">
        <v>7949</v>
      </c>
      <c r="J95" s="96" t="s">
        <v>7950</v>
      </c>
      <c r="K95" s="96" t="s">
        <v>7951</v>
      </c>
      <c r="L95" s="96" t="s">
        <v>7952</v>
      </c>
      <c r="M95" s="96" t="s">
        <v>7953</v>
      </c>
      <c r="N95" s="96" t="s">
        <v>15672</v>
      </c>
      <c r="O95" s="96" t="s">
        <v>7955</v>
      </c>
      <c r="P95" s="96" t="s">
        <v>15673</v>
      </c>
      <c r="Q95" s="96" t="s">
        <v>7957</v>
      </c>
      <c r="R95" s="96" t="s">
        <v>15674</v>
      </c>
      <c r="S95" s="96" t="s">
        <v>15675</v>
      </c>
      <c r="T95" s="96" t="s">
        <v>15676</v>
      </c>
      <c r="U95" s="96" t="s">
        <v>15677</v>
      </c>
      <c r="V95" s="96" t="s">
        <v>7960</v>
      </c>
      <c r="W95" s="96" t="s">
        <v>7961</v>
      </c>
      <c r="X95" s="96" t="s">
        <v>7962</v>
      </c>
      <c r="Y95" s="96" t="s">
        <v>7963</v>
      </c>
      <c r="Z95" s="96" t="s">
        <v>15678</v>
      </c>
      <c r="AA95" s="96" t="s">
        <v>15679</v>
      </c>
      <c r="AB95" s="96" t="s">
        <v>15680</v>
      </c>
      <c r="AC95" s="96" t="s">
        <v>7967</v>
      </c>
      <c r="AD95" s="57"/>
    </row>
    <row r="96">
      <c r="A96" s="96" t="s">
        <v>7968</v>
      </c>
      <c r="B96" s="96" t="s">
        <v>7969</v>
      </c>
      <c r="C96" s="97" t="s">
        <v>7970</v>
      </c>
      <c r="D96" s="96" t="s">
        <v>7971</v>
      </c>
      <c r="E96" s="96" t="s">
        <v>7972</v>
      </c>
      <c r="F96" s="96" t="s">
        <v>7973</v>
      </c>
      <c r="G96" s="96" t="s">
        <v>7974</v>
      </c>
      <c r="H96" s="96" t="s">
        <v>15681</v>
      </c>
      <c r="I96" s="96" t="s">
        <v>7976</v>
      </c>
      <c r="J96" s="96" t="s">
        <v>7977</v>
      </c>
      <c r="K96" s="96" t="s">
        <v>7978</v>
      </c>
      <c r="L96" s="96" t="s">
        <v>7979</v>
      </c>
      <c r="M96" s="96" t="s">
        <v>7980</v>
      </c>
      <c r="N96" s="96" t="s">
        <v>7981</v>
      </c>
      <c r="O96" s="96" t="s">
        <v>7982</v>
      </c>
      <c r="P96" s="96" t="s">
        <v>15682</v>
      </c>
      <c r="Q96" s="96" t="s">
        <v>7984</v>
      </c>
      <c r="R96" s="96" t="s">
        <v>7985</v>
      </c>
      <c r="S96" s="96" t="s">
        <v>15683</v>
      </c>
      <c r="T96" s="96" t="s">
        <v>7979</v>
      </c>
      <c r="U96" s="96" t="s">
        <v>7987</v>
      </c>
      <c r="V96" s="96" t="s">
        <v>7988</v>
      </c>
      <c r="W96" s="96" t="s">
        <v>7989</v>
      </c>
      <c r="X96" s="96" t="s">
        <v>7990</v>
      </c>
      <c r="Y96" s="96" t="s">
        <v>15684</v>
      </c>
      <c r="Z96" s="96" t="s">
        <v>7992</v>
      </c>
      <c r="AA96" s="96" t="s">
        <v>15685</v>
      </c>
      <c r="AB96" s="96" t="s">
        <v>15686</v>
      </c>
      <c r="AC96" s="96" t="s">
        <v>7995</v>
      </c>
      <c r="AD96" s="57"/>
    </row>
    <row r="97">
      <c r="A97" s="96" t="s">
        <v>7996</v>
      </c>
      <c r="B97" s="96" t="s">
        <v>7997</v>
      </c>
      <c r="C97" s="97" t="s">
        <v>7998</v>
      </c>
      <c r="D97" s="96" t="s">
        <v>7999</v>
      </c>
      <c r="E97" s="96" t="s">
        <v>8000</v>
      </c>
      <c r="F97" s="96" t="s">
        <v>8001</v>
      </c>
      <c r="G97" s="96" t="s">
        <v>8002</v>
      </c>
      <c r="H97" s="96" t="s">
        <v>15687</v>
      </c>
      <c r="I97" s="96" t="s">
        <v>15688</v>
      </c>
      <c r="J97" s="96" t="s">
        <v>8005</v>
      </c>
      <c r="K97" s="96" t="s">
        <v>8006</v>
      </c>
      <c r="L97" s="96" t="s">
        <v>8007</v>
      </c>
      <c r="M97" s="96" t="s">
        <v>8008</v>
      </c>
      <c r="N97" s="96" t="s">
        <v>15689</v>
      </c>
      <c r="O97" s="96" t="s">
        <v>15690</v>
      </c>
      <c r="P97" s="96" t="s">
        <v>8011</v>
      </c>
      <c r="Q97" s="96" t="s">
        <v>8012</v>
      </c>
      <c r="R97" s="96" t="s">
        <v>8013</v>
      </c>
      <c r="S97" s="96" t="s">
        <v>15691</v>
      </c>
      <c r="T97" s="96" t="s">
        <v>15692</v>
      </c>
      <c r="U97" s="96" t="s">
        <v>8015</v>
      </c>
      <c r="V97" s="96" t="s">
        <v>7997</v>
      </c>
      <c r="W97" s="96" t="s">
        <v>8016</v>
      </c>
      <c r="X97" s="96" t="s">
        <v>8017</v>
      </c>
      <c r="Y97" s="96" t="s">
        <v>15693</v>
      </c>
      <c r="Z97" s="96" t="s">
        <v>8019</v>
      </c>
      <c r="AA97" s="96" t="s">
        <v>15694</v>
      </c>
      <c r="AB97" s="96" t="s">
        <v>15695</v>
      </c>
      <c r="AC97" s="96" t="s">
        <v>8022</v>
      </c>
      <c r="AD97" s="57"/>
    </row>
    <row r="98">
      <c r="A98" s="96" t="s">
        <v>8023</v>
      </c>
      <c r="B98" s="96" t="s">
        <v>8024</v>
      </c>
      <c r="C98" s="97" t="s">
        <v>8025</v>
      </c>
      <c r="D98" s="96" t="s">
        <v>8026</v>
      </c>
      <c r="E98" s="96" t="s">
        <v>8027</v>
      </c>
      <c r="F98" s="96" t="s">
        <v>8028</v>
      </c>
      <c r="G98" s="96" t="s">
        <v>8029</v>
      </c>
      <c r="H98" s="96" t="s">
        <v>15696</v>
      </c>
      <c r="I98" s="96" t="s">
        <v>8031</v>
      </c>
      <c r="J98" s="96" t="s">
        <v>8032</v>
      </c>
      <c r="K98" s="96" t="s">
        <v>8033</v>
      </c>
      <c r="L98" s="96" t="s">
        <v>8034</v>
      </c>
      <c r="M98" s="96" t="s">
        <v>8035</v>
      </c>
      <c r="N98" s="96" t="s">
        <v>8036</v>
      </c>
      <c r="O98" s="96" t="s">
        <v>8037</v>
      </c>
      <c r="P98" s="96" t="s">
        <v>15697</v>
      </c>
      <c r="Q98" s="96" t="s">
        <v>8039</v>
      </c>
      <c r="R98" s="96" t="s">
        <v>8040</v>
      </c>
      <c r="S98" s="96" t="s">
        <v>15698</v>
      </c>
      <c r="T98" s="96" t="s">
        <v>15699</v>
      </c>
      <c r="U98" s="96" t="s">
        <v>8024</v>
      </c>
      <c r="V98" s="96" t="s">
        <v>8042</v>
      </c>
      <c r="W98" s="96" t="s">
        <v>8043</v>
      </c>
      <c r="X98" s="96" t="s">
        <v>8044</v>
      </c>
      <c r="Y98" s="96" t="s">
        <v>8045</v>
      </c>
      <c r="Z98" s="96" t="s">
        <v>8046</v>
      </c>
      <c r="AA98" s="96" t="s">
        <v>15700</v>
      </c>
      <c r="AB98" s="96" t="s">
        <v>8048</v>
      </c>
      <c r="AC98" s="96" t="s">
        <v>8049</v>
      </c>
      <c r="AD98" s="57"/>
    </row>
    <row r="99">
      <c r="A99" s="96" t="s">
        <v>3190</v>
      </c>
      <c r="B99" s="96" t="s">
        <v>3191</v>
      </c>
      <c r="C99" s="97" t="s">
        <v>3192</v>
      </c>
      <c r="D99" s="96" t="s">
        <v>3193</v>
      </c>
      <c r="E99" s="96" t="s">
        <v>3194</v>
      </c>
      <c r="F99" s="96" t="s">
        <v>3195</v>
      </c>
      <c r="G99" s="96" t="s">
        <v>3196</v>
      </c>
      <c r="H99" s="96" t="s">
        <v>3197</v>
      </c>
      <c r="I99" s="96" t="s">
        <v>3198</v>
      </c>
      <c r="J99" s="96" t="s">
        <v>3199</v>
      </c>
      <c r="K99" s="96" t="s">
        <v>3200</v>
      </c>
      <c r="L99" s="96" t="s">
        <v>3201</v>
      </c>
      <c r="M99" s="96" t="s">
        <v>3202</v>
      </c>
      <c r="N99" s="96" t="s">
        <v>3203</v>
      </c>
      <c r="O99" s="96" t="s">
        <v>15701</v>
      </c>
      <c r="P99" s="96" t="s">
        <v>3205</v>
      </c>
      <c r="Q99" s="96" t="s">
        <v>3206</v>
      </c>
      <c r="R99" s="96" t="s">
        <v>3207</v>
      </c>
      <c r="S99" s="96" t="s">
        <v>3208</v>
      </c>
      <c r="T99" s="96" t="s">
        <v>15702</v>
      </c>
      <c r="U99" s="96" t="s">
        <v>3210</v>
      </c>
      <c r="V99" s="96" t="s">
        <v>3211</v>
      </c>
      <c r="W99" s="96" t="s">
        <v>3212</v>
      </c>
      <c r="X99" s="96" t="s">
        <v>3213</v>
      </c>
      <c r="Y99" s="96" t="s">
        <v>3214</v>
      </c>
      <c r="Z99" s="96" t="s">
        <v>3215</v>
      </c>
      <c r="AA99" s="96" t="s">
        <v>15703</v>
      </c>
      <c r="AB99" s="96" t="s">
        <v>3217</v>
      </c>
      <c r="AC99" s="96" t="s">
        <v>3218</v>
      </c>
      <c r="AD99" s="57"/>
    </row>
    <row r="100">
      <c r="A100" s="96" t="s">
        <v>3219</v>
      </c>
      <c r="B100" s="96" t="s">
        <v>3220</v>
      </c>
      <c r="C100" s="97" t="s">
        <v>15704</v>
      </c>
      <c r="D100" s="96" t="s">
        <v>3222</v>
      </c>
      <c r="E100" s="96" t="s">
        <v>3223</v>
      </c>
      <c r="F100" s="96" t="s">
        <v>15705</v>
      </c>
      <c r="G100" s="96" t="s">
        <v>3225</v>
      </c>
      <c r="H100" s="96" t="s">
        <v>15706</v>
      </c>
      <c r="I100" s="96" t="s">
        <v>3227</v>
      </c>
      <c r="J100" s="96" t="s">
        <v>3228</v>
      </c>
      <c r="K100" s="96" t="s">
        <v>3229</v>
      </c>
      <c r="L100" s="96" t="s">
        <v>3230</v>
      </c>
      <c r="M100" s="96" t="s">
        <v>3225</v>
      </c>
      <c r="N100" s="96" t="s">
        <v>15707</v>
      </c>
      <c r="O100" s="96" t="s">
        <v>15708</v>
      </c>
      <c r="P100" s="96" t="s">
        <v>15709</v>
      </c>
      <c r="Q100" s="96" t="s">
        <v>3234</v>
      </c>
      <c r="R100" s="96" t="s">
        <v>15710</v>
      </c>
      <c r="S100" s="96" t="s">
        <v>15711</v>
      </c>
      <c r="T100" s="96" t="s">
        <v>15712</v>
      </c>
      <c r="U100" s="96" t="s">
        <v>3238</v>
      </c>
      <c r="V100" s="96" t="s">
        <v>3239</v>
      </c>
      <c r="W100" s="96" t="s">
        <v>3225</v>
      </c>
      <c r="X100" s="96" t="s">
        <v>3240</v>
      </c>
      <c r="Y100" s="96" t="s">
        <v>15713</v>
      </c>
      <c r="Z100" s="96" t="s">
        <v>3237</v>
      </c>
      <c r="AA100" s="96" t="s">
        <v>15714</v>
      </c>
      <c r="AB100" s="96" t="s">
        <v>15715</v>
      </c>
      <c r="AC100" s="96" t="s">
        <v>3244</v>
      </c>
      <c r="AD100" s="57"/>
    </row>
    <row r="101">
      <c r="A101" s="96" t="s">
        <v>11676</v>
      </c>
      <c r="B101" s="96" t="s">
        <v>11677</v>
      </c>
      <c r="C101" s="97" t="s">
        <v>15716</v>
      </c>
      <c r="D101" s="96" t="s">
        <v>15717</v>
      </c>
      <c r="E101" s="96" t="s">
        <v>15718</v>
      </c>
      <c r="F101" s="96" t="s">
        <v>15719</v>
      </c>
      <c r="G101" s="96" t="s">
        <v>15720</v>
      </c>
      <c r="H101" s="96" t="s">
        <v>15721</v>
      </c>
      <c r="I101" s="96" t="s">
        <v>15722</v>
      </c>
      <c r="J101" s="96" t="s">
        <v>15723</v>
      </c>
      <c r="K101" s="96" t="s">
        <v>15724</v>
      </c>
      <c r="L101" s="96" t="s">
        <v>15725</v>
      </c>
      <c r="M101" s="96" t="s">
        <v>15726</v>
      </c>
      <c r="N101" s="96" t="s">
        <v>15727</v>
      </c>
      <c r="O101" s="96" t="s">
        <v>15728</v>
      </c>
      <c r="P101" s="96" t="s">
        <v>15729</v>
      </c>
      <c r="Q101" s="96" t="s">
        <v>15730</v>
      </c>
      <c r="R101" s="96" t="s">
        <v>15731</v>
      </c>
      <c r="S101" s="96" t="s">
        <v>15732</v>
      </c>
      <c r="T101" s="96" t="s">
        <v>15733</v>
      </c>
      <c r="U101" s="96" t="s">
        <v>15734</v>
      </c>
      <c r="V101" s="96" t="s">
        <v>15735</v>
      </c>
      <c r="W101" s="96" t="s">
        <v>15736</v>
      </c>
      <c r="X101" s="96" t="s">
        <v>15737</v>
      </c>
      <c r="Y101" s="96" t="s">
        <v>15738</v>
      </c>
      <c r="Z101" s="96" t="s">
        <v>15739</v>
      </c>
      <c r="AA101" s="96" t="s">
        <v>15740</v>
      </c>
      <c r="AB101" s="96" t="s">
        <v>15741</v>
      </c>
      <c r="AC101" s="96" t="s">
        <v>15742</v>
      </c>
      <c r="AD101" s="57"/>
    </row>
    <row r="102">
      <c r="A102" s="96" t="s">
        <v>11678</v>
      </c>
      <c r="B102" s="96" t="s">
        <v>11679</v>
      </c>
      <c r="C102" s="97" t="s">
        <v>15743</v>
      </c>
      <c r="D102" s="96" t="s">
        <v>15744</v>
      </c>
      <c r="E102" s="96" t="s">
        <v>15745</v>
      </c>
      <c r="F102" s="96" t="s">
        <v>15746</v>
      </c>
      <c r="G102" s="96" t="s">
        <v>15747</v>
      </c>
      <c r="H102" s="96" t="s">
        <v>15748</v>
      </c>
      <c r="I102" s="96" t="s">
        <v>15749</v>
      </c>
      <c r="J102" s="96" t="s">
        <v>15750</v>
      </c>
      <c r="K102" s="96" t="s">
        <v>15751</v>
      </c>
      <c r="L102" s="96" t="s">
        <v>15752</v>
      </c>
      <c r="M102" s="96" t="s">
        <v>15753</v>
      </c>
      <c r="N102" s="96" t="s">
        <v>15754</v>
      </c>
      <c r="O102" s="96" t="s">
        <v>15755</v>
      </c>
      <c r="P102" s="96" t="s">
        <v>15756</v>
      </c>
      <c r="Q102" s="96" t="s">
        <v>15757</v>
      </c>
      <c r="R102" s="96" t="s">
        <v>15758</v>
      </c>
      <c r="S102" s="96" t="s">
        <v>15759</v>
      </c>
      <c r="T102" s="96" t="s">
        <v>15760</v>
      </c>
      <c r="U102" s="96" t="s">
        <v>15761</v>
      </c>
      <c r="V102" s="96" t="s">
        <v>15762</v>
      </c>
      <c r="W102" s="96" t="s">
        <v>15763</v>
      </c>
      <c r="X102" s="96" t="s">
        <v>15764</v>
      </c>
      <c r="Y102" s="96" t="s">
        <v>15765</v>
      </c>
      <c r="Z102" s="96" t="s">
        <v>15766</v>
      </c>
      <c r="AA102" s="96" t="s">
        <v>15767</v>
      </c>
      <c r="AB102" s="96" t="s">
        <v>15768</v>
      </c>
      <c r="AC102" s="96" t="s">
        <v>15769</v>
      </c>
      <c r="AD102" s="57"/>
    </row>
    <row r="103">
      <c r="A103" s="96" t="s">
        <v>11680</v>
      </c>
      <c r="B103" s="96" t="s">
        <v>11681</v>
      </c>
      <c r="C103" s="97" t="s">
        <v>15770</v>
      </c>
      <c r="D103" s="96" t="s">
        <v>15771</v>
      </c>
      <c r="E103" s="96" t="s">
        <v>15772</v>
      </c>
      <c r="F103" s="96" t="s">
        <v>15773</v>
      </c>
      <c r="G103" s="96" t="s">
        <v>15774</v>
      </c>
      <c r="H103" s="96" t="s">
        <v>15775</v>
      </c>
      <c r="I103" s="96" t="s">
        <v>15776</v>
      </c>
      <c r="J103" s="96" t="s">
        <v>15777</v>
      </c>
      <c r="K103" s="96" t="s">
        <v>15778</v>
      </c>
      <c r="L103" s="96" t="s">
        <v>15779</v>
      </c>
      <c r="M103" s="96" t="s">
        <v>15780</v>
      </c>
      <c r="N103" s="96" t="s">
        <v>15781</v>
      </c>
      <c r="O103" s="96" t="s">
        <v>15782</v>
      </c>
      <c r="P103" s="96" t="s">
        <v>15783</v>
      </c>
      <c r="Q103" s="96" t="s">
        <v>15784</v>
      </c>
      <c r="R103" s="96" t="s">
        <v>15785</v>
      </c>
      <c r="S103" s="96" t="s">
        <v>15786</v>
      </c>
      <c r="T103" s="96" t="s">
        <v>15787</v>
      </c>
      <c r="U103" s="96" t="s">
        <v>15788</v>
      </c>
      <c r="V103" s="96" t="s">
        <v>15789</v>
      </c>
      <c r="W103" s="96" t="s">
        <v>15790</v>
      </c>
      <c r="X103" s="96" t="s">
        <v>15791</v>
      </c>
      <c r="Y103" s="96" t="s">
        <v>15792</v>
      </c>
      <c r="Z103" s="96" t="s">
        <v>15793</v>
      </c>
      <c r="AA103" s="96" t="s">
        <v>15794</v>
      </c>
      <c r="AB103" s="96" t="s">
        <v>15795</v>
      </c>
      <c r="AC103" s="96" t="s">
        <v>15796</v>
      </c>
      <c r="AD103" s="57"/>
    </row>
    <row r="104">
      <c r="A104" s="96" t="s">
        <v>11682</v>
      </c>
      <c r="B104" s="96" t="s">
        <v>11683</v>
      </c>
      <c r="C104" s="97" t="s">
        <v>15797</v>
      </c>
      <c r="D104" s="96" t="s">
        <v>15798</v>
      </c>
      <c r="E104" s="96" t="s">
        <v>15799</v>
      </c>
      <c r="F104" s="96" t="s">
        <v>15800</v>
      </c>
      <c r="G104" s="96" t="s">
        <v>15801</v>
      </c>
      <c r="H104" s="96" t="s">
        <v>15802</v>
      </c>
      <c r="I104" s="96" t="s">
        <v>15803</v>
      </c>
      <c r="J104" s="96" t="s">
        <v>15804</v>
      </c>
      <c r="K104" s="96" t="s">
        <v>15805</v>
      </c>
      <c r="L104" s="96" t="s">
        <v>15806</v>
      </c>
      <c r="M104" s="96" t="s">
        <v>15807</v>
      </c>
      <c r="N104" s="96" t="s">
        <v>15808</v>
      </c>
      <c r="O104" s="96" t="s">
        <v>15809</v>
      </c>
      <c r="P104" s="96" t="s">
        <v>15810</v>
      </c>
      <c r="Q104" s="96" t="s">
        <v>15811</v>
      </c>
      <c r="R104" s="96" t="s">
        <v>15812</v>
      </c>
      <c r="S104" s="96" t="s">
        <v>15813</v>
      </c>
      <c r="T104" s="96" t="s">
        <v>15814</v>
      </c>
      <c r="U104" s="96" t="s">
        <v>15815</v>
      </c>
      <c r="V104" s="96" t="s">
        <v>15816</v>
      </c>
      <c r="W104" s="96" t="s">
        <v>15817</v>
      </c>
      <c r="X104" s="96" t="s">
        <v>15818</v>
      </c>
      <c r="Y104" s="96" t="s">
        <v>15819</v>
      </c>
      <c r="Z104" s="96" t="s">
        <v>15820</v>
      </c>
      <c r="AA104" s="96" t="s">
        <v>15821</v>
      </c>
      <c r="AB104" s="96" t="s">
        <v>15822</v>
      </c>
      <c r="AC104" s="96" t="s">
        <v>15823</v>
      </c>
      <c r="AD104" s="57"/>
    </row>
    <row r="105">
      <c r="A105" s="96" t="s">
        <v>7148</v>
      </c>
      <c r="B105" s="96" t="s">
        <v>11684</v>
      </c>
      <c r="C105" s="97" t="s">
        <v>15824</v>
      </c>
      <c r="D105" s="96" t="s">
        <v>15825</v>
      </c>
      <c r="E105" s="96" t="s">
        <v>15826</v>
      </c>
      <c r="F105" s="96" t="s">
        <v>15827</v>
      </c>
      <c r="G105" s="96" t="s">
        <v>15828</v>
      </c>
      <c r="H105" s="96" t="s">
        <v>15829</v>
      </c>
      <c r="I105" s="96" t="s">
        <v>15830</v>
      </c>
      <c r="J105" s="96" t="s">
        <v>15831</v>
      </c>
      <c r="K105" s="96" t="s">
        <v>15832</v>
      </c>
      <c r="L105" s="96" t="s">
        <v>15833</v>
      </c>
      <c r="M105" s="96" t="s">
        <v>15834</v>
      </c>
      <c r="N105" s="96" t="s">
        <v>15835</v>
      </c>
      <c r="O105" s="96" t="s">
        <v>15836</v>
      </c>
      <c r="P105" s="96" t="s">
        <v>15837</v>
      </c>
      <c r="Q105" s="96" t="s">
        <v>15838</v>
      </c>
      <c r="R105" s="96" t="s">
        <v>15839</v>
      </c>
      <c r="S105" s="96" t="s">
        <v>15840</v>
      </c>
      <c r="T105" s="96" t="s">
        <v>15841</v>
      </c>
      <c r="U105" s="96" t="s">
        <v>15842</v>
      </c>
      <c r="V105" s="96" t="s">
        <v>15843</v>
      </c>
      <c r="W105" s="96" t="s">
        <v>15844</v>
      </c>
      <c r="X105" s="96" t="s">
        <v>15845</v>
      </c>
      <c r="Y105" s="96" t="s">
        <v>15846</v>
      </c>
      <c r="Z105" s="96" t="s">
        <v>15847</v>
      </c>
      <c r="AA105" s="96" t="s">
        <v>15848</v>
      </c>
      <c r="AB105" s="96" t="s">
        <v>15849</v>
      </c>
      <c r="AC105" s="96" t="s">
        <v>15850</v>
      </c>
      <c r="AD105" s="57"/>
    </row>
    <row r="106">
      <c r="A106" s="96" t="s">
        <v>11685</v>
      </c>
      <c r="B106" s="96" t="s">
        <v>11686</v>
      </c>
      <c r="C106" s="97" t="s">
        <v>15851</v>
      </c>
      <c r="D106" s="96" t="s">
        <v>15852</v>
      </c>
      <c r="E106" s="96" t="s">
        <v>15853</v>
      </c>
      <c r="F106" s="96" t="s">
        <v>15854</v>
      </c>
      <c r="G106" s="96" t="s">
        <v>15855</v>
      </c>
      <c r="H106" s="96" t="s">
        <v>15856</v>
      </c>
      <c r="I106" s="96" t="s">
        <v>15857</v>
      </c>
      <c r="J106" s="96" t="s">
        <v>15858</v>
      </c>
      <c r="K106" s="96" t="s">
        <v>15859</v>
      </c>
      <c r="L106" s="96" t="s">
        <v>15860</v>
      </c>
      <c r="M106" s="96" t="s">
        <v>15861</v>
      </c>
      <c r="N106" s="96" t="s">
        <v>15862</v>
      </c>
      <c r="O106" s="96" t="s">
        <v>15863</v>
      </c>
      <c r="P106" s="96" t="s">
        <v>15864</v>
      </c>
      <c r="Q106" s="96" t="s">
        <v>15865</v>
      </c>
      <c r="R106" s="96" t="s">
        <v>15866</v>
      </c>
      <c r="S106" s="96" t="s">
        <v>15867</v>
      </c>
      <c r="T106" s="96" t="s">
        <v>15868</v>
      </c>
      <c r="U106" s="96" t="s">
        <v>15869</v>
      </c>
      <c r="V106" s="96" t="s">
        <v>15870</v>
      </c>
      <c r="W106" s="96" t="s">
        <v>15871</v>
      </c>
      <c r="X106" s="96" t="s">
        <v>15872</v>
      </c>
      <c r="Y106" s="96" t="s">
        <v>15873</v>
      </c>
      <c r="Z106" s="96" t="s">
        <v>15874</v>
      </c>
      <c r="AA106" s="96" t="s">
        <v>15875</v>
      </c>
      <c r="AB106" s="96" t="s">
        <v>15876</v>
      </c>
      <c r="AC106" s="96" t="s">
        <v>15877</v>
      </c>
      <c r="AD106" s="57"/>
    </row>
    <row r="107">
      <c r="A107" s="96" t="s">
        <v>11687</v>
      </c>
      <c r="B107" s="96" t="s">
        <v>11688</v>
      </c>
      <c r="C107" s="97" t="s">
        <v>15878</v>
      </c>
      <c r="D107" s="96" t="s">
        <v>15879</v>
      </c>
      <c r="E107" s="96" t="s">
        <v>15880</v>
      </c>
      <c r="F107" s="96" t="s">
        <v>15881</v>
      </c>
      <c r="G107" s="96" t="s">
        <v>15882</v>
      </c>
      <c r="H107" s="96" t="s">
        <v>15883</v>
      </c>
      <c r="I107" s="96" t="s">
        <v>15884</v>
      </c>
      <c r="J107" s="96" t="s">
        <v>15885</v>
      </c>
      <c r="K107" s="96" t="s">
        <v>15886</v>
      </c>
      <c r="L107" s="96" t="s">
        <v>15887</v>
      </c>
      <c r="M107" s="96" t="s">
        <v>15888</v>
      </c>
      <c r="N107" s="96" t="s">
        <v>15889</v>
      </c>
      <c r="O107" s="96" t="s">
        <v>15890</v>
      </c>
      <c r="P107" s="96" t="s">
        <v>15891</v>
      </c>
      <c r="Q107" s="96" t="s">
        <v>15892</v>
      </c>
      <c r="R107" s="96" t="s">
        <v>15893</v>
      </c>
      <c r="S107" s="96" t="s">
        <v>15894</v>
      </c>
      <c r="T107" s="96" t="s">
        <v>15895</v>
      </c>
      <c r="U107" s="96" t="s">
        <v>15896</v>
      </c>
      <c r="V107" s="96" t="s">
        <v>15897</v>
      </c>
      <c r="W107" s="96" t="s">
        <v>15898</v>
      </c>
      <c r="X107" s="96" t="s">
        <v>15899</v>
      </c>
      <c r="Y107" s="96" t="s">
        <v>15900</v>
      </c>
      <c r="Z107" s="96" t="s">
        <v>15901</v>
      </c>
      <c r="AA107" s="96" t="s">
        <v>15902</v>
      </c>
      <c r="AB107" s="96" t="s">
        <v>15903</v>
      </c>
      <c r="AC107" s="96" t="s">
        <v>15904</v>
      </c>
      <c r="AD107" s="57"/>
    </row>
    <row r="108">
      <c r="A108" s="96" t="s">
        <v>11689</v>
      </c>
      <c r="B108" s="96" t="s">
        <v>11690</v>
      </c>
      <c r="C108" s="97" t="s">
        <v>15905</v>
      </c>
      <c r="D108" s="96" t="s">
        <v>15906</v>
      </c>
      <c r="E108" s="96" t="s">
        <v>15907</v>
      </c>
      <c r="F108" s="96" t="s">
        <v>15908</v>
      </c>
      <c r="G108" s="96" t="s">
        <v>15909</v>
      </c>
      <c r="H108" s="96" t="s">
        <v>15910</v>
      </c>
      <c r="I108" s="96" t="s">
        <v>15911</v>
      </c>
      <c r="J108" s="96" t="s">
        <v>15912</v>
      </c>
      <c r="K108" s="96" t="s">
        <v>15913</v>
      </c>
      <c r="L108" s="96" t="s">
        <v>15914</v>
      </c>
      <c r="M108" s="96" t="s">
        <v>15915</v>
      </c>
      <c r="N108" s="96" t="s">
        <v>15916</v>
      </c>
      <c r="O108" s="96" t="s">
        <v>15917</v>
      </c>
      <c r="P108" s="96" t="s">
        <v>15918</v>
      </c>
      <c r="Q108" s="96" t="s">
        <v>15919</v>
      </c>
      <c r="R108" s="96" t="s">
        <v>15920</v>
      </c>
      <c r="S108" s="96" t="s">
        <v>15921</v>
      </c>
      <c r="T108" s="96" t="s">
        <v>15922</v>
      </c>
      <c r="U108" s="96" t="s">
        <v>15923</v>
      </c>
      <c r="V108" s="96" t="s">
        <v>15924</v>
      </c>
      <c r="W108" s="96" t="s">
        <v>15925</v>
      </c>
      <c r="X108" s="96" t="s">
        <v>15926</v>
      </c>
      <c r="Y108" s="96" t="s">
        <v>15927</v>
      </c>
      <c r="Z108" s="96" t="s">
        <v>15928</v>
      </c>
      <c r="AA108" s="96" t="s">
        <v>15929</v>
      </c>
      <c r="AB108" s="96" t="s">
        <v>15930</v>
      </c>
      <c r="AC108" s="96" t="s">
        <v>15931</v>
      </c>
      <c r="AD108" s="57"/>
    </row>
    <row r="109">
      <c r="A109" s="96" t="s">
        <v>11691</v>
      </c>
      <c r="B109" s="96" t="s">
        <v>11692</v>
      </c>
      <c r="C109" s="97" t="s">
        <v>15932</v>
      </c>
      <c r="D109" s="96" t="s">
        <v>15933</v>
      </c>
      <c r="E109" s="96" t="s">
        <v>15934</v>
      </c>
      <c r="F109" s="96" t="s">
        <v>15935</v>
      </c>
      <c r="G109" s="96" t="s">
        <v>15936</v>
      </c>
      <c r="H109" s="96" t="s">
        <v>15937</v>
      </c>
      <c r="I109" s="96" t="s">
        <v>15938</v>
      </c>
      <c r="J109" s="96" t="s">
        <v>15939</v>
      </c>
      <c r="K109" s="96" t="s">
        <v>15940</v>
      </c>
      <c r="L109" s="96" t="s">
        <v>15941</v>
      </c>
      <c r="M109" s="96" t="s">
        <v>15942</v>
      </c>
      <c r="N109" s="96" t="s">
        <v>15943</v>
      </c>
      <c r="O109" s="96" t="s">
        <v>15944</v>
      </c>
      <c r="P109" s="96" t="s">
        <v>15945</v>
      </c>
      <c r="Q109" s="96" t="s">
        <v>15946</v>
      </c>
      <c r="R109" s="96" t="s">
        <v>15947</v>
      </c>
      <c r="S109" s="96" t="s">
        <v>15948</v>
      </c>
      <c r="T109" s="96" t="s">
        <v>15941</v>
      </c>
      <c r="U109" s="96" t="s">
        <v>15949</v>
      </c>
      <c r="V109" s="96" t="s">
        <v>15950</v>
      </c>
      <c r="W109" s="96" t="s">
        <v>15951</v>
      </c>
      <c r="X109" s="96" t="s">
        <v>15952</v>
      </c>
      <c r="Y109" s="96" t="s">
        <v>15953</v>
      </c>
      <c r="Z109" s="96" t="s">
        <v>15954</v>
      </c>
      <c r="AA109" s="96" t="s">
        <v>15955</v>
      </c>
      <c r="AB109" s="96" t="s">
        <v>15956</v>
      </c>
      <c r="AC109" s="96" t="s">
        <v>15957</v>
      </c>
      <c r="AD109" s="57"/>
    </row>
    <row r="110">
      <c r="A110" s="96" t="s">
        <v>11693</v>
      </c>
      <c r="B110" s="96" t="s">
        <v>11694</v>
      </c>
      <c r="C110" s="97" t="s">
        <v>15958</v>
      </c>
      <c r="D110" s="96" t="s">
        <v>15959</v>
      </c>
      <c r="E110" s="96" t="s">
        <v>15960</v>
      </c>
      <c r="F110" s="96" t="s">
        <v>15961</v>
      </c>
      <c r="G110" s="96" t="s">
        <v>15962</v>
      </c>
      <c r="H110" s="96" t="s">
        <v>15963</v>
      </c>
      <c r="I110" s="96" t="s">
        <v>15964</v>
      </c>
      <c r="J110" s="96" t="s">
        <v>15965</v>
      </c>
      <c r="K110" s="96" t="s">
        <v>15966</v>
      </c>
      <c r="L110" s="96" t="s">
        <v>15967</v>
      </c>
      <c r="M110" s="96" t="s">
        <v>15968</v>
      </c>
      <c r="N110" s="96" t="s">
        <v>15969</v>
      </c>
      <c r="O110" s="96" t="s">
        <v>15970</v>
      </c>
      <c r="P110" s="96" t="s">
        <v>15971</v>
      </c>
      <c r="Q110" s="96" t="s">
        <v>15972</v>
      </c>
      <c r="R110" s="96" t="s">
        <v>15973</v>
      </c>
      <c r="S110" s="96" t="s">
        <v>15974</v>
      </c>
      <c r="T110" s="96" t="s">
        <v>15975</v>
      </c>
      <c r="U110" s="96" t="s">
        <v>15976</v>
      </c>
      <c r="V110" s="96" t="s">
        <v>15977</v>
      </c>
      <c r="W110" s="96" t="s">
        <v>15978</v>
      </c>
      <c r="X110" s="96" t="s">
        <v>15979</v>
      </c>
      <c r="Y110" s="96" t="s">
        <v>15980</v>
      </c>
      <c r="Z110" s="96" t="s">
        <v>15981</v>
      </c>
      <c r="AA110" s="96" t="s">
        <v>15982</v>
      </c>
      <c r="AB110" s="96" t="s">
        <v>15983</v>
      </c>
      <c r="AC110" s="96" t="s">
        <v>15984</v>
      </c>
      <c r="AD110" s="57"/>
    </row>
    <row r="111">
      <c r="A111" s="96" t="s">
        <v>11695</v>
      </c>
      <c r="B111" s="96" t="s">
        <v>11696</v>
      </c>
      <c r="C111" s="97" t="s">
        <v>15985</v>
      </c>
      <c r="D111" s="96" t="s">
        <v>15986</v>
      </c>
      <c r="E111" s="96" t="s">
        <v>15987</v>
      </c>
      <c r="F111" s="96" t="s">
        <v>15988</v>
      </c>
      <c r="G111" s="96" t="s">
        <v>15989</v>
      </c>
      <c r="H111" s="96" t="s">
        <v>15990</v>
      </c>
      <c r="I111" s="96" t="s">
        <v>15991</v>
      </c>
      <c r="J111" s="96" t="s">
        <v>15992</v>
      </c>
      <c r="K111" s="96" t="s">
        <v>15993</v>
      </c>
      <c r="L111" s="96" t="s">
        <v>15994</v>
      </c>
      <c r="M111" s="96" t="s">
        <v>15995</v>
      </c>
      <c r="N111" s="96" t="s">
        <v>15996</v>
      </c>
      <c r="O111" s="96" t="s">
        <v>15997</v>
      </c>
      <c r="P111" s="96" t="s">
        <v>15998</v>
      </c>
      <c r="Q111" s="96" t="s">
        <v>15999</v>
      </c>
      <c r="R111" s="96" t="s">
        <v>16000</v>
      </c>
      <c r="S111" s="96" t="s">
        <v>16001</v>
      </c>
      <c r="T111" s="96" t="s">
        <v>15994</v>
      </c>
      <c r="U111" s="96" t="s">
        <v>16002</v>
      </c>
      <c r="V111" s="96" t="s">
        <v>16003</v>
      </c>
      <c r="W111" s="96" t="s">
        <v>16004</v>
      </c>
      <c r="X111" s="96" t="s">
        <v>16005</v>
      </c>
      <c r="Y111" s="96" t="s">
        <v>16006</v>
      </c>
      <c r="Z111" s="96" t="s">
        <v>16007</v>
      </c>
      <c r="AA111" s="96" t="s">
        <v>16008</v>
      </c>
      <c r="AB111" s="96" t="s">
        <v>16009</v>
      </c>
      <c r="AC111" s="96" t="s">
        <v>16010</v>
      </c>
      <c r="AD111" s="57"/>
    </row>
    <row r="112">
      <c r="A112" s="96" t="s">
        <v>11697</v>
      </c>
      <c r="B112" s="96" t="s">
        <v>11698</v>
      </c>
      <c r="C112" s="97" t="s">
        <v>16011</v>
      </c>
      <c r="D112" s="96" t="s">
        <v>16012</v>
      </c>
      <c r="E112" s="96" t="s">
        <v>16013</v>
      </c>
      <c r="F112" s="96" t="s">
        <v>16014</v>
      </c>
      <c r="G112" s="96" t="s">
        <v>16015</v>
      </c>
      <c r="H112" s="96" t="s">
        <v>16016</v>
      </c>
      <c r="I112" s="96" t="s">
        <v>16017</v>
      </c>
      <c r="J112" s="96" t="s">
        <v>16018</v>
      </c>
      <c r="K112" s="96" t="s">
        <v>16019</v>
      </c>
      <c r="L112" s="96" t="s">
        <v>16020</v>
      </c>
      <c r="M112" s="96" t="s">
        <v>16021</v>
      </c>
      <c r="N112" s="96" t="s">
        <v>16022</v>
      </c>
      <c r="O112" s="96" t="s">
        <v>16023</v>
      </c>
      <c r="P112" s="96" t="s">
        <v>16024</v>
      </c>
      <c r="Q112" s="96" t="s">
        <v>16025</v>
      </c>
      <c r="R112" s="96" t="s">
        <v>16026</v>
      </c>
      <c r="S112" s="96" t="s">
        <v>16027</v>
      </c>
      <c r="T112" s="96" t="s">
        <v>16028</v>
      </c>
      <c r="U112" s="96" t="s">
        <v>16029</v>
      </c>
      <c r="V112" s="96" t="s">
        <v>16030</v>
      </c>
      <c r="W112" s="96" t="s">
        <v>16031</v>
      </c>
      <c r="X112" s="96" t="s">
        <v>16032</v>
      </c>
      <c r="Y112" s="96" t="s">
        <v>16033</v>
      </c>
      <c r="Z112" s="96" t="s">
        <v>16034</v>
      </c>
      <c r="AA112" s="96" t="s">
        <v>16035</v>
      </c>
      <c r="AB112" s="96" t="s">
        <v>16036</v>
      </c>
      <c r="AC112" s="96" t="s">
        <v>16037</v>
      </c>
      <c r="AD112" s="57"/>
    </row>
    <row r="113">
      <c r="A113" s="96" t="s">
        <v>11699</v>
      </c>
      <c r="B113" s="96" t="s">
        <v>11700</v>
      </c>
      <c r="C113" s="97" t="s">
        <v>16038</v>
      </c>
      <c r="D113" s="96" t="s">
        <v>16039</v>
      </c>
      <c r="E113" s="96" t="s">
        <v>16040</v>
      </c>
      <c r="F113" s="96" t="s">
        <v>16041</v>
      </c>
      <c r="G113" s="96" t="s">
        <v>16042</v>
      </c>
      <c r="H113" s="96" t="s">
        <v>16043</v>
      </c>
      <c r="I113" s="96" t="s">
        <v>16044</v>
      </c>
      <c r="J113" s="96" t="s">
        <v>16045</v>
      </c>
      <c r="K113" s="96" t="s">
        <v>16046</v>
      </c>
      <c r="L113" s="96" t="s">
        <v>16047</v>
      </c>
      <c r="M113" s="96" t="s">
        <v>16048</v>
      </c>
      <c r="N113" s="96" t="s">
        <v>16049</v>
      </c>
      <c r="O113" s="96" t="s">
        <v>16050</v>
      </c>
      <c r="P113" s="96" t="s">
        <v>16051</v>
      </c>
      <c r="Q113" s="96" t="s">
        <v>16052</v>
      </c>
      <c r="R113" s="96" t="s">
        <v>16053</v>
      </c>
      <c r="S113" s="96" t="s">
        <v>16054</v>
      </c>
      <c r="T113" s="96" t="s">
        <v>16055</v>
      </c>
      <c r="U113" s="96" t="s">
        <v>16056</v>
      </c>
      <c r="V113" s="96" t="s">
        <v>16057</v>
      </c>
      <c r="W113" s="96" t="s">
        <v>16058</v>
      </c>
      <c r="X113" s="96" t="s">
        <v>16059</v>
      </c>
      <c r="Y113" s="96" t="s">
        <v>16060</v>
      </c>
      <c r="Z113" s="96" t="s">
        <v>16061</v>
      </c>
      <c r="AA113" s="96" t="s">
        <v>16062</v>
      </c>
      <c r="AB113" s="96" t="s">
        <v>16063</v>
      </c>
      <c r="AC113" s="96" t="s">
        <v>16064</v>
      </c>
      <c r="AD113" s="57"/>
    </row>
    <row r="114">
      <c r="A114" s="96" t="s">
        <v>11701</v>
      </c>
      <c r="B114" s="96" t="s">
        <v>11702</v>
      </c>
      <c r="C114" s="97" t="s">
        <v>16065</v>
      </c>
      <c r="D114" s="96" t="s">
        <v>16066</v>
      </c>
      <c r="E114" s="96" t="s">
        <v>16067</v>
      </c>
      <c r="F114" s="96" t="s">
        <v>16068</v>
      </c>
      <c r="G114" s="96" t="s">
        <v>16069</v>
      </c>
      <c r="H114" s="96" t="s">
        <v>16070</v>
      </c>
      <c r="I114" s="96" t="s">
        <v>16071</v>
      </c>
      <c r="J114" s="96" t="s">
        <v>16072</v>
      </c>
      <c r="K114" s="96" t="s">
        <v>16073</v>
      </c>
      <c r="L114" s="96" t="s">
        <v>16074</v>
      </c>
      <c r="M114" s="96" t="s">
        <v>16075</v>
      </c>
      <c r="N114" s="96" t="s">
        <v>16076</v>
      </c>
      <c r="O114" s="96" t="s">
        <v>16077</v>
      </c>
      <c r="P114" s="96" t="s">
        <v>16078</v>
      </c>
      <c r="Q114" s="96" t="s">
        <v>16079</v>
      </c>
      <c r="R114" s="96" t="s">
        <v>16080</v>
      </c>
      <c r="S114" s="96" t="s">
        <v>16081</v>
      </c>
      <c r="T114" s="96" t="s">
        <v>16082</v>
      </c>
      <c r="U114" s="96" t="s">
        <v>16083</v>
      </c>
      <c r="V114" s="96" t="s">
        <v>16084</v>
      </c>
      <c r="W114" s="96" t="s">
        <v>16085</v>
      </c>
      <c r="X114" s="96" t="s">
        <v>16086</v>
      </c>
      <c r="Y114" s="96" t="s">
        <v>16087</v>
      </c>
      <c r="Z114" s="96" t="s">
        <v>16088</v>
      </c>
      <c r="AA114" s="96" t="s">
        <v>16089</v>
      </c>
      <c r="AB114" s="96" t="s">
        <v>16090</v>
      </c>
      <c r="AC114" s="96" t="s">
        <v>16091</v>
      </c>
      <c r="AD114" s="57"/>
    </row>
    <row r="115">
      <c r="A115" s="96" t="s">
        <v>2647</v>
      </c>
      <c r="B115" s="96" t="s">
        <v>2648</v>
      </c>
      <c r="C115" s="97" t="s">
        <v>2649</v>
      </c>
      <c r="D115" s="96" t="s">
        <v>2650</v>
      </c>
      <c r="E115" s="96" t="s">
        <v>2651</v>
      </c>
      <c r="F115" s="96" t="s">
        <v>2652</v>
      </c>
      <c r="G115" s="96" t="s">
        <v>2653</v>
      </c>
      <c r="H115" s="96" t="s">
        <v>2654</v>
      </c>
      <c r="I115" s="96" t="s">
        <v>2655</v>
      </c>
      <c r="J115" s="96" t="s">
        <v>2656</v>
      </c>
      <c r="K115" s="96" t="s">
        <v>2657</v>
      </c>
      <c r="L115" s="96" t="s">
        <v>2658</v>
      </c>
      <c r="M115" s="96" t="s">
        <v>2648</v>
      </c>
      <c r="N115" s="96" t="s">
        <v>2659</v>
      </c>
      <c r="O115" s="96" t="s">
        <v>10385</v>
      </c>
      <c r="P115" s="96" t="s">
        <v>2661</v>
      </c>
      <c r="Q115" s="96" t="s">
        <v>2662</v>
      </c>
      <c r="R115" s="96" t="s">
        <v>2663</v>
      </c>
      <c r="S115" s="96" t="s">
        <v>2664</v>
      </c>
      <c r="T115" s="96" t="s">
        <v>2665</v>
      </c>
      <c r="U115" s="96" t="s">
        <v>2648</v>
      </c>
      <c r="V115" s="96" t="s">
        <v>2666</v>
      </c>
      <c r="W115" s="96" t="s">
        <v>2667</v>
      </c>
      <c r="X115" s="96" t="s">
        <v>2668</v>
      </c>
      <c r="Y115" s="96" t="s">
        <v>2669</v>
      </c>
      <c r="Z115" s="96" t="s">
        <v>2670</v>
      </c>
      <c r="AA115" s="96" t="s">
        <v>10386</v>
      </c>
      <c r="AB115" s="96" t="s">
        <v>2672</v>
      </c>
      <c r="AC115" s="96" t="s">
        <v>10919</v>
      </c>
      <c r="AD115" s="57"/>
    </row>
    <row r="116">
      <c r="A116" s="96" t="s">
        <v>10128</v>
      </c>
      <c r="B116" s="96" t="s">
        <v>2733</v>
      </c>
      <c r="C116" s="97" t="s">
        <v>2734</v>
      </c>
      <c r="D116" s="96" t="s">
        <v>2735</v>
      </c>
      <c r="E116" s="96" t="s">
        <v>2736</v>
      </c>
      <c r="F116" s="96" t="s">
        <v>10129</v>
      </c>
      <c r="G116" s="96" t="s">
        <v>2738</v>
      </c>
      <c r="H116" s="96" t="s">
        <v>2739</v>
      </c>
      <c r="I116" s="96" t="s">
        <v>2740</v>
      </c>
      <c r="J116" s="96" t="s">
        <v>2741</v>
      </c>
      <c r="K116" s="96" t="s">
        <v>2742</v>
      </c>
      <c r="L116" s="96" t="s">
        <v>2743</v>
      </c>
      <c r="M116" s="96" t="s">
        <v>2744</v>
      </c>
      <c r="N116" s="96" t="s">
        <v>2745</v>
      </c>
      <c r="O116" s="96" t="s">
        <v>2746</v>
      </c>
      <c r="P116" s="96" t="s">
        <v>2747</v>
      </c>
      <c r="Q116" s="96" t="s">
        <v>2748</v>
      </c>
      <c r="R116" s="96" t="s">
        <v>2749</v>
      </c>
      <c r="S116" s="96" t="s">
        <v>2750</v>
      </c>
      <c r="T116" s="96" t="s">
        <v>2751</v>
      </c>
      <c r="U116" s="96" t="s">
        <v>2752</v>
      </c>
      <c r="V116" s="96" t="s">
        <v>2753</v>
      </c>
      <c r="W116" s="96" t="s">
        <v>2754</v>
      </c>
      <c r="X116" s="96" t="s">
        <v>2755</v>
      </c>
      <c r="Y116" s="96" t="s">
        <v>2756</v>
      </c>
      <c r="Z116" s="96" t="s">
        <v>2757</v>
      </c>
      <c r="AA116" s="96" t="s">
        <v>2758</v>
      </c>
      <c r="AB116" s="96" t="s">
        <v>2759</v>
      </c>
      <c r="AC116" s="96" t="s">
        <v>2760</v>
      </c>
      <c r="AD116" s="57"/>
    </row>
    <row r="117">
      <c r="A117" s="96" t="s">
        <v>10130</v>
      </c>
      <c r="B117" s="96" t="s">
        <v>2704</v>
      </c>
      <c r="C117" s="97" t="s">
        <v>2705</v>
      </c>
      <c r="D117" s="96" t="s">
        <v>2706</v>
      </c>
      <c r="E117" s="96" t="s">
        <v>2707</v>
      </c>
      <c r="F117" s="96" t="s">
        <v>2708</v>
      </c>
      <c r="G117" s="96" t="s">
        <v>2709</v>
      </c>
      <c r="H117" s="96" t="s">
        <v>2710</v>
      </c>
      <c r="I117" s="96" t="s">
        <v>2711</v>
      </c>
      <c r="J117" s="96" t="s">
        <v>2712</v>
      </c>
      <c r="K117" s="96" t="s">
        <v>2713</v>
      </c>
      <c r="L117" s="96" t="s">
        <v>2714</v>
      </c>
      <c r="M117" s="96" t="s">
        <v>2715</v>
      </c>
      <c r="N117" s="96" t="s">
        <v>2716</v>
      </c>
      <c r="O117" s="96" t="s">
        <v>10131</v>
      </c>
      <c r="P117" s="96" t="s">
        <v>2718</v>
      </c>
      <c r="Q117" s="96" t="s">
        <v>10132</v>
      </c>
      <c r="R117" s="96" t="s">
        <v>2720</v>
      </c>
      <c r="S117" s="96" t="s">
        <v>2721</v>
      </c>
      <c r="T117" s="96" t="s">
        <v>2722</v>
      </c>
      <c r="U117" s="96" t="s">
        <v>2723</v>
      </c>
      <c r="V117" s="96" t="s">
        <v>2724</v>
      </c>
      <c r="W117" s="96" t="s">
        <v>2725</v>
      </c>
      <c r="X117" s="96" t="s">
        <v>2726</v>
      </c>
      <c r="Y117" s="96" t="s">
        <v>2727</v>
      </c>
      <c r="Z117" s="96" t="s">
        <v>2728</v>
      </c>
      <c r="AA117" s="96" t="s">
        <v>2729</v>
      </c>
      <c r="AB117" s="96" t="s">
        <v>2730</v>
      </c>
      <c r="AC117" s="96" t="s">
        <v>2731</v>
      </c>
      <c r="AD117" s="57"/>
    </row>
    <row r="118">
      <c r="A118" s="96" t="s">
        <v>10320</v>
      </c>
      <c r="B118" s="96" t="s">
        <v>10321</v>
      </c>
      <c r="C118" s="97" t="s">
        <v>10322</v>
      </c>
      <c r="D118" s="96" t="s">
        <v>10323</v>
      </c>
      <c r="E118" s="96" t="s">
        <v>10324</v>
      </c>
      <c r="F118" s="96" t="s">
        <v>10325</v>
      </c>
      <c r="G118" s="96" t="s">
        <v>10326</v>
      </c>
      <c r="H118" s="96" t="s">
        <v>10327</v>
      </c>
      <c r="I118" s="96" t="s">
        <v>10328</v>
      </c>
      <c r="J118" s="96" t="s">
        <v>10329</v>
      </c>
      <c r="K118" s="96" t="s">
        <v>10330</v>
      </c>
      <c r="L118" s="96" t="s">
        <v>10331</v>
      </c>
      <c r="M118" s="96" t="s">
        <v>10332</v>
      </c>
      <c r="N118" s="96" t="s">
        <v>10333</v>
      </c>
      <c r="O118" s="96" t="s">
        <v>10334</v>
      </c>
      <c r="P118" s="96" t="s">
        <v>10335</v>
      </c>
      <c r="Q118" s="96" t="s">
        <v>10336</v>
      </c>
      <c r="R118" s="96" t="s">
        <v>10337</v>
      </c>
      <c r="S118" s="96" t="s">
        <v>10338</v>
      </c>
      <c r="T118" s="96" t="s">
        <v>10339</v>
      </c>
      <c r="U118" s="96" t="s">
        <v>10340</v>
      </c>
      <c r="V118" s="96" t="s">
        <v>10341</v>
      </c>
      <c r="W118" s="96" t="s">
        <v>10342</v>
      </c>
      <c r="X118" s="96" t="s">
        <v>10343</v>
      </c>
      <c r="Y118" s="96" t="s">
        <v>10344</v>
      </c>
      <c r="Z118" s="96" t="s">
        <v>10345</v>
      </c>
      <c r="AA118" s="96" t="s">
        <v>10346</v>
      </c>
      <c r="AB118" s="96" t="s">
        <v>10347</v>
      </c>
      <c r="AC118" s="96" t="s">
        <v>10348</v>
      </c>
      <c r="AD118" s="57"/>
    </row>
    <row r="119">
      <c r="A119" s="96" t="s">
        <v>10349</v>
      </c>
      <c r="B119" s="96" t="s">
        <v>10350</v>
      </c>
      <c r="C119" s="97" t="s">
        <v>16092</v>
      </c>
      <c r="D119" s="96" t="s">
        <v>16093</v>
      </c>
      <c r="E119" s="96" t="s">
        <v>16094</v>
      </c>
      <c r="F119" s="96" t="s">
        <v>16095</v>
      </c>
      <c r="G119" s="96" t="s">
        <v>16096</v>
      </c>
      <c r="H119" s="96" t="s">
        <v>16097</v>
      </c>
      <c r="I119" s="96" t="s">
        <v>16098</v>
      </c>
      <c r="J119" s="96" t="s">
        <v>16099</v>
      </c>
      <c r="K119" s="96" t="s">
        <v>16100</v>
      </c>
      <c r="L119" s="96" t="s">
        <v>10360</v>
      </c>
      <c r="M119" s="96" t="s">
        <v>16101</v>
      </c>
      <c r="N119" s="96" t="s">
        <v>16102</v>
      </c>
      <c r="O119" s="96" t="s">
        <v>16103</v>
      </c>
      <c r="P119" s="96" t="s">
        <v>16104</v>
      </c>
      <c r="Q119" s="96" t="s">
        <v>16105</v>
      </c>
      <c r="R119" s="96" t="s">
        <v>10366</v>
      </c>
      <c r="S119" s="96" t="s">
        <v>16106</v>
      </c>
      <c r="T119" s="96" t="s">
        <v>16107</v>
      </c>
      <c r="U119" s="96" t="s">
        <v>16108</v>
      </c>
      <c r="V119" s="96" t="s">
        <v>16109</v>
      </c>
      <c r="W119" s="96" t="s">
        <v>16110</v>
      </c>
      <c r="X119" s="96" t="s">
        <v>16111</v>
      </c>
      <c r="Y119" s="96" t="s">
        <v>16112</v>
      </c>
      <c r="Z119" s="96" t="s">
        <v>16113</v>
      </c>
      <c r="AA119" s="96" t="s">
        <v>16114</v>
      </c>
      <c r="AB119" s="96" t="s">
        <v>16115</v>
      </c>
      <c r="AC119" s="96" t="s">
        <v>16116</v>
      </c>
      <c r="AD119" s="57"/>
    </row>
    <row r="120">
      <c r="A120" s="96" t="s">
        <v>10378</v>
      </c>
      <c r="B120" s="96" t="s">
        <v>9110</v>
      </c>
      <c r="C120" s="97" t="s">
        <v>6050</v>
      </c>
      <c r="D120" s="96" t="s">
        <v>9111</v>
      </c>
      <c r="E120" s="96" t="s">
        <v>9110</v>
      </c>
      <c r="F120" s="96" t="s">
        <v>9112</v>
      </c>
      <c r="G120" s="96" t="s">
        <v>9113</v>
      </c>
      <c r="H120" s="96" t="s">
        <v>10379</v>
      </c>
      <c r="I120" s="96" t="s">
        <v>9110</v>
      </c>
      <c r="J120" s="96" t="s">
        <v>9116</v>
      </c>
      <c r="K120" s="96" t="s">
        <v>9117</v>
      </c>
      <c r="L120" s="96" t="s">
        <v>9118</v>
      </c>
      <c r="M120" s="96" t="s">
        <v>9119</v>
      </c>
      <c r="N120" s="96" t="s">
        <v>9120</v>
      </c>
      <c r="O120" s="96" t="s">
        <v>10380</v>
      </c>
      <c r="P120" s="96" t="s">
        <v>9122</v>
      </c>
      <c r="Q120" s="96" t="s">
        <v>9123</v>
      </c>
      <c r="R120" s="96" t="s">
        <v>9124</v>
      </c>
      <c r="S120" s="96" t="s">
        <v>10381</v>
      </c>
      <c r="T120" s="96" t="s">
        <v>9126</v>
      </c>
      <c r="U120" s="96" t="s">
        <v>9127</v>
      </c>
      <c r="V120" s="96" t="s">
        <v>9128</v>
      </c>
      <c r="W120" s="96" t="s">
        <v>9129</v>
      </c>
      <c r="X120" s="96" t="s">
        <v>9130</v>
      </c>
      <c r="Y120" s="96" t="s">
        <v>9131</v>
      </c>
      <c r="Z120" s="96" t="s">
        <v>9132</v>
      </c>
      <c r="AA120" s="96" t="s">
        <v>10382</v>
      </c>
      <c r="AB120" s="96" t="s">
        <v>9134</v>
      </c>
      <c r="AC120" s="96" t="s">
        <v>9135</v>
      </c>
      <c r="AD120" s="57"/>
    </row>
    <row r="121">
      <c r="A121" s="96" t="s">
        <v>10383</v>
      </c>
      <c r="B121" s="96" t="s">
        <v>109</v>
      </c>
      <c r="C121" s="97" t="s">
        <v>110</v>
      </c>
      <c r="D121" s="96" t="s">
        <v>111</v>
      </c>
      <c r="E121" s="96" t="s">
        <v>112</v>
      </c>
      <c r="F121" s="96" t="s">
        <v>113</v>
      </c>
      <c r="G121" s="96" t="s">
        <v>114</v>
      </c>
      <c r="H121" s="96" t="s">
        <v>10036</v>
      </c>
      <c r="I121" s="96" t="s">
        <v>116</v>
      </c>
      <c r="J121" s="96" t="s">
        <v>117</v>
      </c>
      <c r="K121" s="96" t="s">
        <v>118</v>
      </c>
      <c r="L121" s="96" t="s">
        <v>119</v>
      </c>
      <c r="M121" s="96" t="s">
        <v>120</v>
      </c>
      <c r="N121" s="96" t="s">
        <v>121</v>
      </c>
      <c r="O121" s="96" t="s">
        <v>10037</v>
      </c>
      <c r="P121" s="96" t="s">
        <v>10038</v>
      </c>
      <c r="Q121" s="96" t="s">
        <v>124</v>
      </c>
      <c r="R121" s="96" t="s">
        <v>125</v>
      </c>
      <c r="S121" s="96" t="s">
        <v>126</v>
      </c>
      <c r="T121" s="96" t="s">
        <v>10039</v>
      </c>
      <c r="U121" s="96" t="s">
        <v>128</v>
      </c>
      <c r="V121" s="96" t="s">
        <v>129</v>
      </c>
      <c r="W121" s="96" t="s">
        <v>114</v>
      </c>
      <c r="X121" s="96" t="s">
        <v>130</v>
      </c>
      <c r="Y121" s="96" t="s">
        <v>131</v>
      </c>
      <c r="Z121" s="96" t="s">
        <v>132</v>
      </c>
      <c r="AA121" s="96" t="s">
        <v>133</v>
      </c>
      <c r="AB121" s="96" t="s">
        <v>134</v>
      </c>
      <c r="AC121" s="96" t="s">
        <v>135</v>
      </c>
      <c r="AD121" s="57"/>
    </row>
    <row r="122">
      <c r="A122" s="96" t="s">
        <v>10384</v>
      </c>
      <c r="B122" s="96" t="s">
        <v>2648</v>
      </c>
      <c r="C122" s="97" t="s">
        <v>2649</v>
      </c>
      <c r="D122" s="96" t="s">
        <v>2650</v>
      </c>
      <c r="E122" s="96" t="s">
        <v>2651</v>
      </c>
      <c r="F122" s="96" t="s">
        <v>2652</v>
      </c>
      <c r="G122" s="96" t="s">
        <v>2653</v>
      </c>
      <c r="H122" s="96" t="s">
        <v>2654</v>
      </c>
      <c r="I122" s="96" t="s">
        <v>2655</v>
      </c>
      <c r="J122" s="96" t="s">
        <v>2656</v>
      </c>
      <c r="K122" s="96" t="s">
        <v>2657</v>
      </c>
      <c r="L122" s="96" t="s">
        <v>2658</v>
      </c>
      <c r="M122" s="96" t="s">
        <v>2648</v>
      </c>
      <c r="N122" s="96" t="s">
        <v>2659</v>
      </c>
      <c r="O122" s="96" t="s">
        <v>10385</v>
      </c>
      <c r="P122" s="96" t="s">
        <v>2661</v>
      </c>
      <c r="Q122" s="96" t="s">
        <v>2662</v>
      </c>
      <c r="R122" s="96" t="s">
        <v>2663</v>
      </c>
      <c r="S122" s="96" t="s">
        <v>2664</v>
      </c>
      <c r="T122" s="96" t="s">
        <v>2665</v>
      </c>
      <c r="U122" s="96" t="s">
        <v>2648</v>
      </c>
      <c r="V122" s="96" t="s">
        <v>2666</v>
      </c>
      <c r="W122" s="96" t="s">
        <v>2667</v>
      </c>
      <c r="X122" s="96" t="s">
        <v>2668</v>
      </c>
      <c r="Y122" s="96" t="s">
        <v>2669</v>
      </c>
      <c r="Z122" s="96" t="s">
        <v>2670</v>
      </c>
      <c r="AA122" s="96" t="s">
        <v>10386</v>
      </c>
      <c r="AB122" s="96" t="s">
        <v>2672</v>
      </c>
      <c r="AC122" s="96" t="s">
        <v>10919</v>
      </c>
      <c r="AD122" s="57"/>
    </row>
    <row r="123">
      <c r="A123" s="96" t="s">
        <v>10387</v>
      </c>
      <c r="B123" s="96" t="s">
        <v>10388</v>
      </c>
      <c r="C123" s="97" t="s">
        <v>16117</v>
      </c>
      <c r="D123" s="96" t="s">
        <v>10390</v>
      </c>
      <c r="E123" s="96" t="s">
        <v>10391</v>
      </c>
      <c r="F123" s="96" t="s">
        <v>10392</v>
      </c>
      <c r="G123" s="96" t="s">
        <v>10393</v>
      </c>
      <c r="H123" s="96" t="s">
        <v>10394</v>
      </c>
      <c r="I123" s="96" t="s">
        <v>10395</v>
      </c>
      <c r="J123" s="96" t="s">
        <v>10396</v>
      </c>
      <c r="K123" s="96" t="s">
        <v>10397</v>
      </c>
      <c r="L123" s="96" t="s">
        <v>10398</v>
      </c>
      <c r="M123" s="96" t="s">
        <v>10399</v>
      </c>
      <c r="N123" s="96" t="s">
        <v>10400</v>
      </c>
      <c r="O123" s="96" t="s">
        <v>10401</v>
      </c>
      <c r="P123" s="96" t="s">
        <v>10402</v>
      </c>
      <c r="Q123" s="96" t="s">
        <v>10403</v>
      </c>
      <c r="R123" s="96" t="s">
        <v>10404</v>
      </c>
      <c r="S123" s="96" t="s">
        <v>10405</v>
      </c>
      <c r="T123" s="96" t="s">
        <v>10406</v>
      </c>
      <c r="U123" s="96" t="s">
        <v>10407</v>
      </c>
      <c r="V123" s="96" t="s">
        <v>10408</v>
      </c>
      <c r="W123" s="96" t="s">
        <v>10409</v>
      </c>
      <c r="X123" s="96" t="s">
        <v>10410</v>
      </c>
      <c r="Y123" s="96" t="s">
        <v>10411</v>
      </c>
      <c r="Z123" s="96" t="s">
        <v>10412</v>
      </c>
      <c r="AA123" s="96" t="s">
        <v>10413</v>
      </c>
      <c r="AB123" s="96" t="s">
        <v>10414</v>
      </c>
      <c r="AC123" s="96" t="s">
        <v>10415</v>
      </c>
      <c r="AD123" s="57"/>
    </row>
    <row r="124">
      <c r="A124" s="22" t="s">
        <v>16118</v>
      </c>
      <c r="B124" s="23" t="s">
        <v>16119</v>
      </c>
      <c r="C124" s="24" t="s">
        <v>16120</v>
      </c>
      <c r="D124" s="23" t="s">
        <v>16121</v>
      </c>
      <c r="E124" s="23" t="s">
        <v>16122</v>
      </c>
      <c r="F124" s="23" t="s">
        <v>16123</v>
      </c>
      <c r="G124" s="23" t="s">
        <v>16124</v>
      </c>
      <c r="H124" s="23" t="s">
        <v>16125</v>
      </c>
      <c r="I124" s="23" t="s">
        <v>16126</v>
      </c>
      <c r="J124" s="23" t="s">
        <v>16127</v>
      </c>
      <c r="K124" s="25" t="s">
        <v>16128</v>
      </c>
      <c r="L124" s="23" t="s">
        <v>16129</v>
      </c>
      <c r="M124" s="23" t="s">
        <v>16130</v>
      </c>
      <c r="N124" s="26" t="s">
        <v>16131</v>
      </c>
      <c r="O124" s="27" t="s">
        <v>16132</v>
      </c>
      <c r="P124" s="28" t="s">
        <v>16133</v>
      </c>
      <c r="Q124" s="29" t="s">
        <v>16134</v>
      </c>
      <c r="R124" s="30" t="s">
        <v>16135</v>
      </c>
      <c r="S124" s="23" t="s">
        <v>16136</v>
      </c>
      <c r="T124" s="23" t="s">
        <v>16137</v>
      </c>
      <c r="U124" s="23" t="s">
        <v>16138</v>
      </c>
      <c r="V124" s="23" t="s">
        <v>16139</v>
      </c>
      <c r="W124" s="23" t="s">
        <v>16140</v>
      </c>
      <c r="X124" s="23" t="s">
        <v>16141</v>
      </c>
      <c r="Y124" s="31" t="s">
        <v>16142</v>
      </c>
      <c r="Z124" s="23" t="s">
        <v>16143</v>
      </c>
      <c r="AA124" s="23" t="s">
        <v>16144</v>
      </c>
      <c r="AB124" s="26" t="s">
        <v>16145</v>
      </c>
      <c r="AC124" s="23" t="s">
        <v>16146</v>
      </c>
      <c r="AD124" s="21"/>
    </row>
    <row r="125">
      <c r="A125" s="22" t="s">
        <v>16147</v>
      </c>
      <c r="B125" s="23" t="s">
        <v>16148</v>
      </c>
      <c r="C125" s="24" t="s">
        <v>16149</v>
      </c>
      <c r="D125" s="23" t="s">
        <v>16150</v>
      </c>
      <c r="E125" s="23" t="s">
        <v>16151</v>
      </c>
      <c r="F125" s="23" t="s">
        <v>16152</v>
      </c>
      <c r="G125" s="23" t="s">
        <v>16153</v>
      </c>
      <c r="H125" s="23" t="s">
        <v>16154</v>
      </c>
      <c r="I125" s="23" t="s">
        <v>16155</v>
      </c>
      <c r="J125" s="23" t="s">
        <v>16156</v>
      </c>
      <c r="K125" s="25" t="s">
        <v>16157</v>
      </c>
      <c r="L125" s="23" t="s">
        <v>16158</v>
      </c>
      <c r="M125" s="23" t="s">
        <v>16159</v>
      </c>
      <c r="N125" s="26" t="s">
        <v>16160</v>
      </c>
      <c r="O125" s="27" t="s">
        <v>16161</v>
      </c>
      <c r="P125" s="28" t="s">
        <v>16162</v>
      </c>
      <c r="Q125" s="29" t="s">
        <v>16163</v>
      </c>
      <c r="R125" s="30" t="s">
        <v>16164</v>
      </c>
      <c r="S125" s="23" t="s">
        <v>16165</v>
      </c>
      <c r="T125" s="23" t="s">
        <v>16166</v>
      </c>
      <c r="U125" s="23" t="s">
        <v>16167</v>
      </c>
      <c r="V125" s="23" t="s">
        <v>16168</v>
      </c>
      <c r="W125" s="23" t="s">
        <v>16169</v>
      </c>
      <c r="X125" s="23" t="s">
        <v>16170</v>
      </c>
      <c r="Y125" s="31" t="s">
        <v>16171</v>
      </c>
      <c r="Z125" s="23" t="s">
        <v>16172</v>
      </c>
      <c r="AA125" s="23" t="s">
        <v>16173</v>
      </c>
      <c r="AB125" s="26" t="s">
        <v>16174</v>
      </c>
      <c r="AC125" s="23" t="s">
        <v>16175</v>
      </c>
      <c r="AD125" s="21"/>
    </row>
    <row r="126">
      <c r="A126" s="57" t="s">
        <v>16176</v>
      </c>
      <c r="B126" s="57" t="s">
        <v>16177</v>
      </c>
      <c r="C126" s="99" t="s">
        <v>16178</v>
      </c>
      <c r="D126" s="57" t="s">
        <v>16179</v>
      </c>
      <c r="E126" s="57" t="s">
        <v>16180</v>
      </c>
      <c r="F126" s="57" t="s">
        <v>16181</v>
      </c>
      <c r="G126" s="57" t="s">
        <v>16182</v>
      </c>
      <c r="H126" s="57" t="s">
        <v>16183</v>
      </c>
      <c r="I126" s="57" t="s">
        <v>16184</v>
      </c>
      <c r="J126" s="57" t="s">
        <v>16185</v>
      </c>
      <c r="K126" s="57" t="s">
        <v>16186</v>
      </c>
      <c r="L126" s="57" t="s">
        <v>16187</v>
      </c>
      <c r="M126" s="57" t="s">
        <v>16188</v>
      </c>
      <c r="N126" s="57" t="s">
        <v>16189</v>
      </c>
      <c r="O126" s="57" t="s">
        <v>16190</v>
      </c>
      <c r="P126" s="57" t="s">
        <v>16191</v>
      </c>
      <c r="Q126" s="57" t="s">
        <v>16192</v>
      </c>
      <c r="R126" s="57" t="s">
        <v>16193</v>
      </c>
      <c r="S126" s="57" t="s">
        <v>16194</v>
      </c>
      <c r="T126" s="57" t="s">
        <v>16195</v>
      </c>
      <c r="U126" s="57" t="s">
        <v>16196</v>
      </c>
      <c r="V126" s="57" t="s">
        <v>16197</v>
      </c>
      <c r="W126" s="57" t="s">
        <v>16182</v>
      </c>
      <c r="X126" s="57" t="s">
        <v>16198</v>
      </c>
      <c r="Y126" s="57" t="s">
        <v>16199</v>
      </c>
      <c r="Z126" s="57" t="s">
        <v>16200</v>
      </c>
      <c r="AA126" s="57" t="s">
        <v>16201</v>
      </c>
      <c r="AB126" s="57" t="s">
        <v>16202</v>
      </c>
      <c r="AC126" s="57" t="s">
        <v>16203</v>
      </c>
      <c r="AD126" s="21"/>
    </row>
    <row r="127">
      <c r="A127" s="57" t="s">
        <v>16204</v>
      </c>
      <c r="B127" s="57" t="s">
        <v>16205</v>
      </c>
      <c r="C127" s="99" t="s">
        <v>16206</v>
      </c>
      <c r="D127" s="57" t="s">
        <v>16207</v>
      </c>
      <c r="E127" s="57" t="s">
        <v>16208</v>
      </c>
      <c r="F127" s="57" t="s">
        <v>16209</v>
      </c>
      <c r="G127" s="57" t="s">
        <v>16210</v>
      </c>
      <c r="H127" s="57" t="s">
        <v>16211</v>
      </c>
      <c r="I127" s="57" t="s">
        <v>16212</v>
      </c>
      <c r="J127" s="57" t="s">
        <v>16213</v>
      </c>
      <c r="K127" s="57" t="s">
        <v>16214</v>
      </c>
      <c r="L127" s="57" t="s">
        <v>16215</v>
      </c>
      <c r="M127" s="57" t="s">
        <v>16216</v>
      </c>
      <c r="N127" s="57" t="s">
        <v>16217</v>
      </c>
      <c r="O127" s="57" t="s">
        <v>16218</v>
      </c>
      <c r="P127" s="57" t="s">
        <v>16219</v>
      </c>
      <c r="Q127" s="57" t="s">
        <v>16220</v>
      </c>
      <c r="R127" s="57" t="s">
        <v>16221</v>
      </c>
      <c r="S127" s="57" t="s">
        <v>16222</v>
      </c>
      <c r="T127" s="57" t="s">
        <v>16223</v>
      </c>
      <c r="U127" s="57" t="s">
        <v>16224</v>
      </c>
      <c r="V127" s="57" t="s">
        <v>16225</v>
      </c>
      <c r="W127" s="57" t="s">
        <v>16210</v>
      </c>
      <c r="X127" s="57" t="s">
        <v>16226</v>
      </c>
      <c r="Y127" s="57" t="s">
        <v>16227</v>
      </c>
      <c r="Z127" s="57" t="s">
        <v>16228</v>
      </c>
      <c r="AA127" s="57" t="s">
        <v>16229</v>
      </c>
      <c r="AB127" s="57" t="s">
        <v>16230</v>
      </c>
      <c r="AC127" s="57" t="s">
        <v>16231</v>
      </c>
      <c r="AD127" s="21"/>
    </row>
    <row r="128">
      <c r="A128" s="57" t="s">
        <v>326</v>
      </c>
      <c r="B128" s="57" t="s">
        <v>327</v>
      </c>
      <c r="C128" s="99" t="s">
        <v>328</v>
      </c>
      <c r="D128" s="57" t="s">
        <v>329</v>
      </c>
      <c r="E128" s="57" t="s">
        <v>330</v>
      </c>
      <c r="F128" s="57" t="s">
        <v>331</v>
      </c>
      <c r="G128" s="57" t="s">
        <v>332</v>
      </c>
      <c r="H128" s="57" t="s">
        <v>10912</v>
      </c>
      <c r="I128" s="57" t="s">
        <v>334</v>
      </c>
      <c r="J128" s="57" t="s">
        <v>335</v>
      </c>
      <c r="K128" s="57" t="s">
        <v>336</v>
      </c>
      <c r="L128" s="57" t="s">
        <v>337</v>
      </c>
      <c r="M128" s="57" t="s">
        <v>338</v>
      </c>
      <c r="N128" s="57" t="s">
        <v>339</v>
      </c>
      <c r="O128" s="57" t="s">
        <v>10913</v>
      </c>
      <c r="P128" s="57" t="s">
        <v>10914</v>
      </c>
      <c r="Q128" s="57" t="s">
        <v>342</v>
      </c>
      <c r="R128" s="57" t="s">
        <v>10915</v>
      </c>
      <c r="S128" s="57" t="s">
        <v>10916</v>
      </c>
      <c r="T128" s="57" t="s">
        <v>10917</v>
      </c>
      <c r="U128" s="57" t="s">
        <v>346</v>
      </c>
      <c r="V128" s="57" t="s">
        <v>347</v>
      </c>
      <c r="W128" s="57" t="s">
        <v>348</v>
      </c>
      <c r="X128" s="57" t="s">
        <v>349</v>
      </c>
      <c r="Y128" s="57" t="s">
        <v>350</v>
      </c>
      <c r="Z128" s="57" t="s">
        <v>351</v>
      </c>
      <c r="AA128" s="57" t="s">
        <v>10918</v>
      </c>
      <c r="AB128" s="57" t="s">
        <v>353</v>
      </c>
      <c r="AC128" s="57" t="s">
        <v>354</v>
      </c>
      <c r="AD128" s="21"/>
    </row>
    <row r="129">
      <c r="A129" s="57" t="s">
        <v>16232</v>
      </c>
      <c r="B129" s="57" t="s">
        <v>16233</v>
      </c>
      <c r="C129" s="99" t="s">
        <v>16234</v>
      </c>
      <c r="D129" s="57" t="s">
        <v>16235</v>
      </c>
      <c r="E129" s="57" t="s">
        <v>16236</v>
      </c>
      <c r="F129" s="57" t="s">
        <v>16237</v>
      </c>
      <c r="G129" s="57" t="s">
        <v>16238</v>
      </c>
      <c r="H129" s="57" t="s">
        <v>16239</v>
      </c>
      <c r="I129" s="57" t="s">
        <v>16240</v>
      </c>
      <c r="J129" s="57" t="s">
        <v>16241</v>
      </c>
      <c r="K129" s="57" t="s">
        <v>16242</v>
      </c>
      <c r="L129" s="57" t="s">
        <v>16243</v>
      </c>
      <c r="M129" s="57" t="s">
        <v>16244</v>
      </c>
      <c r="N129" s="57" t="s">
        <v>16245</v>
      </c>
      <c r="O129" s="57" t="s">
        <v>16246</v>
      </c>
      <c r="P129" s="57" t="s">
        <v>16247</v>
      </c>
      <c r="Q129" s="57" t="s">
        <v>16248</v>
      </c>
      <c r="R129" s="57" t="s">
        <v>16249</v>
      </c>
      <c r="S129" s="57" t="s">
        <v>16250</v>
      </c>
      <c r="T129" s="57" t="s">
        <v>16243</v>
      </c>
      <c r="U129" s="57" t="s">
        <v>16251</v>
      </c>
      <c r="V129" s="57" t="s">
        <v>16252</v>
      </c>
      <c r="W129" s="57" t="s">
        <v>16253</v>
      </c>
      <c r="X129" s="57" t="s">
        <v>16254</v>
      </c>
      <c r="Y129" s="57" t="s">
        <v>16255</v>
      </c>
      <c r="Z129" s="57" t="s">
        <v>16256</v>
      </c>
      <c r="AA129" s="57" t="s">
        <v>16257</v>
      </c>
      <c r="AB129" s="57" t="s">
        <v>16258</v>
      </c>
      <c r="AC129" s="57" t="s">
        <v>16259</v>
      </c>
      <c r="AD129" s="21"/>
    </row>
    <row r="130">
      <c r="A130" s="47" t="s">
        <v>16400</v>
      </c>
      <c r="B130" s="48" t="s">
        <v>16401</v>
      </c>
      <c r="C130" s="49" t="s">
        <v>16402</v>
      </c>
      <c r="D130" s="48" t="s">
        <v>16403</v>
      </c>
      <c r="E130" s="48" t="s">
        <v>16404</v>
      </c>
      <c r="F130" s="48" t="s">
        <v>16405</v>
      </c>
      <c r="G130" s="48" t="s">
        <v>16406</v>
      </c>
      <c r="H130" s="48" t="s">
        <v>16407</v>
      </c>
      <c r="I130" s="48" t="s">
        <v>16408</v>
      </c>
      <c r="J130" s="48" t="s">
        <v>16409</v>
      </c>
      <c r="K130" s="54" t="s">
        <v>16410</v>
      </c>
      <c r="L130" s="48" t="s">
        <v>16411</v>
      </c>
      <c r="M130" s="48" t="s">
        <v>16412</v>
      </c>
      <c r="N130" s="103" t="s">
        <v>16413</v>
      </c>
      <c r="O130" s="50" t="s">
        <v>16414</v>
      </c>
      <c r="P130" s="55" t="s">
        <v>16415</v>
      </c>
      <c r="Q130" s="56" t="s">
        <v>16416</v>
      </c>
      <c r="R130" s="51" t="s">
        <v>16417</v>
      </c>
      <c r="S130" s="48" t="s">
        <v>16418</v>
      </c>
      <c r="T130" s="48" t="s">
        <v>16411</v>
      </c>
      <c r="U130" s="48" t="s">
        <v>16419</v>
      </c>
      <c r="V130" s="48" t="s">
        <v>16420</v>
      </c>
      <c r="W130" s="48" t="s">
        <v>16421</v>
      </c>
      <c r="X130" s="48" t="s">
        <v>16422</v>
      </c>
      <c r="Y130" s="52" t="s">
        <v>16423</v>
      </c>
      <c r="Z130" s="48" t="s">
        <v>16424</v>
      </c>
      <c r="AA130" s="48" t="s">
        <v>16425</v>
      </c>
      <c r="AB130" s="53" t="s">
        <v>16426</v>
      </c>
      <c r="AC130" s="48" t="s">
        <v>16427</v>
      </c>
      <c r="AD130" s="21"/>
    </row>
    <row r="131">
      <c r="A131" s="47" t="s">
        <v>16428</v>
      </c>
      <c r="B131" s="48" t="s">
        <v>16429</v>
      </c>
      <c r="C131" s="49" t="s">
        <v>16430</v>
      </c>
      <c r="D131" s="48" t="s">
        <v>16431</v>
      </c>
      <c r="E131" s="48" t="s">
        <v>16432</v>
      </c>
      <c r="F131" s="48" t="s">
        <v>16433</v>
      </c>
      <c r="G131" s="48" t="s">
        <v>16434</v>
      </c>
      <c r="H131" s="48" t="s">
        <v>16435</v>
      </c>
      <c r="I131" s="48" t="s">
        <v>16436</v>
      </c>
      <c r="J131" s="48" t="s">
        <v>16437</v>
      </c>
      <c r="K131" s="54" t="s">
        <v>16438</v>
      </c>
      <c r="L131" s="48" t="s">
        <v>16439</v>
      </c>
      <c r="M131" s="48" t="s">
        <v>16440</v>
      </c>
      <c r="N131" s="103" t="s">
        <v>16441</v>
      </c>
      <c r="O131" s="50" t="s">
        <v>16442</v>
      </c>
      <c r="P131" s="55" t="s">
        <v>16443</v>
      </c>
      <c r="Q131" s="56" t="s">
        <v>16444</v>
      </c>
      <c r="R131" s="51" t="s">
        <v>16445</v>
      </c>
      <c r="S131" s="48" t="s">
        <v>16446</v>
      </c>
      <c r="T131" s="48" t="s">
        <v>16447</v>
      </c>
      <c r="U131" s="48" t="s">
        <v>16448</v>
      </c>
      <c r="V131" s="48" t="s">
        <v>16449</v>
      </c>
      <c r="W131" s="48" t="s">
        <v>16450</v>
      </c>
      <c r="X131" s="48" t="s">
        <v>16451</v>
      </c>
      <c r="Y131" s="52" t="s">
        <v>16452</v>
      </c>
      <c r="Z131" s="48" t="s">
        <v>16453</v>
      </c>
      <c r="AA131" s="48" t="s">
        <v>16454</v>
      </c>
      <c r="AB131" s="53" t="s">
        <v>16455</v>
      </c>
      <c r="AC131" s="48" t="s">
        <v>16456</v>
      </c>
      <c r="AD131" s="21"/>
    </row>
    <row r="132">
      <c r="A132" s="47" t="s">
        <v>16457</v>
      </c>
      <c r="B132" s="48" t="s">
        <v>16458</v>
      </c>
      <c r="C132" s="49" t="s">
        <v>16459</v>
      </c>
      <c r="D132" s="48" t="s">
        <v>5643</v>
      </c>
      <c r="E132" s="48" t="s">
        <v>5644</v>
      </c>
      <c r="F132" s="48" t="s">
        <v>16460</v>
      </c>
      <c r="G132" s="48" t="s">
        <v>5646</v>
      </c>
      <c r="H132" s="48" t="s">
        <v>16461</v>
      </c>
      <c r="I132" s="48" t="s">
        <v>5648</v>
      </c>
      <c r="J132" s="48" t="s">
        <v>16462</v>
      </c>
      <c r="K132" s="54" t="s">
        <v>16463</v>
      </c>
      <c r="L132" s="48" t="s">
        <v>16464</v>
      </c>
      <c r="M132" s="48" t="s">
        <v>5652</v>
      </c>
      <c r="N132" s="48" t="s">
        <v>16465</v>
      </c>
      <c r="O132" s="50" t="s">
        <v>16466</v>
      </c>
      <c r="P132" s="55" t="s">
        <v>16467</v>
      </c>
      <c r="Q132" s="56" t="s">
        <v>5656</v>
      </c>
      <c r="R132" s="51" t="s">
        <v>16468</v>
      </c>
      <c r="S132" s="48" t="s">
        <v>5658</v>
      </c>
      <c r="T132" s="48" t="s">
        <v>16469</v>
      </c>
      <c r="U132" s="48" t="s">
        <v>16470</v>
      </c>
      <c r="V132" s="48" t="s">
        <v>16471</v>
      </c>
      <c r="W132" s="48" t="s">
        <v>5662</v>
      </c>
      <c r="X132" s="48" t="s">
        <v>16472</v>
      </c>
      <c r="Y132" s="52" t="s">
        <v>5664</v>
      </c>
      <c r="Z132" s="48" t="s">
        <v>16473</v>
      </c>
      <c r="AA132" s="48" t="s">
        <v>16474</v>
      </c>
      <c r="AB132" s="53" t="s">
        <v>16475</v>
      </c>
      <c r="AC132" s="48" t="s">
        <v>16476</v>
      </c>
      <c r="AD132" s="21"/>
    </row>
    <row r="133">
      <c r="A133" s="47" t="s">
        <v>16477</v>
      </c>
      <c r="B133" s="48" t="s">
        <v>16478</v>
      </c>
      <c r="C133" s="49" t="s">
        <v>16479</v>
      </c>
      <c r="D133" s="48" t="s">
        <v>16480</v>
      </c>
      <c r="E133" s="48" t="s">
        <v>16481</v>
      </c>
      <c r="F133" s="48" t="s">
        <v>16482</v>
      </c>
      <c r="G133" s="48" t="s">
        <v>16483</v>
      </c>
      <c r="H133" s="48" t="s">
        <v>16484</v>
      </c>
      <c r="I133" s="48" t="s">
        <v>16485</v>
      </c>
      <c r="J133" s="48" t="s">
        <v>16486</v>
      </c>
      <c r="K133" s="54" t="s">
        <v>16487</v>
      </c>
      <c r="L133" s="48" t="s">
        <v>16488</v>
      </c>
      <c r="M133" s="48" t="s">
        <v>16489</v>
      </c>
      <c r="N133" s="53" t="s">
        <v>16490</v>
      </c>
      <c r="O133" s="50" t="s">
        <v>16491</v>
      </c>
      <c r="P133" s="55" t="s">
        <v>16492</v>
      </c>
      <c r="Q133" s="56" t="s">
        <v>16493</v>
      </c>
      <c r="R133" s="51" t="s">
        <v>16494</v>
      </c>
      <c r="S133" s="48" t="s">
        <v>16495</v>
      </c>
      <c r="T133" s="48" t="s">
        <v>16496</v>
      </c>
      <c r="U133" s="48" t="s">
        <v>16497</v>
      </c>
      <c r="V133" s="48" t="s">
        <v>16498</v>
      </c>
      <c r="W133" s="48" t="s">
        <v>16499</v>
      </c>
      <c r="X133" s="48" t="s">
        <v>16500</v>
      </c>
      <c r="Y133" s="52" t="s">
        <v>16501</v>
      </c>
      <c r="Z133" s="48" t="s">
        <v>16502</v>
      </c>
      <c r="AA133" s="48" t="s">
        <v>16503</v>
      </c>
      <c r="AB133" s="53" t="s">
        <v>16504</v>
      </c>
      <c r="AC133" s="48" t="s">
        <v>16505</v>
      </c>
      <c r="AD133" s="21"/>
    </row>
    <row r="134">
      <c r="A134" s="47" t="s">
        <v>16506</v>
      </c>
      <c r="B134" s="48" t="s">
        <v>16507</v>
      </c>
      <c r="C134" s="49" t="s">
        <v>16508</v>
      </c>
      <c r="D134" s="48" t="s">
        <v>16509</v>
      </c>
      <c r="E134" s="48" t="s">
        <v>16510</v>
      </c>
      <c r="F134" s="48" t="s">
        <v>16511</v>
      </c>
      <c r="G134" s="48" t="s">
        <v>16512</v>
      </c>
      <c r="H134" s="48" t="s">
        <v>16513</v>
      </c>
      <c r="I134" s="48" t="s">
        <v>16514</v>
      </c>
      <c r="J134" s="48" t="s">
        <v>16515</v>
      </c>
      <c r="K134" s="48" t="s">
        <v>16516</v>
      </c>
      <c r="L134" s="48" t="s">
        <v>16517</v>
      </c>
      <c r="M134" s="48" t="s">
        <v>16518</v>
      </c>
      <c r="N134" s="48" t="s">
        <v>16519</v>
      </c>
      <c r="O134" s="50" t="s">
        <v>16520</v>
      </c>
      <c r="P134" s="48" t="s">
        <v>16521</v>
      </c>
      <c r="Q134" s="48" t="s">
        <v>16522</v>
      </c>
      <c r="R134" s="51" t="s">
        <v>16523</v>
      </c>
      <c r="S134" s="48" t="s">
        <v>16524</v>
      </c>
      <c r="T134" s="48" t="s">
        <v>16525</v>
      </c>
      <c r="U134" s="48" t="s">
        <v>16526</v>
      </c>
      <c r="V134" s="48" t="s">
        <v>16527</v>
      </c>
      <c r="W134" s="48" t="s">
        <v>16528</v>
      </c>
      <c r="X134" s="48" t="s">
        <v>16529</v>
      </c>
      <c r="Y134" s="52" t="s">
        <v>16530</v>
      </c>
      <c r="Z134" s="48" t="s">
        <v>16531</v>
      </c>
      <c r="AA134" s="48" t="s">
        <v>16532</v>
      </c>
      <c r="AB134" s="53" t="s">
        <v>16533</v>
      </c>
      <c r="AC134" s="48" t="s">
        <v>16534</v>
      </c>
      <c r="AD134" s="21"/>
    </row>
    <row r="135">
      <c r="A135" s="47" t="s">
        <v>16535</v>
      </c>
      <c r="B135" s="48" t="s">
        <v>16536</v>
      </c>
      <c r="C135" s="49" t="s">
        <v>16537</v>
      </c>
      <c r="D135" s="48" t="s">
        <v>16538</v>
      </c>
      <c r="E135" s="48" t="s">
        <v>16539</v>
      </c>
      <c r="F135" s="48" t="s">
        <v>16540</v>
      </c>
      <c r="G135" s="48" t="s">
        <v>16541</v>
      </c>
      <c r="H135" s="48" t="s">
        <v>16542</v>
      </c>
      <c r="I135" s="48" t="s">
        <v>16543</v>
      </c>
      <c r="J135" s="48" t="s">
        <v>16544</v>
      </c>
      <c r="K135" s="54" t="s">
        <v>16545</v>
      </c>
      <c r="L135" s="48" t="s">
        <v>16546</v>
      </c>
      <c r="M135" s="48" t="s">
        <v>16547</v>
      </c>
      <c r="N135" s="53" t="s">
        <v>16548</v>
      </c>
      <c r="O135" s="50" t="s">
        <v>16549</v>
      </c>
      <c r="P135" s="55" t="s">
        <v>16550</v>
      </c>
      <c r="Q135" s="56" t="s">
        <v>16551</v>
      </c>
      <c r="R135" s="51" t="s">
        <v>16552</v>
      </c>
      <c r="S135" s="48" t="s">
        <v>16553</v>
      </c>
      <c r="T135" s="48" t="s">
        <v>16554</v>
      </c>
      <c r="U135" s="48" t="s">
        <v>16555</v>
      </c>
      <c r="V135" s="48" t="s">
        <v>16556</v>
      </c>
      <c r="W135" s="48" t="s">
        <v>16557</v>
      </c>
      <c r="X135" s="48" t="s">
        <v>16558</v>
      </c>
      <c r="Y135" s="52" t="s">
        <v>16559</v>
      </c>
      <c r="Z135" s="48" t="s">
        <v>16560</v>
      </c>
      <c r="AA135" s="48" t="s">
        <v>16561</v>
      </c>
      <c r="AB135" s="53" t="s">
        <v>16562</v>
      </c>
      <c r="AC135" s="48" t="s">
        <v>16563</v>
      </c>
      <c r="AD135" s="21"/>
    </row>
    <row r="136">
      <c r="A136" s="47" t="s">
        <v>16564</v>
      </c>
      <c r="B136" s="48" t="s">
        <v>16565</v>
      </c>
      <c r="C136" s="49" t="s">
        <v>16566</v>
      </c>
      <c r="D136" s="48" t="s">
        <v>16567</v>
      </c>
      <c r="E136" s="48" t="s">
        <v>16568</v>
      </c>
      <c r="F136" s="48" t="s">
        <v>16569</v>
      </c>
      <c r="G136" s="48" t="s">
        <v>16570</v>
      </c>
      <c r="H136" s="48" t="s">
        <v>16571</v>
      </c>
      <c r="I136" s="48" t="s">
        <v>16572</v>
      </c>
      <c r="J136" s="48" t="s">
        <v>16573</v>
      </c>
      <c r="K136" s="54" t="s">
        <v>16574</v>
      </c>
      <c r="L136" s="48" t="s">
        <v>16575</v>
      </c>
      <c r="M136" s="48" t="s">
        <v>16576</v>
      </c>
      <c r="N136" s="53" t="s">
        <v>16577</v>
      </c>
      <c r="O136" s="50" t="s">
        <v>16578</v>
      </c>
      <c r="P136" s="55" t="s">
        <v>16579</v>
      </c>
      <c r="Q136" s="56" t="s">
        <v>16580</v>
      </c>
      <c r="R136" s="51" t="s">
        <v>16581</v>
      </c>
      <c r="S136" s="48" t="s">
        <v>16582</v>
      </c>
      <c r="T136" s="48" t="s">
        <v>16583</v>
      </c>
      <c r="U136" s="48" t="s">
        <v>16584</v>
      </c>
      <c r="V136" s="48" t="s">
        <v>16585</v>
      </c>
      <c r="W136" s="48" t="s">
        <v>16570</v>
      </c>
      <c r="X136" s="48" t="s">
        <v>16586</v>
      </c>
      <c r="Y136" s="52" t="s">
        <v>16587</v>
      </c>
      <c r="Z136" s="48" t="s">
        <v>16588</v>
      </c>
      <c r="AA136" s="48" t="s">
        <v>16589</v>
      </c>
      <c r="AB136" s="53" t="s">
        <v>16590</v>
      </c>
      <c r="AC136" s="48" t="s">
        <v>16591</v>
      </c>
      <c r="AD136" s="21"/>
    </row>
    <row r="137">
      <c r="A137" s="47" t="s">
        <v>16592</v>
      </c>
      <c r="B137" s="48" t="s">
        <v>16593</v>
      </c>
      <c r="C137" s="49" t="s">
        <v>16594</v>
      </c>
      <c r="D137" s="48" t="s">
        <v>16595</v>
      </c>
      <c r="E137" s="48" t="s">
        <v>16596</v>
      </c>
      <c r="F137" s="48" t="s">
        <v>16597</v>
      </c>
      <c r="G137" s="48" t="s">
        <v>16598</v>
      </c>
      <c r="H137" s="48" t="s">
        <v>16599</v>
      </c>
      <c r="I137" s="48" t="s">
        <v>16600</v>
      </c>
      <c r="J137" s="48" t="s">
        <v>16601</v>
      </c>
      <c r="K137" s="54" t="s">
        <v>16602</v>
      </c>
      <c r="L137" s="48" t="s">
        <v>16603</v>
      </c>
      <c r="M137" s="48" t="s">
        <v>16604</v>
      </c>
      <c r="N137" s="48" t="s">
        <v>16605</v>
      </c>
      <c r="O137" s="50" t="s">
        <v>16606</v>
      </c>
      <c r="P137" s="55" t="s">
        <v>16607</v>
      </c>
      <c r="Q137" s="56" t="s">
        <v>16608</v>
      </c>
      <c r="R137" s="51" t="s">
        <v>16609</v>
      </c>
      <c r="S137" s="48" t="s">
        <v>16610</v>
      </c>
      <c r="T137" s="48" t="s">
        <v>16611</v>
      </c>
      <c r="U137" s="48" t="s">
        <v>16612</v>
      </c>
      <c r="V137" s="48" t="s">
        <v>16613</v>
      </c>
      <c r="W137" s="48" t="s">
        <v>16614</v>
      </c>
      <c r="X137" s="48" t="s">
        <v>16615</v>
      </c>
      <c r="Y137" s="52" t="s">
        <v>16616</v>
      </c>
      <c r="Z137" s="48" t="s">
        <v>16617</v>
      </c>
      <c r="AA137" s="48" t="s">
        <v>16618</v>
      </c>
      <c r="AB137" s="53" t="s">
        <v>16619</v>
      </c>
      <c r="AC137" s="48" t="s">
        <v>16620</v>
      </c>
      <c r="AD137" s="21"/>
    </row>
    <row r="138">
      <c r="A138" s="47" t="s">
        <v>16621</v>
      </c>
      <c r="B138" s="48" t="s">
        <v>8768</v>
      </c>
      <c r="C138" s="49" t="s">
        <v>8769</v>
      </c>
      <c r="D138" s="48" t="s">
        <v>8770</v>
      </c>
      <c r="E138" s="48" t="s">
        <v>8771</v>
      </c>
      <c r="F138" s="48" t="s">
        <v>16622</v>
      </c>
      <c r="G138" s="48" t="s">
        <v>8773</v>
      </c>
      <c r="H138" s="48" t="s">
        <v>8774</v>
      </c>
      <c r="I138" s="48" t="s">
        <v>8775</v>
      </c>
      <c r="J138" s="48" t="s">
        <v>8776</v>
      </c>
      <c r="K138" s="54" t="s">
        <v>8777</v>
      </c>
      <c r="L138" s="48" t="s">
        <v>8778</v>
      </c>
      <c r="M138" s="48" t="s">
        <v>8779</v>
      </c>
      <c r="N138" s="53" t="s">
        <v>8780</v>
      </c>
      <c r="O138" s="50" t="s">
        <v>8781</v>
      </c>
      <c r="P138" s="55" t="s">
        <v>8782</v>
      </c>
      <c r="Q138" s="56" t="s">
        <v>8783</v>
      </c>
      <c r="R138" s="51" t="s">
        <v>8784</v>
      </c>
      <c r="S138" s="48" t="s">
        <v>8785</v>
      </c>
      <c r="T138" s="48" t="s">
        <v>8778</v>
      </c>
      <c r="U138" s="48" t="s">
        <v>8786</v>
      </c>
      <c r="V138" s="48" t="s">
        <v>8787</v>
      </c>
      <c r="W138" s="48" t="s">
        <v>16623</v>
      </c>
      <c r="X138" s="48" t="s">
        <v>8789</v>
      </c>
      <c r="Y138" s="52" t="s">
        <v>8790</v>
      </c>
      <c r="Z138" s="48" t="s">
        <v>8791</v>
      </c>
      <c r="AA138" s="48" t="s">
        <v>8792</v>
      </c>
      <c r="AB138" s="53" t="s">
        <v>8793</v>
      </c>
      <c r="AC138" s="48" t="s">
        <v>16624</v>
      </c>
      <c r="AD138" s="21"/>
    </row>
    <row r="139">
      <c r="A139" s="47" t="s">
        <v>16625</v>
      </c>
      <c r="B139" s="48" t="s">
        <v>16626</v>
      </c>
      <c r="C139" s="49" t="s">
        <v>16627</v>
      </c>
      <c r="D139" s="48" t="s">
        <v>16628</v>
      </c>
      <c r="E139" s="48" t="s">
        <v>16629</v>
      </c>
      <c r="F139" s="48" t="s">
        <v>16630</v>
      </c>
      <c r="G139" s="48" t="s">
        <v>16631</v>
      </c>
      <c r="H139" s="48" t="s">
        <v>16632</v>
      </c>
      <c r="I139" s="48" t="s">
        <v>16633</v>
      </c>
      <c r="J139" s="48" t="s">
        <v>16634</v>
      </c>
      <c r="K139" s="54" t="s">
        <v>16635</v>
      </c>
      <c r="L139" s="48" t="s">
        <v>16636</v>
      </c>
      <c r="M139" s="48" t="s">
        <v>16637</v>
      </c>
      <c r="N139" s="53" t="s">
        <v>16638</v>
      </c>
      <c r="O139" s="50" t="s">
        <v>16639</v>
      </c>
      <c r="P139" s="55" t="s">
        <v>16640</v>
      </c>
      <c r="Q139" s="56" t="s">
        <v>16641</v>
      </c>
      <c r="R139" s="51" t="s">
        <v>16642</v>
      </c>
      <c r="S139" s="48" t="s">
        <v>16643</v>
      </c>
      <c r="T139" s="48" t="s">
        <v>16644</v>
      </c>
      <c r="U139" s="48" t="s">
        <v>16645</v>
      </c>
      <c r="V139" s="48" t="s">
        <v>16646</v>
      </c>
      <c r="W139" s="48" t="s">
        <v>16647</v>
      </c>
      <c r="X139" s="48" t="s">
        <v>16648</v>
      </c>
      <c r="Y139" s="52" t="s">
        <v>16649</v>
      </c>
      <c r="Z139" s="48" t="s">
        <v>16650</v>
      </c>
      <c r="AA139" s="48" t="s">
        <v>16651</v>
      </c>
      <c r="AB139" s="53" t="s">
        <v>16652</v>
      </c>
      <c r="AC139" s="48" t="s">
        <v>16653</v>
      </c>
      <c r="AD139" s="21"/>
    </row>
    <row r="140">
      <c r="A140" s="47" t="s">
        <v>16654</v>
      </c>
      <c r="B140" s="48" t="s">
        <v>16655</v>
      </c>
      <c r="C140" s="49" t="s">
        <v>16656</v>
      </c>
      <c r="D140" s="48" t="s">
        <v>16657</v>
      </c>
      <c r="E140" s="48" t="s">
        <v>16658</v>
      </c>
      <c r="F140" s="48" t="s">
        <v>16659</v>
      </c>
      <c r="G140" s="48" t="s">
        <v>16660</v>
      </c>
      <c r="H140" s="48" t="s">
        <v>16661</v>
      </c>
      <c r="I140" s="48" t="s">
        <v>16662</v>
      </c>
      <c r="J140" s="48" t="s">
        <v>16663</v>
      </c>
      <c r="K140" s="54" t="s">
        <v>16664</v>
      </c>
      <c r="L140" s="48" t="s">
        <v>16665</v>
      </c>
      <c r="M140" s="48" t="s">
        <v>16666</v>
      </c>
      <c r="N140" s="103" t="s">
        <v>16667</v>
      </c>
      <c r="O140" s="50" t="s">
        <v>16668</v>
      </c>
      <c r="P140" s="55" t="s">
        <v>16669</v>
      </c>
      <c r="Q140" s="56" t="s">
        <v>16670</v>
      </c>
      <c r="R140" s="51" t="s">
        <v>16671</v>
      </c>
      <c r="S140" s="48" t="s">
        <v>16672</v>
      </c>
      <c r="T140" s="48" t="s">
        <v>16673</v>
      </c>
      <c r="U140" s="48" t="s">
        <v>16674</v>
      </c>
      <c r="V140" s="48" t="s">
        <v>16675</v>
      </c>
      <c r="W140" s="48" t="s">
        <v>16676</v>
      </c>
      <c r="X140" s="48" t="s">
        <v>16677</v>
      </c>
      <c r="Y140" s="52" t="s">
        <v>16678</v>
      </c>
      <c r="Z140" s="48" t="s">
        <v>16679</v>
      </c>
      <c r="AA140" s="48" t="s">
        <v>16680</v>
      </c>
      <c r="AB140" s="53" t="s">
        <v>16681</v>
      </c>
      <c r="AC140" s="48" t="s">
        <v>16682</v>
      </c>
      <c r="AD140" s="21"/>
    </row>
    <row r="141">
      <c r="A141" s="47" t="s">
        <v>16683</v>
      </c>
      <c r="B141" s="48" t="s">
        <v>16684</v>
      </c>
      <c r="C141" s="49" t="s">
        <v>16685</v>
      </c>
      <c r="D141" s="48" t="s">
        <v>16686</v>
      </c>
      <c r="E141" s="48" t="s">
        <v>16687</v>
      </c>
      <c r="F141" s="48" t="s">
        <v>16688</v>
      </c>
      <c r="G141" s="48" t="s">
        <v>16689</v>
      </c>
      <c r="H141" s="48" t="s">
        <v>16690</v>
      </c>
      <c r="I141" s="48" t="s">
        <v>16691</v>
      </c>
      <c r="J141" s="48" t="s">
        <v>16692</v>
      </c>
      <c r="K141" s="54" t="s">
        <v>16693</v>
      </c>
      <c r="L141" s="48" t="s">
        <v>16694</v>
      </c>
      <c r="M141" s="48" t="s">
        <v>16695</v>
      </c>
      <c r="N141" s="103" t="s">
        <v>16696</v>
      </c>
      <c r="O141" s="50" t="s">
        <v>16697</v>
      </c>
      <c r="P141" s="55" t="s">
        <v>16698</v>
      </c>
      <c r="Q141" s="56" t="s">
        <v>16699</v>
      </c>
      <c r="R141" s="51" t="s">
        <v>16700</v>
      </c>
      <c r="S141" s="48" t="s">
        <v>16701</v>
      </c>
      <c r="T141" s="48" t="s">
        <v>16702</v>
      </c>
      <c r="U141" s="48" t="s">
        <v>16703</v>
      </c>
      <c r="V141" s="48" t="s">
        <v>16704</v>
      </c>
      <c r="W141" s="48" t="s">
        <v>16705</v>
      </c>
      <c r="X141" s="48" t="s">
        <v>16706</v>
      </c>
      <c r="Y141" s="52" t="s">
        <v>16707</v>
      </c>
      <c r="Z141" s="48" t="s">
        <v>16708</v>
      </c>
      <c r="AA141" s="48" t="s">
        <v>16709</v>
      </c>
      <c r="AB141" s="53" t="s">
        <v>16710</v>
      </c>
      <c r="AC141" s="48" t="s">
        <v>16711</v>
      </c>
      <c r="AD141" s="21"/>
    </row>
    <row r="142">
      <c r="A142" s="47" t="s">
        <v>16712</v>
      </c>
      <c r="B142" s="48" t="s">
        <v>16713</v>
      </c>
      <c r="C142" s="49" t="s">
        <v>16714</v>
      </c>
      <c r="D142" s="48" t="s">
        <v>16715</v>
      </c>
      <c r="E142" s="48" t="s">
        <v>16716</v>
      </c>
      <c r="F142" s="48" t="s">
        <v>16717</v>
      </c>
      <c r="G142" s="48" t="s">
        <v>16718</v>
      </c>
      <c r="H142" s="48" t="s">
        <v>16719</v>
      </c>
      <c r="I142" s="48" t="s">
        <v>16720</v>
      </c>
      <c r="J142" s="48" t="s">
        <v>16721</v>
      </c>
      <c r="K142" s="54" t="s">
        <v>16722</v>
      </c>
      <c r="L142" s="48" t="s">
        <v>16723</v>
      </c>
      <c r="M142" s="48" t="s">
        <v>16724</v>
      </c>
      <c r="N142" s="53" t="s">
        <v>16725</v>
      </c>
      <c r="O142" s="50" t="s">
        <v>16726</v>
      </c>
      <c r="P142" s="55" t="s">
        <v>16727</v>
      </c>
      <c r="Q142" s="56" t="s">
        <v>16728</v>
      </c>
      <c r="R142" s="51" t="s">
        <v>16729</v>
      </c>
      <c r="S142" s="48" t="s">
        <v>16730</v>
      </c>
      <c r="T142" s="48" t="s">
        <v>16731</v>
      </c>
      <c r="U142" s="48" t="s">
        <v>16732</v>
      </c>
      <c r="V142" s="48" t="s">
        <v>16733</v>
      </c>
      <c r="W142" s="48" t="s">
        <v>16734</v>
      </c>
      <c r="X142" s="48" t="s">
        <v>16735</v>
      </c>
      <c r="Y142" s="52" t="s">
        <v>16736</v>
      </c>
      <c r="Z142" s="48" t="s">
        <v>16737</v>
      </c>
      <c r="AA142" s="48" t="s">
        <v>16738</v>
      </c>
      <c r="AB142" s="53" t="s">
        <v>16739</v>
      </c>
      <c r="AC142" s="48" t="s">
        <v>16740</v>
      </c>
      <c r="AD142" s="21"/>
    </row>
    <row r="143">
      <c r="A143" s="47" t="s">
        <v>16741</v>
      </c>
      <c r="B143" s="48" t="s">
        <v>16742</v>
      </c>
      <c r="C143" s="49" t="s">
        <v>16743</v>
      </c>
      <c r="D143" s="48" t="s">
        <v>16744</v>
      </c>
      <c r="E143" s="48" t="s">
        <v>16040</v>
      </c>
      <c r="F143" s="48" t="s">
        <v>16745</v>
      </c>
      <c r="G143" s="48" t="s">
        <v>16746</v>
      </c>
      <c r="H143" s="48" t="s">
        <v>16747</v>
      </c>
      <c r="I143" s="48" t="s">
        <v>16748</v>
      </c>
      <c r="J143" s="48" t="s">
        <v>16749</v>
      </c>
      <c r="K143" s="54" t="s">
        <v>16046</v>
      </c>
      <c r="L143" s="48" t="s">
        <v>16750</v>
      </c>
      <c r="M143" s="48" t="s">
        <v>16751</v>
      </c>
      <c r="N143" s="53" t="s">
        <v>16049</v>
      </c>
      <c r="O143" s="50" t="s">
        <v>16050</v>
      </c>
      <c r="P143" s="55" t="s">
        <v>16752</v>
      </c>
      <c r="Q143" s="56" t="s">
        <v>16052</v>
      </c>
      <c r="R143" s="51" t="s">
        <v>16053</v>
      </c>
      <c r="S143" s="48" t="s">
        <v>16753</v>
      </c>
      <c r="T143" s="48" t="s">
        <v>16754</v>
      </c>
      <c r="U143" s="48" t="s">
        <v>16755</v>
      </c>
      <c r="V143" s="48" t="s">
        <v>16756</v>
      </c>
      <c r="W143" s="48" t="s">
        <v>16757</v>
      </c>
      <c r="X143" s="48" t="s">
        <v>16758</v>
      </c>
      <c r="Y143" s="52" t="s">
        <v>16060</v>
      </c>
      <c r="Z143" s="48" t="s">
        <v>16759</v>
      </c>
      <c r="AA143" s="48" t="s">
        <v>16760</v>
      </c>
      <c r="AB143" s="53" t="s">
        <v>16063</v>
      </c>
      <c r="AC143" s="48" t="s">
        <v>16761</v>
      </c>
      <c r="AD143" s="21"/>
    </row>
    <row r="144">
      <c r="A144" s="47" t="s">
        <v>16762</v>
      </c>
      <c r="B144" s="48" t="s">
        <v>16763</v>
      </c>
      <c r="C144" s="49" t="s">
        <v>16764</v>
      </c>
      <c r="D144" s="48" t="s">
        <v>16765</v>
      </c>
      <c r="E144" s="48" t="s">
        <v>16766</v>
      </c>
      <c r="F144" s="48" t="s">
        <v>16767</v>
      </c>
      <c r="G144" s="48" t="s">
        <v>16768</v>
      </c>
      <c r="H144" s="48" t="s">
        <v>16769</v>
      </c>
      <c r="I144" s="48" t="s">
        <v>16770</v>
      </c>
      <c r="J144" s="48" t="s">
        <v>16771</v>
      </c>
      <c r="K144" s="54" t="s">
        <v>16772</v>
      </c>
      <c r="L144" s="48" t="s">
        <v>16773</v>
      </c>
      <c r="M144" s="48" t="s">
        <v>16774</v>
      </c>
      <c r="N144" s="103" t="s">
        <v>16775</v>
      </c>
      <c r="O144" s="50" t="s">
        <v>16776</v>
      </c>
      <c r="P144" s="55" t="s">
        <v>16777</v>
      </c>
      <c r="Q144" s="56" t="s">
        <v>16778</v>
      </c>
      <c r="R144" s="51" t="s">
        <v>16779</v>
      </c>
      <c r="S144" s="48" t="s">
        <v>16780</v>
      </c>
      <c r="T144" s="48" t="s">
        <v>16773</v>
      </c>
      <c r="U144" s="48" t="s">
        <v>8973</v>
      </c>
      <c r="V144" s="48" t="s">
        <v>16781</v>
      </c>
      <c r="W144" s="48" t="s">
        <v>16782</v>
      </c>
      <c r="X144" s="48" t="s">
        <v>16783</v>
      </c>
      <c r="Y144" s="52" t="s">
        <v>16784</v>
      </c>
      <c r="Z144" s="48" t="s">
        <v>16785</v>
      </c>
      <c r="AA144" s="48" t="s">
        <v>16786</v>
      </c>
      <c r="AB144" s="53" t="s">
        <v>16787</v>
      </c>
      <c r="AC144" s="48" t="s">
        <v>16788</v>
      </c>
      <c r="AD144" s="21"/>
    </row>
    <row r="145">
      <c r="A145" s="47" t="s">
        <v>16789</v>
      </c>
      <c r="B145" s="104" t="s">
        <v>16790</v>
      </c>
      <c r="C145" s="105" t="s">
        <v>16791</v>
      </c>
      <c r="D145" s="104" t="s">
        <v>16792</v>
      </c>
      <c r="E145" s="104" t="s">
        <v>16793</v>
      </c>
      <c r="F145" s="104" t="s">
        <v>16794</v>
      </c>
      <c r="G145" s="104" t="s">
        <v>16795</v>
      </c>
      <c r="H145" s="104" t="s">
        <v>16796</v>
      </c>
      <c r="I145" s="104" t="s">
        <v>16797</v>
      </c>
      <c r="J145" s="104" t="s">
        <v>16798</v>
      </c>
      <c r="K145" s="104" t="s">
        <v>16799</v>
      </c>
      <c r="L145" s="104" t="s">
        <v>16800</v>
      </c>
      <c r="M145" s="104" t="s">
        <v>16801</v>
      </c>
      <c r="N145" s="104" t="s">
        <v>8808</v>
      </c>
      <c r="O145" s="104" t="s">
        <v>16802</v>
      </c>
      <c r="P145" s="104" t="s">
        <v>16803</v>
      </c>
      <c r="Q145" s="104" t="s">
        <v>8811</v>
      </c>
      <c r="R145" s="104" t="s">
        <v>16804</v>
      </c>
      <c r="S145" s="104" t="s">
        <v>16805</v>
      </c>
      <c r="T145" s="104" t="s">
        <v>8814</v>
      </c>
      <c r="U145" s="104" t="s">
        <v>16806</v>
      </c>
      <c r="V145" s="104" t="s">
        <v>16807</v>
      </c>
      <c r="W145" s="104" t="s">
        <v>16808</v>
      </c>
      <c r="X145" s="104" t="s">
        <v>16809</v>
      </c>
      <c r="Y145" s="104" t="s">
        <v>16810</v>
      </c>
      <c r="Z145" s="104" t="s">
        <v>16811</v>
      </c>
      <c r="AA145" s="104" t="s">
        <v>16812</v>
      </c>
      <c r="AB145" s="104" t="s">
        <v>8821</v>
      </c>
      <c r="AC145" s="104" t="s">
        <v>16813</v>
      </c>
      <c r="AD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row>
    <row r="100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13"/>
    <col customWidth="1" min="2" max="2" width="28.88"/>
    <col customWidth="1" min="3" max="3" width="25.88"/>
    <col customWidth="1" min="4" max="4" width="19.13"/>
    <col customWidth="1" min="29" max="29" width="21.0"/>
  </cols>
  <sheetData>
    <row r="1">
      <c r="A1" s="101" t="s">
        <v>48</v>
      </c>
      <c r="B1" s="101" t="s">
        <v>2</v>
      </c>
      <c r="C1" s="101" t="s">
        <v>4</v>
      </c>
      <c r="D1" s="101" t="s">
        <v>5</v>
      </c>
      <c r="E1" s="96" t="s">
        <v>6</v>
      </c>
      <c r="F1" s="96" t="s">
        <v>7</v>
      </c>
      <c r="G1" s="96" t="s">
        <v>8</v>
      </c>
      <c r="H1" s="96" t="s">
        <v>9</v>
      </c>
      <c r="I1" s="96" t="s">
        <v>10</v>
      </c>
      <c r="J1" s="96" t="s">
        <v>11</v>
      </c>
      <c r="K1" s="96" t="s">
        <v>12</v>
      </c>
      <c r="L1" s="96" t="s">
        <v>13</v>
      </c>
      <c r="M1" s="96" t="s">
        <v>14</v>
      </c>
      <c r="N1" s="96" t="s">
        <v>15</v>
      </c>
      <c r="O1" s="96" t="s">
        <v>16</v>
      </c>
      <c r="P1" s="96" t="s">
        <v>17</v>
      </c>
      <c r="Q1" s="96" t="s">
        <v>18</v>
      </c>
      <c r="R1" s="96" t="s">
        <v>19</v>
      </c>
      <c r="S1" s="96" t="s">
        <v>20</v>
      </c>
      <c r="T1" s="96" t="s">
        <v>21</v>
      </c>
      <c r="U1" s="96" t="s">
        <v>22</v>
      </c>
      <c r="V1" s="96" t="s">
        <v>23</v>
      </c>
      <c r="W1" s="96" t="s">
        <v>24</v>
      </c>
      <c r="X1" s="96" t="s">
        <v>25</v>
      </c>
      <c r="Y1" s="96" t="s">
        <v>26</v>
      </c>
      <c r="Z1" s="96" t="s">
        <v>27</v>
      </c>
      <c r="AA1" s="96" t="s">
        <v>28</v>
      </c>
      <c r="AB1" s="96" t="s">
        <v>29</v>
      </c>
      <c r="AC1" s="96" t="s">
        <v>3</v>
      </c>
      <c r="AD1" s="57"/>
    </row>
    <row r="2">
      <c r="A2" s="62" t="s">
        <v>16814</v>
      </c>
      <c r="B2" s="63" t="s">
        <v>16815</v>
      </c>
      <c r="C2" s="63" t="s">
        <v>16815</v>
      </c>
      <c r="D2" s="63" t="s">
        <v>16815</v>
      </c>
      <c r="E2" s="63" t="s">
        <v>16815</v>
      </c>
      <c r="F2" s="63" t="s">
        <v>16815</v>
      </c>
      <c r="G2" s="63" t="s">
        <v>16815</v>
      </c>
      <c r="H2" s="63" t="s">
        <v>16815</v>
      </c>
      <c r="I2" s="63" t="s">
        <v>16815</v>
      </c>
      <c r="J2" s="63" t="s">
        <v>16815</v>
      </c>
      <c r="K2" s="63" t="s">
        <v>16815</v>
      </c>
      <c r="L2" s="63" t="s">
        <v>16815</v>
      </c>
      <c r="M2" s="63" t="s">
        <v>16815</v>
      </c>
      <c r="N2" s="63" t="s">
        <v>16815</v>
      </c>
      <c r="O2" s="63" t="s">
        <v>16815</v>
      </c>
      <c r="P2" s="63" t="s">
        <v>16815</v>
      </c>
      <c r="Q2" s="63" t="s">
        <v>16815</v>
      </c>
      <c r="R2" s="63" t="s">
        <v>16815</v>
      </c>
      <c r="S2" s="63" t="s">
        <v>16815</v>
      </c>
      <c r="T2" s="63" t="s">
        <v>16815</v>
      </c>
      <c r="U2" s="63" t="s">
        <v>16815</v>
      </c>
      <c r="V2" s="63" t="s">
        <v>16815</v>
      </c>
      <c r="W2" s="63" t="s">
        <v>16815</v>
      </c>
      <c r="X2" s="63" t="s">
        <v>16815</v>
      </c>
      <c r="Y2" s="63" t="s">
        <v>16815</v>
      </c>
      <c r="Z2" s="63" t="s">
        <v>16815</v>
      </c>
      <c r="AA2" s="63" t="s">
        <v>16815</v>
      </c>
      <c r="AB2" s="63" t="s">
        <v>16815</v>
      </c>
      <c r="AC2" s="63" t="s">
        <v>16815</v>
      </c>
      <c r="AD2" s="57"/>
    </row>
    <row r="3">
      <c r="A3" s="62" t="s">
        <v>8995</v>
      </c>
      <c r="B3" s="63" t="s">
        <v>16816</v>
      </c>
      <c r="C3" s="63" t="s">
        <v>16816</v>
      </c>
      <c r="D3" s="63" t="s">
        <v>16816</v>
      </c>
      <c r="E3" s="63" t="s">
        <v>16816</v>
      </c>
      <c r="F3" s="63" t="s">
        <v>16816</v>
      </c>
      <c r="G3" s="63" t="s">
        <v>16816</v>
      </c>
      <c r="H3" s="63" t="s">
        <v>16816</v>
      </c>
      <c r="I3" s="63" t="s">
        <v>16816</v>
      </c>
      <c r="J3" s="63" t="s">
        <v>16816</v>
      </c>
      <c r="K3" s="63" t="s">
        <v>16816</v>
      </c>
      <c r="L3" s="63" t="s">
        <v>16816</v>
      </c>
      <c r="M3" s="63" t="s">
        <v>16816</v>
      </c>
      <c r="N3" s="63" t="s">
        <v>16816</v>
      </c>
      <c r="O3" s="63" t="s">
        <v>16816</v>
      </c>
      <c r="P3" s="63" t="s">
        <v>16816</v>
      </c>
      <c r="Q3" s="63" t="s">
        <v>16816</v>
      </c>
      <c r="R3" s="63" t="s">
        <v>16816</v>
      </c>
      <c r="S3" s="63" t="s">
        <v>16816</v>
      </c>
      <c r="T3" s="63" t="s">
        <v>16816</v>
      </c>
      <c r="U3" s="63" t="s">
        <v>16816</v>
      </c>
      <c r="V3" s="63" t="s">
        <v>16816</v>
      </c>
      <c r="W3" s="63" t="s">
        <v>16816</v>
      </c>
      <c r="X3" s="63" t="s">
        <v>16816</v>
      </c>
      <c r="Y3" s="63" t="s">
        <v>16816</v>
      </c>
      <c r="Z3" s="63" t="s">
        <v>16816</v>
      </c>
      <c r="AA3" s="63" t="s">
        <v>16816</v>
      </c>
      <c r="AB3" s="63" t="s">
        <v>16816</v>
      </c>
      <c r="AC3" s="63" t="s">
        <v>16816</v>
      </c>
      <c r="AD3" s="57"/>
    </row>
    <row r="4">
      <c r="A4" s="62" t="s">
        <v>10441</v>
      </c>
      <c r="B4" s="63" t="s">
        <v>10163</v>
      </c>
      <c r="C4" s="64" t="s">
        <v>10164</v>
      </c>
      <c r="D4" s="63" t="s">
        <v>10165</v>
      </c>
      <c r="E4" s="63" t="s">
        <v>10166</v>
      </c>
      <c r="F4" s="63" t="s">
        <v>10167</v>
      </c>
      <c r="G4" s="63" t="s">
        <v>10168</v>
      </c>
      <c r="H4" s="63" t="s">
        <v>10169</v>
      </c>
      <c r="I4" s="63" t="s">
        <v>10170</v>
      </c>
      <c r="J4" s="63" t="s">
        <v>10171</v>
      </c>
      <c r="K4" s="63" t="s">
        <v>10172</v>
      </c>
      <c r="L4" s="63" t="s">
        <v>10173</v>
      </c>
      <c r="M4" s="63" t="s">
        <v>10174</v>
      </c>
      <c r="N4" s="63" t="s">
        <v>10175</v>
      </c>
      <c r="O4" s="63" t="s">
        <v>10176</v>
      </c>
      <c r="P4" s="63" t="s">
        <v>10177</v>
      </c>
      <c r="Q4" s="63" t="s">
        <v>10178</v>
      </c>
      <c r="R4" s="63" t="s">
        <v>10179</v>
      </c>
      <c r="S4" s="63" t="s">
        <v>10180</v>
      </c>
      <c r="T4" s="63" t="s">
        <v>10181</v>
      </c>
      <c r="U4" s="63" t="s">
        <v>10182</v>
      </c>
      <c r="V4" s="63" t="s">
        <v>10183</v>
      </c>
      <c r="W4" s="63" t="s">
        <v>10184</v>
      </c>
      <c r="X4" s="63" t="s">
        <v>10185</v>
      </c>
      <c r="Y4" s="63" t="s">
        <v>10186</v>
      </c>
      <c r="Z4" s="63" t="s">
        <v>10187</v>
      </c>
      <c r="AA4" s="63" t="s">
        <v>10188</v>
      </c>
      <c r="AB4" s="63" t="s">
        <v>10189</v>
      </c>
      <c r="AC4" s="63" t="s">
        <v>10190</v>
      </c>
      <c r="AD4" s="57"/>
    </row>
    <row r="5">
      <c r="A5" s="62" t="s">
        <v>16817</v>
      </c>
      <c r="B5" s="63" t="s">
        <v>16818</v>
      </c>
      <c r="C5" s="64" t="s">
        <v>16819</v>
      </c>
      <c r="D5" s="63" t="s">
        <v>16820</v>
      </c>
      <c r="E5" s="63" t="s">
        <v>16821</v>
      </c>
      <c r="F5" s="63" t="s">
        <v>16822</v>
      </c>
      <c r="G5" s="63" t="s">
        <v>16823</v>
      </c>
      <c r="H5" s="63" t="s">
        <v>16824</v>
      </c>
      <c r="I5" s="63" t="s">
        <v>16825</v>
      </c>
      <c r="J5" s="63" t="s">
        <v>16826</v>
      </c>
      <c r="K5" s="63" t="s">
        <v>16827</v>
      </c>
      <c r="L5" s="63" t="s">
        <v>16828</v>
      </c>
      <c r="M5" s="63" t="s">
        <v>16829</v>
      </c>
      <c r="N5" s="63" t="s">
        <v>16830</v>
      </c>
      <c r="O5" s="63" t="s">
        <v>16831</v>
      </c>
      <c r="P5" s="63" t="s">
        <v>16832</v>
      </c>
      <c r="Q5" s="63" t="s">
        <v>16833</v>
      </c>
      <c r="R5" s="63" t="s">
        <v>16834</v>
      </c>
      <c r="S5" s="63" t="s">
        <v>16835</v>
      </c>
      <c r="T5" s="63" t="s">
        <v>16828</v>
      </c>
      <c r="U5" s="63" t="s">
        <v>16836</v>
      </c>
      <c r="V5" s="63" t="s">
        <v>16837</v>
      </c>
      <c r="W5" s="63" t="s">
        <v>16838</v>
      </c>
      <c r="X5" s="63" t="s">
        <v>16839</v>
      </c>
      <c r="Y5" s="63" t="s">
        <v>16840</v>
      </c>
      <c r="Z5" s="63" t="s">
        <v>16841</v>
      </c>
      <c r="AA5" s="63" t="s">
        <v>16842</v>
      </c>
      <c r="AB5" s="63" t="s">
        <v>16843</v>
      </c>
      <c r="AC5" s="63" t="s">
        <v>16844</v>
      </c>
      <c r="AD5" s="57"/>
    </row>
    <row r="6">
      <c r="A6" s="62" t="s">
        <v>16845</v>
      </c>
      <c r="B6" s="63" t="s">
        <v>16846</v>
      </c>
      <c r="C6" s="64" t="s">
        <v>16847</v>
      </c>
      <c r="D6" s="63" t="s">
        <v>16846</v>
      </c>
      <c r="E6" s="63" t="s">
        <v>16848</v>
      </c>
      <c r="F6" s="63" t="s">
        <v>16849</v>
      </c>
      <c r="G6" s="63" t="s">
        <v>16850</v>
      </c>
      <c r="H6" s="63" t="s">
        <v>16846</v>
      </c>
      <c r="I6" s="63" t="s">
        <v>16846</v>
      </c>
      <c r="J6" s="63" t="s">
        <v>16851</v>
      </c>
      <c r="K6" s="63" t="s">
        <v>16852</v>
      </c>
      <c r="L6" s="63" t="s">
        <v>16846</v>
      </c>
      <c r="M6" s="63" t="s">
        <v>16853</v>
      </c>
      <c r="N6" s="63" t="s">
        <v>16854</v>
      </c>
      <c r="O6" s="63" t="s">
        <v>16846</v>
      </c>
      <c r="P6" s="63" t="s">
        <v>16855</v>
      </c>
      <c r="Q6" s="63" t="s">
        <v>16856</v>
      </c>
      <c r="R6" s="63" t="s">
        <v>16846</v>
      </c>
      <c r="S6" s="63" t="s">
        <v>16857</v>
      </c>
      <c r="T6" s="63" t="s">
        <v>16858</v>
      </c>
      <c r="U6" s="63" t="s">
        <v>16846</v>
      </c>
      <c r="V6" s="63" t="s">
        <v>16846</v>
      </c>
      <c r="W6" s="63" t="s">
        <v>16859</v>
      </c>
      <c r="X6" s="63" t="s">
        <v>16860</v>
      </c>
      <c r="Y6" s="63" t="s">
        <v>16861</v>
      </c>
      <c r="Z6" s="63" t="s">
        <v>16846</v>
      </c>
      <c r="AA6" s="63" t="s">
        <v>16862</v>
      </c>
      <c r="AB6" s="63" t="s">
        <v>16863</v>
      </c>
      <c r="AC6" s="63" t="s">
        <v>16864</v>
      </c>
      <c r="AD6" s="57"/>
    </row>
    <row r="7">
      <c r="A7" s="62" t="s">
        <v>16865</v>
      </c>
      <c r="B7" s="63" t="s">
        <v>16866</v>
      </c>
      <c r="C7" s="64" t="s">
        <v>16867</v>
      </c>
      <c r="D7" s="63" t="s">
        <v>16868</v>
      </c>
      <c r="E7" s="63" t="s">
        <v>16869</v>
      </c>
      <c r="F7" s="63" t="s">
        <v>16870</v>
      </c>
      <c r="G7" s="63" t="s">
        <v>16871</v>
      </c>
      <c r="H7" s="63" t="s">
        <v>16872</v>
      </c>
      <c r="I7" s="63" t="s">
        <v>16873</v>
      </c>
      <c r="J7" s="63" t="s">
        <v>16874</v>
      </c>
      <c r="K7" s="63" t="s">
        <v>16875</v>
      </c>
      <c r="L7" s="63" t="s">
        <v>16876</v>
      </c>
      <c r="M7" s="63" t="s">
        <v>16877</v>
      </c>
      <c r="N7" s="63" t="s">
        <v>16878</v>
      </c>
      <c r="O7" s="63" t="s">
        <v>16879</v>
      </c>
      <c r="P7" s="63" t="s">
        <v>16880</v>
      </c>
      <c r="Q7" s="63" t="s">
        <v>16881</v>
      </c>
      <c r="R7" s="63" t="s">
        <v>16882</v>
      </c>
      <c r="S7" s="63" t="s">
        <v>16866</v>
      </c>
      <c r="T7" s="63" t="s">
        <v>16883</v>
      </c>
      <c r="U7" s="63" t="s">
        <v>16884</v>
      </c>
      <c r="V7" s="63" t="s">
        <v>16885</v>
      </c>
      <c r="W7" s="63" t="s">
        <v>16886</v>
      </c>
      <c r="X7" s="63" t="s">
        <v>16887</v>
      </c>
      <c r="Y7" s="63" t="s">
        <v>16888</v>
      </c>
      <c r="Z7" s="63" t="s">
        <v>16889</v>
      </c>
      <c r="AA7" s="63" t="s">
        <v>16887</v>
      </c>
      <c r="AB7" s="63" t="s">
        <v>16890</v>
      </c>
      <c r="AC7" s="63" t="s">
        <v>16891</v>
      </c>
      <c r="AD7" s="57"/>
    </row>
    <row r="8">
      <c r="A8" s="62" t="s">
        <v>16892</v>
      </c>
      <c r="B8" s="63" t="s">
        <v>16893</v>
      </c>
      <c r="C8" s="64" t="s">
        <v>16894</v>
      </c>
      <c r="D8" s="63" t="s">
        <v>16893</v>
      </c>
      <c r="E8" s="63" t="s">
        <v>16895</v>
      </c>
      <c r="F8" s="63" t="s">
        <v>16896</v>
      </c>
      <c r="G8" s="63" t="s">
        <v>16897</v>
      </c>
      <c r="H8" s="63" t="s">
        <v>16898</v>
      </c>
      <c r="I8" s="63" t="s">
        <v>16899</v>
      </c>
      <c r="J8" s="63" t="s">
        <v>16900</v>
      </c>
      <c r="K8" s="63" t="s">
        <v>16901</v>
      </c>
      <c r="L8" s="63" t="s">
        <v>16902</v>
      </c>
      <c r="M8" s="63" t="s">
        <v>16903</v>
      </c>
      <c r="N8" s="63" t="s">
        <v>16904</v>
      </c>
      <c r="O8" s="63" t="s">
        <v>16905</v>
      </c>
      <c r="P8" s="63" t="s">
        <v>16906</v>
      </c>
      <c r="Q8" s="63" t="s">
        <v>16907</v>
      </c>
      <c r="R8" s="63" t="s">
        <v>16908</v>
      </c>
      <c r="S8" s="63" t="s">
        <v>16909</v>
      </c>
      <c r="T8" s="63" t="s">
        <v>16902</v>
      </c>
      <c r="U8" s="63" t="s">
        <v>16910</v>
      </c>
      <c r="V8" s="63" t="s">
        <v>16911</v>
      </c>
      <c r="W8" s="63" t="s">
        <v>16912</v>
      </c>
      <c r="X8" s="63" t="s">
        <v>16913</v>
      </c>
      <c r="Y8" s="63" t="s">
        <v>16914</v>
      </c>
      <c r="Z8" s="63" t="s">
        <v>16915</v>
      </c>
      <c r="AA8" s="63" t="s">
        <v>16893</v>
      </c>
      <c r="AB8" s="63" t="s">
        <v>16916</v>
      </c>
      <c r="AC8" s="63" t="s">
        <v>16917</v>
      </c>
      <c r="AD8" s="57"/>
    </row>
    <row r="9">
      <c r="A9" s="62" t="s">
        <v>35</v>
      </c>
      <c r="B9" s="63" t="s">
        <v>36</v>
      </c>
      <c r="C9" s="64" t="s">
        <v>692</v>
      </c>
      <c r="D9" s="63" t="s">
        <v>693</v>
      </c>
      <c r="E9" s="63" t="s">
        <v>694</v>
      </c>
      <c r="F9" s="63" t="s">
        <v>695</v>
      </c>
      <c r="G9" s="63" t="s">
        <v>696</v>
      </c>
      <c r="H9" s="63" t="s">
        <v>10910</v>
      </c>
      <c r="I9" s="63" t="s">
        <v>16918</v>
      </c>
      <c r="J9" s="63" t="s">
        <v>699</v>
      </c>
      <c r="K9" s="63" t="s">
        <v>16919</v>
      </c>
      <c r="L9" s="63" t="s">
        <v>701</v>
      </c>
      <c r="M9" s="63" t="s">
        <v>702</v>
      </c>
      <c r="N9" s="63" t="s">
        <v>703</v>
      </c>
      <c r="O9" s="63" t="s">
        <v>704</v>
      </c>
      <c r="P9" s="63" t="s">
        <v>16920</v>
      </c>
      <c r="Q9" s="63" t="s">
        <v>706</v>
      </c>
      <c r="R9" s="63" t="s">
        <v>867</v>
      </c>
      <c r="S9" s="63" t="s">
        <v>708</v>
      </c>
      <c r="T9" s="63" t="s">
        <v>10911</v>
      </c>
      <c r="U9" s="63" t="s">
        <v>710</v>
      </c>
      <c r="V9" s="63" t="s">
        <v>711</v>
      </c>
      <c r="W9" s="63" t="s">
        <v>712</v>
      </c>
      <c r="X9" s="63" t="s">
        <v>713</v>
      </c>
      <c r="Y9" s="63" t="s">
        <v>714</v>
      </c>
      <c r="Z9" s="63" t="s">
        <v>715</v>
      </c>
      <c r="AA9" s="63" t="s">
        <v>716</v>
      </c>
      <c r="AB9" s="63" t="s">
        <v>717</v>
      </c>
      <c r="AC9" s="63" t="s">
        <v>718</v>
      </c>
      <c r="AD9" s="57"/>
    </row>
    <row r="10">
      <c r="A10" s="62" t="s">
        <v>16921</v>
      </c>
      <c r="B10" s="63" t="s">
        <v>16922</v>
      </c>
      <c r="C10" s="64" t="s">
        <v>16923</v>
      </c>
      <c r="D10" s="63" t="s">
        <v>16924</v>
      </c>
      <c r="E10" s="63" t="s">
        <v>16925</v>
      </c>
      <c r="F10" s="63" t="s">
        <v>16926</v>
      </c>
      <c r="G10" s="63" t="s">
        <v>16927</v>
      </c>
      <c r="H10" s="63" t="s">
        <v>16928</v>
      </c>
      <c r="I10" s="63" t="s">
        <v>16929</v>
      </c>
      <c r="J10" s="63" t="s">
        <v>16930</v>
      </c>
      <c r="K10" s="63" t="s">
        <v>16931</v>
      </c>
      <c r="L10" s="63" t="s">
        <v>16932</v>
      </c>
      <c r="M10" s="63" t="s">
        <v>16933</v>
      </c>
      <c r="N10" s="63" t="s">
        <v>16934</v>
      </c>
      <c r="O10" s="63" t="s">
        <v>16935</v>
      </c>
      <c r="P10" s="63" t="s">
        <v>16936</v>
      </c>
      <c r="Q10" s="63" t="s">
        <v>16937</v>
      </c>
      <c r="R10" s="63" t="s">
        <v>16938</v>
      </c>
      <c r="S10" s="63" t="s">
        <v>16939</v>
      </c>
      <c r="T10" s="63" t="s">
        <v>16940</v>
      </c>
      <c r="U10" s="63" t="s">
        <v>16941</v>
      </c>
      <c r="V10" s="63" t="s">
        <v>16942</v>
      </c>
      <c r="W10" s="63" t="s">
        <v>16943</v>
      </c>
      <c r="X10" s="63" t="s">
        <v>16944</v>
      </c>
      <c r="Y10" s="63" t="s">
        <v>16945</v>
      </c>
      <c r="Z10" s="63" t="s">
        <v>16946</v>
      </c>
      <c r="AA10" s="63" t="s">
        <v>16947</v>
      </c>
      <c r="AB10" s="63" t="s">
        <v>16948</v>
      </c>
      <c r="AC10" s="63" t="s">
        <v>16949</v>
      </c>
      <c r="AD10" s="57"/>
    </row>
    <row r="11">
      <c r="A11" s="62" t="s">
        <v>16950</v>
      </c>
      <c r="B11" s="63" t="s">
        <v>16951</v>
      </c>
      <c r="C11" s="64" t="s">
        <v>16952</v>
      </c>
      <c r="D11" s="63" t="s">
        <v>16953</v>
      </c>
      <c r="E11" s="63" t="s">
        <v>16954</v>
      </c>
      <c r="F11" s="63" t="s">
        <v>16955</v>
      </c>
      <c r="G11" s="63" t="s">
        <v>16956</v>
      </c>
      <c r="H11" s="63" t="s">
        <v>16957</v>
      </c>
      <c r="I11" s="63" t="s">
        <v>16958</v>
      </c>
      <c r="J11" s="63" t="s">
        <v>16954</v>
      </c>
      <c r="K11" s="63" t="s">
        <v>16959</v>
      </c>
      <c r="L11" s="63" t="s">
        <v>16960</v>
      </c>
      <c r="M11" s="63" t="s">
        <v>16954</v>
      </c>
      <c r="N11" s="63" t="s">
        <v>16961</v>
      </c>
      <c r="O11" s="63" t="s">
        <v>16962</v>
      </c>
      <c r="P11" s="63" t="s">
        <v>16963</v>
      </c>
      <c r="Q11" s="63" t="s">
        <v>16964</v>
      </c>
      <c r="R11" s="63" t="s">
        <v>16951</v>
      </c>
      <c r="S11" s="63" t="s">
        <v>16965</v>
      </c>
      <c r="T11" s="63" t="s">
        <v>16951</v>
      </c>
      <c r="U11" s="63" t="s">
        <v>16954</v>
      </c>
      <c r="V11" s="63" t="s">
        <v>16966</v>
      </c>
      <c r="W11" s="63" t="s">
        <v>16967</v>
      </c>
      <c r="X11" s="63" t="s">
        <v>16968</v>
      </c>
      <c r="Y11" s="63" t="s">
        <v>16969</v>
      </c>
      <c r="Z11" s="63" t="s">
        <v>16970</v>
      </c>
      <c r="AA11" s="63" t="s">
        <v>16971</v>
      </c>
      <c r="AB11" s="63" t="s">
        <v>16972</v>
      </c>
      <c r="AC11" s="63" t="s">
        <v>16954</v>
      </c>
      <c r="AD11" s="57"/>
    </row>
    <row r="12">
      <c r="A12" s="62" t="s">
        <v>16973</v>
      </c>
      <c r="B12" s="63" t="s">
        <v>16974</v>
      </c>
      <c r="C12" s="64" t="s">
        <v>16975</v>
      </c>
      <c r="D12" s="63" t="s">
        <v>16976</v>
      </c>
      <c r="E12" s="63" t="s">
        <v>16977</v>
      </c>
      <c r="F12" s="63" t="s">
        <v>16978</v>
      </c>
      <c r="G12" s="63" t="s">
        <v>16979</v>
      </c>
      <c r="H12" s="63" t="s">
        <v>16980</v>
      </c>
      <c r="I12" s="63" t="s">
        <v>16981</v>
      </c>
      <c r="J12" s="63" t="s">
        <v>16982</v>
      </c>
      <c r="K12" s="63" t="s">
        <v>16983</v>
      </c>
      <c r="L12" s="63" t="s">
        <v>16984</v>
      </c>
      <c r="M12" s="63" t="s">
        <v>16985</v>
      </c>
      <c r="N12" s="63" t="s">
        <v>16986</v>
      </c>
      <c r="O12" s="63" t="s">
        <v>16987</v>
      </c>
      <c r="P12" s="63" t="s">
        <v>16988</v>
      </c>
      <c r="Q12" s="63" t="s">
        <v>16989</v>
      </c>
      <c r="R12" s="63" t="s">
        <v>16990</v>
      </c>
      <c r="S12" s="63" t="s">
        <v>16991</v>
      </c>
      <c r="T12" s="63" t="s">
        <v>16992</v>
      </c>
      <c r="U12" s="63" t="s">
        <v>16993</v>
      </c>
      <c r="V12" s="63" t="s">
        <v>16994</v>
      </c>
      <c r="W12" s="63" t="s">
        <v>11280</v>
      </c>
      <c r="X12" s="63" t="s">
        <v>16995</v>
      </c>
      <c r="Y12" s="63" t="s">
        <v>16996</v>
      </c>
      <c r="Z12" s="63" t="s">
        <v>16997</v>
      </c>
      <c r="AA12" s="63" t="s">
        <v>16995</v>
      </c>
      <c r="AB12" s="63" t="s">
        <v>16998</v>
      </c>
      <c r="AC12" s="63" t="s">
        <v>16999</v>
      </c>
      <c r="AD12" s="57"/>
    </row>
    <row r="13">
      <c r="A13" s="62" t="s">
        <v>17000</v>
      </c>
      <c r="B13" s="63" t="s">
        <v>17001</v>
      </c>
      <c r="C13" s="64" t="s">
        <v>17002</v>
      </c>
      <c r="D13" s="63" t="s">
        <v>17003</v>
      </c>
      <c r="E13" s="63" t="s">
        <v>17004</v>
      </c>
      <c r="F13" s="63" t="s">
        <v>17005</v>
      </c>
      <c r="G13" s="63" t="s">
        <v>17006</v>
      </c>
      <c r="H13" s="63" t="s">
        <v>17007</v>
      </c>
      <c r="I13" s="63" t="s">
        <v>17008</v>
      </c>
      <c r="J13" s="63" t="s">
        <v>17009</v>
      </c>
      <c r="K13" s="63" t="s">
        <v>17010</v>
      </c>
      <c r="L13" s="63" t="s">
        <v>17011</v>
      </c>
      <c r="M13" s="63" t="s">
        <v>17012</v>
      </c>
      <c r="N13" s="63" t="s">
        <v>17013</v>
      </c>
      <c r="O13" s="63" t="s">
        <v>17014</v>
      </c>
      <c r="P13" s="63" t="s">
        <v>17015</v>
      </c>
      <c r="Q13" s="63" t="s">
        <v>17016</v>
      </c>
      <c r="R13" s="63" t="s">
        <v>17017</v>
      </c>
      <c r="S13" s="63" t="s">
        <v>17018</v>
      </c>
      <c r="T13" s="63" t="s">
        <v>17019</v>
      </c>
      <c r="U13" s="63" t="s">
        <v>17020</v>
      </c>
      <c r="V13" s="63" t="s">
        <v>17021</v>
      </c>
      <c r="W13" s="63" t="s">
        <v>17022</v>
      </c>
      <c r="X13" s="63" t="s">
        <v>17023</v>
      </c>
      <c r="Y13" s="63" t="s">
        <v>17024</v>
      </c>
      <c r="Z13" s="63" t="s">
        <v>17025</v>
      </c>
      <c r="AA13" s="63" t="s">
        <v>17026</v>
      </c>
      <c r="AB13" s="63" t="s">
        <v>17027</v>
      </c>
      <c r="AC13" s="63" t="s">
        <v>17028</v>
      </c>
      <c r="AD13" s="57"/>
    </row>
    <row r="14">
      <c r="A14" s="62" t="s">
        <v>10920</v>
      </c>
      <c r="B14" s="63" t="s">
        <v>10921</v>
      </c>
      <c r="C14" s="64" t="s">
        <v>10922</v>
      </c>
      <c r="D14" s="63" t="s">
        <v>10921</v>
      </c>
      <c r="E14" s="63" t="s">
        <v>10921</v>
      </c>
      <c r="F14" s="63" t="s">
        <v>10923</v>
      </c>
      <c r="G14" s="63" t="s">
        <v>10924</v>
      </c>
      <c r="H14" s="63" t="s">
        <v>10925</v>
      </c>
      <c r="I14" s="63" t="s">
        <v>17029</v>
      </c>
      <c r="J14" s="63" t="s">
        <v>9089</v>
      </c>
      <c r="K14" s="63" t="s">
        <v>10927</v>
      </c>
      <c r="L14" s="63" t="s">
        <v>10928</v>
      </c>
      <c r="M14" s="63" t="s">
        <v>10929</v>
      </c>
      <c r="N14" s="63" t="s">
        <v>10930</v>
      </c>
      <c r="O14" s="63" t="s">
        <v>9094</v>
      </c>
      <c r="P14" s="63" t="s">
        <v>9095</v>
      </c>
      <c r="Q14" s="63" t="s">
        <v>10931</v>
      </c>
      <c r="R14" s="63" t="s">
        <v>10932</v>
      </c>
      <c r="S14" s="63" t="s">
        <v>10933</v>
      </c>
      <c r="T14" s="63" t="s">
        <v>10934</v>
      </c>
      <c r="U14" s="63" t="s">
        <v>9100</v>
      </c>
      <c r="V14" s="63" t="s">
        <v>10921</v>
      </c>
      <c r="W14" s="63" t="s">
        <v>10936</v>
      </c>
      <c r="X14" s="63" t="s">
        <v>10937</v>
      </c>
      <c r="Y14" s="63" t="s">
        <v>9104</v>
      </c>
      <c r="Z14" s="63" t="s">
        <v>10938</v>
      </c>
      <c r="AA14" s="63" t="s">
        <v>17030</v>
      </c>
      <c r="AB14" s="63" t="s">
        <v>9107</v>
      </c>
      <c r="AC14" s="63" t="s">
        <v>9108</v>
      </c>
      <c r="AD14" s="57"/>
    </row>
    <row r="15">
      <c r="A15" s="62" t="s">
        <v>17031</v>
      </c>
      <c r="B15" s="63" t="s">
        <v>17032</v>
      </c>
      <c r="C15" s="64" t="s">
        <v>17033</v>
      </c>
      <c r="D15" s="63" t="s">
        <v>17034</v>
      </c>
      <c r="E15" s="63" t="s">
        <v>17035</v>
      </c>
      <c r="F15" s="63" t="s">
        <v>17036</v>
      </c>
      <c r="G15" s="63" t="s">
        <v>17037</v>
      </c>
      <c r="H15" s="63" t="s">
        <v>17038</v>
      </c>
      <c r="I15" s="63" t="s">
        <v>17039</v>
      </c>
      <c r="J15" s="63" t="s">
        <v>17040</v>
      </c>
      <c r="K15" s="63" t="s">
        <v>17041</v>
      </c>
      <c r="L15" s="63" t="s">
        <v>17042</v>
      </c>
      <c r="M15" s="63" t="s">
        <v>17043</v>
      </c>
      <c r="N15" s="63" t="s">
        <v>17044</v>
      </c>
      <c r="O15" s="63" t="s">
        <v>17045</v>
      </c>
      <c r="P15" s="63" t="s">
        <v>17046</v>
      </c>
      <c r="Q15" s="63" t="s">
        <v>17047</v>
      </c>
      <c r="R15" s="63" t="s">
        <v>17032</v>
      </c>
      <c r="S15" s="63" t="s">
        <v>17048</v>
      </c>
      <c r="T15" s="63" t="s">
        <v>17049</v>
      </c>
      <c r="U15" s="63" t="s">
        <v>17050</v>
      </c>
      <c r="V15" s="63" t="s">
        <v>17051</v>
      </c>
      <c r="W15" s="63" t="s">
        <v>17052</v>
      </c>
      <c r="X15" s="63" t="s">
        <v>17053</v>
      </c>
      <c r="Y15" s="63" t="s">
        <v>17054</v>
      </c>
      <c r="Z15" s="63" t="s">
        <v>17055</v>
      </c>
      <c r="AA15" s="63" t="s">
        <v>17056</v>
      </c>
      <c r="AB15" s="63" t="s">
        <v>17057</v>
      </c>
      <c r="AC15" s="63" t="s">
        <v>17058</v>
      </c>
      <c r="AD15" s="57"/>
    </row>
    <row r="16">
      <c r="A16" s="62" t="s">
        <v>17059</v>
      </c>
      <c r="B16" s="63" t="s">
        <v>16954</v>
      </c>
      <c r="C16" s="64" t="s">
        <v>16952</v>
      </c>
      <c r="D16" s="63" t="s">
        <v>16953</v>
      </c>
      <c r="E16" s="63" t="s">
        <v>16954</v>
      </c>
      <c r="F16" s="63" t="s">
        <v>16955</v>
      </c>
      <c r="G16" s="63" t="s">
        <v>16953</v>
      </c>
      <c r="H16" s="63" t="s">
        <v>16957</v>
      </c>
      <c r="I16" s="63" t="s">
        <v>16958</v>
      </c>
      <c r="J16" s="63" t="s">
        <v>16954</v>
      </c>
      <c r="K16" s="63" t="s">
        <v>17060</v>
      </c>
      <c r="L16" s="63" t="s">
        <v>17061</v>
      </c>
      <c r="M16" s="63" t="s">
        <v>16954</v>
      </c>
      <c r="N16" s="63" t="s">
        <v>16961</v>
      </c>
      <c r="O16" s="63" t="s">
        <v>16962</v>
      </c>
      <c r="P16" s="63" t="s">
        <v>16963</v>
      </c>
      <c r="Q16" s="63" t="s">
        <v>16964</v>
      </c>
      <c r="R16" s="63" t="s">
        <v>17062</v>
      </c>
      <c r="S16" s="63" t="s">
        <v>16965</v>
      </c>
      <c r="T16" s="63" t="s">
        <v>16954</v>
      </c>
      <c r="U16" s="63" t="s">
        <v>16954</v>
      </c>
      <c r="V16" s="63" t="s">
        <v>16966</v>
      </c>
      <c r="W16" s="63" t="s">
        <v>16967</v>
      </c>
      <c r="X16" s="63" t="s">
        <v>16971</v>
      </c>
      <c r="Y16" s="63" t="s">
        <v>16969</v>
      </c>
      <c r="Z16" s="63" t="s">
        <v>16970</v>
      </c>
      <c r="AA16" s="63" t="s">
        <v>16971</v>
      </c>
      <c r="AB16" s="63" t="s">
        <v>16972</v>
      </c>
      <c r="AC16" s="63" t="s">
        <v>16954</v>
      </c>
      <c r="AD16" s="57"/>
    </row>
    <row r="17">
      <c r="A17" s="62" t="s">
        <v>17063</v>
      </c>
      <c r="B17" s="63" t="s">
        <v>17064</v>
      </c>
      <c r="C17" s="64" t="s">
        <v>17065</v>
      </c>
      <c r="D17" s="63" t="s">
        <v>17066</v>
      </c>
      <c r="E17" s="63" t="s">
        <v>17067</v>
      </c>
      <c r="F17" s="63" t="s">
        <v>17068</v>
      </c>
      <c r="G17" s="63" t="s">
        <v>17069</v>
      </c>
      <c r="H17" s="63" t="s">
        <v>17070</v>
      </c>
      <c r="I17" s="63" t="s">
        <v>17071</v>
      </c>
      <c r="J17" s="63" t="s">
        <v>17072</v>
      </c>
      <c r="K17" s="63" t="s">
        <v>17073</v>
      </c>
      <c r="L17" s="63" t="s">
        <v>17074</v>
      </c>
      <c r="M17" s="63" t="s">
        <v>17075</v>
      </c>
      <c r="N17" s="63" t="s">
        <v>17076</v>
      </c>
      <c r="O17" s="63" t="s">
        <v>17077</v>
      </c>
      <c r="P17" s="63" t="s">
        <v>17078</v>
      </c>
      <c r="Q17" s="63" t="s">
        <v>17079</v>
      </c>
      <c r="R17" s="63" t="s">
        <v>17080</v>
      </c>
      <c r="S17" s="63" t="s">
        <v>17081</v>
      </c>
      <c r="T17" s="63" t="s">
        <v>17082</v>
      </c>
      <c r="U17" s="63" t="s">
        <v>17083</v>
      </c>
      <c r="V17" s="63" t="s">
        <v>17084</v>
      </c>
      <c r="W17" s="63" t="s">
        <v>17085</v>
      </c>
      <c r="X17" s="63" t="s">
        <v>17086</v>
      </c>
      <c r="Y17" s="63" t="s">
        <v>17087</v>
      </c>
      <c r="Z17" s="63" t="s">
        <v>17088</v>
      </c>
      <c r="AA17" s="63" t="s">
        <v>17089</v>
      </c>
      <c r="AB17" s="63" t="s">
        <v>17090</v>
      </c>
      <c r="AC17" s="63" t="s">
        <v>17091</v>
      </c>
      <c r="AD17" s="57"/>
    </row>
    <row r="18">
      <c r="A18" s="62" t="s">
        <v>1739</v>
      </c>
      <c r="B18" s="63" t="s">
        <v>17092</v>
      </c>
      <c r="C18" s="64" t="s">
        <v>17093</v>
      </c>
      <c r="D18" s="63" t="s">
        <v>17094</v>
      </c>
      <c r="E18" s="63" t="s">
        <v>17092</v>
      </c>
      <c r="F18" s="63" t="s">
        <v>17095</v>
      </c>
      <c r="G18" s="63" t="s">
        <v>17096</v>
      </c>
      <c r="H18" s="63" t="s">
        <v>17097</v>
      </c>
      <c r="I18" s="63" t="s">
        <v>17097</v>
      </c>
      <c r="J18" s="63" t="s">
        <v>17098</v>
      </c>
      <c r="K18" s="63" t="s">
        <v>17099</v>
      </c>
      <c r="L18" s="63" t="s">
        <v>17100</v>
      </c>
      <c r="M18" s="63" t="s">
        <v>17101</v>
      </c>
      <c r="N18" s="63" t="s">
        <v>17102</v>
      </c>
      <c r="O18" s="63" t="s">
        <v>17103</v>
      </c>
      <c r="P18" s="63" t="s">
        <v>17104</v>
      </c>
      <c r="Q18" s="63" t="s">
        <v>17105</v>
      </c>
      <c r="R18" s="63" t="s">
        <v>17106</v>
      </c>
      <c r="S18" s="63" t="s">
        <v>17107</v>
      </c>
      <c r="T18" s="63" t="s">
        <v>17108</v>
      </c>
      <c r="U18" s="63" t="s">
        <v>17109</v>
      </c>
      <c r="V18" s="63" t="s">
        <v>17110</v>
      </c>
      <c r="W18" s="63" t="s">
        <v>17101</v>
      </c>
      <c r="X18" s="63" t="s">
        <v>17111</v>
      </c>
      <c r="Y18" s="63" t="s">
        <v>17112</v>
      </c>
      <c r="Z18" s="63" t="s">
        <v>17113</v>
      </c>
      <c r="AA18" s="63" t="s">
        <v>17114</v>
      </c>
      <c r="AB18" s="63" t="s">
        <v>17115</v>
      </c>
      <c r="AC18" s="63" t="s">
        <v>17116</v>
      </c>
      <c r="AD18" s="57"/>
    </row>
    <row r="19">
      <c r="A19" s="62" t="s">
        <v>17117</v>
      </c>
      <c r="B19" s="63" t="s">
        <v>17118</v>
      </c>
      <c r="C19" s="64" t="s">
        <v>17119</v>
      </c>
      <c r="D19" s="63" t="s">
        <v>17120</v>
      </c>
      <c r="E19" s="63" t="s">
        <v>17121</v>
      </c>
      <c r="F19" s="63" t="s">
        <v>17122</v>
      </c>
      <c r="G19" s="63" t="s">
        <v>17123</v>
      </c>
      <c r="H19" s="63" t="s">
        <v>17124</v>
      </c>
      <c r="I19" s="63" t="s">
        <v>17125</v>
      </c>
      <c r="J19" s="63" t="s">
        <v>17126</v>
      </c>
      <c r="K19" s="63" t="s">
        <v>17127</v>
      </c>
      <c r="L19" s="63" t="s">
        <v>17128</v>
      </c>
      <c r="M19" s="63" t="s">
        <v>17129</v>
      </c>
      <c r="N19" s="63" t="s">
        <v>17130</v>
      </c>
      <c r="O19" s="63" t="s">
        <v>17131</v>
      </c>
      <c r="P19" s="63" t="s">
        <v>17132</v>
      </c>
      <c r="Q19" s="63" t="s">
        <v>17133</v>
      </c>
      <c r="R19" s="63" t="s">
        <v>17134</v>
      </c>
      <c r="S19" s="63" t="s">
        <v>17135</v>
      </c>
      <c r="T19" s="63" t="s">
        <v>17128</v>
      </c>
      <c r="U19" s="63" t="s">
        <v>17136</v>
      </c>
      <c r="V19" s="63" t="s">
        <v>17137</v>
      </c>
      <c r="W19" s="63" t="s">
        <v>17138</v>
      </c>
      <c r="X19" s="63" t="s">
        <v>17139</v>
      </c>
      <c r="Y19" s="63" t="s">
        <v>17140</v>
      </c>
      <c r="Z19" s="63" t="s">
        <v>17141</v>
      </c>
      <c r="AA19" s="63" t="s">
        <v>17142</v>
      </c>
      <c r="AB19" s="63" t="s">
        <v>17143</v>
      </c>
      <c r="AC19" s="63" t="s">
        <v>17144</v>
      </c>
      <c r="AD19" s="57"/>
    </row>
    <row r="20">
      <c r="A20" s="62" t="s">
        <v>17145</v>
      </c>
      <c r="B20" s="63" t="s">
        <v>17146</v>
      </c>
      <c r="C20" s="64" t="s">
        <v>17147</v>
      </c>
      <c r="D20" s="63" t="s">
        <v>17148</v>
      </c>
      <c r="E20" s="63" t="s">
        <v>17149</v>
      </c>
      <c r="F20" s="63" t="s">
        <v>17150</v>
      </c>
      <c r="G20" s="63" t="s">
        <v>17151</v>
      </c>
      <c r="H20" s="63" t="s">
        <v>17152</v>
      </c>
      <c r="I20" s="63" t="s">
        <v>17153</v>
      </c>
      <c r="J20" s="63" t="s">
        <v>17154</v>
      </c>
      <c r="K20" s="63" t="s">
        <v>17155</v>
      </c>
      <c r="L20" s="63" t="s">
        <v>17156</v>
      </c>
      <c r="M20" s="63" t="s">
        <v>17157</v>
      </c>
      <c r="N20" s="63" t="s">
        <v>17158</v>
      </c>
      <c r="O20" s="63" t="s">
        <v>17159</v>
      </c>
      <c r="P20" s="63" t="s">
        <v>17160</v>
      </c>
      <c r="Q20" s="63" t="s">
        <v>17161</v>
      </c>
      <c r="R20" s="63" t="s">
        <v>17162</v>
      </c>
      <c r="S20" s="63" t="s">
        <v>17163</v>
      </c>
      <c r="T20" s="63" t="s">
        <v>17156</v>
      </c>
      <c r="U20" s="63" t="s">
        <v>17164</v>
      </c>
      <c r="V20" s="63" t="s">
        <v>17165</v>
      </c>
      <c r="W20" s="63" t="s">
        <v>17166</v>
      </c>
      <c r="X20" s="63" t="s">
        <v>17167</v>
      </c>
      <c r="Y20" s="63" t="s">
        <v>17168</v>
      </c>
      <c r="Z20" s="63" t="s">
        <v>17169</v>
      </c>
      <c r="AA20" s="63" t="s">
        <v>17170</v>
      </c>
      <c r="AB20" s="63" t="s">
        <v>17171</v>
      </c>
      <c r="AC20" s="63" t="s">
        <v>17172</v>
      </c>
      <c r="AD20" s="57"/>
    </row>
    <row r="21">
      <c r="A21" s="62" t="s">
        <v>17173</v>
      </c>
      <c r="B21" s="63" t="s">
        <v>17174</v>
      </c>
      <c r="C21" s="64" t="s">
        <v>17175</v>
      </c>
      <c r="D21" s="63" t="s">
        <v>17176</v>
      </c>
      <c r="E21" s="63" t="s">
        <v>17177</v>
      </c>
      <c r="F21" s="63" t="s">
        <v>17178</v>
      </c>
      <c r="G21" s="63" t="s">
        <v>17179</v>
      </c>
      <c r="H21" s="63" t="s">
        <v>17180</v>
      </c>
      <c r="I21" s="63" t="s">
        <v>17181</v>
      </c>
      <c r="J21" s="63" t="s">
        <v>17182</v>
      </c>
      <c r="K21" s="63" t="s">
        <v>17183</v>
      </c>
      <c r="L21" s="63" t="s">
        <v>17184</v>
      </c>
      <c r="M21" s="63" t="s">
        <v>17185</v>
      </c>
      <c r="N21" s="63" t="s">
        <v>17186</v>
      </c>
      <c r="O21" s="63" t="s">
        <v>17187</v>
      </c>
      <c r="P21" s="63" t="s">
        <v>17188</v>
      </c>
      <c r="Q21" s="63" t="s">
        <v>17189</v>
      </c>
      <c r="R21" s="63" t="s">
        <v>17190</v>
      </c>
      <c r="S21" s="63" t="s">
        <v>17191</v>
      </c>
      <c r="T21" s="63" t="s">
        <v>17192</v>
      </c>
      <c r="U21" s="63" t="s">
        <v>17193</v>
      </c>
      <c r="V21" s="63" t="s">
        <v>17194</v>
      </c>
      <c r="W21" s="63" t="s">
        <v>17195</v>
      </c>
      <c r="X21" s="63" t="s">
        <v>17196</v>
      </c>
      <c r="Y21" s="63" t="s">
        <v>17197</v>
      </c>
      <c r="Z21" s="63" t="s">
        <v>17198</v>
      </c>
      <c r="AA21" s="63" t="s">
        <v>17199</v>
      </c>
      <c r="AB21" s="63" t="s">
        <v>17200</v>
      </c>
      <c r="AC21" s="63" t="s">
        <v>17201</v>
      </c>
      <c r="AD21" s="57"/>
    </row>
    <row r="22">
      <c r="A22" s="62" t="s">
        <v>10320</v>
      </c>
      <c r="B22" s="63" t="s">
        <v>10321</v>
      </c>
      <c r="C22" s="64" t="s">
        <v>10322</v>
      </c>
      <c r="D22" s="63" t="s">
        <v>10323</v>
      </c>
      <c r="E22" s="63" t="s">
        <v>10324</v>
      </c>
      <c r="F22" s="63" t="s">
        <v>10325</v>
      </c>
      <c r="G22" s="63" t="s">
        <v>10326</v>
      </c>
      <c r="H22" s="63" t="s">
        <v>10327</v>
      </c>
      <c r="I22" s="63" t="s">
        <v>10328</v>
      </c>
      <c r="J22" s="63" t="s">
        <v>10329</v>
      </c>
      <c r="K22" s="63" t="s">
        <v>10330</v>
      </c>
      <c r="L22" s="63" t="s">
        <v>10331</v>
      </c>
      <c r="M22" s="63" t="s">
        <v>10332</v>
      </c>
      <c r="N22" s="63" t="s">
        <v>10333</v>
      </c>
      <c r="O22" s="63" t="s">
        <v>10334</v>
      </c>
      <c r="P22" s="63" t="s">
        <v>10335</v>
      </c>
      <c r="Q22" s="63" t="s">
        <v>10336</v>
      </c>
      <c r="R22" s="63" t="s">
        <v>10337</v>
      </c>
      <c r="S22" s="63" t="s">
        <v>10338</v>
      </c>
      <c r="T22" s="63" t="s">
        <v>10339</v>
      </c>
      <c r="U22" s="63" t="s">
        <v>10340</v>
      </c>
      <c r="V22" s="63" t="s">
        <v>10341</v>
      </c>
      <c r="W22" s="63" t="s">
        <v>10342</v>
      </c>
      <c r="X22" s="63" t="s">
        <v>10343</v>
      </c>
      <c r="Y22" s="63" t="s">
        <v>10344</v>
      </c>
      <c r="Z22" s="63" t="s">
        <v>10345</v>
      </c>
      <c r="AA22" s="63" t="s">
        <v>10346</v>
      </c>
      <c r="AB22" s="63" t="s">
        <v>10347</v>
      </c>
      <c r="AC22" s="63" t="s">
        <v>10348</v>
      </c>
      <c r="AD22" s="57"/>
    </row>
    <row r="23">
      <c r="A23" s="62" t="s">
        <v>10349</v>
      </c>
      <c r="B23" s="63" t="s">
        <v>17202</v>
      </c>
      <c r="C23" s="64" t="s">
        <v>16092</v>
      </c>
      <c r="D23" s="63" t="s">
        <v>16093</v>
      </c>
      <c r="E23" s="63" t="s">
        <v>16094</v>
      </c>
      <c r="F23" s="63" t="s">
        <v>16095</v>
      </c>
      <c r="G23" s="63" t="s">
        <v>16096</v>
      </c>
      <c r="H23" s="63" t="s">
        <v>16097</v>
      </c>
      <c r="I23" s="63" t="s">
        <v>16098</v>
      </c>
      <c r="J23" s="63" t="s">
        <v>16099</v>
      </c>
      <c r="K23" s="63" t="s">
        <v>16100</v>
      </c>
      <c r="L23" s="63" t="s">
        <v>17203</v>
      </c>
      <c r="M23" s="63" t="s">
        <v>16101</v>
      </c>
      <c r="N23" s="63" t="s">
        <v>16102</v>
      </c>
      <c r="O23" s="63" t="s">
        <v>17204</v>
      </c>
      <c r="P23" s="63" t="s">
        <v>16104</v>
      </c>
      <c r="Q23" s="63" t="s">
        <v>16105</v>
      </c>
      <c r="R23" s="63" t="s">
        <v>17205</v>
      </c>
      <c r="S23" s="63" t="s">
        <v>17206</v>
      </c>
      <c r="T23" s="63" t="s">
        <v>17207</v>
      </c>
      <c r="U23" s="63" t="s">
        <v>16108</v>
      </c>
      <c r="V23" s="63" t="s">
        <v>16109</v>
      </c>
      <c r="W23" s="63" t="s">
        <v>16110</v>
      </c>
      <c r="X23" s="63" t="s">
        <v>16111</v>
      </c>
      <c r="Y23" s="63" t="s">
        <v>16112</v>
      </c>
      <c r="Z23" s="63" t="s">
        <v>16113</v>
      </c>
      <c r="AA23" s="63" t="s">
        <v>16114</v>
      </c>
      <c r="AB23" s="63" t="s">
        <v>16115</v>
      </c>
      <c r="AC23" s="63" t="s">
        <v>16116</v>
      </c>
      <c r="AD23" s="57"/>
    </row>
    <row r="24">
      <c r="A24" s="62" t="s">
        <v>10378</v>
      </c>
      <c r="B24" s="63" t="s">
        <v>9110</v>
      </c>
      <c r="C24" s="64" t="s">
        <v>6050</v>
      </c>
      <c r="D24" s="63" t="s">
        <v>9111</v>
      </c>
      <c r="E24" s="63" t="s">
        <v>9110</v>
      </c>
      <c r="F24" s="63" t="s">
        <v>9112</v>
      </c>
      <c r="G24" s="63" t="s">
        <v>9113</v>
      </c>
      <c r="H24" s="63" t="s">
        <v>10379</v>
      </c>
      <c r="I24" s="63" t="s">
        <v>9110</v>
      </c>
      <c r="J24" s="63" t="s">
        <v>9116</v>
      </c>
      <c r="K24" s="63" t="s">
        <v>9117</v>
      </c>
      <c r="L24" s="63" t="s">
        <v>9118</v>
      </c>
      <c r="M24" s="63" t="s">
        <v>9119</v>
      </c>
      <c r="N24" s="63" t="s">
        <v>9120</v>
      </c>
      <c r="O24" s="63" t="s">
        <v>10380</v>
      </c>
      <c r="P24" s="63" t="s">
        <v>9122</v>
      </c>
      <c r="Q24" s="63" t="s">
        <v>9123</v>
      </c>
      <c r="R24" s="63" t="s">
        <v>9124</v>
      </c>
      <c r="S24" s="63" t="s">
        <v>10381</v>
      </c>
      <c r="T24" s="63" t="s">
        <v>9126</v>
      </c>
      <c r="U24" s="63" t="s">
        <v>9127</v>
      </c>
      <c r="V24" s="63" t="s">
        <v>9128</v>
      </c>
      <c r="W24" s="63" t="s">
        <v>9129</v>
      </c>
      <c r="X24" s="63" t="s">
        <v>9130</v>
      </c>
      <c r="Y24" s="63" t="s">
        <v>9131</v>
      </c>
      <c r="Z24" s="63" t="s">
        <v>9132</v>
      </c>
      <c r="AA24" s="63" t="s">
        <v>10382</v>
      </c>
      <c r="AB24" s="63" t="s">
        <v>9134</v>
      </c>
      <c r="AC24" s="63" t="s">
        <v>9135</v>
      </c>
      <c r="AD24" s="57"/>
    </row>
    <row r="25">
      <c r="A25" s="62" t="s">
        <v>10383</v>
      </c>
      <c r="B25" s="63" t="s">
        <v>109</v>
      </c>
      <c r="C25" s="64" t="s">
        <v>110</v>
      </c>
      <c r="D25" s="63" t="s">
        <v>17208</v>
      </c>
      <c r="E25" s="63" t="s">
        <v>112</v>
      </c>
      <c r="F25" s="63" t="s">
        <v>113</v>
      </c>
      <c r="G25" s="63" t="s">
        <v>114</v>
      </c>
      <c r="H25" s="63" t="s">
        <v>10036</v>
      </c>
      <c r="I25" s="63" t="s">
        <v>116</v>
      </c>
      <c r="J25" s="63" t="s">
        <v>117</v>
      </c>
      <c r="K25" s="63" t="s">
        <v>118</v>
      </c>
      <c r="L25" s="63" t="s">
        <v>119</v>
      </c>
      <c r="M25" s="63" t="s">
        <v>17209</v>
      </c>
      <c r="N25" s="63" t="s">
        <v>121</v>
      </c>
      <c r="O25" s="63" t="s">
        <v>10037</v>
      </c>
      <c r="P25" s="63" t="s">
        <v>10038</v>
      </c>
      <c r="Q25" s="63" t="s">
        <v>124</v>
      </c>
      <c r="R25" s="63" t="s">
        <v>125</v>
      </c>
      <c r="S25" s="63" t="s">
        <v>126</v>
      </c>
      <c r="T25" s="63" t="s">
        <v>10039</v>
      </c>
      <c r="U25" s="63" t="s">
        <v>128</v>
      </c>
      <c r="V25" s="63" t="s">
        <v>129</v>
      </c>
      <c r="W25" s="63" t="s">
        <v>114</v>
      </c>
      <c r="X25" s="63" t="s">
        <v>130</v>
      </c>
      <c r="Y25" s="63" t="s">
        <v>131</v>
      </c>
      <c r="Z25" s="63" t="s">
        <v>132</v>
      </c>
      <c r="AA25" s="63" t="s">
        <v>133</v>
      </c>
      <c r="AB25" s="63" t="s">
        <v>134</v>
      </c>
      <c r="AC25" s="63" t="s">
        <v>135</v>
      </c>
      <c r="AD25" s="57"/>
    </row>
    <row r="26">
      <c r="A26" s="62" t="s">
        <v>10384</v>
      </c>
      <c r="B26" s="63" t="s">
        <v>2648</v>
      </c>
      <c r="C26" s="64" t="s">
        <v>2649</v>
      </c>
      <c r="D26" s="63" t="s">
        <v>2650</v>
      </c>
      <c r="E26" s="63" t="s">
        <v>2651</v>
      </c>
      <c r="F26" s="63" t="s">
        <v>2652</v>
      </c>
      <c r="G26" s="63" t="s">
        <v>2653</v>
      </c>
      <c r="H26" s="63" t="s">
        <v>2654</v>
      </c>
      <c r="I26" s="63" t="s">
        <v>2655</v>
      </c>
      <c r="J26" s="63" t="s">
        <v>2656</v>
      </c>
      <c r="K26" s="63" t="s">
        <v>2657</v>
      </c>
      <c r="L26" s="63" t="s">
        <v>2658</v>
      </c>
      <c r="M26" s="63" t="s">
        <v>2648</v>
      </c>
      <c r="N26" s="63" t="s">
        <v>2659</v>
      </c>
      <c r="O26" s="63" t="s">
        <v>10385</v>
      </c>
      <c r="P26" s="63" t="s">
        <v>2661</v>
      </c>
      <c r="Q26" s="63" t="s">
        <v>2662</v>
      </c>
      <c r="R26" s="63" t="s">
        <v>2663</v>
      </c>
      <c r="S26" s="63" t="s">
        <v>2664</v>
      </c>
      <c r="T26" s="63" t="s">
        <v>2665</v>
      </c>
      <c r="U26" s="63" t="s">
        <v>2648</v>
      </c>
      <c r="V26" s="63" t="s">
        <v>2666</v>
      </c>
      <c r="W26" s="63" t="s">
        <v>2667</v>
      </c>
      <c r="X26" s="63" t="s">
        <v>2668</v>
      </c>
      <c r="Y26" s="63" t="s">
        <v>2669</v>
      </c>
      <c r="Z26" s="63" t="s">
        <v>2670</v>
      </c>
      <c r="AA26" s="63" t="s">
        <v>10386</v>
      </c>
      <c r="AB26" s="63" t="s">
        <v>2672</v>
      </c>
      <c r="AC26" s="63" t="s">
        <v>10919</v>
      </c>
      <c r="AD26" s="57"/>
    </row>
    <row r="27">
      <c r="A27" s="62" t="s">
        <v>10387</v>
      </c>
      <c r="B27" s="63" t="s">
        <v>10388</v>
      </c>
      <c r="C27" s="64" t="s">
        <v>16117</v>
      </c>
      <c r="D27" s="63" t="s">
        <v>10390</v>
      </c>
      <c r="E27" s="63" t="s">
        <v>10391</v>
      </c>
      <c r="F27" s="63" t="s">
        <v>10392</v>
      </c>
      <c r="G27" s="63" t="s">
        <v>10393</v>
      </c>
      <c r="H27" s="63" t="s">
        <v>10394</v>
      </c>
      <c r="I27" s="63" t="s">
        <v>10395</v>
      </c>
      <c r="J27" s="63" t="s">
        <v>10396</v>
      </c>
      <c r="K27" s="63" t="s">
        <v>10397</v>
      </c>
      <c r="L27" s="63" t="s">
        <v>10398</v>
      </c>
      <c r="M27" s="63" t="s">
        <v>10399</v>
      </c>
      <c r="N27" s="63" t="s">
        <v>10400</v>
      </c>
      <c r="O27" s="63" t="s">
        <v>10401</v>
      </c>
      <c r="P27" s="63" t="s">
        <v>10402</v>
      </c>
      <c r="Q27" s="63" t="s">
        <v>10403</v>
      </c>
      <c r="R27" s="63" t="s">
        <v>10404</v>
      </c>
      <c r="S27" s="63" t="s">
        <v>10405</v>
      </c>
      <c r="T27" s="63" t="s">
        <v>10406</v>
      </c>
      <c r="U27" s="63" t="s">
        <v>10407</v>
      </c>
      <c r="V27" s="63" t="s">
        <v>10408</v>
      </c>
      <c r="W27" s="63" t="s">
        <v>10409</v>
      </c>
      <c r="X27" s="63" t="s">
        <v>10410</v>
      </c>
      <c r="Y27" s="63" t="s">
        <v>10411</v>
      </c>
      <c r="Z27" s="63" t="s">
        <v>10412</v>
      </c>
      <c r="AA27" s="63" t="s">
        <v>10413</v>
      </c>
      <c r="AB27" s="63" t="s">
        <v>10414</v>
      </c>
      <c r="AC27" s="63" t="s">
        <v>10415</v>
      </c>
      <c r="AD27" s="57"/>
    </row>
    <row r="28">
      <c r="A28" s="62" t="s">
        <v>8991</v>
      </c>
      <c r="B28" s="63" t="s">
        <v>5110</v>
      </c>
      <c r="C28" s="64" t="s">
        <v>5111</v>
      </c>
      <c r="D28" s="63" t="s">
        <v>5112</v>
      </c>
      <c r="E28" s="63" t="s">
        <v>5113</v>
      </c>
      <c r="F28" s="63" t="s">
        <v>5114</v>
      </c>
      <c r="G28" s="63" t="s">
        <v>8992</v>
      </c>
      <c r="H28" s="63" t="s">
        <v>5116</v>
      </c>
      <c r="I28" s="63" t="s">
        <v>17210</v>
      </c>
      <c r="J28" s="63" t="s">
        <v>5118</v>
      </c>
      <c r="K28" s="63" t="s">
        <v>5119</v>
      </c>
      <c r="L28" s="63" t="s">
        <v>5120</v>
      </c>
      <c r="M28" s="63" t="s">
        <v>17211</v>
      </c>
      <c r="N28" s="63" t="s">
        <v>5122</v>
      </c>
      <c r="O28" s="63" t="s">
        <v>8993</v>
      </c>
      <c r="P28" s="63" t="s">
        <v>8994</v>
      </c>
      <c r="Q28" s="63" t="s">
        <v>5125</v>
      </c>
      <c r="R28" s="63" t="s">
        <v>5126</v>
      </c>
      <c r="S28" s="63" t="s">
        <v>5127</v>
      </c>
      <c r="T28" s="63" t="s">
        <v>5120</v>
      </c>
      <c r="U28" s="63" t="s">
        <v>5128</v>
      </c>
      <c r="V28" s="63" t="s">
        <v>5129</v>
      </c>
      <c r="W28" s="63" t="s">
        <v>8992</v>
      </c>
      <c r="X28" s="63" t="s">
        <v>5131</v>
      </c>
      <c r="Y28" s="63" t="s">
        <v>5132</v>
      </c>
      <c r="Z28" s="63" t="s">
        <v>5133</v>
      </c>
      <c r="AA28" s="63" t="s">
        <v>5134</v>
      </c>
      <c r="AB28" s="63" t="s">
        <v>5135</v>
      </c>
      <c r="AC28" s="63" t="s">
        <v>5136</v>
      </c>
      <c r="AD28" s="57"/>
    </row>
    <row r="29">
      <c r="A29" s="62" t="s">
        <v>326</v>
      </c>
      <c r="B29" s="63" t="s">
        <v>327</v>
      </c>
      <c r="C29" s="64" t="s">
        <v>328</v>
      </c>
      <c r="D29" s="63" t="s">
        <v>329</v>
      </c>
      <c r="E29" s="63" t="s">
        <v>330</v>
      </c>
      <c r="F29" s="63" t="s">
        <v>331</v>
      </c>
      <c r="G29" s="63" t="s">
        <v>332</v>
      </c>
      <c r="H29" s="63" t="s">
        <v>10912</v>
      </c>
      <c r="I29" s="63" t="s">
        <v>17212</v>
      </c>
      <c r="J29" s="63" t="s">
        <v>335</v>
      </c>
      <c r="K29" s="63" t="s">
        <v>336</v>
      </c>
      <c r="L29" s="63" t="s">
        <v>337</v>
      </c>
      <c r="M29" s="63" t="s">
        <v>338</v>
      </c>
      <c r="N29" s="63" t="s">
        <v>339</v>
      </c>
      <c r="O29" s="63" t="s">
        <v>10913</v>
      </c>
      <c r="P29" s="63" t="s">
        <v>10914</v>
      </c>
      <c r="Q29" s="63" t="s">
        <v>342</v>
      </c>
      <c r="R29" s="63" t="s">
        <v>10915</v>
      </c>
      <c r="S29" s="63" t="s">
        <v>10916</v>
      </c>
      <c r="T29" s="63" t="s">
        <v>10917</v>
      </c>
      <c r="U29" s="63" t="s">
        <v>346</v>
      </c>
      <c r="V29" s="63" t="s">
        <v>347</v>
      </c>
      <c r="W29" s="63" t="s">
        <v>348</v>
      </c>
      <c r="X29" s="63" t="s">
        <v>349</v>
      </c>
      <c r="Y29" s="63" t="s">
        <v>350</v>
      </c>
      <c r="Z29" s="63" t="s">
        <v>351</v>
      </c>
      <c r="AA29" s="63" t="s">
        <v>10918</v>
      </c>
      <c r="AB29" s="63" t="s">
        <v>353</v>
      </c>
      <c r="AC29" s="63" t="s">
        <v>354</v>
      </c>
      <c r="AD29" s="57"/>
    </row>
    <row r="30">
      <c r="A30" s="62" t="s">
        <v>9109</v>
      </c>
      <c r="B30" s="63" t="s">
        <v>9110</v>
      </c>
      <c r="C30" s="64" t="s">
        <v>6050</v>
      </c>
      <c r="D30" s="63" t="s">
        <v>9111</v>
      </c>
      <c r="E30" s="63" t="s">
        <v>9110</v>
      </c>
      <c r="F30" s="63" t="s">
        <v>9112</v>
      </c>
      <c r="G30" s="63" t="s">
        <v>9113</v>
      </c>
      <c r="H30" s="63" t="s">
        <v>10379</v>
      </c>
      <c r="I30" s="63" t="s">
        <v>9110</v>
      </c>
      <c r="J30" s="63" t="s">
        <v>9116</v>
      </c>
      <c r="K30" s="63" t="s">
        <v>9117</v>
      </c>
      <c r="L30" s="63" t="s">
        <v>9118</v>
      </c>
      <c r="M30" s="63" t="s">
        <v>9119</v>
      </c>
      <c r="N30" s="63" t="s">
        <v>9120</v>
      </c>
      <c r="O30" s="63" t="s">
        <v>10380</v>
      </c>
      <c r="P30" s="63" t="s">
        <v>9122</v>
      </c>
      <c r="Q30" s="63" t="s">
        <v>9123</v>
      </c>
      <c r="R30" s="63" t="s">
        <v>9124</v>
      </c>
      <c r="S30" s="63" t="s">
        <v>10381</v>
      </c>
      <c r="T30" s="63" t="s">
        <v>9126</v>
      </c>
      <c r="U30" s="63" t="s">
        <v>9127</v>
      </c>
      <c r="V30" s="63" t="s">
        <v>9128</v>
      </c>
      <c r="W30" s="63" t="s">
        <v>9129</v>
      </c>
      <c r="X30" s="63" t="s">
        <v>9130</v>
      </c>
      <c r="Y30" s="63" t="s">
        <v>9131</v>
      </c>
      <c r="Z30" s="63" t="s">
        <v>9132</v>
      </c>
      <c r="AA30" s="63" t="s">
        <v>10382</v>
      </c>
      <c r="AB30" s="63" t="s">
        <v>9134</v>
      </c>
      <c r="AC30" s="63" t="s">
        <v>9135</v>
      </c>
      <c r="AD30" s="57"/>
    </row>
    <row r="31">
      <c r="A31" s="62" t="s">
        <v>2647</v>
      </c>
      <c r="B31" s="63" t="s">
        <v>2648</v>
      </c>
      <c r="C31" s="64" t="s">
        <v>2649</v>
      </c>
      <c r="D31" s="63" t="s">
        <v>2650</v>
      </c>
      <c r="E31" s="63" t="s">
        <v>2651</v>
      </c>
      <c r="F31" s="63" t="s">
        <v>2652</v>
      </c>
      <c r="G31" s="63" t="s">
        <v>2653</v>
      </c>
      <c r="H31" s="63" t="s">
        <v>2654</v>
      </c>
      <c r="I31" s="63" t="s">
        <v>2655</v>
      </c>
      <c r="J31" s="63" t="s">
        <v>2656</v>
      </c>
      <c r="K31" s="63" t="s">
        <v>2657</v>
      </c>
      <c r="L31" s="63" t="s">
        <v>2658</v>
      </c>
      <c r="M31" s="63" t="s">
        <v>2648</v>
      </c>
      <c r="N31" s="63" t="s">
        <v>2659</v>
      </c>
      <c r="O31" s="63" t="s">
        <v>10385</v>
      </c>
      <c r="P31" s="63" t="s">
        <v>2661</v>
      </c>
      <c r="Q31" s="63" t="s">
        <v>2662</v>
      </c>
      <c r="R31" s="63" t="s">
        <v>2663</v>
      </c>
      <c r="S31" s="63" t="s">
        <v>2664</v>
      </c>
      <c r="T31" s="63" t="s">
        <v>2665</v>
      </c>
      <c r="U31" s="63" t="s">
        <v>2648</v>
      </c>
      <c r="V31" s="63" t="s">
        <v>2666</v>
      </c>
      <c r="W31" s="63" t="s">
        <v>2667</v>
      </c>
      <c r="X31" s="63" t="s">
        <v>2668</v>
      </c>
      <c r="Y31" s="63" t="s">
        <v>2669</v>
      </c>
      <c r="Z31" s="63" t="s">
        <v>2670</v>
      </c>
      <c r="AA31" s="63" t="s">
        <v>10386</v>
      </c>
      <c r="AB31" s="63" t="s">
        <v>2672</v>
      </c>
      <c r="AC31" s="63" t="s">
        <v>10919</v>
      </c>
      <c r="AD31" s="57"/>
    </row>
    <row r="32">
      <c r="A32" s="62" t="s">
        <v>10128</v>
      </c>
      <c r="B32" s="63" t="s">
        <v>2733</v>
      </c>
      <c r="C32" s="64" t="s">
        <v>2734</v>
      </c>
      <c r="D32" s="63" t="s">
        <v>2735</v>
      </c>
      <c r="E32" s="63" t="s">
        <v>2736</v>
      </c>
      <c r="F32" s="63" t="s">
        <v>10129</v>
      </c>
      <c r="G32" s="63" t="s">
        <v>2738</v>
      </c>
      <c r="H32" s="63" t="s">
        <v>2739</v>
      </c>
      <c r="I32" s="63" t="s">
        <v>2740</v>
      </c>
      <c r="J32" s="63" t="s">
        <v>2741</v>
      </c>
      <c r="K32" s="63" t="s">
        <v>2742</v>
      </c>
      <c r="L32" s="63" t="s">
        <v>17213</v>
      </c>
      <c r="M32" s="63" t="s">
        <v>2744</v>
      </c>
      <c r="N32" s="63" t="s">
        <v>2745</v>
      </c>
      <c r="O32" s="63" t="s">
        <v>17214</v>
      </c>
      <c r="P32" s="63" t="s">
        <v>17215</v>
      </c>
      <c r="Q32" s="63" t="s">
        <v>17216</v>
      </c>
      <c r="R32" s="63" t="s">
        <v>2749</v>
      </c>
      <c r="S32" s="63" t="s">
        <v>2750</v>
      </c>
      <c r="T32" s="63" t="s">
        <v>2751</v>
      </c>
      <c r="U32" s="63" t="s">
        <v>2752</v>
      </c>
      <c r="V32" s="63" t="s">
        <v>2753</v>
      </c>
      <c r="W32" s="63" t="s">
        <v>2754</v>
      </c>
      <c r="X32" s="63" t="s">
        <v>2755</v>
      </c>
      <c r="Y32" s="63" t="s">
        <v>2756</v>
      </c>
      <c r="Z32" s="63" t="s">
        <v>2757</v>
      </c>
      <c r="AA32" s="63" t="s">
        <v>2758</v>
      </c>
      <c r="AB32" s="63" t="s">
        <v>2759</v>
      </c>
      <c r="AC32" s="63" t="s">
        <v>2760</v>
      </c>
      <c r="AD32" s="57"/>
    </row>
    <row r="33">
      <c r="A33" s="62" t="s">
        <v>10130</v>
      </c>
      <c r="B33" s="63" t="s">
        <v>2704</v>
      </c>
      <c r="C33" s="64" t="s">
        <v>17217</v>
      </c>
      <c r="D33" s="63" t="s">
        <v>17218</v>
      </c>
      <c r="E33" s="63" t="s">
        <v>2707</v>
      </c>
      <c r="F33" s="63" t="s">
        <v>17219</v>
      </c>
      <c r="G33" s="63" t="s">
        <v>2709</v>
      </c>
      <c r="H33" s="63" t="s">
        <v>2710</v>
      </c>
      <c r="I33" s="63" t="s">
        <v>17220</v>
      </c>
      <c r="J33" s="63" t="s">
        <v>2712</v>
      </c>
      <c r="K33" s="63" t="s">
        <v>2713</v>
      </c>
      <c r="L33" s="63" t="s">
        <v>2714</v>
      </c>
      <c r="M33" s="63" t="s">
        <v>2715</v>
      </c>
      <c r="N33" s="63" t="s">
        <v>2716</v>
      </c>
      <c r="O33" s="63" t="s">
        <v>10131</v>
      </c>
      <c r="P33" s="63" t="s">
        <v>2718</v>
      </c>
      <c r="Q33" s="63" t="s">
        <v>10132</v>
      </c>
      <c r="R33" s="63" t="s">
        <v>2720</v>
      </c>
      <c r="S33" s="63" t="s">
        <v>2721</v>
      </c>
      <c r="T33" s="63" t="s">
        <v>17221</v>
      </c>
      <c r="U33" s="63" t="s">
        <v>17222</v>
      </c>
      <c r="V33" s="63" t="s">
        <v>2724</v>
      </c>
      <c r="W33" s="63" t="s">
        <v>2725</v>
      </c>
      <c r="X33" s="63" t="s">
        <v>2726</v>
      </c>
      <c r="Y33" s="63" t="s">
        <v>2727</v>
      </c>
      <c r="Z33" s="63" t="s">
        <v>2728</v>
      </c>
      <c r="AA33" s="63" t="s">
        <v>2729</v>
      </c>
      <c r="AB33" s="63" t="s">
        <v>2730</v>
      </c>
      <c r="AC33" s="63" t="s">
        <v>17223</v>
      </c>
      <c r="AD33" s="57"/>
    </row>
    <row r="34">
      <c r="A34" s="62" t="s">
        <v>11332</v>
      </c>
      <c r="B34" s="63" t="s">
        <v>11333</v>
      </c>
      <c r="C34" s="64" t="s">
        <v>11334</v>
      </c>
      <c r="D34" s="63" t="s">
        <v>11335</v>
      </c>
      <c r="E34" s="63" t="s">
        <v>11336</v>
      </c>
      <c r="F34" s="63" t="s">
        <v>11337</v>
      </c>
      <c r="G34" s="63" t="s">
        <v>11338</v>
      </c>
      <c r="H34" s="63" t="s">
        <v>11339</v>
      </c>
      <c r="I34" s="63" t="s">
        <v>11340</v>
      </c>
      <c r="J34" s="63" t="s">
        <v>11341</v>
      </c>
      <c r="K34" s="63" t="s">
        <v>11342</v>
      </c>
      <c r="L34" s="63" t="s">
        <v>11343</v>
      </c>
      <c r="M34" s="63" t="s">
        <v>11344</v>
      </c>
      <c r="N34" s="63" t="s">
        <v>11345</v>
      </c>
      <c r="O34" s="63" t="s">
        <v>11346</v>
      </c>
      <c r="P34" s="63" t="s">
        <v>11347</v>
      </c>
      <c r="Q34" s="63" t="s">
        <v>11348</v>
      </c>
      <c r="R34" s="63" t="s">
        <v>11349</v>
      </c>
      <c r="S34" s="63" t="s">
        <v>11350</v>
      </c>
      <c r="T34" s="63" t="s">
        <v>11351</v>
      </c>
      <c r="U34" s="63" t="s">
        <v>11344</v>
      </c>
      <c r="V34" s="63" t="s">
        <v>11352</v>
      </c>
      <c r="W34" s="63" t="s">
        <v>11338</v>
      </c>
      <c r="X34" s="63" t="s">
        <v>11353</v>
      </c>
      <c r="Y34" s="63" t="s">
        <v>11354</v>
      </c>
      <c r="Z34" s="63" t="s">
        <v>11355</v>
      </c>
      <c r="AA34" s="63" t="s">
        <v>11356</v>
      </c>
      <c r="AB34" s="63" t="s">
        <v>11357</v>
      </c>
      <c r="AC34" s="63" t="s">
        <v>11358</v>
      </c>
      <c r="AD34" s="57"/>
    </row>
    <row r="35">
      <c r="A35" s="62" t="s">
        <v>11359</v>
      </c>
      <c r="B35" s="63" t="s">
        <v>11360</v>
      </c>
      <c r="C35" s="64" t="s">
        <v>11361</v>
      </c>
      <c r="D35" s="63" t="s">
        <v>11362</v>
      </c>
      <c r="E35" s="63" t="s">
        <v>11363</v>
      </c>
      <c r="F35" s="63" t="s">
        <v>11364</v>
      </c>
      <c r="G35" s="63" t="s">
        <v>11365</v>
      </c>
      <c r="H35" s="63" t="s">
        <v>11366</v>
      </c>
      <c r="I35" s="63" t="s">
        <v>11367</v>
      </c>
      <c r="J35" s="63" t="s">
        <v>11368</v>
      </c>
      <c r="K35" s="63" t="s">
        <v>11369</v>
      </c>
      <c r="L35" s="63" t="s">
        <v>11370</v>
      </c>
      <c r="M35" s="63" t="s">
        <v>11371</v>
      </c>
      <c r="N35" s="63" t="s">
        <v>11372</v>
      </c>
      <c r="O35" s="63" t="s">
        <v>11373</v>
      </c>
      <c r="P35" s="63" t="s">
        <v>11374</v>
      </c>
      <c r="Q35" s="63" t="s">
        <v>11375</v>
      </c>
      <c r="R35" s="63" t="s">
        <v>11376</v>
      </c>
      <c r="S35" s="63" t="s">
        <v>11377</v>
      </c>
      <c r="T35" s="63" t="s">
        <v>11378</v>
      </c>
      <c r="U35" s="63" t="s">
        <v>11371</v>
      </c>
      <c r="V35" s="63" t="s">
        <v>11379</v>
      </c>
      <c r="W35" s="63" t="s">
        <v>11365</v>
      </c>
      <c r="X35" s="63" t="s">
        <v>11380</v>
      </c>
      <c r="Y35" s="63" t="s">
        <v>11381</v>
      </c>
      <c r="Z35" s="63" t="s">
        <v>11382</v>
      </c>
      <c r="AA35" s="63" t="s">
        <v>11383</v>
      </c>
      <c r="AB35" s="63" t="s">
        <v>11384</v>
      </c>
      <c r="AC35" s="63" t="s">
        <v>11385</v>
      </c>
      <c r="AD35" s="57"/>
    </row>
    <row r="36">
      <c r="A36" s="62" t="s">
        <v>11386</v>
      </c>
      <c r="B36" s="63" t="s">
        <v>11387</v>
      </c>
      <c r="C36" s="64" t="s">
        <v>11388</v>
      </c>
      <c r="D36" s="63" t="s">
        <v>11389</v>
      </c>
      <c r="E36" s="63" t="s">
        <v>11390</v>
      </c>
      <c r="F36" s="63" t="s">
        <v>11391</v>
      </c>
      <c r="G36" s="63" t="s">
        <v>11392</v>
      </c>
      <c r="H36" s="63" t="s">
        <v>11393</v>
      </c>
      <c r="I36" s="63" t="s">
        <v>11394</v>
      </c>
      <c r="J36" s="63" t="s">
        <v>11395</v>
      </c>
      <c r="K36" s="63" t="s">
        <v>11396</v>
      </c>
      <c r="L36" s="63" t="s">
        <v>11397</v>
      </c>
      <c r="M36" s="63" t="s">
        <v>11398</v>
      </c>
      <c r="N36" s="63" t="s">
        <v>11399</v>
      </c>
      <c r="O36" s="63" t="s">
        <v>11400</v>
      </c>
      <c r="P36" s="63" t="s">
        <v>11401</v>
      </c>
      <c r="Q36" s="63" t="s">
        <v>11402</v>
      </c>
      <c r="R36" s="63" t="s">
        <v>11403</v>
      </c>
      <c r="S36" s="63" t="s">
        <v>11404</v>
      </c>
      <c r="T36" s="63" t="s">
        <v>11405</v>
      </c>
      <c r="U36" s="63" t="s">
        <v>11398</v>
      </c>
      <c r="V36" s="63" t="s">
        <v>11406</v>
      </c>
      <c r="W36" s="63" t="s">
        <v>11392</v>
      </c>
      <c r="X36" s="63" t="s">
        <v>11407</v>
      </c>
      <c r="Y36" s="63" t="s">
        <v>11408</v>
      </c>
      <c r="Z36" s="63" t="s">
        <v>11409</v>
      </c>
      <c r="AA36" s="63" t="s">
        <v>11410</v>
      </c>
      <c r="AB36" s="63" t="s">
        <v>11411</v>
      </c>
      <c r="AC36" s="63" t="s">
        <v>11412</v>
      </c>
      <c r="AD36" s="57"/>
    </row>
    <row r="37">
      <c r="A37" s="62" t="s">
        <v>17224</v>
      </c>
      <c r="B37" s="63" t="s">
        <v>7378</v>
      </c>
      <c r="C37" s="64" t="s">
        <v>7379</v>
      </c>
      <c r="D37" s="63" t="s">
        <v>7380</v>
      </c>
      <c r="E37" s="63" t="s">
        <v>7381</v>
      </c>
      <c r="F37" s="63" t="s">
        <v>7382</v>
      </c>
      <c r="G37" s="63" t="s">
        <v>7397</v>
      </c>
      <c r="H37" s="63" t="s">
        <v>15501</v>
      </c>
      <c r="I37" s="63" t="s">
        <v>17225</v>
      </c>
      <c r="J37" s="63" t="s">
        <v>7386</v>
      </c>
      <c r="K37" s="63" t="s">
        <v>7387</v>
      </c>
      <c r="L37" s="63" t="s">
        <v>7388</v>
      </c>
      <c r="M37" s="63" t="s">
        <v>17226</v>
      </c>
      <c r="N37" s="63" t="s">
        <v>7390</v>
      </c>
      <c r="O37" s="63" t="s">
        <v>15502</v>
      </c>
      <c r="P37" s="63" t="s">
        <v>17227</v>
      </c>
      <c r="Q37" s="63" t="s">
        <v>7393</v>
      </c>
      <c r="R37" s="63" t="s">
        <v>15503</v>
      </c>
      <c r="S37" s="63" t="s">
        <v>17228</v>
      </c>
      <c r="T37" s="63" t="s">
        <v>15505</v>
      </c>
      <c r="U37" s="63" t="s">
        <v>7381</v>
      </c>
      <c r="V37" s="63" t="s">
        <v>7396</v>
      </c>
      <c r="W37" s="63" t="s">
        <v>7397</v>
      </c>
      <c r="X37" s="63" t="s">
        <v>7398</v>
      </c>
      <c r="Y37" s="63" t="s">
        <v>7399</v>
      </c>
      <c r="Z37" s="63" t="s">
        <v>7400</v>
      </c>
      <c r="AA37" s="63" t="s">
        <v>15506</v>
      </c>
      <c r="AB37" s="63" t="s">
        <v>7402</v>
      </c>
      <c r="AC37" s="63" t="s">
        <v>15507</v>
      </c>
      <c r="AD37" s="57"/>
    </row>
    <row r="38">
      <c r="A38" s="62" t="s">
        <v>17229</v>
      </c>
      <c r="B38" s="63" t="s">
        <v>7405</v>
      </c>
      <c r="C38" s="64" t="s">
        <v>7406</v>
      </c>
      <c r="D38" s="63" t="s">
        <v>7407</v>
      </c>
      <c r="E38" s="63" t="s">
        <v>7408</v>
      </c>
      <c r="F38" s="63" t="s">
        <v>7409</v>
      </c>
      <c r="G38" s="63" t="s">
        <v>7410</v>
      </c>
      <c r="H38" s="63" t="s">
        <v>15508</v>
      </c>
      <c r="I38" s="63" t="s">
        <v>15509</v>
      </c>
      <c r="J38" s="63" t="s">
        <v>7413</v>
      </c>
      <c r="K38" s="63" t="s">
        <v>7414</v>
      </c>
      <c r="L38" s="63" t="s">
        <v>7411</v>
      </c>
      <c r="M38" s="63" t="s">
        <v>7416</v>
      </c>
      <c r="N38" s="63" t="s">
        <v>15510</v>
      </c>
      <c r="O38" s="63" t="s">
        <v>15511</v>
      </c>
      <c r="P38" s="63" t="s">
        <v>15512</v>
      </c>
      <c r="Q38" s="63" t="s">
        <v>17230</v>
      </c>
      <c r="R38" s="63" t="s">
        <v>7421</v>
      </c>
      <c r="S38" s="63" t="s">
        <v>15513</v>
      </c>
      <c r="T38" s="63" t="s">
        <v>7423</v>
      </c>
      <c r="U38" s="63" t="s">
        <v>7424</v>
      </c>
      <c r="V38" s="63" t="s">
        <v>7425</v>
      </c>
      <c r="W38" s="63" t="s">
        <v>7426</v>
      </c>
      <c r="X38" s="63" t="s">
        <v>17231</v>
      </c>
      <c r="Y38" s="63" t="s">
        <v>15514</v>
      </c>
      <c r="Z38" s="63" t="s">
        <v>7429</v>
      </c>
      <c r="AA38" s="63" t="s">
        <v>15515</v>
      </c>
      <c r="AB38" s="63" t="s">
        <v>7431</v>
      </c>
      <c r="AC38" s="63" t="s">
        <v>15516</v>
      </c>
      <c r="AD38" s="57"/>
    </row>
    <row r="39">
      <c r="A39" s="62" t="s">
        <v>17232</v>
      </c>
      <c r="B39" s="63" t="s">
        <v>7434</v>
      </c>
      <c r="C39" s="64" t="s">
        <v>17233</v>
      </c>
      <c r="D39" s="63" t="s">
        <v>7436</v>
      </c>
      <c r="E39" s="63" t="s">
        <v>7437</v>
      </c>
      <c r="F39" s="63" t="s">
        <v>7438</v>
      </c>
      <c r="G39" s="63" t="s">
        <v>7439</v>
      </c>
      <c r="H39" s="63" t="s">
        <v>15517</v>
      </c>
      <c r="I39" s="63" t="s">
        <v>15518</v>
      </c>
      <c r="J39" s="63" t="s">
        <v>7442</v>
      </c>
      <c r="K39" s="63" t="s">
        <v>7443</v>
      </c>
      <c r="L39" s="63" t="s">
        <v>7444</v>
      </c>
      <c r="M39" s="63" t="s">
        <v>7439</v>
      </c>
      <c r="N39" s="63" t="s">
        <v>7446</v>
      </c>
      <c r="O39" s="63" t="s">
        <v>7447</v>
      </c>
      <c r="P39" s="63" t="s">
        <v>15519</v>
      </c>
      <c r="Q39" s="63" t="s">
        <v>15520</v>
      </c>
      <c r="R39" s="63" t="s">
        <v>15521</v>
      </c>
      <c r="S39" s="63" t="s">
        <v>17234</v>
      </c>
      <c r="T39" s="63" t="s">
        <v>15522</v>
      </c>
      <c r="U39" s="63" t="s">
        <v>7452</v>
      </c>
      <c r="V39" s="63" t="s">
        <v>7453</v>
      </c>
      <c r="W39" s="63" t="s">
        <v>7439</v>
      </c>
      <c r="X39" s="63" t="s">
        <v>7454</v>
      </c>
      <c r="Y39" s="63" t="s">
        <v>15523</v>
      </c>
      <c r="Z39" s="63" t="s">
        <v>7456</v>
      </c>
      <c r="AA39" s="63" t="s">
        <v>15524</v>
      </c>
      <c r="AB39" s="63" t="s">
        <v>7458</v>
      </c>
      <c r="AC39" s="63" t="s">
        <v>7459</v>
      </c>
      <c r="AD39" s="57"/>
    </row>
    <row r="40">
      <c r="A40" s="62" t="s">
        <v>17235</v>
      </c>
      <c r="B40" s="63" t="s">
        <v>7461</v>
      </c>
      <c r="C40" s="64" t="s">
        <v>7462</v>
      </c>
      <c r="D40" s="63" t="s">
        <v>15525</v>
      </c>
      <c r="E40" s="63" t="s">
        <v>15526</v>
      </c>
      <c r="F40" s="63" t="s">
        <v>15527</v>
      </c>
      <c r="G40" s="63" t="s">
        <v>7464</v>
      </c>
      <c r="H40" s="63" t="s">
        <v>7465</v>
      </c>
      <c r="I40" s="63" t="s">
        <v>15528</v>
      </c>
      <c r="J40" s="63" t="s">
        <v>7467</v>
      </c>
      <c r="K40" s="63" t="s">
        <v>7468</v>
      </c>
      <c r="L40" s="63" t="s">
        <v>7461</v>
      </c>
      <c r="M40" s="63" t="s">
        <v>7469</v>
      </c>
      <c r="N40" s="63" t="s">
        <v>15529</v>
      </c>
      <c r="O40" s="63" t="s">
        <v>7471</v>
      </c>
      <c r="P40" s="63" t="s">
        <v>15530</v>
      </c>
      <c r="Q40" s="63" t="s">
        <v>15531</v>
      </c>
      <c r="R40" s="63" t="s">
        <v>15532</v>
      </c>
      <c r="S40" s="63" t="s">
        <v>15533</v>
      </c>
      <c r="T40" s="63" t="s">
        <v>7461</v>
      </c>
      <c r="U40" s="63" t="s">
        <v>7476</v>
      </c>
      <c r="V40" s="63" t="s">
        <v>7477</v>
      </c>
      <c r="W40" s="63" t="s">
        <v>17236</v>
      </c>
      <c r="X40" s="63" t="s">
        <v>15534</v>
      </c>
      <c r="Y40" s="63" t="s">
        <v>7480</v>
      </c>
      <c r="Z40" s="63" t="s">
        <v>15535</v>
      </c>
      <c r="AA40" s="63" t="s">
        <v>15536</v>
      </c>
      <c r="AB40" s="63" t="s">
        <v>7483</v>
      </c>
      <c r="AC40" s="63" t="s">
        <v>7484</v>
      </c>
      <c r="AD40" s="57"/>
    </row>
    <row r="41">
      <c r="A41" s="62" t="s">
        <v>17237</v>
      </c>
      <c r="B41" s="63" t="s">
        <v>7486</v>
      </c>
      <c r="C41" s="64" t="s">
        <v>7487</v>
      </c>
      <c r="D41" s="63" t="s">
        <v>7488</v>
      </c>
      <c r="E41" s="63" t="s">
        <v>7489</v>
      </c>
      <c r="F41" s="63" t="s">
        <v>17238</v>
      </c>
      <c r="G41" s="63" t="s">
        <v>7491</v>
      </c>
      <c r="H41" s="63" t="s">
        <v>15537</v>
      </c>
      <c r="I41" s="63" t="s">
        <v>17239</v>
      </c>
      <c r="J41" s="63" t="s">
        <v>7494</v>
      </c>
      <c r="K41" s="63" t="s">
        <v>7495</v>
      </c>
      <c r="L41" s="63" t="s">
        <v>17240</v>
      </c>
      <c r="M41" s="63" t="s">
        <v>7497</v>
      </c>
      <c r="N41" s="63" t="s">
        <v>7498</v>
      </c>
      <c r="O41" s="63" t="s">
        <v>15538</v>
      </c>
      <c r="P41" s="63" t="s">
        <v>15539</v>
      </c>
      <c r="Q41" s="63" t="s">
        <v>17241</v>
      </c>
      <c r="R41" s="63" t="s">
        <v>15540</v>
      </c>
      <c r="S41" s="63" t="s">
        <v>15541</v>
      </c>
      <c r="T41" s="63" t="s">
        <v>15542</v>
      </c>
      <c r="U41" s="63" t="s">
        <v>7505</v>
      </c>
      <c r="V41" s="63" t="s">
        <v>7506</v>
      </c>
      <c r="W41" s="63" t="s">
        <v>7507</v>
      </c>
      <c r="X41" s="63" t="s">
        <v>7508</v>
      </c>
      <c r="Y41" s="63" t="s">
        <v>15543</v>
      </c>
      <c r="Z41" s="63" t="s">
        <v>7510</v>
      </c>
      <c r="AA41" s="63" t="s">
        <v>15544</v>
      </c>
      <c r="AB41" s="63" t="s">
        <v>7512</v>
      </c>
      <c r="AC41" s="63" t="s">
        <v>7513</v>
      </c>
      <c r="AD41" s="57"/>
    </row>
    <row r="42">
      <c r="A42" s="62" t="s">
        <v>17242</v>
      </c>
      <c r="B42" s="63" t="s">
        <v>7515</v>
      </c>
      <c r="C42" s="64" t="s">
        <v>7516</v>
      </c>
      <c r="D42" s="63" t="s">
        <v>7517</v>
      </c>
      <c r="E42" s="63" t="s">
        <v>7518</v>
      </c>
      <c r="F42" s="63" t="s">
        <v>17243</v>
      </c>
      <c r="G42" s="63" t="s">
        <v>7520</v>
      </c>
      <c r="H42" s="63" t="s">
        <v>15545</v>
      </c>
      <c r="I42" s="63" t="s">
        <v>17244</v>
      </c>
      <c r="J42" s="63" t="s">
        <v>7523</v>
      </c>
      <c r="K42" s="63" t="s">
        <v>7524</v>
      </c>
      <c r="L42" s="63" t="s">
        <v>7525</v>
      </c>
      <c r="M42" s="63" t="s">
        <v>7526</v>
      </c>
      <c r="N42" s="63" t="s">
        <v>7527</v>
      </c>
      <c r="O42" s="63" t="s">
        <v>15546</v>
      </c>
      <c r="P42" s="63" t="s">
        <v>15547</v>
      </c>
      <c r="Q42" s="63" t="s">
        <v>7530</v>
      </c>
      <c r="R42" s="63" t="s">
        <v>7531</v>
      </c>
      <c r="S42" s="63" t="s">
        <v>15548</v>
      </c>
      <c r="T42" s="63" t="s">
        <v>15549</v>
      </c>
      <c r="U42" s="63" t="s">
        <v>7518</v>
      </c>
      <c r="V42" s="63" t="s">
        <v>17245</v>
      </c>
      <c r="W42" s="63" t="s">
        <v>7526</v>
      </c>
      <c r="X42" s="63" t="s">
        <v>7534</v>
      </c>
      <c r="Y42" s="63" t="s">
        <v>15550</v>
      </c>
      <c r="Z42" s="63" t="s">
        <v>7536</v>
      </c>
      <c r="AA42" s="63" t="s">
        <v>17246</v>
      </c>
      <c r="AB42" s="63" t="s">
        <v>7538</v>
      </c>
      <c r="AC42" s="63" t="s">
        <v>15551</v>
      </c>
      <c r="AD42" s="57"/>
    </row>
    <row r="43">
      <c r="A43" s="62" t="s">
        <v>17247</v>
      </c>
      <c r="B43" s="63" t="s">
        <v>7541</v>
      </c>
      <c r="C43" s="64" t="s">
        <v>7542</v>
      </c>
      <c r="D43" s="63" t="s">
        <v>7543</v>
      </c>
      <c r="E43" s="63" t="s">
        <v>7544</v>
      </c>
      <c r="F43" s="63" t="s">
        <v>17248</v>
      </c>
      <c r="G43" s="63" t="s">
        <v>7546</v>
      </c>
      <c r="H43" s="63" t="s">
        <v>15552</v>
      </c>
      <c r="I43" s="63" t="s">
        <v>17249</v>
      </c>
      <c r="J43" s="63" t="s">
        <v>17250</v>
      </c>
      <c r="K43" s="63" t="s">
        <v>7550</v>
      </c>
      <c r="L43" s="63" t="s">
        <v>7551</v>
      </c>
      <c r="M43" s="63" t="s">
        <v>7552</v>
      </c>
      <c r="N43" s="63" t="s">
        <v>7553</v>
      </c>
      <c r="O43" s="63" t="s">
        <v>15553</v>
      </c>
      <c r="P43" s="63" t="s">
        <v>7555</v>
      </c>
      <c r="Q43" s="63" t="s">
        <v>7556</v>
      </c>
      <c r="R43" s="63" t="s">
        <v>15554</v>
      </c>
      <c r="S43" s="63" t="s">
        <v>15555</v>
      </c>
      <c r="T43" s="63" t="s">
        <v>7551</v>
      </c>
      <c r="U43" s="63" t="s">
        <v>7559</v>
      </c>
      <c r="V43" s="63" t="s">
        <v>7560</v>
      </c>
      <c r="W43" s="63" t="s">
        <v>7561</v>
      </c>
      <c r="X43" s="63" t="s">
        <v>7562</v>
      </c>
      <c r="Y43" s="63" t="s">
        <v>15556</v>
      </c>
      <c r="Z43" s="63" t="s">
        <v>7564</v>
      </c>
      <c r="AA43" s="63" t="s">
        <v>15557</v>
      </c>
      <c r="AB43" s="63" t="s">
        <v>7566</v>
      </c>
      <c r="AC43" s="63" t="s">
        <v>7567</v>
      </c>
      <c r="AD43" s="57"/>
    </row>
    <row r="44">
      <c r="A44" s="62" t="s">
        <v>17251</v>
      </c>
      <c r="B44" s="63" t="s">
        <v>7569</v>
      </c>
      <c r="C44" s="64" t="s">
        <v>17252</v>
      </c>
      <c r="D44" s="63" t="s">
        <v>7571</v>
      </c>
      <c r="E44" s="63" t="s">
        <v>7572</v>
      </c>
      <c r="F44" s="63" t="s">
        <v>7573</v>
      </c>
      <c r="G44" s="63" t="s">
        <v>7574</v>
      </c>
      <c r="H44" s="63" t="s">
        <v>15558</v>
      </c>
      <c r="I44" s="63" t="s">
        <v>7576</v>
      </c>
      <c r="J44" s="63" t="s">
        <v>7577</v>
      </c>
      <c r="K44" s="63" t="s">
        <v>7578</v>
      </c>
      <c r="L44" s="63" t="s">
        <v>7579</v>
      </c>
      <c r="M44" s="63" t="s">
        <v>7580</v>
      </c>
      <c r="N44" s="63" t="s">
        <v>7581</v>
      </c>
      <c r="O44" s="63" t="s">
        <v>15559</v>
      </c>
      <c r="P44" s="63" t="s">
        <v>17253</v>
      </c>
      <c r="Q44" s="63" t="s">
        <v>7584</v>
      </c>
      <c r="R44" s="63" t="s">
        <v>7585</v>
      </c>
      <c r="S44" s="63" t="s">
        <v>15560</v>
      </c>
      <c r="T44" s="63" t="s">
        <v>15561</v>
      </c>
      <c r="U44" s="63" t="s">
        <v>7588</v>
      </c>
      <c r="V44" s="63" t="s">
        <v>7589</v>
      </c>
      <c r="W44" s="63" t="s">
        <v>7590</v>
      </c>
      <c r="X44" s="63" t="s">
        <v>15562</v>
      </c>
      <c r="Y44" s="63" t="s">
        <v>7592</v>
      </c>
      <c r="Z44" s="63" t="s">
        <v>7593</v>
      </c>
      <c r="AA44" s="63" t="s">
        <v>15563</v>
      </c>
      <c r="AB44" s="63" t="s">
        <v>7595</v>
      </c>
      <c r="AC44" s="63" t="s">
        <v>7596</v>
      </c>
      <c r="AD44" s="57"/>
    </row>
    <row r="45">
      <c r="A45" s="62" t="s">
        <v>17254</v>
      </c>
      <c r="B45" s="63" t="s">
        <v>7598</v>
      </c>
      <c r="C45" s="64" t="s">
        <v>7599</v>
      </c>
      <c r="D45" s="63" t="s">
        <v>7600</v>
      </c>
      <c r="E45" s="63" t="s">
        <v>7601</v>
      </c>
      <c r="F45" s="63" t="s">
        <v>7602</v>
      </c>
      <c r="G45" s="63" t="s">
        <v>7603</v>
      </c>
      <c r="H45" s="63" t="s">
        <v>15565</v>
      </c>
      <c r="I45" s="63" t="s">
        <v>17255</v>
      </c>
      <c r="J45" s="63" t="s">
        <v>7606</v>
      </c>
      <c r="K45" s="63" t="s">
        <v>7607</v>
      </c>
      <c r="L45" s="63" t="s">
        <v>7608</v>
      </c>
      <c r="M45" s="63" t="s">
        <v>7609</v>
      </c>
      <c r="N45" s="63" t="s">
        <v>15566</v>
      </c>
      <c r="O45" s="63" t="s">
        <v>15567</v>
      </c>
      <c r="P45" s="63" t="s">
        <v>15568</v>
      </c>
      <c r="Q45" s="63" t="s">
        <v>7613</v>
      </c>
      <c r="R45" s="63" t="s">
        <v>7614</v>
      </c>
      <c r="S45" s="63" t="s">
        <v>15569</v>
      </c>
      <c r="T45" s="63" t="s">
        <v>15570</v>
      </c>
      <c r="U45" s="63" t="s">
        <v>15571</v>
      </c>
      <c r="V45" s="63" t="s">
        <v>7617</v>
      </c>
      <c r="W45" s="63" t="s">
        <v>7618</v>
      </c>
      <c r="X45" s="63" t="s">
        <v>17256</v>
      </c>
      <c r="Y45" s="63" t="s">
        <v>15572</v>
      </c>
      <c r="Z45" s="63" t="s">
        <v>15573</v>
      </c>
      <c r="AA45" s="63" t="s">
        <v>15574</v>
      </c>
      <c r="AB45" s="63" t="s">
        <v>15575</v>
      </c>
      <c r="AC45" s="63" t="s">
        <v>7624</v>
      </c>
      <c r="AD45" s="57"/>
    </row>
    <row r="46">
      <c r="A46" s="62" t="s">
        <v>17257</v>
      </c>
      <c r="B46" s="63" t="s">
        <v>7626</v>
      </c>
      <c r="C46" s="64" t="s">
        <v>7627</v>
      </c>
      <c r="D46" s="63" t="s">
        <v>7626</v>
      </c>
      <c r="E46" s="63" t="s">
        <v>15576</v>
      </c>
      <c r="F46" s="63" t="s">
        <v>7628</v>
      </c>
      <c r="G46" s="63" t="s">
        <v>15577</v>
      </c>
      <c r="H46" s="63" t="s">
        <v>7626</v>
      </c>
      <c r="I46" s="63" t="s">
        <v>7626</v>
      </c>
      <c r="J46" s="63" t="s">
        <v>15578</v>
      </c>
      <c r="K46" s="63" t="s">
        <v>7629</v>
      </c>
      <c r="L46" s="63" t="s">
        <v>7635</v>
      </c>
      <c r="M46" s="63" t="s">
        <v>15579</v>
      </c>
      <c r="N46" s="63" t="s">
        <v>15580</v>
      </c>
      <c r="O46" s="63" t="s">
        <v>7631</v>
      </c>
      <c r="P46" s="63" t="s">
        <v>15581</v>
      </c>
      <c r="Q46" s="63" t="s">
        <v>15582</v>
      </c>
      <c r="R46" s="63" t="s">
        <v>7634</v>
      </c>
      <c r="S46" s="63" t="s">
        <v>15583</v>
      </c>
      <c r="T46" s="63" t="s">
        <v>7626</v>
      </c>
      <c r="U46" s="63" t="s">
        <v>7635</v>
      </c>
      <c r="V46" s="63" t="s">
        <v>15584</v>
      </c>
      <c r="W46" s="63" t="s">
        <v>7635</v>
      </c>
      <c r="X46" s="63" t="s">
        <v>15585</v>
      </c>
      <c r="Y46" s="63" t="s">
        <v>7637</v>
      </c>
      <c r="Z46" s="63" t="s">
        <v>7626</v>
      </c>
      <c r="AA46" s="63" t="s">
        <v>17258</v>
      </c>
      <c r="AB46" s="63" t="s">
        <v>7639</v>
      </c>
      <c r="AC46" s="63" t="s">
        <v>7640</v>
      </c>
      <c r="AD46" s="57"/>
    </row>
    <row r="47">
      <c r="A47" s="62" t="s">
        <v>17259</v>
      </c>
      <c r="B47" s="63" t="s">
        <v>7642</v>
      </c>
      <c r="C47" s="64" t="s">
        <v>7643</v>
      </c>
      <c r="D47" s="63" t="s">
        <v>15587</v>
      </c>
      <c r="E47" s="63" t="s">
        <v>7644</v>
      </c>
      <c r="F47" s="63" t="s">
        <v>15588</v>
      </c>
      <c r="G47" s="63" t="s">
        <v>7646</v>
      </c>
      <c r="H47" s="63" t="s">
        <v>15589</v>
      </c>
      <c r="I47" s="63" t="s">
        <v>15590</v>
      </c>
      <c r="J47" s="63" t="s">
        <v>7649</v>
      </c>
      <c r="K47" s="63" t="s">
        <v>7650</v>
      </c>
      <c r="L47" s="63" t="s">
        <v>7651</v>
      </c>
      <c r="M47" s="63" t="s">
        <v>7652</v>
      </c>
      <c r="N47" s="63" t="s">
        <v>15591</v>
      </c>
      <c r="O47" s="63" t="s">
        <v>7654</v>
      </c>
      <c r="P47" s="63" t="s">
        <v>7655</v>
      </c>
      <c r="Q47" s="63" t="s">
        <v>7656</v>
      </c>
      <c r="R47" s="63" t="s">
        <v>7657</v>
      </c>
      <c r="S47" s="63" t="s">
        <v>15592</v>
      </c>
      <c r="T47" s="63" t="s">
        <v>7651</v>
      </c>
      <c r="U47" s="63" t="s">
        <v>7659</v>
      </c>
      <c r="V47" s="63" t="s">
        <v>7660</v>
      </c>
      <c r="W47" s="63" t="s">
        <v>7661</v>
      </c>
      <c r="X47" s="63" t="s">
        <v>7662</v>
      </c>
      <c r="Y47" s="63" t="s">
        <v>15593</v>
      </c>
      <c r="Z47" s="63" t="s">
        <v>15594</v>
      </c>
      <c r="AA47" s="63" t="s">
        <v>15595</v>
      </c>
      <c r="AB47" s="63" t="s">
        <v>7665</v>
      </c>
      <c r="AC47" s="63" t="s">
        <v>15596</v>
      </c>
      <c r="AD47" s="57"/>
    </row>
    <row r="48">
      <c r="A48" s="62" t="s">
        <v>17260</v>
      </c>
      <c r="B48" s="63" t="s">
        <v>7668</v>
      </c>
      <c r="C48" s="64" t="s">
        <v>17261</v>
      </c>
      <c r="D48" s="63" t="s">
        <v>7670</v>
      </c>
      <c r="E48" s="63" t="s">
        <v>7671</v>
      </c>
      <c r="F48" s="63" t="s">
        <v>7672</v>
      </c>
      <c r="G48" s="63" t="s">
        <v>7673</v>
      </c>
      <c r="H48" s="63" t="s">
        <v>15597</v>
      </c>
      <c r="I48" s="63" t="s">
        <v>17262</v>
      </c>
      <c r="J48" s="63" t="s">
        <v>7676</v>
      </c>
      <c r="K48" s="63" t="s">
        <v>7677</v>
      </c>
      <c r="L48" s="63" t="s">
        <v>7674</v>
      </c>
      <c r="M48" s="63" t="s">
        <v>7673</v>
      </c>
      <c r="N48" s="63" t="s">
        <v>17263</v>
      </c>
      <c r="O48" s="63" t="s">
        <v>7679</v>
      </c>
      <c r="P48" s="63" t="s">
        <v>15598</v>
      </c>
      <c r="Q48" s="63" t="s">
        <v>7681</v>
      </c>
      <c r="R48" s="63" t="s">
        <v>7682</v>
      </c>
      <c r="S48" s="63" t="s">
        <v>15599</v>
      </c>
      <c r="T48" s="63" t="s">
        <v>7674</v>
      </c>
      <c r="U48" s="63" t="s">
        <v>7684</v>
      </c>
      <c r="V48" s="63" t="s">
        <v>7685</v>
      </c>
      <c r="W48" s="63" t="s">
        <v>7673</v>
      </c>
      <c r="X48" s="63" t="s">
        <v>17264</v>
      </c>
      <c r="Y48" s="63" t="s">
        <v>7687</v>
      </c>
      <c r="Z48" s="63" t="s">
        <v>17265</v>
      </c>
      <c r="AA48" s="63" t="s">
        <v>15600</v>
      </c>
      <c r="AB48" s="63" t="s">
        <v>7690</v>
      </c>
      <c r="AC48" s="63" t="s">
        <v>17266</v>
      </c>
      <c r="AD48" s="57"/>
    </row>
    <row r="49">
      <c r="A49" s="62" t="s">
        <v>17267</v>
      </c>
      <c r="B49" s="63" t="s">
        <v>7693</v>
      </c>
      <c r="C49" s="64" t="s">
        <v>7694</v>
      </c>
      <c r="D49" s="63" t="s">
        <v>15601</v>
      </c>
      <c r="E49" s="63" t="s">
        <v>7693</v>
      </c>
      <c r="F49" s="63" t="s">
        <v>7695</v>
      </c>
      <c r="G49" s="63" t="s">
        <v>15602</v>
      </c>
      <c r="H49" s="63" t="s">
        <v>15603</v>
      </c>
      <c r="I49" s="63" t="s">
        <v>15604</v>
      </c>
      <c r="J49" s="63" t="s">
        <v>7693</v>
      </c>
      <c r="K49" s="63" t="s">
        <v>7698</v>
      </c>
      <c r="L49" s="63" t="s">
        <v>7693</v>
      </c>
      <c r="M49" s="63" t="s">
        <v>7693</v>
      </c>
      <c r="N49" s="63" t="s">
        <v>15605</v>
      </c>
      <c r="O49" s="63" t="s">
        <v>7700</v>
      </c>
      <c r="P49" s="63" t="s">
        <v>7701</v>
      </c>
      <c r="Q49" s="63" t="s">
        <v>15606</v>
      </c>
      <c r="R49" s="63" t="s">
        <v>15607</v>
      </c>
      <c r="S49" s="63" t="s">
        <v>15608</v>
      </c>
      <c r="T49" s="63" t="s">
        <v>7693</v>
      </c>
      <c r="U49" s="63" t="s">
        <v>7693</v>
      </c>
      <c r="V49" s="63" t="s">
        <v>7693</v>
      </c>
      <c r="W49" s="63" t="s">
        <v>7693</v>
      </c>
      <c r="X49" s="63" t="s">
        <v>15609</v>
      </c>
      <c r="Y49" s="63" t="s">
        <v>15610</v>
      </c>
      <c r="Z49" s="63" t="s">
        <v>15611</v>
      </c>
      <c r="AA49" s="63" t="s">
        <v>15612</v>
      </c>
      <c r="AB49" s="63" t="s">
        <v>15613</v>
      </c>
      <c r="AC49" s="63" t="s">
        <v>7708</v>
      </c>
      <c r="AD49" s="57"/>
    </row>
    <row r="50">
      <c r="A50" s="62" t="s">
        <v>17268</v>
      </c>
      <c r="B50" s="63" t="s">
        <v>7710</v>
      </c>
      <c r="C50" s="64" t="s">
        <v>7711</v>
      </c>
      <c r="D50" s="63" t="s">
        <v>7710</v>
      </c>
      <c r="E50" s="63" t="s">
        <v>7710</v>
      </c>
      <c r="F50" s="63" t="s">
        <v>7712</v>
      </c>
      <c r="G50" s="63" t="s">
        <v>15614</v>
      </c>
      <c r="H50" s="63" t="s">
        <v>7709</v>
      </c>
      <c r="I50" s="63" t="s">
        <v>7709</v>
      </c>
      <c r="J50" s="63" t="s">
        <v>7710</v>
      </c>
      <c r="K50" s="63" t="s">
        <v>7713</v>
      </c>
      <c r="L50" s="63" t="s">
        <v>7710</v>
      </c>
      <c r="M50" s="63" t="s">
        <v>7710</v>
      </c>
      <c r="N50" s="63" t="s">
        <v>15615</v>
      </c>
      <c r="O50" s="63" t="s">
        <v>15616</v>
      </c>
      <c r="P50" s="63" t="s">
        <v>15617</v>
      </c>
      <c r="Q50" s="63" t="s">
        <v>7716</v>
      </c>
      <c r="R50" s="63" t="s">
        <v>15618</v>
      </c>
      <c r="S50" s="63" t="s">
        <v>7709</v>
      </c>
      <c r="T50" s="63" t="s">
        <v>7710</v>
      </c>
      <c r="U50" s="63" t="s">
        <v>15619</v>
      </c>
      <c r="V50" s="63" t="s">
        <v>7710</v>
      </c>
      <c r="W50" s="63" t="s">
        <v>7710</v>
      </c>
      <c r="X50" s="63" t="s">
        <v>7718</v>
      </c>
      <c r="Y50" s="63" t="s">
        <v>15620</v>
      </c>
      <c r="Z50" s="63" t="s">
        <v>15621</v>
      </c>
      <c r="AA50" s="63" t="s">
        <v>15622</v>
      </c>
      <c r="AB50" s="63" t="s">
        <v>7721</v>
      </c>
      <c r="AC50" s="63" t="s">
        <v>7722</v>
      </c>
      <c r="AD50" s="57"/>
    </row>
    <row r="51">
      <c r="A51" s="62" t="s">
        <v>17269</v>
      </c>
      <c r="B51" s="63" t="s">
        <v>7724</v>
      </c>
      <c r="C51" s="64" t="s">
        <v>7725</v>
      </c>
      <c r="D51" s="63" t="s">
        <v>7726</v>
      </c>
      <c r="E51" s="63" t="s">
        <v>7727</v>
      </c>
      <c r="F51" s="63" t="s">
        <v>7728</v>
      </c>
      <c r="G51" s="63" t="s">
        <v>7729</v>
      </c>
      <c r="H51" s="63" t="s">
        <v>15623</v>
      </c>
      <c r="I51" s="63" t="s">
        <v>7731</v>
      </c>
      <c r="J51" s="63" t="s">
        <v>17270</v>
      </c>
      <c r="K51" s="63" t="s">
        <v>7733</v>
      </c>
      <c r="L51" s="63" t="s">
        <v>7734</v>
      </c>
      <c r="M51" s="63" t="s">
        <v>7735</v>
      </c>
      <c r="N51" s="63" t="s">
        <v>7736</v>
      </c>
      <c r="O51" s="63" t="s">
        <v>15624</v>
      </c>
      <c r="P51" s="63" t="s">
        <v>7738</v>
      </c>
      <c r="Q51" s="63" t="s">
        <v>7739</v>
      </c>
      <c r="R51" s="63" t="s">
        <v>15625</v>
      </c>
      <c r="S51" s="63" t="s">
        <v>15626</v>
      </c>
      <c r="T51" s="63" t="s">
        <v>7742</v>
      </c>
      <c r="U51" s="63" t="s">
        <v>17271</v>
      </c>
      <c r="V51" s="63" t="s">
        <v>17272</v>
      </c>
      <c r="W51" s="63" t="s">
        <v>7745</v>
      </c>
      <c r="X51" s="63" t="s">
        <v>17273</v>
      </c>
      <c r="Y51" s="63" t="s">
        <v>7747</v>
      </c>
      <c r="Z51" s="63" t="s">
        <v>7748</v>
      </c>
      <c r="AA51" s="63" t="s">
        <v>7749</v>
      </c>
      <c r="AB51" s="63" t="s">
        <v>7750</v>
      </c>
      <c r="AC51" s="63" t="s">
        <v>11703</v>
      </c>
      <c r="AD51" s="57"/>
    </row>
    <row r="52">
      <c r="A52" s="62" t="s">
        <v>17274</v>
      </c>
      <c r="B52" s="63" t="s">
        <v>7753</v>
      </c>
      <c r="C52" s="64" t="s">
        <v>15627</v>
      </c>
      <c r="D52" s="63" t="s">
        <v>7755</v>
      </c>
      <c r="E52" s="63" t="s">
        <v>7756</v>
      </c>
      <c r="F52" s="63" t="s">
        <v>17275</v>
      </c>
      <c r="G52" s="63" t="s">
        <v>7758</v>
      </c>
      <c r="H52" s="63" t="s">
        <v>15628</v>
      </c>
      <c r="I52" s="63" t="s">
        <v>7760</v>
      </c>
      <c r="J52" s="63" t="s">
        <v>7761</v>
      </c>
      <c r="K52" s="63" t="s">
        <v>7762</v>
      </c>
      <c r="L52" s="63" t="s">
        <v>7763</v>
      </c>
      <c r="M52" s="63" t="s">
        <v>7764</v>
      </c>
      <c r="N52" s="63" t="s">
        <v>17276</v>
      </c>
      <c r="O52" s="63" t="s">
        <v>7766</v>
      </c>
      <c r="P52" s="63" t="s">
        <v>15629</v>
      </c>
      <c r="Q52" s="63" t="s">
        <v>7768</v>
      </c>
      <c r="R52" s="63" t="s">
        <v>7769</v>
      </c>
      <c r="S52" s="63" t="s">
        <v>15630</v>
      </c>
      <c r="T52" s="63" t="s">
        <v>15631</v>
      </c>
      <c r="U52" s="63" t="s">
        <v>7772</v>
      </c>
      <c r="V52" s="63" t="s">
        <v>17277</v>
      </c>
      <c r="W52" s="63" t="s">
        <v>7758</v>
      </c>
      <c r="X52" s="63" t="s">
        <v>15632</v>
      </c>
      <c r="Y52" s="63" t="s">
        <v>15633</v>
      </c>
      <c r="Z52" s="63" t="s">
        <v>7776</v>
      </c>
      <c r="AA52" s="63" t="s">
        <v>15634</v>
      </c>
      <c r="AB52" s="63" t="s">
        <v>15635</v>
      </c>
      <c r="AC52" s="63" t="s">
        <v>7779</v>
      </c>
      <c r="AD52" s="57"/>
    </row>
    <row r="53">
      <c r="A53" s="62" t="s">
        <v>17278</v>
      </c>
      <c r="B53" s="63" t="s">
        <v>7781</v>
      </c>
      <c r="C53" s="64" t="s">
        <v>15636</v>
      </c>
      <c r="D53" s="63" t="s">
        <v>7783</v>
      </c>
      <c r="E53" s="63" t="s">
        <v>7784</v>
      </c>
      <c r="F53" s="63" t="s">
        <v>15637</v>
      </c>
      <c r="G53" s="63" t="s">
        <v>7786</v>
      </c>
      <c r="H53" s="63" t="s">
        <v>7787</v>
      </c>
      <c r="I53" s="63" t="s">
        <v>7788</v>
      </c>
      <c r="J53" s="63" t="s">
        <v>7789</v>
      </c>
      <c r="K53" s="63" t="s">
        <v>7790</v>
      </c>
      <c r="L53" s="63" t="s">
        <v>7799</v>
      </c>
      <c r="M53" s="63" t="s">
        <v>7792</v>
      </c>
      <c r="N53" s="63" t="s">
        <v>7793</v>
      </c>
      <c r="O53" s="63" t="s">
        <v>7794</v>
      </c>
      <c r="P53" s="63" t="s">
        <v>15638</v>
      </c>
      <c r="Q53" s="63" t="s">
        <v>7796</v>
      </c>
      <c r="R53" s="63" t="s">
        <v>7797</v>
      </c>
      <c r="S53" s="63" t="s">
        <v>15639</v>
      </c>
      <c r="T53" s="63" t="s">
        <v>7799</v>
      </c>
      <c r="U53" s="63" t="s">
        <v>7784</v>
      </c>
      <c r="V53" s="63" t="s">
        <v>7800</v>
      </c>
      <c r="W53" s="63" t="s">
        <v>7801</v>
      </c>
      <c r="X53" s="63" t="s">
        <v>7802</v>
      </c>
      <c r="Y53" s="63" t="s">
        <v>7803</v>
      </c>
      <c r="Z53" s="63" t="s">
        <v>15640</v>
      </c>
      <c r="AA53" s="63" t="s">
        <v>15641</v>
      </c>
      <c r="AB53" s="63" t="s">
        <v>7806</v>
      </c>
      <c r="AC53" s="63" t="s">
        <v>7807</v>
      </c>
      <c r="AD53" s="57"/>
    </row>
    <row r="54">
      <c r="A54" s="62" t="s">
        <v>17279</v>
      </c>
      <c r="B54" s="63" t="s">
        <v>7809</v>
      </c>
      <c r="C54" s="64" t="s">
        <v>7810</v>
      </c>
      <c r="D54" s="63" t="s">
        <v>7811</v>
      </c>
      <c r="E54" s="63" t="s">
        <v>7809</v>
      </c>
      <c r="F54" s="63" t="s">
        <v>7812</v>
      </c>
      <c r="G54" s="63" t="s">
        <v>7808</v>
      </c>
      <c r="H54" s="63" t="s">
        <v>7808</v>
      </c>
      <c r="I54" s="63" t="s">
        <v>7808</v>
      </c>
      <c r="J54" s="63" t="s">
        <v>7808</v>
      </c>
      <c r="K54" s="63" t="s">
        <v>7814</v>
      </c>
      <c r="L54" s="63" t="s">
        <v>7809</v>
      </c>
      <c r="M54" s="63" t="s">
        <v>7808</v>
      </c>
      <c r="N54" s="63" t="s">
        <v>7815</v>
      </c>
      <c r="O54" s="63" t="s">
        <v>7816</v>
      </c>
      <c r="P54" s="63" t="s">
        <v>7817</v>
      </c>
      <c r="Q54" s="63" t="s">
        <v>7818</v>
      </c>
      <c r="R54" s="63" t="s">
        <v>7819</v>
      </c>
      <c r="S54" s="63" t="s">
        <v>7808</v>
      </c>
      <c r="T54" s="63" t="s">
        <v>7809</v>
      </c>
      <c r="U54" s="63" t="s">
        <v>7809</v>
      </c>
      <c r="V54" s="63" t="s">
        <v>7821</v>
      </c>
      <c r="W54" s="63" t="s">
        <v>7808</v>
      </c>
      <c r="X54" s="63" t="s">
        <v>7822</v>
      </c>
      <c r="Y54" s="63" t="s">
        <v>15642</v>
      </c>
      <c r="Z54" s="63" t="s">
        <v>7824</v>
      </c>
      <c r="AA54" s="63" t="s">
        <v>7825</v>
      </c>
      <c r="AB54" s="63" t="s">
        <v>7826</v>
      </c>
      <c r="AC54" s="63" t="s">
        <v>7827</v>
      </c>
      <c r="AD54" s="57"/>
    </row>
    <row r="55">
      <c r="A55" s="62" t="s">
        <v>17280</v>
      </c>
      <c r="B55" s="63" t="s">
        <v>7829</v>
      </c>
      <c r="C55" s="64" t="s">
        <v>7830</v>
      </c>
      <c r="D55" s="63" t="s">
        <v>7831</v>
      </c>
      <c r="E55" s="63" t="s">
        <v>7832</v>
      </c>
      <c r="F55" s="63" t="s">
        <v>17281</v>
      </c>
      <c r="G55" s="63" t="s">
        <v>7834</v>
      </c>
      <c r="H55" s="63" t="s">
        <v>15643</v>
      </c>
      <c r="I55" s="63" t="s">
        <v>15644</v>
      </c>
      <c r="J55" s="63" t="s">
        <v>7837</v>
      </c>
      <c r="K55" s="63" t="s">
        <v>7838</v>
      </c>
      <c r="L55" s="63" t="s">
        <v>7839</v>
      </c>
      <c r="M55" s="63" t="s">
        <v>7840</v>
      </c>
      <c r="N55" s="63" t="s">
        <v>7841</v>
      </c>
      <c r="O55" s="63" t="s">
        <v>7842</v>
      </c>
      <c r="P55" s="63" t="s">
        <v>17282</v>
      </c>
      <c r="Q55" s="63" t="s">
        <v>17283</v>
      </c>
      <c r="R55" s="63" t="s">
        <v>15645</v>
      </c>
      <c r="S55" s="63" t="s">
        <v>15646</v>
      </c>
      <c r="T55" s="63" t="s">
        <v>15647</v>
      </c>
      <c r="U55" s="63" t="s">
        <v>7847</v>
      </c>
      <c r="V55" s="63" t="s">
        <v>7848</v>
      </c>
      <c r="W55" s="63" t="s">
        <v>7849</v>
      </c>
      <c r="X55" s="63" t="s">
        <v>15648</v>
      </c>
      <c r="Y55" s="63" t="s">
        <v>7851</v>
      </c>
      <c r="Z55" s="63" t="s">
        <v>7852</v>
      </c>
      <c r="AA55" s="63" t="s">
        <v>15649</v>
      </c>
      <c r="AB55" s="63" t="s">
        <v>7854</v>
      </c>
      <c r="AC55" s="63" t="s">
        <v>7855</v>
      </c>
      <c r="AD55" s="57"/>
    </row>
    <row r="56">
      <c r="A56" s="62" t="s">
        <v>17284</v>
      </c>
      <c r="B56" s="63" t="s">
        <v>7857</v>
      </c>
      <c r="C56" s="64" t="s">
        <v>17285</v>
      </c>
      <c r="D56" s="63" t="s">
        <v>7859</v>
      </c>
      <c r="E56" s="63" t="s">
        <v>7860</v>
      </c>
      <c r="F56" s="63" t="s">
        <v>7861</v>
      </c>
      <c r="G56" s="63" t="s">
        <v>7862</v>
      </c>
      <c r="H56" s="63" t="s">
        <v>15650</v>
      </c>
      <c r="I56" s="63" t="s">
        <v>17286</v>
      </c>
      <c r="J56" s="63" t="s">
        <v>7865</v>
      </c>
      <c r="K56" s="63" t="s">
        <v>7866</v>
      </c>
      <c r="L56" s="63" t="s">
        <v>7867</v>
      </c>
      <c r="M56" s="63" t="s">
        <v>17287</v>
      </c>
      <c r="N56" s="63" t="s">
        <v>17288</v>
      </c>
      <c r="O56" s="63" t="s">
        <v>7870</v>
      </c>
      <c r="P56" s="63" t="s">
        <v>15651</v>
      </c>
      <c r="Q56" s="63" t="s">
        <v>7872</v>
      </c>
      <c r="R56" s="63" t="s">
        <v>7873</v>
      </c>
      <c r="S56" s="63" t="s">
        <v>15652</v>
      </c>
      <c r="T56" s="63" t="s">
        <v>7867</v>
      </c>
      <c r="U56" s="63" t="s">
        <v>7875</v>
      </c>
      <c r="V56" s="63" t="s">
        <v>17289</v>
      </c>
      <c r="W56" s="63" t="s">
        <v>7877</v>
      </c>
      <c r="X56" s="63" t="s">
        <v>17290</v>
      </c>
      <c r="Y56" s="63" t="s">
        <v>15653</v>
      </c>
      <c r="Z56" s="63" t="s">
        <v>7880</v>
      </c>
      <c r="AA56" s="63" t="s">
        <v>7881</v>
      </c>
      <c r="AB56" s="63" t="s">
        <v>7882</v>
      </c>
      <c r="AC56" s="63" t="s">
        <v>15654</v>
      </c>
      <c r="AD56" s="57"/>
    </row>
    <row r="57">
      <c r="A57" s="62" t="s">
        <v>17291</v>
      </c>
      <c r="B57" s="63" t="s">
        <v>7885</v>
      </c>
      <c r="C57" s="64" t="s">
        <v>7886</v>
      </c>
      <c r="D57" s="63" t="s">
        <v>7887</v>
      </c>
      <c r="E57" s="63" t="s">
        <v>7888</v>
      </c>
      <c r="F57" s="63" t="s">
        <v>17292</v>
      </c>
      <c r="G57" s="63" t="s">
        <v>7890</v>
      </c>
      <c r="H57" s="63" t="s">
        <v>15655</v>
      </c>
      <c r="I57" s="63" t="s">
        <v>17293</v>
      </c>
      <c r="J57" s="63" t="s">
        <v>7893</v>
      </c>
      <c r="K57" s="63" t="s">
        <v>15656</v>
      </c>
      <c r="L57" s="63" t="s">
        <v>7895</v>
      </c>
      <c r="M57" s="63" t="s">
        <v>7896</v>
      </c>
      <c r="N57" s="63" t="s">
        <v>7897</v>
      </c>
      <c r="O57" s="63" t="s">
        <v>7898</v>
      </c>
      <c r="P57" s="63" t="s">
        <v>7899</v>
      </c>
      <c r="Q57" s="63" t="s">
        <v>7900</v>
      </c>
      <c r="R57" s="63" t="s">
        <v>15657</v>
      </c>
      <c r="S57" s="63" t="s">
        <v>15658</v>
      </c>
      <c r="T57" s="63" t="s">
        <v>7895</v>
      </c>
      <c r="U57" s="63" t="s">
        <v>7903</v>
      </c>
      <c r="V57" s="63" t="s">
        <v>17294</v>
      </c>
      <c r="W57" s="63" t="s">
        <v>7905</v>
      </c>
      <c r="X57" s="63" t="s">
        <v>7906</v>
      </c>
      <c r="Y57" s="63" t="s">
        <v>7907</v>
      </c>
      <c r="Z57" s="63" t="s">
        <v>7908</v>
      </c>
      <c r="AA57" s="63" t="s">
        <v>15659</v>
      </c>
      <c r="AB57" s="63" t="s">
        <v>7910</v>
      </c>
      <c r="AC57" s="63" t="s">
        <v>7911</v>
      </c>
      <c r="AD57" s="57"/>
    </row>
    <row r="58">
      <c r="A58" s="62" t="s">
        <v>17295</v>
      </c>
      <c r="B58" s="63" t="s">
        <v>7913</v>
      </c>
      <c r="C58" s="64" t="s">
        <v>7914</v>
      </c>
      <c r="D58" s="63" t="s">
        <v>15660</v>
      </c>
      <c r="E58" s="63" t="s">
        <v>7916</v>
      </c>
      <c r="F58" s="63" t="s">
        <v>7917</v>
      </c>
      <c r="G58" s="63" t="s">
        <v>7918</v>
      </c>
      <c r="H58" s="63" t="s">
        <v>15661</v>
      </c>
      <c r="I58" s="63" t="s">
        <v>17296</v>
      </c>
      <c r="J58" s="63" t="s">
        <v>7921</v>
      </c>
      <c r="K58" s="63" t="s">
        <v>7922</v>
      </c>
      <c r="L58" s="63" t="s">
        <v>7923</v>
      </c>
      <c r="M58" s="63" t="s">
        <v>7924</v>
      </c>
      <c r="N58" s="63" t="s">
        <v>7925</v>
      </c>
      <c r="O58" s="63" t="s">
        <v>7926</v>
      </c>
      <c r="P58" s="63" t="s">
        <v>15662</v>
      </c>
      <c r="Q58" s="63" t="s">
        <v>15663</v>
      </c>
      <c r="R58" s="63" t="s">
        <v>15664</v>
      </c>
      <c r="S58" s="63" t="s">
        <v>15665</v>
      </c>
      <c r="T58" s="63" t="s">
        <v>15666</v>
      </c>
      <c r="U58" s="63" t="s">
        <v>7932</v>
      </c>
      <c r="V58" s="63" t="s">
        <v>7933</v>
      </c>
      <c r="W58" s="63" t="s">
        <v>7934</v>
      </c>
      <c r="X58" s="63" t="s">
        <v>15667</v>
      </c>
      <c r="Y58" s="63" t="s">
        <v>7936</v>
      </c>
      <c r="Z58" s="63" t="s">
        <v>7937</v>
      </c>
      <c r="AA58" s="63" t="s">
        <v>15668</v>
      </c>
      <c r="AB58" s="63" t="s">
        <v>7939</v>
      </c>
      <c r="AC58" s="63" t="s">
        <v>7940</v>
      </c>
      <c r="AD58" s="57"/>
    </row>
    <row r="59">
      <c r="A59" s="62" t="s">
        <v>17297</v>
      </c>
      <c r="B59" s="63" t="s">
        <v>7942</v>
      </c>
      <c r="C59" s="64" t="s">
        <v>7943</v>
      </c>
      <c r="D59" s="63" t="s">
        <v>7944</v>
      </c>
      <c r="E59" s="63" t="s">
        <v>7945</v>
      </c>
      <c r="F59" s="63" t="s">
        <v>17298</v>
      </c>
      <c r="G59" s="63" t="s">
        <v>15670</v>
      </c>
      <c r="H59" s="63" t="s">
        <v>15671</v>
      </c>
      <c r="I59" s="63" t="s">
        <v>17299</v>
      </c>
      <c r="J59" s="63" t="s">
        <v>7950</v>
      </c>
      <c r="K59" s="63" t="s">
        <v>7951</v>
      </c>
      <c r="L59" s="63" t="s">
        <v>7952</v>
      </c>
      <c r="M59" s="63" t="s">
        <v>7953</v>
      </c>
      <c r="N59" s="63" t="s">
        <v>15672</v>
      </c>
      <c r="O59" s="63" t="s">
        <v>7955</v>
      </c>
      <c r="P59" s="63" t="s">
        <v>15673</v>
      </c>
      <c r="Q59" s="63" t="s">
        <v>7957</v>
      </c>
      <c r="R59" s="63" t="s">
        <v>15674</v>
      </c>
      <c r="S59" s="63" t="s">
        <v>15675</v>
      </c>
      <c r="T59" s="63" t="s">
        <v>15676</v>
      </c>
      <c r="U59" s="63" t="s">
        <v>15677</v>
      </c>
      <c r="V59" s="63" t="s">
        <v>7960</v>
      </c>
      <c r="W59" s="63" t="s">
        <v>7961</v>
      </c>
      <c r="X59" s="63" t="s">
        <v>7962</v>
      </c>
      <c r="Y59" s="63" t="s">
        <v>7963</v>
      </c>
      <c r="Z59" s="63" t="s">
        <v>17300</v>
      </c>
      <c r="AA59" s="63" t="s">
        <v>15679</v>
      </c>
      <c r="AB59" s="63" t="s">
        <v>15680</v>
      </c>
      <c r="AC59" s="63" t="s">
        <v>7967</v>
      </c>
      <c r="AD59" s="57"/>
    </row>
    <row r="60">
      <c r="A60" s="62" t="s">
        <v>17301</v>
      </c>
      <c r="B60" s="63" t="s">
        <v>7969</v>
      </c>
      <c r="C60" s="64" t="s">
        <v>7970</v>
      </c>
      <c r="D60" s="63" t="s">
        <v>7971</v>
      </c>
      <c r="E60" s="63" t="s">
        <v>7972</v>
      </c>
      <c r="F60" s="63" t="s">
        <v>7973</v>
      </c>
      <c r="G60" s="63" t="s">
        <v>7974</v>
      </c>
      <c r="H60" s="63" t="s">
        <v>15681</v>
      </c>
      <c r="I60" s="63" t="s">
        <v>17302</v>
      </c>
      <c r="J60" s="63" t="s">
        <v>7977</v>
      </c>
      <c r="K60" s="63" t="s">
        <v>7978</v>
      </c>
      <c r="L60" s="63" t="s">
        <v>7979</v>
      </c>
      <c r="M60" s="63" t="s">
        <v>7980</v>
      </c>
      <c r="N60" s="63" t="s">
        <v>17303</v>
      </c>
      <c r="O60" s="63" t="s">
        <v>7982</v>
      </c>
      <c r="P60" s="63" t="s">
        <v>15682</v>
      </c>
      <c r="Q60" s="63" t="s">
        <v>7984</v>
      </c>
      <c r="R60" s="63" t="s">
        <v>7985</v>
      </c>
      <c r="S60" s="63" t="s">
        <v>15683</v>
      </c>
      <c r="T60" s="63" t="s">
        <v>7979</v>
      </c>
      <c r="U60" s="63" t="s">
        <v>7987</v>
      </c>
      <c r="V60" s="63" t="s">
        <v>7988</v>
      </c>
      <c r="W60" s="63" t="s">
        <v>7989</v>
      </c>
      <c r="X60" s="63" t="s">
        <v>7990</v>
      </c>
      <c r="Y60" s="63" t="s">
        <v>15684</v>
      </c>
      <c r="Z60" s="63" t="s">
        <v>7992</v>
      </c>
      <c r="AA60" s="63" t="s">
        <v>15685</v>
      </c>
      <c r="AB60" s="63" t="s">
        <v>15686</v>
      </c>
      <c r="AC60" s="63" t="s">
        <v>7995</v>
      </c>
      <c r="AD60" s="57"/>
    </row>
    <row r="61">
      <c r="A61" s="62" t="s">
        <v>17304</v>
      </c>
      <c r="B61" s="63" t="s">
        <v>7997</v>
      </c>
      <c r="C61" s="64" t="s">
        <v>7998</v>
      </c>
      <c r="D61" s="63" t="s">
        <v>7999</v>
      </c>
      <c r="E61" s="63" t="s">
        <v>17305</v>
      </c>
      <c r="F61" s="63" t="s">
        <v>8001</v>
      </c>
      <c r="G61" s="63" t="s">
        <v>8002</v>
      </c>
      <c r="H61" s="63" t="s">
        <v>15687</v>
      </c>
      <c r="I61" s="63" t="s">
        <v>15688</v>
      </c>
      <c r="J61" s="63" t="s">
        <v>8005</v>
      </c>
      <c r="K61" s="63" t="s">
        <v>8006</v>
      </c>
      <c r="L61" s="63" t="s">
        <v>8007</v>
      </c>
      <c r="M61" s="63" t="s">
        <v>8008</v>
      </c>
      <c r="N61" s="63" t="s">
        <v>15689</v>
      </c>
      <c r="O61" s="63" t="s">
        <v>15690</v>
      </c>
      <c r="P61" s="63" t="s">
        <v>8011</v>
      </c>
      <c r="Q61" s="63" t="s">
        <v>8012</v>
      </c>
      <c r="R61" s="63" t="s">
        <v>8013</v>
      </c>
      <c r="S61" s="63" t="s">
        <v>15691</v>
      </c>
      <c r="T61" s="63" t="s">
        <v>15692</v>
      </c>
      <c r="U61" s="63" t="s">
        <v>8015</v>
      </c>
      <c r="V61" s="63" t="s">
        <v>17306</v>
      </c>
      <c r="W61" s="63" t="s">
        <v>8016</v>
      </c>
      <c r="X61" s="63" t="s">
        <v>17307</v>
      </c>
      <c r="Y61" s="63" t="s">
        <v>15693</v>
      </c>
      <c r="Z61" s="63" t="s">
        <v>8019</v>
      </c>
      <c r="AA61" s="63" t="s">
        <v>15694</v>
      </c>
      <c r="AB61" s="63" t="s">
        <v>15695</v>
      </c>
      <c r="AC61" s="63" t="s">
        <v>8022</v>
      </c>
      <c r="AD61" s="57"/>
    </row>
    <row r="62">
      <c r="A62" s="62" t="s">
        <v>17308</v>
      </c>
      <c r="B62" s="63" t="s">
        <v>8024</v>
      </c>
      <c r="C62" s="64" t="s">
        <v>17309</v>
      </c>
      <c r="D62" s="63" t="s">
        <v>8026</v>
      </c>
      <c r="E62" s="63" t="s">
        <v>17310</v>
      </c>
      <c r="F62" s="63" t="s">
        <v>8028</v>
      </c>
      <c r="G62" s="63" t="s">
        <v>8029</v>
      </c>
      <c r="H62" s="63" t="s">
        <v>15696</v>
      </c>
      <c r="I62" s="63" t="s">
        <v>17311</v>
      </c>
      <c r="J62" s="63" t="s">
        <v>8032</v>
      </c>
      <c r="K62" s="63" t="s">
        <v>8033</v>
      </c>
      <c r="L62" s="63" t="s">
        <v>8034</v>
      </c>
      <c r="M62" s="63" t="s">
        <v>17312</v>
      </c>
      <c r="N62" s="63" t="s">
        <v>8036</v>
      </c>
      <c r="O62" s="63" t="s">
        <v>8037</v>
      </c>
      <c r="P62" s="63" t="s">
        <v>15697</v>
      </c>
      <c r="Q62" s="63" t="s">
        <v>8039</v>
      </c>
      <c r="R62" s="63" t="s">
        <v>8040</v>
      </c>
      <c r="S62" s="63" t="s">
        <v>15698</v>
      </c>
      <c r="T62" s="63" t="s">
        <v>15699</v>
      </c>
      <c r="U62" s="63" t="s">
        <v>8024</v>
      </c>
      <c r="V62" s="63" t="s">
        <v>8042</v>
      </c>
      <c r="W62" s="63" t="s">
        <v>8043</v>
      </c>
      <c r="X62" s="63" t="s">
        <v>17313</v>
      </c>
      <c r="Y62" s="63" t="s">
        <v>8045</v>
      </c>
      <c r="Z62" s="63" t="s">
        <v>8046</v>
      </c>
      <c r="AA62" s="63" t="s">
        <v>15700</v>
      </c>
      <c r="AB62" s="63" t="s">
        <v>8048</v>
      </c>
      <c r="AC62" s="63" t="s">
        <v>17314</v>
      </c>
      <c r="AD62" s="57"/>
    </row>
    <row r="63">
      <c r="A63" s="62" t="s">
        <v>17315</v>
      </c>
      <c r="B63" s="63" t="s">
        <v>3191</v>
      </c>
      <c r="C63" s="64" t="s">
        <v>3192</v>
      </c>
      <c r="D63" s="63" t="s">
        <v>17316</v>
      </c>
      <c r="E63" s="63" t="s">
        <v>3194</v>
      </c>
      <c r="F63" s="63" t="s">
        <v>17317</v>
      </c>
      <c r="G63" s="63" t="s">
        <v>3196</v>
      </c>
      <c r="H63" s="63" t="s">
        <v>17318</v>
      </c>
      <c r="I63" s="63" t="s">
        <v>17319</v>
      </c>
      <c r="J63" s="63" t="s">
        <v>3199</v>
      </c>
      <c r="K63" s="63" t="s">
        <v>3200</v>
      </c>
      <c r="L63" s="63" t="s">
        <v>3201</v>
      </c>
      <c r="M63" s="63" t="s">
        <v>3202</v>
      </c>
      <c r="N63" s="63" t="s">
        <v>3203</v>
      </c>
      <c r="O63" s="63" t="s">
        <v>15701</v>
      </c>
      <c r="P63" s="63" t="s">
        <v>17320</v>
      </c>
      <c r="Q63" s="63" t="s">
        <v>3206</v>
      </c>
      <c r="R63" s="63" t="s">
        <v>3207</v>
      </c>
      <c r="S63" s="63" t="s">
        <v>17321</v>
      </c>
      <c r="T63" s="63" t="s">
        <v>15702</v>
      </c>
      <c r="U63" s="63" t="s">
        <v>3210</v>
      </c>
      <c r="V63" s="63" t="s">
        <v>17322</v>
      </c>
      <c r="W63" s="63" t="s">
        <v>3212</v>
      </c>
      <c r="X63" s="63" t="s">
        <v>3213</v>
      </c>
      <c r="Y63" s="63" t="s">
        <v>3214</v>
      </c>
      <c r="Z63" s="63" t="s">
        <v>3215</v>
      </c>
      <c r="AA63" s="63" t="s">
        <v>15703</v>
      </c>
      <c r="AB63" s="63" t="s">
        <v>3217</v>
      </c>
      <c r="AC63" s="63" t="s">
        <v>3218</v>
      </c>
      <c r="AD63" s="57"/>
    </row>
    <row r="64">
      <c r="A64" s="62" t="s">
        <v>17323</v>
      </c>
      <c r="B64" s="63" t="s">
        <v>3220</v>
      </c>
      <c r="C64" s="64" t="s">
        <v>15704</v>
      </c>
      <c r="D64" s="63" t="s">
        <v>3222</v>
      </c>
      <c r="E64" s="63" t="s">
        <v>3223</v>
      </c>
      <c r="F64" s="63" t="s">
        <v>15705</v>
      </c>
      <c r="G64" s="63" t="s">
        <v>3225</v>
      </c>
      <c r="H64" s="63" t="s">
        <v>15706</v>
      </c>
      <c r="I64" s="63" t="s">
        <v>3227</v>
      </c>
      <c r="J64" s="63" t="s">
        <v>3228</v>
      </c>
      <c r="K64" s="63" t="s">
        <v>3229</v>
      </c>
      <c r="L64" s="63" t="s">
        <v>3237</v>
      </c>
      <c r="M64" s="63" t="s">
        <v>3225</v>
      </c>
      <c r="N64" s="63" t="s">
        <v>15707</v>
      </c>
      <c r="O64" s="63" t="s">
        <v>15708</v>
      </c>
      <c r="P64" s="63" t="s">
        <v>15709</v>
      </c>
      <c r="Q64" s="63" t="s">
        <v>17324</v>
      </c>
      <c r="R64" s="63" t="s">
        <v>15710</v>
      </c>
      <c r="S64" s="63" t="s">
        <v>15711</v>
      </c>
      <c r="T64" s="63" t="s">
        <v>15712</v>
      </c>
      <c r="U64" s="63" t="s">
        <v>3238</v>
      </c>
      <c r="V64" s="63" t="s">
        <v>3239</v>
      </c>
      <c r="W64" s="63" t="s">
        <v>3225</v>
      </c>
      <c r="X64" s="63" t="s">
        <v>3240</v>
      </c>
      <c r="Y64" s="63" t="s">
        <v>15713</v>
      </c>
      <c r="Z64" s="63" t="s">
        <v>3237</v>
      </c>
      <c r="AA64" s="63" t="s">
        <v>15714</v>
      </c>
      <c r="AB64" s="63" t="s">
        <v>15715</v>
      </c>
      <c r="AC64" s="63" t="s">
        <v>3244</v>
      </c>
      <c r="AD64" s="57"/>
    </row>
    <row r="65">
      <c r="A65" s="62" t="s">
        <v>17325</v>
      </c>
      <c r="B65" s="63" t="s">
        <v>17326</v>
      </c>
      <c r="C65" s="64" t="s">
        <v>17327</v>
      </c>
      <c r="D65" s="63" t="s">
        <v>17328</v>
      </c>
      <c r="E65" s="63" t="s">
        <v>17329</v>
      </c>
      <c r="F65" s="63" t="s">
        <v>17330</v>
      </c>
      <c r="G65" s="63" t="s">
        <v>17331</v>
      </c>
      <c r="H65" s="63" t="s">
        <v>17332</v>
      </c>
      <c r="I65" s="63" t="s">
        <v>17333</v>
      </c>
      <c r="J65" s="63" t="s">
        <v>17334</v>
      </c>
      <c r="K65" s="63" t="s">
        <v>17335</v>
      </c>
      <c r="L65" s="63" t="s">
        <v>17336</v>
      </c>
      <c r="M65" s="63" t="s">
        <v>148</v>
      </c>
      <c r="N65" s="63" t="s">
        <v>17337</v>
      </c>
      <c r="O65" s="63" t="s">
        <v>17338</v>
      </c>
      <c r="P65" s="63" t="s">
        <v>17339</v>
      </c>
      <c r="Q65" s="63" t="s">
        <v>17340</v>
      </c>
      <c r="R65" s="63" t="s">
        <v>17341</v>
      </c>
      <c r="S65" s="63" t="s">
        <v>17342</v>
      </c>
      <c r="T65" s="63" t="s">
        <v>17343</v>
      </c>
      <c r="U65" s="63" t="s">
        <v>17344</v>
      </c>
      <c r="V65" s="63" t="s">
        <v>17345</v>
      </c>
      <c r="W65" s="63" t="s">
        <v>17346</v>
      </c>
      <c r="X65" s="63" t="s">
        <v>17347</v>
      </c>
      <c r="Y65" s="63" t="s">
        <v>17348</v>
      </c>
      <c r="Z65" s="63" t="s">
        <v>17349</v>
      </c>
      <c r="AA65" s="63" t="s">
        <v>17350</v>
      </c>
      <c r="AB65" s="63" t="s">
        <v>17351</v>
      </c>
      <c r="AC65" s="63" t="s">
        <v>17352</v>
      </c>
      <c r="AD65" s="57"/>
    </row>
    <row r="66">
      <c r="A66" s="62" t="s">
        <v>17353</v>
      </c>
      <c r="B66" s="63" t="s">
        <v>17354</v>
      </c>
      <c r="C66" s="64" t="s">
        <v>17355</v>
      </c>
      <c r="D66" s="63" t="s">
        <v>17356</v>
      </c>
      <c r="E66" s="63" t="s">
        <v>17357</v>
      </c>
      <c r="F66" s="63" t="s">
        <v>17358</v>
      </c>
      <c r="G66" s="63" t="s">
        <v>17359</v>
      </c>
      <c r="H66" s="63" t="s">
        <v>17360</v>
      </c>
      <c r="I66" s="63" t="s">
        <v>17361</v>
      </c>
      <c r="J66" s="63" t="s">
        <v>17362</v>
      </c>
      <c r="K66" s="63" t="s">
        <v>17363</v>
      </c>
      <c r="L66" s="63" t="s">
        <v>17364</v>
      </c>
      <c r="M66" s="63" t="s">
        <v>17365</v>
      </c>
      <c r="N66" s="63" t="s">
        <v>17366</v>
      </c>
      <c r="O66" s="63" t="s">
        <v>17367</v>
      </c>
      <c r="P66" s="63" t="s">
        <v>17368</v>
      </c>
      <c r="Q66" s="63" t="s">
        <v>17369</v>
      </c>
      <c r="R66" s="63" t="s">
        <v>17370</v>
      </c>
      <c r="S66" s="63" t="s">
        <v>17371</v>
      </c>
      <c r="T66" s="63" t="s">
        <v>17372</v>
      </c>
      <c r="U66" s="63" t="s">
        <v>17373</v>
      </c>
      <c r="V66" s="63" t="s">
        <v>17374</v>
      </c>
      <c r="W66" s="63" t="s">
        <v>17375</v>
      </c>
      <c r="X66" s="63" t="s">
        <v>17376</v>
      </c>
      <c r="Y66" s="63" t="s">
        <v>17377</v>
      </c>
      <c r="Z66" s="63" t="s">
        <v>17378</v>
      </c>
      <c r="AA66" s="63" t="s">
        <v>17379</v>
      </c>
      <c r="AB66" s="63" t="s">
        <v>17380</v>
      </c>
      <c r="AC66" s="63" t="s">
        <v>17381</v>
      </c>
      <c r="AD66" s="57"/>
    </row>
    <row r="67">
      <c r="A67" s="62" t="s">
        <v>17382</v>
      </c>
      <c r="B67" s="63" t="s">
        <v>17383</v>
      </c>
      <c r="C67" s="64" t="s">
        <v>17384</v>
      </c>
      <c r="D67" s="63" t="s">
        <v>17385</v>
      </c>
      <c r="E67" s="63" t="s">
        <v>17386</v>
      </c>
      <c r="F67" s="63" t="s">
        <v>17387</v>
      </c>
      <c r="G67" s="63" t="s">
        <v>17388</v>
      </c>
      <c r="H67" s="63" t="s">
        <v>17389</v>
      </c>
      <c r="I67" s="63" t="s">
        <v>17390</v>
      </c>
      <c r="J67" s="63" t="s">
        <v>17391</v>
      </c>
      <c r="K67" s="63" t="s">
        <v>17392</v>
      </c>
      <c r="L67" s="63" t="s">
        <v>17393</v>
      </c>
      <c r="M67" s="63" t="s">
        <v>17394</v>
      </c>
      <c r="N67" s="63" t="s">
        <v>17395</v>
      </c>
      <c r="O67" s="63" t="s">
        <v>17396</v>
      </c>
      <c r="P67" s="63" t="s">
        <v>17397</v>
      </c>
      <c r="Q67" s="63" t="s">
        <v>17398</v>
      </c>
      <c r="R67" s="63" t="s">
        <v>17399</v>
      </c>
      <c r="S67" s="63" t="s">
        <v>17400</v>
      </c>
      <c r="T67" s="63" t="s">
        <v>17401</v>
      </c>
      <c r="U67" s="63" t="s">
        <v>17402</v>
      </c>
      <c r="V67" s="63" t="s">
        <v>17403</v>
      </c>
      <c r="W67" s="63" t="s">
        <v>17404</v>
      </c>
      <c r="X67" s="63" t="s">
        <v>17405</v>
      </c>
      <c r="Y67" s="63" t="s">
        <v>17406</v>
      </c>
      <c r="Z67" s="63" t="s">
        <v>17407</v>
      </c>
      <c r="AA67" s="63" t="s">
        <v>17408</v>
      </c>
      <c r="AB67" s="63" t="s">
        <v>17409</v>
      </c>
      <c r="AC67" s="63" t="s">
        <v>17410</v>
      </c>
      <c r="AD67" s="57"/>
    </row>
    <row r="68">
      <c r="A68" s="62" t="s">
        <v>17411</v>
      </c>
      <c r="B68" s="63" t="s">
        <v>17412</v>
      </c>
      <c r="C68" s="64" t="s">
        <v>17413</v>
      </c>
      <c r="D68" s="63" t="s">
        <v>17414</v>
      </c>
      <c r="E68" s="63" t="s">
        <v>17415</v>
      </c>
      <c r="F68" s="63" t="s">
        <v>16978</v>
      </c>
      <c r="G68" s="63" t="s">
        <v>17416</v>
      </c>
      <c r="H68" s="63" t="s">
        <v>17417</v>
      </c>
      <c r="I68" s="63" t="s">
        <v>17418</v>
      </c>
      <c r="J68" s="63" t="s">
        <v>16982</v>
      </c>
      <c r="K68" s="63" t="s">
        <v>17419</v>
      </c>
      <c r="L68" s="63" t="s">
        <v>17420</v>
      </c>
      <c r="M68" s="63" t="s">
        <v>17421</v>
      </c>
      <c r="N68" s="63" t="s">
        <v>17422</v>
      </c>
      <c r="O68" s="63" t="s">
        <v>17423</v>
      </c>
      <c r="P68" s="63" t="s">
        <v>17424</v>
      </c>
      <c r="Q68" s="63" t="s">
        <v>17425</v>
      </c>
      <c r="R68" s="63" t="s">
        <v>17426</v>
      </c>
      <c r="S68" s="63" t="s">
        <v>17427</v>
      </c>
      <c r="T68" s="63" t="s">
        <v>17428</v>
      </c>
      <c r="U68" s="63" t="s">
        <v>17429</v>
      </c>
      <c r="V68" s="63" t="s">
        <v>17430</v>
      </c>
      <c r="W68" s="63" t="s">
        <v>17431</v>
      </c>
      <c r="X68" s="63" t="s">
        <v>17432</v>
      </c>
      <c r="Y68" s="63" t="s">
        <v>17433</v>
      </c>
      <c r="Z68" s="63" t="s">
        <v>17434</v>
      </c>
      <c r="AA68" s="63" t="s">
        <v>17435</v>
      </c>
      <c r="AB68" s="63" t="s">
        <v>17436</v>
      </c>
      <c r="AC68" s="63" t="s">
        <v>17437</v>
      </c>
      <c r="AD68" s="57"/>
    </row>
    <row r="69">
      <c r="A69" s="62" t="s">
        <v>17438</v>
      </c>
      <c r="B69" s="63" t="s">
        <v>17439</v>
      </c>
      <c r="C69" s="64" t="s">
        <v>17440</v>
      </c>
      <c r="D69" s="63" t="s">
        <v>17441</v>
      </c>
      <c r="E69" s="63" t="s">
        <v>17442</v>
      </c>
      <c r="F69" s="63" t="s">
        <v>17443</v>
      </c>
      <c r="G69" s="63" t="s">
        <v>17444</v>
      </c>
      <c r="H69" s="63" t="s">
        <v>17445</v>
      </c>
      <c r="I69" s="63" t="s">
        <v>17446</v>
      </c>
      <c r="J69" s="63" t="s">
        <v>17447</v>
      </c>
      <c r="K69" s="63" t="s">
        <v>17448</v>
      </c>
      <c r="L69" s="63" t="s">
        <v>17449</v>
      </c>
      <c r="M69" s="63" t="s">
        <v>17450</v>
      </c>
      <c r="N69" s="63" t="s">
        <v>17451</v>
      </c>
      <c r="O69" s="63" t="s">
        <v>17452</v>
      </c>
      <c r="P69" s="63" t="s">
        <v>17453</v>
      </c>
      <c r="Q69" s="63" t="s">
        <v>17454</v>
      </c>
      <c r="R69" s="63" t="s">
        <v>17455</v>
      </c>
      <c r="S69" s="63" t="s">
        <v>17456</v>
      </c>
      <c r="T69" s="63" t="s">
        <v>17457</v>
      </c>
      <c r="U69" s="63" t="s">
        <v>17458</v>
      </c>
      <c r="V69" s="63" t="s">
        <v>17459</v>
      </c>
      <c r="W69" s="63" t="s">
        <v>17460</v>
      </c>
      <c r="X69" s="63" t="s">
        <v>17461</v>
      </c>
      <c r="Y69" s="63" t="s">
        <v>17462</v>
      </c>
      <c r="Z69" s="63" t="s">
        <v>17463</v>
      </c>
      <c r="AA69" s="63" t="s">
        <v>17464</v>
      </c>
      <c r="AB69" s="63" t="s">
        <v>17465</v>
      </c>
      <c r="AC69" s="63" t="s">
        <v>17466</v>
      </c>
      <c r="AD69" s="57"/>
    </row>
    <row r="70">
      <c r="A70" s="62" t="s">
        <v>17467</v>
      </c>
      <c r="B70" s="63" t="s">
        <v>17468</v>
      </c>
      <c r="C70" s="64" t="s">
        <v>9082</v>
      </c>
      <c r="D70" s="63" t="s">
        <v>17469</v>
      </c>
      <c r="E70" s="63" t="s">
        <v>17470</v>
      </c>
      <c r="F70" s="63" t="s">
        <v>17471</v>
      </c>
      <c r="G70" s="63" t="s">
        <v>17472</v>
      </c>
      <c r="H70" s="63" t="s">
        <v>17473</v>
      </c>
      <c r="I70" s="63" t="s">
        <v>17474</v>
      </c>
      <c r="J70" s="63" t="s">
        <v>17475</v>
      </c>
      <c r="K70" s="63" t="s">
        <v>17476</v>
      </c>
      <c r="L70" s="63" t="s">
        <v>17477</v>
      </c>
      <c r="M70" s="63" t="s">
        <v>17478</v>
      </c>
      <c r="N70" s="63" t="s">
        <v>17479</v>
      </c>
      <c r="O70" s="63" t="s">
        <v>9094</v>
      </c>
      <c r="P70" s="63" t="s">
        <v>17480</v>
      </c>
      <c r="Q70" s="63" t="s">
        <v>10931</v>
      </c>
      <c r="R70" s="63" t="s">
        <v>10932</v>
      </c>
      <c r="S70" s="63" t="s">
        <v>17481</v>
      </c>
      <c r="T70" s="63" t="s">
        <v>9099</v>
      </c>
      <c r="U70" s="63" t="s">
        <v>17482</v>
      </c>
      <c r="V70" s="63" t="s">
        <v>17483</v>
      </c>
      <c r="W70" s="63" t="s">
        <v>17484</v>
      </c>
      <c r="X70" s="63" t="s">
        <v>17485</v>
      </c>
      <c r="Y70" s="63" t="s">
        <v>17486</v>
      </c>
      <c r="Z70" s="63" t="s">
        <v>10938</v>
      </c>
      <c r="AA70" s="63" t="s">
        <v>17487</v>
      </c>
      <c r="AB70" s="63" t="s">
        <v>9107</v>
      </c>
      <c r="AC70" s="63" t="s">
        <v>9108</v>
      </c>
      <c r="AD70" s="57"/>
    </row>
    <row r="71">
      <c r="A71" s="62" t="s">
        <v>17488</v>
      </c>
      <c r="B71" s="63" t="s">
        <v>17489</v>
      </c>
      <c r="C71" s="64" t="s">
        <v>17490</v>
      </c>
      <c r="D71" s="63" t="s">
        <v>17491</v>
      </c>
      <c r="E71" s="63" t="s">
        <v>17492</v>
      </c>
      <c r="F71" s="63" t="s">
        <v>17493</v>
      </c>
      <c r="G71" s="63" t="s">
        <v>17494</v>
      </c>
      <c r="H71" s="63" t="s">
        <v>17495</v>
      </c>
      <c r="I71" s="63" t="s">
        <v>17496</v>
      </c>
      <c r="J71" s="63" t="s">
        <v>17497</v>
      </c>
      <c r="K71" s="63" t="s">
        <v>17498</v>
      </c>
      <c r="L71" s="63" t="s">
        <v>17499</v>
      </c>
      <c r="M71" s="63" t="s">
        <v>17500</v>
      </c>
      <c r="N71" s="63" t="s">
        <v>17501</v>
      </c>
      <c r="O71" s="63" t="s">
        <v>17502</v>
      </c>
      <c r="P71" s="63" t="s">
        <v>17503</v>
      </c>
      <c r="Q71" s="63" t="s">
        <v>17504</v>
      </c>
      <c r="R71" s="63" t="s">
        <v>17505</v>
      </c>
      <c r="S71" s="63" t="s">
        <v>17506</v>
      </c>
      <c r="T71" s="63" t="s">
        <v>17507</v>
      </c>
      <c r="U71" s="63" t="s">
        <v>17508</v>
      </c>
      <c r="V71" s="63" t="s">
        <v>17509</v>
      </c>
      <c r="W71" s="63" t="s">
        <v>17510</v>
      </c>
      <c r="X71" s="63" t="s">
        <v>17511</v>
      </c>
      <c r="Y71" s="63" t="s">
        <v>17512</v>
      </c>
      <c r="Z71" s="63" t="s">
        <v>17513</v>
      </c>
      <c r="AA71" s="63" t="s">
        <v>17514</v>
      </c>
      <c r="AB71" s="63" t="s">
        <v>17515</v>
      </c>
      <c r="AC71" s="63" t="s">
        <v>17516</v>
      </c>
      <c r="AD71" s="57"/>
    </row>
    <row r="72">
      <c r="A72" s="62" t="s">
        <v>17517</v>
      </c>
      <c r="B72" s="63" t="s">
        <v>17518</v>
      </c>
      <c r="C72" s="64" t="s">
        <v>17519</v>
      </c>
      <c r="D72" s="63" t="s">
        <v>17520</v>
      </c>
      <c r="E72" s="63" t="s">
        <v>17521</v>
      </c>
      <c r="F72" s="63" t="s">
        <v>17522</v>
      </c>
      <c r="G72" s="63" t="s">
        <v>17523</v>
      </c>
      <c r="H72" s="63" t="s">
        <v>17524</v>
      </c>
      <c r="I72" s="63" t="s">
        <v>17525</v>
      </c>
      <c r="J72" s="63" t="s">
        <v>17526</v>
      </c>
      <c r="K72" s="63" t="s">
        <v>17527</v>
      </c>
      <c r="L72" s="63" t="s">
        <v>17528</v>
      </c>
      <c r="M72" s="63" t="s">
        <v>17529</v>
      </c>
      <c r="N72" s="63" t="s">
        <v>17530</v>
      </c>
      <c r="O72" s="63" t="s">
        <v>17531</v>
      </c>
      <c r="P72" s="63" t="s">
        <v>17532</v>
      </c>
      <c r="Q72" s="63" t="s">
        <v>17533</v>
      </c>
      <c r="R72" s="63" t="s">
        <v>17534</v>
      </c>
      <c r="S72" s="63" t="s">
        <v>17535</v>
      </c>
      <c r="T72" s="63" t="s">
        <v>17536</v>
      </c>
      <c r="U72" s="63" t="s">
        <v>17537</v>
      </c>
      <c r="V72" s="63" t="s">
        <v>17538</v>
      </c>
      <c r="W72" s="63" t="s">
        <v>17539</v>
      </c>
      <c r="X72" s="63" t="s">
        <v>17540</v>
      </c>
      <c r="Y72" s="63" t="s">
        <v>17541</v>
      </c>
      <c r="Z72" s="63" t="s">
        <v>17542</v>
      </c>
      <c r="AA72" s="63" t="s">
        <v>17543</v>
      </c>
      <c r="AB72" s="63" t="s">
        <v>17544</v>
      </c>
      <c r="AC72" s="63" t="s">
        <v>17545</v>
      </c>
      <c r="AD72" s="57"/>
    </row>
    <row r="73">
      <c r="A73" s="62" t="s">
        <v>17546</v>
      </c>
      <c r="B73" s="63" t="s">
        <v>17547</v>
      </c>
      <c r="C73" s="64" t="s">
        <v>17548</v>
      </c>
      <c r="D73" s="63" t="s">
        <v>17549</v>
      </c>
      <c r="E73" s="63" t="s">
        <v>17550</v>
      </c>
      <c r="F73" s="63" t="s">
        <v>17551</v>
      </c>
      <c r="G73" s="63" t="s">
        <v>17552</v>
      </c>
      <c r="H73" s="63" t="s">
        <v>17553</v>
      </c>
      <c r="I73" s="63" t="s">
        <v>17554</v>
      </c>
      <c r="J73" s="63" t="s">
        <v>17555</v>
      </c>
      <c r="K73" s="63" t="s">
        <v>17556</v>
      </c>
      <c r="L73" s="63" t="s">
        <v>17557</v>
      </c>
      <c r="M73" s="63" t="s">
        <v>17558</v>
      </c>
      <c r="N73" s="63" t="s">
        <v>17559</v>
      </c>
      <c r="O73" s="63" t="s">
        <v>17560</v>
      </c>
      <c r="P73" s="63" t="s">
        <v>17561</v>
      </c>
      <c r="Q73" s="63" t="s">
        <v>17562</v>
      </c>
      <c r="R73" s="63" t="s">
        <v>17563</v>
      </c>
      <c r="S73" s="63" t="s">
        <v>17564</v>
      </c>
      <c r="T73" s="63" t="s">
        <v>17565</v>
      </c>
      <c r="U73" s="63" t="s">
        <v>17566</v>
      </c>
      <c r="V73" s="63" t="s">
        <v>17567</v>
      </c>
      <c r="W73" s="63" t="s">
        <v>17568</v>
      </c>
      <c r="X73" s="63" t="s">
        <v>17569</v>
      </c>
      <c r="Y73" s="63" t="s">
        <v>17570</v>
      </c>
      <c r="Z73" s="63" t="s">
        <v>17571</v>
      </c>
      <c r="AA73" s="63" t="s">
        <v>17572</v>
      </c>
      <c r="AB73" s="63" t="s">
        <v>17573</v>
      </c>
      <c r="AC73" s="63" t="s">
        <v>17574</v>
      </c>
      <c r="AD73" s="57"/>
    </row>
    <row r="74">
      <c r="A74" s="37" t="s">
        <v>17575</v>
      </c>
      <c r="B74" s="38" t="s">
        <v>17576</v>
      </c>
      <c r="C74" s="39" t="s">
        <v>17577</v>
      </c>
      <c r="D74" s="38" t="s">
        <v>17578</v>
      </c>
      <c r="E74" s="38" t="s">
        <v>17579</v>
      </c>
      <c r="F74" s="38" t="s">
        <v>17580</v>
      </c>
      <c r="G74" s="38" t="s">
        <v>17581</v>
      </c>
      <c r="H74" s="38" t="s">
        <v>17582</v>
      </c>
      <c r="I74" s="38" t="s">
        <v>17583</v>
      </c>
      <c r="J74" s="38" t="s">
        <v>17584</v>
      </c>
      <c r="K74" s="40" t="s">
        <v>17585</v>
      </c>
      <c r="L74" s="38" t="s">
        <v>17586</v>
      </c>
      <c r="M74" s="38" t="s">
        <v>17587</v>
      </c>
      <c r="N74" s="106" t="s">
        <v>17588</v>
      </c>
      <c r="O74" s="42" t="s">
        <v>17589</v>
      </c>
      <c r="P74" s="43" t="s">
        <v>17590</v>
      </c>
      <c r="Q74" s="44" t="s">
        <v>17591</v>
      </c>
      <c r="R74" s="45" t="s">
        <v>17592</v>
      </c>
      <c r="S74" s="38" t="s">
        <v>17593</v>
      </c>
      <c r="T74" s="38" t="s">
        <v>17594</v>
      </c>
      <c r="U74" s="38" t="s">
        <v>17595</v>
      </c>
      <c r="V74" s="38" t="s">
        <v>17596</v>
      </c>
      <c r="W74" s="38" t="s">
        <v>17597</v>
      </c>
      <c r="X74" s="38" t="s">
        <v>17598</v>
      </c>
      <c r="Y74" s="46" t="s">
        <v>17599</v>
      </c>
      <c r="Z74" s="38" t="s">
        <v>17600</v>
      </c>
      <c r="AA74" s="38" t="s">
        <v>17601</v>
      </c>
      <c r="AB74" s="41" t="s">
        <v>17602</v>
      </c>
      <c r="AC74" s="38" t="s">
        <v>17603</v>
      </c>
      <c r="AD74" s="57"/>
    </row>
    <row r="75">
      <c r="A75" s="37" t="s">
        <v>17604</v>
      </c>
      <c r="B75" s="38" t="s">
        <v>17605</v>
      </c>
      <c r="C75" s="39" t="s">
        <v>17606</v>
      </c>
      <c r="D75" s="38" t="s">
        <v>17605</v>
      </c>
      <c r="E75" s="38" t="s">
        <v>17607</v>
      </c>
      <c r="F75" s="38" t="s">
        <v>17608</v>
      </c>
      <c r="G75" s="38" t="s">
        <v>16897</v>
      </c>
      <c r="H75" s="38" t="s">
        <v>17609</v>
      </c>
      <c r="I75" s="38" t="s">
        <v>17610</v>
      </c>
      <c r="J75" s="38" t="s">
        <v>16900</v>
      </c>
      <c r="K75" s="40" t="s">
        <v>17611</v>
      </c>
      <c r="L75" s="38" t="s">
        <v>17612</v>
      </c>
      <c r="M75" s="38" t="s">
        <v>16903</v>
      </c>
      <c r="N75" s="106" t="s">
        <v>17613</v>
      </c>
      <c r="O75" s="42" t="s">
        <v>16905</v>
      </c>
      <c r="P75" s="43" t="s">
        <v>17614</v>
      </c>
      <c r="Q75" s="44" t="s">
        <v>17615</v>
      </c>
      <c r="R75" s="45" t="s">
        <v>17616</v>
      </c>
      <c r="S75" s="38" t="s">
        <v>17617</v>
      </c>
      <c r="T75" s="38" t="s">
        <v>17618</v>
      </c>
      <c r="U75" s="38" t="s">
        <v>17619</v>
      </c>
      <c r="V75" s="38" t="s">
        <v>16911</v>
      </c>
      <c r="W75" s="38" t="s">
        <v>16912</v>
      </c>
      <c r="X75" s="38" t="s">
        <v>16913</v>
      </c>
      <c r="Y75" s="46" t="s">
        <v>17620</v>
      </c>
      <c r="Z75" s="38" t="s">
        <v>17621</v>
      </c>
      <c r="AA75" s="38" t="s">
        <v>17605</v>
      </c>
      <c r="AB75" s="41" t="s">
        <v>16916</v>
      </c>
      <c r="AC75" s="38" t="s">
        <v>17622</v>
      </c>
      <c r="AD75" s="57"/>
    </row>
    <row r="76">
      <c r="A76" s="37" t="s">
        <v>17623</v>
      </c>
      <c r="B76" s="38" t="s">
        <v>17624</v>
      </c>
      <c r="C76" s="39" t="s">
        <v>17625</v>
      </c>
      <c r="D76" s="38" t="s">
        <v>17626</v>
      </c>
      <c r="E76" s="38" t="s">
        <v>17627</v>
      </c>
      <c r="F76" s="38" t="s">
        <v>17628</v>
      </c>
      <c r="G76" s="38" t="s">
        <v>17629</v>
      </c>
      <c r="H76" s="38" t="s">
        <v>17630</v>
      </c>
      <c r="I76" s="38" t="s">
        <v>17631</v>
      </c>
      <c r="J76" s="38" t="s">
        <v>17624</v>
      </c>
      <c r="K76" s="40" t="s">
        <v>17632</v>
      </c>
      <c r="L76" s="38" t="s">
        <v>17633</v>
      </c>
      <c r="M76" s="38" t="s">
        <v>17634</v>
      </c>
      <c r="N76" s="41" t="s">
        <v>17635</v>
      </c>
      <c r="O76" s="42" t="s">
        <v>17636</v>
      </c>
      <c r="P76" s="43" t="s">
        <v>17637</v>
      </c>
      <c r="Q76" s="44" t="s">
        <v>17638</v>
      </c>
      <c r="R76" s="45" t="s">
        <v>17639</v>
      </c>
      <c r="S76" s="38" t="s">
        <v>17640</v>
      </c>
      <c r="T76" s="38" t="s">
        <v>17641</v>
      </c>
      <c r="U76" s="38" t="s">
        <v>17642</v>
      </c>
      <c r="V76" s="38" t="s">
        <v>17643</v>
      </c>
      <c r="W76" s="38" t="s">
        <v>17644</v>
      </c>
      <c r="X76" s="38" t="s">
        <v>17645</v>
      </c>
      <c r="Y76" s="46" t="s">
        <v>17646</v>
      </c>
      <c r="Z76" s="38" t="s">
        <v>17647</v>
      </c>
      <c r="AA76" s="38" t="s">
        <v>17648</v>
      </c>
      <c r="AB76" s="41" t="s">
        <v>17649</v>
      </c>
      <c r="AC76" s="38" t="s">
        <v>17650</v>
      </c>
      <c r="AD76" s="57"/>
    </row>
    <row r="77">
      <c r="A77" s="37" t="s">
        <v>17651</v>
      </c>
      <c r="B77" s="38" t="s">
        <v>9053</v>
      </c>
      <c r="C77" s="39" t="s">
        <v>9054</v>
      </c>
      <c r="D77" s="38" t="s">
        <v>17652</v>
      </c>
      <c r="E77" s="38" t="s">
        <v>9056</v>
      </c>
      <c r="F77" s="38" t="s">
        <v>17653</v>
      </c>
      <c r="G77" s="38" t="s">
        <v>9058</v>
      </c>
      <c r="H77" s="38" t="s">
        <v>12184</v>
      </c>
      <c r="I77" s="38" t="s">
        <v>17654</v>
      </c>
      <c r="J77" s="38" t="s">
        <v>9061</v>
      </c>
      <c r="K77" s="40" t="s">
        <v>9062</v>
      </c>
      <c r="L77" s="38" t="s">
        <v>9063</v>
      </c>
      <c r="M77" s="38" t="s">
        <v>9064</v>
      </c>
      <c r="N77" s="41" t="s">
        <v>9065</v>
      </c>
      <c r="O77" s="42" t="s">
        <v>12185</v>
      </c>
      <c r="P77" s="43" t="s">
        <v>12186</v>
      </c>
      <c r="Q77" s="44" t="s">
        <v>9068</v>
      </c>
      <c r="R77" s="45" t="s">
        <v>9069</v>
      </c>
      <c r="S77" s="38" t="s">
        <v>17655</v>
      </c>
      <c r="T77" s="38" t="s">
        <v>9071</v>
      </c>
      <c r="U77" s="38" t="s">
        <v>9072</v>
      </c>
      <c r="V77" s="38" t="s">
        <v>9073</v>
      </c>
      <c r="W77" s="38" t="s">
        <v>9058</v>
      </c>
      <c r="X77" s="38" t="s">
        <v>9074</v>
      </c>
      <c r="Y77" s="46" t="s">
        <v>9075</v>
      </c>
      <c r="Z77" s="38" t="s">
        <v>9076</v>
      </c>
      <c r="AA77" s="38" t="s">
        <v>12187</v>
      </c>
      <c r="AB77" s="41" t="s">
        <v>9078</v>
      </c>
      <c r="AC77" s="38" t="s">
        <v>17656</v>
      </c>
      <c r="AD77" s="57"/>
    </row>
    <row r="78">
      <c r="A78" s="37" t="s">
        <v>10300</v>
      </c>
      <c r="B78" s="38" t="s">
        <v>17657</v>
      </c>
      <c r="C78" s="39" t="s">
        <v>17658</v>
      </c>
      <c r="D78" s="38" t="s">
        <v>17659</v>
      </c>
      <c r="E78" s="38" t="s">
        <v>17660</v>
      </c>
      <c r="F78" s="38" t="s">
        <v>17661</v>
      </c>
      <c r="G78" s="38" t="s">
        <v>17662</v>
      </c>
      <c r="H78" s="38" t="s">
        <v>17663</v>
      </c>
      <c r="I78" s="38" t="s">
        <v>17029</v>
      </c>
      <c r="J78" s="38" t="s">
        <v>9089</v>
      </c>
      <c r="K78" s="40" t="s">
        <v>9090</v>
      </c>
      <c r="L78" s="38" t="s">
        <v>17664</v>
      </c>
      <c r="M78" s="38" t="s">
        <v>17665</v>
      </c>
      <c r="N78" s="41" t="s">
        <v>9093</v>
      </c>
      <c r="O78" s="42" t="s">
        <v>9094</v>
      </c>
      <c r="P78" s="43" t="s">
        <v>9095</v>
      </c>
      <c r="Q78" s="44" t="s">
        <v>17666</v>
      </c>
      <c r="R78" s="45" t="s">
        <v>17667</v>
      </c>
      <c r="S78" s="38" t="s">
        <v>17668</v>
      </c>
      <c r="T78" s="38" t="s">
        <v>10934</v>
      </c>
      <c r="U78" s="38" t="s">
        <v>17669</v>
      </c>
      <c r="V78" s="38" t="s">
        <v>17670</v>
      </c>
      <c r="W78" s="38" t="s">
        <v>17671</v>
      </c>
      <c r="X78" s="38" t="s">
        <v>9103</v>
      </c>
      <c r="Y78" s="46" t="s">
        <v>17672</v>
      </c>
      <c r="Z78" s="38" t="s">
        <v>17673</v>
      </c>
      <c r="AA78" s="38" t="s">
        <v>17674</v>
      </c>
      <c r="AB78" s="41" t="s">
        <v>17675</v>
      </c>
      <c r="AC78" s="38" t="s">
        <v>9108</v>
      </c>
      <c r="AD78" s="57"/>
    </row>
    <row r="79">
      <c r="A79" s="47" t="s">
        <v>17676</v>
      </c>
      <c r="B79" s="48" t="s">
        <v>17677</v>
      </c>
      <c r="C79" s="49" t="s">
        <v>17678</v>
      </c>
      <c r="D79" s="48" t="s">
        <v>17679</v>
      </c>
      <c r="E79" s="48" t="s">
        <v>17680</v>
      </c>
      <c r="F79" s="48" t="s">
        <v>17681</v>
      </c>
      <c r="G79" s="48" t="s">
        <v>17682</v>
      </c>
      <c r="H79" s="48" t="s">
        <v>17683</v>
      </c>
      <c r="I79" s="48" t="s">
        <v>17684</v>
      </c>
      <c r="J79" s="48" t="s">
        <v>17685</v>
      </c>
      <c r="K79" s="54" t="s">
        <v>17686</v>
      </c>
      <c r="L79" s="48" t="s">
        <v>17687</v>
      </c>
      <c r="M79" s="48" t="s">
        <v>17688</v>
      </c>
      <c r="N79" s="53" t="s">
        <v>17689</v>
      </c>
      <c r="O79" s="50" t="s">
        <v>17690</v>
      </c>
      <c r="P79" s="55" t="s">
        <v>17691</v>
      </c>
      <c r="Q79" s="56" t="s">
        <v>17692</v>
      </c>
      <c r="R79" s="51" t="s">
        <v>17693</v>
      </c>
      <c r="S79" s="48" t="s">
        <v>17694</v>
      </c>
      <c r="T79" s="48" t="s">
        <v>17695</v>
      </c>
      <c r="U79" s="48" t="s">
        <v>17696</v>
      </c>
      <c r="V79" s="48" t="s">
        <v>17697</v>
      </c>
      <c r="W79" s="48" t="s">
        <v>17698</v>
      </c>
      <c r="X79" s="48" t="s">
        <v>17699</v>
      </c>
      <c r="Y79" s="52" t="s">
        <v>17700</v>
      </c>
      <c r="Z79" s="48" t="s">
        <v>17701</v>
      </c>
      <c r="AA79" s="48" t="s">
        <v>17702</v>
      </c>
      <c r="AB79" s="53" t="s">
        <v>17703</v>
      </c>
      <c r="AC79" s="48" t="s">
        <v>17704</v>
      </c>
      <c r="AD79" s="57"/>
    </row>
    <row r="80">
      <c r="A80" s="47" t="s">
        <v>16564</v>
      </c>
      <c r="B80" s="48" t="s">
        <v>16565</v>
      </c>
      <c r="C80" s="49" t="s">
        <v>16566</v>
      </c>
      <c r="D80" s="48" t="s">
        <v>16567</v>
      </c>
      <c r="E80" s="48" t="s">
        <v>16568</v>
      </c>
      <c r="F80" s="48" t="s">
        <v>16569</v>
      </c>
      <c r="G80" s="48" t="s">
        <v>16570</v>
      </c>
      <c r="H80" s="48" t="s">
        <v>16571</v>
      </c>
      <c r="I80" s="48" t="s">
        <v>16572</v>
      </c>
      <c r="J80" s="48" t="s">
        <v>16573</v>
      </c>
      <c r="K80" s="54" t="s">
        <v>16574</v>
      </c>
      <c r="L80" s="48" t="s">
        <v>16575</v>
      </c>
      <c r="M80" s="48" t="s">
        <v>16576</v>
      </c>
      <c r="N80" s="53" t="s">
        <v>16577</v>
      </c>
      <c r="O80" s="50" t="s">
        <v>16578</v>
      </c>
      <c r="P80" s="55" t="s">
        <v>16579</v>
      </c>
      <c r="Q80" s="56" t="s">
        <v>16580</v>
      </c>
      <c r="R80" s="51" t="s">
        <v>16581</v>
      </c>
      <c r="S80" s="48" t="s">
        <v>16582</v>
      </c>
      <c r="T80" s="48" t="s">
        <v>16583</v>
      </c>
      <c r="U80" s="48" t="s">
        <v>16584</v>
      </c>
      <c r="V80" s="48" t="s">
        <v>16585</v>
      </c>
      <c r="W80" s="48" t="s">
        <v>16570</v>
      </c>
      <c r="X80" s="48" t="s">
        <v>16586</v>
      </c>
      <c r="Y80" s="52" t="s">
        <v>16587</v>
      </c>
      <c r="Z80" s="48" t="s">
        <v>16588</v>
      </c>
      <c r="AA80" s="48" t="s">
        <v>16589</v>
      </c>
      <c r="AB80" s="53" t="s">
        <v>16590</v>
      </c>
      <c r="AC80" s="48" t="s">
        <v>16591</v>
      </c>
      <c r="AD80" s="57"/>
    </row>
    <row r="81">
      <c r="A81" s="47" t="s">
        <v>16621</v>
      </c>
      <c r="B81" s="48" t="s">
        <v>8768</v>
      </c>
      <c r="C81" s="49" t="s">
        <v>8769</v>
      </c>
      <c r="D81" s="48" t="s">
        <v>8770</v>
      </c>
      <c r="E81" s="48" t="s">
        <v>8771</v>
      </c>
      <c r="F81" s="48" t="s">
        <v>16622</v>
      </c>
      <c r="G81" s="48" t="s">
        <v>8773</v>
      </c>
      <c r="H81" s="48" t="s">
        <v>8774</v>
      </c>
      <c r="I81" s="48" t="s">
        <v>8775</v>
      </c>
      <c r="J81" s="48" t="s">
        <v>8776</v>
      </c>
      <c r="K81" s="54" t="s">
        <v>8777</v>
      </c>
      <c r="L81" s="48" t="s">
        <v>8778</v>
      </c>
      <c r="M81" s="48" t="s">
        <v>8779</v>
      </c>
      <c r="N81" s="53" t="s">
        <v>8780</v>
      </c>
      <c r="O81" s="50" t="s">
        <v>8781</v>
      </c>
      <c r="P81" s="55" t="s">
        <v>8782</v>
      </c>
      <c r="Q81" s="56" t="s">
        <v>8783</v>
      </c>
      <c r="R81" s="51" t="s">
        <v>8784</v>
      </c>
      <c r="S81" s="48" t="s">
        <v>8785</v>
      </c>
      <c r="T81" s="48" t="s">
        <v>8778</v>
      </c>
      <c r="U81" s="48" t="s">
        <v>8786</v>
      </c>
      <c r="V81" s="48" t="s">
        <v>8787</v>
      </c>
      <c r="W81" s="48" t="s">
        <v>16623</v>
      </c>
      <c r="X81" s="48" t="s">
        <v>8789</v>
      </c>
      <c r="Y81" s="52" t="s">
        <v>8790</v>
      </c>
      <c r="Z81" s="48" t="s">
        <v>8791</v>
      </c>
      <c r="AA81" s="48" t="s">
        <v>8792</v>
      </c>
      <c r="AB81" s="53" t="s">
        <v>8793</v>
      </c>
      <c r="AC81" s="48" t="s">
        <v>16624</v>
      </c>
      <c r="AD81" s="57"/>
    </row>
    <row r="82">
      <c r="A82" s="47" t="s">
        <v>17705</v>
      </c>
      <c r="B82" s="48" t="s">
        <v>17706</v>
      </c>
      <c r="C82" s="49" t="s">
        <v>17707</v>
      </c>
      <c r="D82" s="48" t="s">
        <v>17708</v>
      </c>
      <c r="E82" s="48" t="s">
        <v>17709</v>
      </c>
      <c r="F82" s="48" t="s">
        <v>17710</v>
      </c>
      <c r="G82" s="48" t="s">
        <v>17711</v>
      </c>
      <c r="H82" s="48" t="s">
        <v>17712</v>
      </c>
      <c r="I82" s="48" t="s">
        <v>17713</v>
      </c>
      <c r="J82" s="48" t="s">
        <v>17714</v>
      </c>
      <c r="K82" s="54" t="s">
        <v>17715</v>
      </c>
      <c r="L82" s="48" t="s">
        <v>17716</v>
      </c>
      <c r="M82" s="48" t="s">
        <v>17717</v>
      </c>
      <c r="N82" s="53" t="s">
        <v>17718</v>
      </c>
      <c r="O82" s="50" t="s">
        <v>17719</v>
      </c>
      <c r="P82" s="55" t="s">
        <v>17720</v>
      </c>
      <c r="Q82" s="56" t="s">
        <v>17721</v>
      </c>
      <c r="R82" s="51" t="s">
        <v>17722</v>
      </c>
      <c r="S82" s="48" t="s">
        <v>17723</v>
      </c>
      <c r="T82" s="48" t="s">
        <v>17724</v>
      </c>
      <c r="U82" s="48" t="s">
        <v>17725</v>
      </c>
      <c r="V82" s="48" t="s">
        <v>17726</v>
      </c>
      <c r="W82" s="48" t="s">
        <v>17727</v>
      </c>
      <c r="X82" s="48" t="s">
        <v>17728</v>
      </c>
      <c r="Y82" s="52" t="s">
        <v>17729</v>
      </c>
      <c r="Z82" s="48" t="s">
        <v>17730</v>
      </c>
      <c r="AA82" s="48" t="s">
        <v>17731</v>
      </c>
      <c r="AB82" s="53" t="s">
        <v>17732</v>
      </c>
      <c r="AC82" s="48" t="s">
        <v>17733</v>
      </c>
      <c r="AD82" s="57"/>
    </row>
    <row r="83">
      <c r="A83" s="47" t="s">
        <v>17734</v>
      </c>
      <c r="B83" s="48" t="s">
        <v>8796</v>
      </c>
      <c r="C83" s="49" t="s">
        <v>8797</v>
      </c>
      <c r="D83" s="48" t="s">
        <v>8798</v>
      </c>
      <c r="E83" s="48" t="s">
        <v>8799</v>
      </c>
      <c r="F83" s="48" t="s">
        <v>8800</v>
      </c>
      <c r="G83" s="48" t="s">
        <v>8801</v>
      </c>
      <c r="H83" s="48" t="s">
        <v>8802</v>
      </c>
      <c r="I83" s="48" t="s">
        <v>8803</v>
      </c>
      <c r="J83" s="48" t="s">
        <v>8804</v>
      </c>
      <c r="K83" s="54" t="s">
        <v>8805</v>
      </c>
      <c r="L83" s="48" t="s">
        <v>8806</v>
      </c>
      <c r="M83" s="48" t="s">
        <v>8807</v>
      </c>
      <c r="N83" s="53" t="s">
        <v>8808</v>
      </c>
      <c r="O83" s="50" t="s">
        <v>8809</v>
      </c>
      <c r="P83" s="55" t="s">
        <v>8810</v>
      </c>
      <c r="Q83" s="56" t="s">
        <v>8811</v>
      </c>
      <c r="R83" s="51" t="s">
        <v>8812</v>
      </c>
      <c r="S83" s="48" t="s">
        <v>8813</v>
      </c>
      <c r="T83" s="48" t="s">
        <v>8814</v>
      </c>
      <c r="U83" s="48" t="s">
        <v>8815</v>
      </c>
      <c r="V83" s="48" t="s">
        <v>8816</v>
      </c>
      <c r="W83" s="48" t="s">
        <v>8801</v>
      </c>
      <c r="X83" s="48" t="s">
        <v>8817</v>
      </c>
      <c r="Y83" s="52" t="s">
        <v>8818</v>
      </c>
      <c r="Z83" s="48" t="s">
        <v>8819</v>
      </c>
      <c r="AA83" s="48" t="s">
        <v>17735</v>
      </c>
      <c r="AB83" s="53" t="s">
        <v>8821</v>
      </c>
      <c r="AC83" s="48" t="s">
        <v>8822</v>
      </c>
      <c r="AD83" s="57"/>
    </row>
    <row r="84">
      <c r="A84" s="47" t="s">
        <v>17736</v>
      </c>
      <c r="B84" s="48" t="s">
        <v>17736</v>
      </c>
      <c r="C84" s="49" t="s">
        <v>17737</v>
      </c>
      <c r="D84" s="48" t="s">
        <v>17738</v>
      </c>
      <c r="E84" s="48" t="s">
        <v>17739</v>
      </c>
      <c r="F84" s="48" t="s">
        <v>17740</v>
      </c>
      <c r="G84" s="48" t="s">
        <v>17741</v>
      </c>
      <c r="H84" s="48" t="s">
        <v>17742</v>
      </c>
      <c r="I84" s="48" t="s">
        <v>17743</v>
      </c>
      <c r="J84" s="48" t="s">
        <v>17744</v>
      </c>
      <c r="K84" s="54" t="s">
        <v>17745</v>
      </c>
      <c r="L84" s="48" t="s">
        <v>17746</v>
      </c>
      <c r="M84" s="48" t="s">
        <v>17747</v>
      </c>
      <c r="N84" s="53" t="s">
        <v>17748</v>
      </c>
      <c r="O84" s="50" t="s">
        <v>17749</v>
      </c>
      <c r="P84" s="55" t="s">
        <v>17750</v>
      </c>
      <c r="Q84" s="56" t="s">
        <v>17751</v>
      </c>
      <c r="R84" s="51" t="s">
        <v>17752</v>
      </c>
      <c r="S84" s="48" t="s">
        <v>17753</v>
      </c>
      <c r="T84" s="48" t="s">
        <v>17746</v>
      </c>
      <c r="U84" s="48" t="s">
        <v>17754</v>
      </c>
      <c r="V84" s="48" t="s">
        <v>17755</v>
      </c>
      <c r="W84" s="48" t="s">
        <v>17756</v>
      </c>
      <c r="X84" s="48" t="s">
        <v>17757</v>
      </c>
      <c r="Y84" s="52" t="s">
        <v>17758</v>
      </c>
      <c r="Z84" s="48" t="s">
        <v>17759</v>
      </c>
      <c r="AA84" s="48" t="s">
        <v>17760</v>
      </c>
      <c r="AB84" s="53" t="s">
        <v>17748</v>
      </c>
      <c r="AC84" s="48" t="s">
        <v>17761</v>
      </c>
      <c r="AD84" s="57"/>
    </row>
    <row r="85">
      <c r="A85" s="47" t="s">
        <v>17762</v>
      </c>
      <c r="B85" s="48" t="s">
        <v>17762</v>
      </c>
      <c r="C85" s="49" t="s">
        <v>17763</v>
      </c>
      <c r="D85" s="48" t="s">
        <v>17764</v>
      </c>
      <c r="E85" s="48" t="s">
        <v>17765</v>
      </c>
      <c r="F85" s="48" t="s">
        <v>17766</v>
      </c>
      <c r="G85" s="48" t="s">
        <v>17767</v>
      </c>
      <c r="H85" s="48" t="s">
        <v>17768</v>
      </c>
      <c r="I85" s="48" t="s">
        <v>17769</v>
      </c>
      <c r="J85" s="48" t="s">
        <v>17770</v>
      </c>
      <c r="K85" s="54" t="s">
        <v>17771</v>
      </c>
      <c r="L85" s="48" t="s">
        <v>17772</v>
      </c>
      <c r="M85" s="48" t="s">
        <v>17773</v>
      </c>
      <c r="N85" s="53" t="s">
        <v>17774</v>
      </c>
      <c r="O85" s="50" t="s">
        <v>17775</v>
      </c>
      <c r="P85" s="55" t="s">
        <v>17776</v>
      </c>
      <c r="Q85" s="56" t="s">
        <v>17777</v>
      </c>
      <c r="R85" s="51" t="s">
        <v>17778</v>
      </c>
      <c r="S85" s="48" t="s">
        <v>16805</v>
      </c>
      <c r="T85" s="48" t="s">
        <v>17772</v>
      </c>
      <c r="U85" s="48" t="s">
        <v>17779</v>
      </c>
      <c r="V85" s="48" t="s">
        <v>17764</v>
      </c>
      <c r="W85" s="48" t="s">
        <v>17780</v>
      </c>
      <c r="X85" s="48" t="s">
        <v>17781</v>
      </c>
      <c r="Y85" s="52" t="s">
        <v>17782</v>
      </c>
      <c r="Z85" s="48" t="s">
        <v>17783</v>
      </c>
      <c r="AA85" s="48" t="s">
        <v>17784</v>
      </c>
      <c r="AB85" s="53" t="s">
        <v>17774</v>
      </c>
      <c r="AC85" s="48" t="s">
        <v>17785</v>
      </c>
      <c r="AD85" s="57"/>
    </row>
    <row r="86">
      <c r="A86" s="47" t="s">
        <v>17786</v>
      </c>
      <c r="B86" s="48" t="s">
        <v>17787</v>
      </c>
      <c r="C86" s="49" t="s">
        <v>17788</v>
      </c>
      <c r="D86" s="48" t="s">
        <v>17787</v>
      </c>
      <c r="E86" s="48" t="s">
        <v>17789</v>
      </c>
      <c r="F86" s="48" t="s">
        <v>17790</v>
      </c>
      <c r="G86" s="48" t="s">
        <v>17791</v>
      </c>
      <c r="H86" s="48" t="s">
        <v>17792</v>
      </c>
      <c r="I86" s="48" t="s">
        <v>17793</v>
      </c>
      <c r="J86" s="48" t="s">
        <v>17794</v>
      </c>
      <c r="K86" s="54" t="s">
        <v>17795</v>
      </c>
      <c r="L86" s="48" t="s">
        <v>17796</v>
      </c>
      <c r="M86" s="48" t="s">
        <v>17797</v>
      </c>
      <c r="N86" s="103" t="s">
        <v>17798</v>
      </c>
      <c r="O86" s="50" t="s">
        <v>17799</v>
      </c>
      <c r="P86" s="55" t="s">
        <v>17800</v>
      </c>
      <c r="Q86" s="56" t="s">
        <v>17801</v>
      </c>
      <c r="R86" s="51" t="s">
        <v>17802</v>
      </c>
      <c r="S86" s="48" t="s">
        <v>17803</v>
      </c>
      <c r="T86" s="48" t="s">
        <v>17796</v>
      </c>
      <c r="U86" s="48" t="s">
        <v>17787</v>
      </c>
      <c r="V86" s="48" t="s">
        <v>17804</v>
      </c>
      <c r="W86" s="48" t="s">
        <v>17805</v>
      </c>
      <c r="X86" s="48" t="s">
        <v>17806</v>
      </c>
      <c r="Y86" s="52" t="s">
        <v>17807</v>
      </c>
      <c r="Z86" s="48" t="s">
        <v>17808</v>
      </c>
      <c r="AA86" s="48" t="s">
        <v>17809</v>
      </c>
      <c r="AB86" s="53" t="s">
        <v>17810</v>
      </c>
      <c r="AC86" s="48" t="s">
        <v>17811</v>
      </c>
      <c r="AD86" s="57"/>
    </row>
    <row r="87">
      <c r="A87" s="47" t="s">
        <v>17812</v>
      </c>
      <c r="B87" s="48" t="s">
        <v>17813</v>
      </c>
      <c r="C87" s="49" t="s">
        <v>17814</v>
      </c>
      <c r="D87" s="48" t="s">
        <v>17815</v>
      </c>
      <c r="E87" s="48" t="s">
        <v>17816</v>
      </c>
      <c r="F87" s="48" t="s">
        <v>17817</v>
      </c>
      <c r="G87" s="48" t="s">
        <v>17818</v>
      </c>
      <c r="H87" s="48" t="s">
        <v>17819</v>
      </c>
      <c r="I87" s="48" t="s">
        <v>17820</v>
      </c>
      <c r="J87" s="48" t="s">
        <v>17821</v>
      </c>
      <c r="K87" s="54" t="s">
        <v>17822</v>
      </c>
      <c r="L87" s="48" t="s">
        <v>17823</v>
      </c>
      <c r="M87" s="48" t="s">
        <v>17824</v>
      </c>
      <c r="N87" s="53" t="s">
        <v>17825</v>
      </c>
      <c r="O87" s="50" t="s">
        <v>17826</v>
      </c>
      <c r="P87" s="55" t="s">
        <v>17827</v>
      </c>
      <c r="Q87" s="56" t="s">
        <v>17828</v>
      </c>
      <c r="R87" s="51" t="s">
        <v>17829</v>
      </c>
      <c r="S87" s="48" t="s">
        <v>17830</v>
      </c>
      <c r="T87" s="48" t="s">
        <v>17831</v>
      </c>
      <c r="U87" s="48" t="s">
        <v>17832</v>
      </c>
      <c r="V87" s="48" t="s">
        <v>17833</v>
      </c>
      <c r="W87" s="48" t="s">
        <v>17834</v>
      </c>
      <c r="X87" s="48" t="s">
        <v>17835</v>
      </c>
      <c r="Y87" s="52" t="s">
        <v>17836</v>
      </c>
      <c r="Z87" s="48" t="s">
        <v>17837</v>
      </c>
      <c r="AA87" s="48" t="s">
        <v>17838</v>
      </c>
      <c r="AB87" s="53" t="s">
        <v>17839</v>
      </c>
      <c r="AC87" s="48" t="s">
        <v>17840</v>
      </c>
      <c r="AD87" s="57"/>
    </row>
    <row r="88">
      <c r="A88" s="47" t="s">
        <v>17841</v>
      </c>
      <c r="B88" s="48" t="s">
        <v>17842</v>
      </c>
      <c r="C88" s="49" t="s">
        <v>17843</v>
      </c>
      <c r="D88" s="48" t="s">
        <v>17844</v>
      </c>
      <c r="E88" s="48" t="s">
        <v>17845</v>
      </c>
      <c r="F88" s="48" t="s">
        <v>17846</v>
      </c>
      <c r="G88" s="48" t="s">
        <v>17847</v>
      </c>
      <c r="H88" s="48" t="s">
        <v>17848</v>
      </c>
      <c r="I88" s="48" t="s">
        <v>17849</v>
      </c>
      <c r="J88" s="48" t="s">
        <v>17850</v>
      </c>
      <c r="K88" s="54" t="s">
        <v>17851</v>
      </c>
      <c r="L88" s="48" t="s">
        <v>17852</v>
      </c>
      <c r="M88" s="48" t="s">
        <v>17853</v>
      </c>
      <c r="N88" s="103" t="s">
        <v>17854</v>
      </c>
      <c r="O88" s="50" t="s">
        <v>17855</v>
      </c>
      <c r="P88" s="55" t="s">
        <v>17856</v>
      </c>
      <c r="Q88" s="56" t="s">
        <v>17857</v>
      </c>
      <c r="R88" s="51" t="s">
        <v>17858</v>
      </c>
      <c r="S88" s="48" t="s">
        <v>17859</v>
      </c>
      <c r="T88" s="48" t="s">
        <v>17860</v>
      </c>
      <c r="U88" s="48" t="s">
        <v>17861</v>
      </c>
      <c r="V88" s="48" t="s">
        <v>17862</v>
      </c>
      <c r="W88" s="48" t="s">
        <v>17863</v>
      </c>
      <c r="X88" s="48" t="s">
        <v>17864</v>
      </c>
      <c r="Y88" s="52" t="s">
        <v>17865</v>
      </c>
      <c r="Z88" s="48" t="s">
        <v>17866</v>
      </c>
      <c r="AA88" s="48" t="s">
        <v>17867</v>
      </c>
      <c r="AB88" s="53" t="s">
        <v>17868</v>
      </c>
      <c r="AC88" s="48" t="s">
        <v>17869</v>
      </c>
      <c r="AD88" s="57"/>
    </row>
    <row r="89">
      <c r="A89" s="47" t="s">
        <v>16428</v>
      </c>
      <c r="B89" s="48" t="s">
        <v>17870</v>
      </c>
      <c r="C89" s="49" t="s">
        <v>17871</v>
      </c>
      <c r="D89" s="48" t="s">
        <v>17872</v>
      </c>
      <c r="E89" s="48" t="s">
        <v>17873</v>
      </c>
      <c r="F89" s="48" t="s">
        <v>17874</v>
      </c>
      <c r="G89" s="48" t="s">
        <v>17875</v>
      </c>
      <c r="H89" s="48" t="s">
        <v>17876</v>
      </c>
      <c r="I89" s="48" t="s">
        <v>17877</v>
      </c>
      <c r="J89" s="48" t="s">
        <v>17878</v>
      </c>
      <c r="K89" s="54" t="s">
        <v>17879</v>
      </c>
      <c r="L89" s="48" t="s">
        <v>17880</v>
      </c>
      <c r="M89" s="48" t="s">
        <v>17881</v>
      </c>
      <c r="N89" s="103" t="s">
        <v>17882</v>
      </c>
      <c r="O89" s="50" t="s">
        <v>17883</v>
      </c>
      <c r="P89" s="55" t="s">
        <v>17884</v>
      </c>
      <c r="Q89" s="56" t="s">
        <v>17885</v>
      </c>
      <c r="R89" s="51" t="s">
        <v>17886</v>
      </c>
      <c r="S89" s="48" t="s">
        <v>17887</v>
      </c>
      <c r="T89" s="48" t="s">
        <v>17888</v>
      </c>
      <c r="U89" s="48" t="s">
        <v>17889</v>
      </c>
      <c r="V89" s="48" t="s">
        <v>17890</v>
      </c>
      <c r="W89" s="48" t="s">
        <v>17891</v>
      </c>
      <c r="X89" s="48" t="s">
        <v>17892</v>
      </c>
      <c r="Y89" s="52" t="s">
        <v>17893</v>
      </c>
      <c r="Z89" s="48" t="s">
        <v>17894</v>
      </c>
      <c r="AA89" s="48" t="s">
        <v>17895</v>
      </c>
      <c r="AB89" s="53" t="s">
        <v>17896</v>
      </c>
      <c r="AC89" s="48" t="s">
        <v>17897</v>
      </c>
      <c r="AD89" s="57"/>
    </row>
    <row r="90">
      <c r="A90" s="47" t="s">
        <v>16400</v>
      </c>
      <c r="B90" s="48" t="s">
        <v>17898</v>
      </c>
      <c r="C90" s="49" t="s">
        <v>16402</v>
      </c>
      <c r="D90" s="48" t="s">
        <v>17899</v>
      </c>
      <c r="E90" s="48" t="s">
        <v>17900</v>
      </c>
      <c r="F90" s="48" t="s">
        <v>17901</v>
      </c>
      <c r="G90" s="48" t="s">
        <v>17902</v>
      </c>
      <c r="H90" s="48" t="s">
        <v>17903</v>
      </c>
      <c r="I90" s="48" t="s">
        <v>17904</v>
      </c>
      <c r="J90" s="48" t="s">
        <v>17905</v>
      </c>
      <c r="K90" s="54" t="s">
        <v>16410</v>
      </c>
      <c r="L90" s="48" t="s">
        <v>17906</v>
      </c>
      <c r="M90" s="48" t="s">
        <v>17907</v>
      </c>
      <c r="N90" s="103" t="s">
        <v>17908</v>
      </c>
      <c r="O90" s="50" t="s">
        <v>17909</v>
      </c>
      <c r="P90" s="55" t="s">
        <v>16415</v>
      </c>
      <c r="Q90" s="56" t="s">
        <v>17910</v>
      </c>
      <c r="R90" s="51" t="s">
        <v>17911</v>
      </c>
      <c r="S90" s="48" t="s">
        <v>17912</v>
      </c>
      <c r="T90" s="48" t="s">
        <v>17906</v>
      </c>
      <c r="U90" s="48" t="s">
        <v>17913</v>
      </c>
      <c r="V90" s="48" t="s">
        <v>17914</v>
      </c>
      <c r="W90" s="48" t="s">
        <v>17915</v>
      </c>
      <c r="X90" s="48" t="s">
        <v>17916</v>
      </c>
      <c r="Y90" s="52" t="s">
        <v>16423</v>
      </c>
      <c r="Z90" s="48" t="s">
        <v>17917</v>
      </c>
      <c r="AA90" s="48" t="s">
        <v>17918</v>
      </c>
      <c r="AB90" s="53" t="s">
        <v>17919</v>
      </c>
      <c r="AC90" s="48" t="s">
        <v>17920</v>
      </c>
      <c r="AD90" s="57"/>
    </row>
    <row r="91">
      <c r="A91" s="47" t="s">
        <v>16457</v>
      </c>
      <c r="B91" s="48" t="s">
        <v>5641</v>
      </c>
      <c r="C91" s="49" t="s">
        <v>16459</v>
      </c>
      <c r="D91" s="48" t="s">
        <v>5643</v>
      </c>
      <c r="E91" s="48" t="s">
        <v>5644</v>
      </c>
      <c r="F91" s="48" t="s">
        <v>5645</v>
      </c>
      <c r="G91" s="48" t="s">
        <v>5646</v>
      </c>
      <c r="H91" s="48" t="s">
        <v>5647</v>
      </c>
      <c r="I91" s="48" t="s">
        <v>5648</v>
      </c>
      <c r="J91" s="48" t="s">
        <v>17921</v>
      </c>
      <c r="K91" s="54" t="s">
        <v>16463</v>
      </c>
      <c r="L91" s="48" t="s">
        <v>17922</v>
      </c>
      <c r="M91" s="48" t="s">
        <v>5652</v>
      </c>
      <c r="N91" s="53" t="s">
        <v>5653</v>
      </c>
      <c r="O91" s="50" t="s">
        <v>17923</v>
      </c>
      <c r="P91" s="55" t="s">
        <v>5655</v>
      </c>
      <c r="Q91" s="56" t="s">
        <v>5656</v>
      </c>
      <c r="R91" s="51" t="s">
        <v>5657</v>
      </c>
      <c r="S91" s="48" t="s">
        <v>5658</v>
      </c>
      <c r="T91" s="48" t="s">
        <v>17924</v>
      </c>
      <c r="U91" s="48" t="s">
        <v>5660</v>
      </c>
      <c r="V91" s="48" t="s">
        <v>16471</v>
      </c>
      <c r="W91" s="48" t="s">
        <v>5662</v>
      </c>
      <c r="X91" s="48" t="s">
        <v>16472</v>
      </c>
      <c r="Y91" s="52" t="s">
        <v>5664</v>
      </c>
      <c r="Z91" s="48" t="s">
        <v>17925</v>
      </c>
      <c r="AA91" s="48" t="s">
        <v>16474</v>
      </c>
      <c r="AB91" s="53" t="s">
        <v>5667</v>
      </c>
      <c r="AC91" s="48" t="s">
        <v>16476</v>
      </c>
      <c r="AD91" s="57"/>
    </row>
    <row r="92">
      <c r="A92" s="47" t="s">
        <v>17926</v>
      </c>
      <c r="B92" s="48" t="s">
        <v>17927</v>
      </c>
      <c r="C92" s="49" t="s">
        <v>17928</v>
      </c>
      <c r="D92" s="48" t="s">
        <v>17929</v>
      </c>
      <c r="E92" s="48" t="s">
        <v>17930</v>
      </c>
      <c r="F92" s="48" t="s">
        <v>17931</v>
      </c>
      <c r="G92" s="48" t="s">
        <v>17932</v>
      </c>
      <c r="H92" s="48" t="s">
        <v>17933</v>
      </c>
      <c r="I92" s="48" t="s">
        <v>17933</v>
      </c>
      <c r="J92" s="48" t="s">
        <v>17934</v>
      </c>
      <c r="K92" s="54" t="s">
        <v>17935</v>
      </c>
      <c r="L92" s="48" t="s">
        <v>17936</v>
      </c>
      <c r="M92" s="48" t="s">
        <v>17937</v>
      </c>
      <c r="N92" s="53" t="s">
        <v>17938</v>
      </c>
      <c r="O92" s="50" t="s">
        <v>17939</v>
      </c>
      <c r="P92" s="55" t="s">
        <v>17940</v>
      </c>
      <c r="Q92" s="56" t="s">
        <v>17941</v>
      </c>
      <c r="R92" s="51" t="s">
        <v>17942</v>
      </c>
      <c r="S92" s="48" t="s">
        <v>17943</v>
      </c>
      <c r="T92" s="48" t="s">
        <v>17944</v>
      </c>
      <c r="U92" s="48" t="s">
        <v>17945</v>
      </c>
      <c r="V92" s="48" t="s">
        <v>17946</v>
      </c>
      <c r="W92" s="48" t="s">
        <v>17947</v>
      </c>
      <c r="X92" s="48" t="s">
        <v>17948</v>
      </c>
      <c r="Y92" s="52" t="s">
        <v>17949</v>
      </c>
      <c r="Z92" s="48" t="s">
        <v>17950</v>
      </c>
      <c r="AA92" s="48" t="s">
        <v>17951</v>
      </c>
      <c r="AB92" s="53" t="s">
        <v>17952</v>
      </c>
      <c r="AC92" s="48" t="s">
        <v>17953</v>
      </c>
      <c r="AD92" s="57"/>
    </row>
    <row r="93">
      <c r="A93" s="47" t="s">
        <v>16506</v>
      </c>
      <c r="B93" s="48" t="s">
        <v>16507</v>
      </c>
      <c r="C93" s="49" t="s">
        <v>16508</v>
      </c>
      <c r="D93" s="48" t="s">
        <v>16509</v>
      </c>
      <c r="E93" s="48" t="s">
        <v>16510</v>
      </c>
      <c r="F93" s="48" t="s">
        <v>16511</v>
      </c>
      <c r="G93" s="48" t="s">
        <v>16512</v>
      </c>
      <c r="H93" s="48" t="s">
        <v>16513</v>
      </c>
      <c r="I93" s="48" t="s">
        <v>16514</v>
      </c>
      <c r="J93" s="48" t="s">
        <v>16515</v>
      </c>
      <c r="K93" s="48" t="s">
        <v>16516</v>
      </c>
      <c r="L93" s="48" t="s">
        <v>16517</v>
      </c>
      <c r="M93" s="48" t="s">
        <v>16518</v>
      </c>
      <c r="N93" s="48" t="s">
        <v>16519</v>
      </c>
      <c r="O93" s="50" t="s">
        <v>16520</v>
      </c>
      <c r="P93" s="48" t="s">
        <v>16521</v>
      </c>
      <c r="Q93" s="48" t="s">
        <v>16522</v>
      </c>
      <c r="R93" s="51" t="s">
        <v>16523</v>
      </c>
      <c r="S93" s="48" t="s">
        <v>16524</v>
      </c>
      <c r="T93" s="48" t="s">
        <v>16525</v>
      </c>
      <c r="U93" s="48" t="s">
        <v>16526</v>
      </c>
      <c r="V93" s="48" t="s">
        <v>16527</v>
      </c>
      <c r="W93" s="48" t="s">
        <v>16528</v>
      </c>
      <c r="X93" s="48" t="s">
        <v>16529</v>
      </c>
      <c r="Y93" s="52" t="s">
        <v>16530</v>
      </c>
      <c r="Z93" s="48" t="s">
        <v>16531</v>
      </c>
      <c r="AA93" s="48" t="s">
        <v>16532</v>
      </c>
      <c r="AB93" s="53" t="s">
        <v>16533</v>
      </c>
      <c r="AC93" s="48" t="s">
        <v>17954</v>
      </c>
      <c r="AD93" s="57"/>
    </row>
    <row r="94">
      <c r="A94" s="47" t="s">
        <v>16535</v>
      </c>
      <c r="B94" s="48" t="s">
        <v>16536</v>
      </c>
      <c r="C94" s="49" t="s">
        <v>16537</v>
      </c>
      <c r="D94" s="48" t="s">
        <v>16538</v>
      </c>
      <c r="E94" s="48" t="s">
        <v>16539</v>
      </c>
      <c r="F94" s="48" t="s">
        <v>16540</v>
      </c>
      <c r="G94" s="48" t="s">
        <v>16541</v>
      </c>
      <c r="H94" s="48" t="s">
        <v>16542</v>
      </c>
      <c r="I94" s="48" t="s">
        <v>16543</v>
      </c>
      <c r="J94" s="48" t="s">
        <v>16544</v>
      </c>
      <c r="K94" s="54" t="s">
        <v>16545</v>
      </c>
      <c r="L94" s="48" t="s">
        <v>16546</v>
      </c>
      <c r="M94" s="48" t="s">
        <v>16547</v>
      </c>
      <c r="N94" s="53" t="s">
        <v>16548</v>
      </c>
      <c r="O94" s="50" t="s">
        <v>16549</v>
      </c>
      <c r="P94" s="55" t="s">
        <v>16550</v>
      </c>
      <c r="Q94" s="56" t="s">
        <v>16551</v>
      </c>
      <c r="R94" s="51" t="s">
        <v>16552</v>
      </c>
      <c r="S94" s="48" t="s">
        <v>16553</v>
      </c>
      <c r="T94" s="48" t="s">
        <v>16554</v>
      </c>
      <c r="U94" s="48" t="s">
        <v>16555</v>
      </c>
      <c r="V94" s="48" t="s">
        <v>16556</v>
      </c>
      <c r="W94" s="48" t="s">
        <v>16557</v>
      </c>
      <c r="X94" s="48" t="s">
        <v>16558</v>
      </c>
      <c r="Y94" s="52" t="s">
        <v>16559</v>
      </c>
      <c r="Z94" s="48" t="s">
        <v>16560</v>
      </c>
      <c r="AA94" s="48" t="s">
        <v>16561</v>
      </c>
      <c r="AB94" s="53" t="s">
        <v>16562</v>
      </c>
      <c r="AC94" s="48" t="s">
        <v>17955</v>
      </c>
      <c r="AD94" s="57"/>
    </row>
    <row r="95">
      <c r="A95" s="47" t="s">
        <v>16592</v>
      </c>
      <c r="B95" s="48" t="s">
        <v>17956</v>
      </c>
      <c r="C95" s="49" t="s">
        <v>17957</v>
      </c>
      <c r="D95" s="48" t="s">
        <v>17958</v>
      </c>
      <c r="E95" s="48" t="s">
        <v>17959</v>
      </c>
      <c r="F95" s="48" t="s">
        <v>17960</v>
      </c>
      <c r="G95" s="48" t="s">
        <v>17961</v>
      </c>
      <c r="H95" s="48" t="s">
        <v>17962</v>
      </c>
      <c r="I95" s="48" t="s">
        <v>17963</v>
      </c>
      <c r="J95" s="48" t="s">
        <v>17964</v>
      </c>
      <c r="K95" s="54" t="s">
        <v>17965</v>
      </c>
      <c r="L95" s="48" t="s">
        <v>17966</v>
      </c>
      <c r="M95" s="48" t="s">
        <v>17967</v>
      </c>
      <c r="N95" s="48" t="s">
        <v>17968</v>
      </c>
      <c r="O95" s="50" t="s">
        <v>17969</v>
      </c>
      <c r="P95" s="55" t="s">
        <v>17970</v>
      </c>
      <c r="Q95" s="56" t="s">
        <v>17971</v>
      </c>
      <c r="R95" s="51" t="s">
        <v>17972</v>
      </c>
      <c r="S95" s="48" t="s">
        <v>17973</v>
      </c>
      <c r="T95" s="48" t="s">
        <v>17974</v>
      </c>
      <c r="U95" s="48" t="s">
        <v>17975</v>
      </c>
      <c r="V95" s="48" t="s">
        <v>17976</v>
      </c>
      <c r="W95" s="48" t="s">
        <v>17977</v>
      </c>
      <c r="X95" s="48" t="s">
        <v>17978</v>
      </c>
      <c r="Y95" s="52" t="s">
        <v>17979</v>
      </c>
      <c r="Z95" s="48" t="s">
        <v>17980</v>
      </c>
      <c r="AA95" s="48" t="s">
        <v>17981</v>
      </c>
      <c r="AB95" s="53" t="s">
        <v>17982</v>
      </c>
      <c r="AC95" s="48" t="s">
        <v>17983</v>
      </c>
      <c r="AD95" s="57"/>
    </row>
    <row r="96">
      <c r="A96" s="47" t="s">
        <v>16625</v>
      </c>
      <c r="B96" s="48" t="s">
        <v>16626</v>
      </c>
      <c r="C96" s="49" t="s">
        <v>16627</v>
      </c>
      <c r="D96" s="48" t="s">
        <v>16628</v>
      </c>
      <c r="E96" s="48" t="s">
        <v>16629</v>
      </c>
      <c r="F96" s="48" t="s">
        <v>16630</v>
      </c>
      <c r="G96" s="48" t="s">
        <v>16631</v>
      </c>
      <c r="H96" s="48" t="s">
        <v>16632</v>
      </c>
      <c r="I96" s="48" t="s">
        <v>16633</v>
      </c>
      <c r="J96" s="48" t="s">
        <v>16634</v>
      </c>
      <c r="K96" s="54" t="s">
        <v>16635</v>
      </c>
      <c r="L96" s="48" t="s">
        <v>16636</v>
      </c>
      <c r="M96" s="48" t="s">
        <v>16637</v>
      </c>
      <c r="N96" s="53" t="s">
        <v>16638</v>
      </c>
      <c r="O96" s="50" t="s">
        <v>16639</v>
      </c>
      <c r="P96" s="55" t="s">
        <v>16640</v>
      </c>
      <c r="Q96" s="56" t="s">
        <v>16641</v>
      </c>
      <c r="R96" s="51" t="s">
        <v>16642</v>
      </c>
      <c r="S96" s="48" t="s">
        <v>17984</v>
      </c>
      <c r="T96" s="48" t="s">
        <v>16644</v>
      </c>
      <c r="U96" s="48" t="s">
        <v>16645</v>
      </c>
      <c r="V96" s="48" t="s">
        <v>16646</v>
      </c>
      <c r="W96" s="48" t="s">
        <v>16647</v>
      </c>
      <c r="X96" s="48" t="s">
        <v>16648</v>
      </c>
      <c r="Y96" s="52" t="s">
        <v>16649</v>
      </c>
      <c r="Z96" s="48" t="s">
        <v>16650</v>
      </c>
      <c r="AA96" s="48" t="s">
        <v>16651</v>
      </c>
      <c r="AB96" s="53" t="s">
        <v>16652</v>
      </c>
      <c r="AC96" s="48" t="s">
        <v>16653</v>
      </c>
      <c r="AD96" s="57"/>
    </row>
    <row r="97">
      <c r="A97" s="47" t="s">
        <v>16654</v>
      </c>
      <c r="B97" s="48" t="s">
        <v>16655</v>
      </c>
      <c r="C97" s="49" t="s">
        <v>16656</v>
      </c>
      <c r="D97" s="48" t="s">
        <v>16657</v>
      </c>
      <c r="E97" s="48" t="s">
        <v>16658</v>
      </c>
      <c r="F97" s="48" t="s">
        <v>16659</v>
      </c>
      <c r="G97" s="48" t="s">
        <v>16660</v>
      </c>
      <c r="H97" s="48" t="s">
        <v>16661</v>
      </c>
      <c r="I97" s="48" t="s">
        <v>16662</v>
      </c>
      <c r="J97" s="48" t="s">
        <v>16663</v>
      </c>
      <c r="K97" s="54" t="s">
        <v>16664</v>
      </c>
      <c r="L97" s="48" t="s">
        <v>16665</v>
      </c>
      <c r="M97" s="48" t="s">
        <v>16666</v>
      </c>
      <c r="N97" s="103" t="s">
        <v>16667</v>
      </c>
      <c r="O97" s="50" t="s">
        <v>16668</v>
      </c>
      <c r="P97" s="55" t="s">
        <v>16669</v>
      </c>
      <c r="Q97" s="56" t="s">
        <v>16670</v>
      </c>
      <c r="R97" s="51" t="s">
        <v>16671</v>
      </c>
      <c r="S97" s="48" t="s">
        <v>16672</v>
      </c>
      <c r="T97" s="48" t="s">
        <v>16673</v>
      </c>
      <c r="U97" s="48" t="s">
        <v>16674</v>
      </c>
      <c r="V97" s="48" t="s">
        <v>16675</v>
      </c>
      <c r="W97" s="48" t="s">
        <v>16676</v>
      </c>
      <c r="X97" s="48" t="s">
        <v>16677</v>
      </c>
      <c r="Y97" s="52" t="s">
        <v>16678</v>
      </c>
      <c r="Z97" s="48" t="s">
        <v>16679</v>
      </c>
      <c r="AA97" s="48" t="s">
        <v>16680</v>
      </c>
      <c r="AB97" s="53" t="s">
        <v>16681</v>
      </c>
      <c r="AC97" s="48" t="s">
        <v>16682</v>
      </c>
      <c r="AD97" s="57"/>
    </row>
    <row r="98">
      <c r="A98" s="47" t="s">
        <v>16683</v>
      </c>
      <c r="B98" s="48" t="s">
        <v>16684</v>
      </c>
      <c r="C98" s="49" t="s">
        <v>16685</v>
      </c>
      <c r="D98" s="48" t="s">
        <v>16686</v>
      </c>
      <c r="E98" s="48" t="s">
        <v>16687</v>
      </c>
      <c r="F98" s="48" t="s">
        <v>16688</v>
      </c>
      <c r="G98" s="48" t="s">
        <v>16689</v>
      </c>
      <c r="H98" s="48" t="s">
        <v>16690</v>
      </c>
      <c r="I98" s="48" t="s">
        <v>16691</v>
      </c>
      <c r="J98" s="48" t="s">
        <v>16692</v>
      </c>
      <c r="K98" s="54" t="s">
        <v>16693</v>
      </c>
      <c r="L98" s="48" t="s">
        <v>16694</v>
      </c>
      <c r="M98" s="48" t="s">
        <v>16695</v>
      </c>
      <c r="N98" s="103" t="s">
        <v>16696</v>
      </c>
      <c r="O98" s="50" t="s">
        <v>16697</v>
      </c>
      <c r="P98" s="55" t="s">
        <v>16698</v>
      </c>
      <c r="Q98" s="56" t="s">
        <v>16699</v>
      </c>
      <c r="R98" s="51" t="s">
        <v>16700</v>
      </c>
      <c r="S98" s="48" t="s">
        <v>16701</v>
      </c>
      <c r="T98" s="48" t="s">
        <v>16702</v>
      </c>
      <c r="U98" s="48" t="s">
        <v>16703</v>
      </c>
      <c r="V98" s="48" t="s">
        <v>16704</v>
      </c>
      <c r="W98" s="48" t="s">
        <v>16705</v>
      </c>
      <c r="X98" s="48" t="s">
        <v>16706</v>
      </c>
      <c r="Y98" s="52" t="s">
        <v>16707</v>
      </c>
      <c r="Z98" s="48" t="s">
        <v>16708</v>
      </c>
      <c r="AA98" s="48" t="s">
        <v>16709</v>
      </c>
      <c r="AB98" s="53" t="s">
        <v>16710</v>
      </c>
      <c r="AC98" s="48" t="s">
        <v>17985</v>
      </c>
      <c r="AD98" s="57"/>
    </row>
    <row r="99">
      <c r="A99" s="96" t="s">
        <v>11645</v>
      </c>
      <c r="B99" s="96" t="s">
        <v>4444</v>
      </c>
      <c r="C99" s="97" t="s">
        <v>4445</v>
      </c>
      <c r="D99" s="96" t="s">
        <v>4446</v>
      </c>
      <c r="E99" s="96" t="s">
        <v>4447</v>
      </c>
      <c r="F99" s="96" t="s">
        <v>4448</v>
      </c>
      <c r="G99" s="96" t="s">
        <v>4449</v>
      </c>
      <c r="H99" s="96" t="s">
        <v>15021</v>
      </c>
      <c r="I99" s="96" t="s">
        <v>4451</v>
      </c>
      <c r="J99" s="96" t="s">
        <v>4452</v>
      </c>
      <c r="K99" s="96" t="s">
        <v>4453</v>
      </c>
      <c r="L99" s="96" t="s">
        <v>4454</v>
      </c>
      <c r="M99" s="96" t="s">
        <v>4455</v>
      </c>
      <c r="N99" s="96" t="s">
        <v>4456</v>
      </c>
      <c r="O99" s="96" t="s">
        <v>10289</v>
      </c>
      <c r="P99" s="96" t="s">
        <v>10290</v>
      </c>
      <c r="Q99" s="96" t="s">
        <v>4459</v>
      </c>
      <c r="R99" s="96" t="s">
        <v>10291</v>
      </c>
      <c r="S99" s="96" t="s">
        <v>4461</v>
      </c>
      <c r="T99" s="96" t="s">
        <v>15022</v>
      </c>
      <c r="U99" s="96" t="s">
        <v>4463</v>
      </c>
      <c r="V99" s="96" t="s">
        <v>4464</v>
      </c>
      <c r="W99" s="96" t="s">
        <v>4449</v>
      </c>
      <c r="X99" s="96" t="s">
        <v>4465</v>
      </c>
      <c r="Y99" s="96" t="s">
        <v>4466</v>
      </c>
      <c r="Z99" s="96" t="s">
        <v>4467</v>
      </c>
      <c r="AA99" s="96" t="s">
        <v>15023</v>
      </c>
      <c r="AB99" s="96" t="s">
        <v>4469</v>
      </c>
      <c r="AC99" s="96" t="s">
        <v>4470</v>
      </c>
      <c r="AD99" s="57"/>
    </row>
    <row r="100">
      <c r="A100" s="107"/>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9"/>
      <c r="AD100" s="57"/>
    </row>
    <row r="101">
      <c r="A101" s="107"/>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c r="AB101" s="108"/>
      <c r="AC101" s="109"/>
      <c r="AD101" s="57"/>
    </row>
    <row r="102">
      <c r="A102" s="107"/>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9"/>
      <c r="AD102" s="57"/>
    </row>
    <row r="103">
      <c r="A103" s="107"/>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c r="AA103" s="108"/>
      <c r="AB103" s="108"/>
      <c r="AC103" s="109"/>
      <c r="AD103" s="57"/>
    </row>
    <row r="104">
      <c r="A104" s="107"/>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c r="AA104" s="108"/>
      <c r="AB104" s="108"/>
      <c r="AC104" s="109"/>
      <c r="AD104" s="57"/>
    </row>
    <row r="105">
      <c r="A105" s="107"/>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9"/>
      <c r="AD105" s="57"/>
    </row>
    <row r="106">
      <c r="A106" s="107"/>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c r="AB106" s="108"/>
      <c r="AC106" s="109"/>
      <c r="AD106" s="57"/>
    </row>
    <row r="107">
      <c r="A107" s="107"/>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c r="AA107" s="108"/>
      <c r="AB107" s="108"/>
      <c r="AC107" s="109"/>
      <c r="AD107" s="57"/>
    </row>
    <row r="108">
      <c r="A108" s="107"/>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9"/>
      <c r="AD108" s="57"/>
    </row>
    <row r="109">
      <c r="A109" s="107"/>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9"/>
      <c r="AD109" s="57"/>
    </row>
    <row r="110">
      <c r="A110" s="107"/>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108"/>
      <c r="AB110" s="108"/>
      <c r="AC110" s="109"/>
      <c r="AD110" s="57"/>
    </row>
    <row r="111">
      <c r="A111" s="107"/>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c r="AA111" s="108"/>
      <c r="AB111" s="108"/>
      <c r="AC111" s="109"/>
      <c r="AD111" s="57"/>
    </row>
    <row r="112">
      <c r="A112" s="107"/>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c r="AA112" s="108"/>
      <c r="AB112" s="108"/>
      <c r="AC112" s="109"/>
      <c r="AD112" s="57"/>
    </row>
    <row r="113">
      <c r="A113" s="107"/>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c r="AA113" s="108"/>
      <c r="AB113" s="108"/>
      <c r="AC113" s="109"/>
      <c r="AD113" s="57"/>
    </row>
    <row r="114">
      <c r="A114" s="107"/>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c r="AA114" s="108"/>
      <c r="AB114" s="108"/>
      <c r="AC114" s="109"/>
      <c r="AD114" s="57"/>
    </row>
    <row r="115">
      <c r="A115" s="107"/>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c r="AA115" s="108"/>
      <c r="AB115" s="108"/>
      <c r="AC115" s="109"/>
      <c r="AD115" s="57"/>
    </row>
    <row r="116">
      <c r="A116" s="107"/>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c r="AA116" s="108"/>
      <c r="AB116" s="108"/>
      <c r="AC116" s="109"/>
      <c r="AD116" s="57"/>
    </row>
    <row r="117">
      <c r="A117" s="107"/>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c r="AA117" s="108"/>
      <c r="AB117" s="108"/>
      <c r="AC117" s="109"/>
      <c r="AD117" s="57"/>
    </row>
    <row r="118">
      <c r="A118" s="107"/>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c r="AA118" s="108"/>
      <c r="AB118" s="108"/>
      <c r="AC118" s="109"/>
      <c r="AD118" s="57"/>
    </row>
    <row r="119">
      <c r="A119" s="107"/>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c r="AA119" s="108"/>
      <c r="AB119" s="108"/>
      <c r="AC119" s="109"/>
      <c r="AD119" s="57"/>
    </row>
    <row r="120">
      <c r="A120" s="107"/>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c r="AA120" s="108"/>
      <c r="AB120" s="108"/>
      <c r="AC120" s="109"/>
      <c r="AD120" s="57"/>
    </row>
    <row r="121">
      <c r="A121" s="107"/>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c r="AA121" s="108"/>
      <c r="AB121" s="108"/>
      <c r="AC121" s="109"/>
      <c r="AD121" s="57"/>
    </row>
    <row r="122">
      <c r="A122" s="107"/>
      <c r="B122" s="108"/>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c r="AA122" s="108"/>
      <c r="AB122" s="108"/>
      <c r="AC122" s="109"/>
      <c r="AD122" s="57"/>
    </row>
    <row r="123">
      <c r="A123" s="107"/>
      <c r="B123" s="108"/>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c r="AA123" s="108"/>
      <c r="AB123" s="108"/>
      <c r="AC123" s="109"/>
      <c r="AD123" s="57"/>
    </row>
    <row r="124">
      <c r="A124" s="107"/>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c r="AA124" s="108"/>
      <c r="AB124" s="108"/>
      <c r="AC124" s="109"/>
      <c r="AD124" s="21"/>
    </row>
    <row r="125">
      <c r="A125" s="107"/>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c r="AA125" s="108"/>
      <c r="AB125" s="108"/>
      <c r="AC125" s="109"/>
      <c r="AD125" s="21"/>
    </row>
    <row r="126">
      <c r="A126" s="107"/>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c r="AA126" s="108"/>
      <c r="AB126" s="108"/>
      <c r="AC126" s="109"/>
      <c r="AD126" s="21"/>
    </row>
    <row r="127">
      <c r="A127" s="107"/>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c r="AA127" s="108"/>
      <c r="AB127" s="108"/>
      <c r="AC127" s="109"/>
      <c r="AD127" s="21"/>
    </row>
    <row r="128">
      <c r="A128" s="107"/>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c r="AA128" s="108"/>
      <c r="AB128" s="108"/>
      <c r="AC128" s="109"/>
      <c r="AD128" s="21"/>
    </row>
    <row r="129">
      <c r="A129" s="110"/>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c r="AA129" s="111"/>
      <c r="AB129" s="111"/>
      <c r="AC129" s="112"/>
      <c r="AD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row>
    <row r="100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0"/>
    <col customWidth="1" min="3" max="3" width="28.38"/>
  </cols>
  <sheetData>
    <row r="1">
      <c r="A1" s="18" t="s">
        <v>48</v>
      </c>
      <c r="B1" s="18" t="s">
        <v>2</v>
      </c>
      <c r="C1" s="18" t="s">
        <v>3</v>
      </c>
      <c r="D1" s="18" t="s">
        <v>4</v>
      </c>
      <c r="E1" s="18" t="s">
        <v>5</v>
      </c>
      <c r="F1" s="18" t="s">
        <v>6</v>
      </c>
      <c r="G1" s="18" t="s">
        <v>7</v>
      </c>
      <c r="H1" s="18" t="s">
        <v>8</v>
      </c>
      <c r="I1" s="18" t="s">
        <v>9</v>
      </c>
      <c r="J1" s="18" t="s">
        <v>10</v>
      </c>
      <c r="K1" s="18" t="s">
        <v>11</v>
      </c>
      <c r="L1" s="18" t="s">
        <v>12</v>
      </c>
      <c r="M1" s="18" t="s">
        <v>13</v>
      </c>
      <c r="N1" s="18" t="s">
        <v>49</v>
      </c>
      <c r="O1" s="18" t="s">
        <v>15</v>
      </c>
      <c r="P1" s="18" t="s">
        <v>16</v>
      </c>
      <c r="Q1" s="18" t="s">
        <v>17</v>
      </c>
      <c r="R1" s="18" t="s">
        <v>18</v>
      </c>
      <c r="S1" s="18" t="s">
        <v>19</v>
      </c>
      <c r="T1" s="18" t="s">
        <v>20</v>
      </c>
      <c r="U1" s="18" t="s">
        <v>21</v>
      </c>
      <c r="V1" s="18" t="s">
        <v>22</v>
      </c>
      <c r="W1" s="18" t="s">
        <v>23</v>
      </c>
      <c r="X1" s="18" t="s">
        <v>24</v>
      </c>
      <c r="Y1" s="18" t="s">
        <v>25</v>
      </c>
      <c r="Z1" s="18" t="s">
        <v>26</v>
      </c>
      <c r="AA1" s="18" t="s">
        <v>27</v>
      </c>
      <c r="AB1" s="18" t="s">
        <v>28</v>
      </c>
      <c r="AC1" s="18" t="s">
        <v>29</v>
      </c>
    </row>
    <row r="2">
      <c r="A2" s="22" t="s">
        <v>50</v>
      </c>
      <c r="B2" s="23" t="s">
        <v>51</v>
      </c>
      <c r="C2" s="23" t="s">
        <v>78</v>
      </c>
      <c r="D2" s="24" t="s">
        <v>52</v>
      </c>
      <c r="E2" s="23" t="s">
        <v>53</v>
      </c>
      <c r="F2" s="23" t="s">
        <v>54</v>
      </c>
      <c r="G2" s="23" t="s">
        <v>55</v>
      </c>
      <c r="H2" s="23" t="s">
        <v>56</v>
      </c>
      <c r="I2" s="23" t="s">
        <v>57</v>
      </c>
      <c r="J2" s="23" t="s">
        <v>58</v>
      </c>
      <c r="K2" s="23" t="s">
        <v>59</v>
      </c>
      <c r="L2" s="25" t="s">
        <v>60</v>
      </c>
      <c r="M2" s="23" t="s">
        <v>61</v>
      </c>
      <c r="N2" s="23" t="s">
        <v>62</v>
      </c>
      <c r="O2" s="26" t="s">
        <v>63</v>
      </c>
      <c r="P2" s="27" t="s">
        <v>64</v>
      </c>
      <c r="Q2" s="28" t="s">
        <v>65</v>
      </c>
      <c r="R2" s="29" t="s">
        <v>66</v>
      </c>
      <c r="S2" s="30" t="s">
        <v>67</v>
      </c>
      <c r="T2" s="23" t="s">
        <v>68</v>
      </c>
      <c r="U2" s="23" t="s">
        <v>69</v>
      </c>
      <c r="V2" s="23" t="s">
        <v>70</v>
      </c>
      <c r="W2" s="23" t="s">
        <v>71</v>
      </c>
      <c r="X2" s="23" t="s">
        <v>72</v>
      </c>
      <c r="Y2" s="23" t="s">
        <v>73</v>
      </c>
      <c r="Z2" s="31" t="s">
        <v>74</v>
      </c>
      <c r="AA2" s="23" t="s">
        <v>75</v>
      </c>
      <c r="AB2" s="23" t="s">
        <v>76</v>
      </c>
      <c r="AC2" s="26" t="s">
        <v>77</v>
      </c>
    </row>
    <row r="3">
      <c r="A3" s="22" t="s">
        <v>79</v>
      </c>
      <c r="B3" s="23" t="s">
        <v>80</v>
      </c>
      <c r="C3" s="23" t="s">
        <v>107</v>
      </c>
      <c r="D3" s="24" t="s">
        <v>81</v>
      </c>
      <c r="E3" s="23" t="s">
        <v>82</v>
      </c>
      <c r="F3" s="23" t="s">
        <v>83</v>
      </c>
      <c r="G3" s="23" t="s">
        <v>84</v>
      </c>
      <c r="H3" s="23" t="s">
        <v>85</v>
      </c>
      <c r="I3" s="23" t="s">
        <v>86</v>
      </c>
      <c r="J3" s="23" t="s">
        <v>87</v>
      </c>
      <c r="K3" s="23" t="s">
        <v>88</v>
      </c>
      <c r="L3" s="25" t="s">
        <v>89</v>
      </c>
      <c r="M3" s="23" t="s">
        <v>90</v>
      </c>
      <c r="N3" s="23" t="s">
        <v>91</v>
      </c>
      <c r="O3" s="26" t="s">
        <v>92</v>
      </c>
      <c r="P3" s="27" t="s">
        <v>93</v>
      </c>
      <c r="Q3" s="28" t="s">
        <v>94</v>
      </c>
      <c r="R3" s="29" t="s">
        <v>95</v>
      </c>
      <c r="S3" s="30" t="s">
        <v>96</v>
      </c>
      <c r="T3" s="23" t="s">
        <v>97</v>
      </c>
      <c r="U3" s="23" t="s">
        <v>98</v>
      </c>
      <c r="V3" s="23" t="s">
        <v>99</v>
      </c>
      <c r="W3" s="23" t="s">
        <v>100</v>
      </c>
      <c r="X3" s="23" t="s">
        <v>101</v>
      </c>
      <c r="Y3" s="23" t="s">
        <v>102</v>
      </c>
      <c r="Z3" s="31" t="s">
        <v>103</v>
      </c>
      <c r="AA3" s="23" t="s">
        <v>104</v>
      </c>
      <c r="AB3" s="23" t="s">
        <v>105</v>
      </c>
      <c r="AC3" s="26" t="s">
        <v>106</v>
      </c>
    </row>
    <row r="4">
      <c r="A4" s="22" t="s">
        <v>108</v>
      </c>
      <c r="B4" s="23" t="s">
        <v>109</v>
      </c>
      <c r="C4" s="23" t="s">
        <v>135</v>
      </c>
      <c r="D4" s="24" t="s">
        <v>110</v>
      </c>
      <c r="E4" s="23" t="s">
        <v>111</v>
      </c>
      <c r="F4" s="23" t="s">
        <v>112</v>
      </c>
      <c r="G4" s="23" t="s">
        <v>113</v>
      </c>
      <c r="H4" s="23" t="s">
        <v>114</v>
      </c>
      <c r="I4" s="23" t="s">
        <v>115</v>
      </c>
      <c r="J4" s="23" t="s">
        <v>116</v>
      </c>
      <c r="K4" s="23" t="s">
        <v>117</v>
      </c>
      <c r="L4" s="25" t="s">
        <v>118</v>
      </c>
      <c r="M4" s="23" t="s">
        <v>119</v>
      </c>
      <c r="N4" s="23" t="s">
        <v>120</v>
      </c>
      <c r="O4" s="26" t="s">
        <v>121</v>
      </c>
      <c r="P4" s="27" t="s">
        <v>122</v>
      </c>
      <c r="Q4" s="28" t="s">
        <v>123</v>
      </c>
      <c r="R4" s="29" t="s">
        <v>124</v>
      </c>
      <c r="S4" s="30" t="s">
        <v>125</v>
      </c>
      <c r="T4" s="23" t="s">
        <v>126</v>
      </c>
      <c r="U4" s="23" t="s">
        <v>127</v>
      </c>
      <c r="V4" s="23" t="s">
        <v>128</v>
      </c>
      <c r="W4" s="23" t="s">
        <v>129</v>
      </c>
      <c r="X4" s="23" t="s">
        <v>114</v>
      </c>
      <c r="Y4" s="23" t="s">
        <v>130</v>
      </c>
      <c r="Z4" s="31" t="s">
        <v>131</v>
      </c>
      <c r="AA4" s="23" t="s">
        <v>132</v>
      </c>
      <c r="AB4" s="23" t="s">
        <v>133</v>
      </c>
      <c r="AC4" s="26" t="s">
        <v>134</v>
      </c>
    </row>
    <row r="5">
      <c r="A5" s="22" t="s">
        <v>136</v>
      </c>
      <c r="B5" s="23" t="s">
        <v>137</v>
      </c>
      <c r="C5" s="23" t="s">
        <v>163</v>
      </c>
      <c r="D5" s="24" t="s">
        <v>138</v>
      </c>
      <c r="E5" s="23" t="s">
        <v>139</v>
      </c>
      <c r="F5" s="23" t="s">
        <v>140</v>
      </c>
      <c r="G5" s="23" t="s">
        <v>141</v>
      </c>
      <c r="H5" s="23" t="s">
        <v>142</v>
      </c>
      <c r="I5" s="23" t="s">
        <v>143</v>
      </c>
      <c r="J5" s="23" t="s">
        <v>144</v>
      </c>
      <c r="K5" s="23" t="s">
        <v>145</v>
      </c>
      <c r="L5" s="25" t="s">
        <v>146</v>
      </c>
      <c r="M5" s="23" t="s">
        <v>147</v>
      </c>
      <c r="N5" s="23" t="s">
        <v>148</v>
      </c>
      <c r="O5" s="26" t="s">
        <v>149</v>
      </c>
      <c r="P5" s="27" t="s">
        <v>150</v>
      </c>
      <c r="Q5" s="28" t="s">
        <v>151</v>
      </c>
      <c r="R5" s="29" t="s">
        <v>152</v>
      </c>
      <c r="S5" s="30" t="s">
        <v>153</v>
      </c>
      <c r="T5" s="23" t="s">
        <v>154</v>
      </c>
      <c r="U5" s="23" t="s">
        <v>147</v>
      </c>
      <c r="V5" s="23" t="s">
        <v>155</v>
      </c>
      <c r="W5" s="23" t="s">
        <v>156</v>
      </c>
      <c r="X5" s="23" t="s">
        <v>157</v>
      </c>
      <c r="Y5" s="23" t="s">
        <v>158</v>
      </c>
      <c r="Z5" s="31" t="s">
        <v>159</v>
      </c>
      <c r="AA5" s="23" t="s">
        <v>160</v>
      </c>
      <c r="AB5" s="23" t="s">
        <v>161</v>
      </c>
      <c r="AC5" s="26" t="s">
        <v>162</v>
      </c>
    </row>
    <row r="6">
      <c r="A6" s="22" t="s">
        <v>164</v>
      </c>
      <c r="B6" s="23" t="s">
        <v>165</v>
      </c>
      <c r="C6" s="23" t="s">
        <v>191</v>
      </c>
      <c r="D6" s="24" t="s">
        <v>166</v>
      </c>
      <c r="E6" s="23" t="s">
        <v>167</v>
      </c>
      <c r="F6" s="23" t="s">
        <v>168</v>
      </c>
      <c r="G6" s="23" t="s">
        <v>169</v>
      </c>
      <c r="H6" s="23" t="s">
        <v>170</v>
      </c>
      <c r="I6" s="23" t="s">
        <v>171</v>
      </c>
      <c r="J6" s="23" t="s">
        <v>172</v>
      </c>
      <c r="K6" s="23" t="s">
        <v>173</v>
      </c>
      <c r="L6" s="25" t="s">
        <v>174</v>
      </c>
      <c r="M6" s="23" t="s">
        <v>175</v>
      </c>
      <c r="N6" s="23" t="s">
        <v>176</v>
      </c>
      <c r="O6" s="26" t="s">
        <v>177</v>
      </c>
      <c r="P6" s="27" t="s">
        <v>178</v>
      </c>
      <c r="Q6" s="28" t="s">
        <v>179</v>
      </c>
      <c r="R6" s="29" t="s">
        <v>180</v>
      </c>
      <c r="S6" s="30" t="s">
        <v>181</v>
      </c>
      <c r="T6" s="23" t="s">
        <v>182</v>
      </c>
      <c r="U6" s="23" t="s">
        <v>183</v>
      </c>
      <c r="V6" s="23" t="s">
        <v>184</v>
      </c>
      <c r="W6" s="23" t="s">
        <v>185</v>
      </c>
      <c r="X6" s="23" t="s">
        <v>170</v>
      </c>
      <c r="Y6" s="23" t="s">
        <v>186</v>
      </c>
      <c r="Z6" s="31" t="s">
        <v>187</v>
      </c>
      <c r="AA6" s="23" t="s">
        <v>188</v>
      </c>
      <c r="AB6" s="23" t="s">
        <v>189</v>
      </c>
      <c r="AC6" s="26" t="s">
        <v>190</v>
      </c>
    </row>
    <row r="7">
      <c r="A7" s="22" t="s">
        <v>192</v>
      </c>
      <c r="B7" s="23" t="s">
        <v>193</v>
      </c>
      <c r="C7" s="23" t="s">
        <v>214</v>
      </c>
      <c r="D7" s="24" t="s">
        <v>194</v>
      </c>
      <c r="E7" s="23" t="s">
        <v>193</v>
      </c>
      <c r="F7" s="23" t="s">
        <v>193</v>
      </c>
      <c r="G7" s="23" t="s">
        <v>195</v>
      </c>
      <c r="H7" s="23" t="s">
        <v>196</v>
      </c>
      <c r="I7" s="23" t="s">
        <v>197</v>
      </c>
      <c r="J7" s="23" t="s">
        <v>198</v>
      </c>
      <c r="K7" s="23" t="s">
        <v>199</v>
      </c>
      <c r="L7" s="25" t="s">
        <v>200</v>
      </c>
      <c r="M7" s="23" t="s">
        <v>201</v>
      </c>
      <c r="N7" s="23" t="s">
        <v>193</v>
      </c>
      <c r="O7" s="26" t="s">
        <v>202</v>
      </c>
      <c r="P7" s="27" t="s">
        <v>203</v>
      </c>
      <c r="Q7" s="28" t="s">
        <v>204</v>
      </c>
      <c r="R7" s="29" t="s">
        <v>205</v>
      </c>
      <c r="S7" s="30" t="s">
        <v>206</v>
      </c>
      <c r="T7" s="23" t="s">
        <v>207</v>
      </c>
      <c r="U7" s="23" t="s">
        <v>208</v>
      </c>
      <c r="V7" s="23" t="s">
        <v>193</v>
      </c>
      <c r="W7" s="23" t="s">
        <v>193</v>
      </c>
      <c r="X7" s="23" t="s">
        <v>193</v>
      </c>
      <c r="Y7" s="23" t="s">
        <v>209</v>
      </c>
      <c r="Z7" s="31" t="s">
        <v>210</v>
      </c>
      <c r="AA7" s="23" t="s">
        <v>211</v>
      </c>
      <c r="AB7" s="23" t="s">
        <v>212</v>
      </c>
      <c r="AC7" s="26" t="s">
        <v>213</v>
      </c>
    </row>
    <row r="8">
      <c r="A8" s="22" t="s">
        <v>215</v>
      </c>
      <c r="B8" s="23" t="s">
        <v>216</v>
      </c>
      <c r="C8" s="23" t="s">
        <v>240</v>
      </c>
      <c r="D8" s="24" t="s">
        <v>217</v>
      </c>
      <c r="E8" s="23" t="s">
        <v>218</v>
      </c>
      <c r="F8" s="23" t="s">
        <v>219</v>
      </c>
      <c r="G8" s="23" t="s">
        <v>220</v>
      </c>
      <c r="H8" s="23" t="s">
        <v>221</v>
      </c>
      <c r="I8" s="23" t="s">
        <v>222</v>
      </c>
      <c r="J8" s="23" t="s">
        <v>223</v>
      </c>
      <c r="K8" s="23" t="s">
        <v>224</v>
      </c>
      <c r="L8" s="25" t="s">
        <v>225</v>
      </c>
      <c r="M8" s="23" t="s">
        <v>216</v>
      </c>
      <c r="N8" s="23" t="s">
        <v>226</v>
      </c>
      <c r="O8" s="26" t="s">
        <v>227</v>
      </c>
      <c r="P8" s="27" t="s">
        <v>228</v>
      </c>
      <c r="Q8" s="28" t="s">
        <v>229</v>
      </c>
      <c r="R8" s="29" t="s">
        <v>230</v>
      </c>
      <c r="S8" s="30" t="s">
        <v>231</v>
      </c>
      <c r="T8" s="23" t="s">
        <v>232</v>
      </c>
      <c r="U8" s="23" t="s">
        <v>216</v>
      </c>
      <c r="V8" s="23" t="s">
        <v>233</v>
      </c>
      <c r="W8" s="23" t="s">
        <v>234</v>
      </c>
      <c r="X8" s="23" t="s">
        <v>221</v>
      </c>
      <c r="Y8" s="23" t="s">
        <v>235</v>
      </c>
      <c r="Z8" s="31" t="s">
        <v>236</v>
      </c>
      <c r="AA8" s="23" t="s">
        <v>237</v>
      </c>
      <c r="AB8" s="23" t="s">
        <v>238</v>
      </c>
      <c r="AC8" s="26" t="s">
        <v>239</v>
      </c>
    </row>
    <row r="9">
      <c r="A9" s="22" t="s">
        <v>241</v>
      </c>
      <c r="B9" s="23" t="s">
        <v>242</v>
      </c>
      <c r="C9" s="23" t="s">
        <v>268</v>
      </c>
      <c r="D9" s="24" t="s">
        <v>243</v>
      </c>
      <c r="E9" s="23" t="s">
        <v>244</v>
      </c>
      <c r="F9" s="23" t="s">
        <v>245</v>
      </c>
      <c r="G9" s="23" t="s">
        <v>246</v>
      </c>
      <c r="H9" s="23" t="s">
        <v>247</v>
      </c>
      <c r="I9" s="23" t="s">
        <v>248</v>
      </c>
      <c r="J9" s="23" t="s">
        <v>249</v>
      </c>
      <c r="K9" s="23" t="s">
        <v>250</v>
      </c>
      <c r="L9" s="25" t="s">
        <v>251</v>
      </c>
      <c r="M9" s="23" t="s">
        <v>252</v>
      </c>
      <c r="N9" s="23" t="s">
        <v>253</v>
      </c>
      <c r="O9" s="26" t="s">
        <v>254</v>
      </c>
      <c r="P9" s="27" t="s">
        <v>255</v>
      </c>
      <c r="Q9" s="28" t="s">
        <v>256</v>
      </c>
      <c r="R9" s="29" t="s">
        <v>257</v>
      </c>
      <c r="S9" s="30" t="s">
        <v>258</v>
      </c>
      <c r="T9" s="23" t="s">
        <v>259</v>
      </c>
      <c r="U9" s="23" t="s">
        <v>252</v>
      </c>
      <c r="V9" s="23" t="s">
        <v>260</v>
      </c>
      <c r="W9" s="23" t="s">
        <v>261</v>
      </c>
      <c r="X9" s="23" t="s">
        <v>262</v>
      </c>
      <c r="Y9" s="23" t="s">
        <v>263</v>
      </c>
      <c r="Z9" s="31" t="s">
        <v>264</v>
      </c>
      <c r="AA9" s="23" t="s">
        <v>265</v>
      </c>
      <c r="AB9" s="23" t="s">
        <v>266</v>
      </c>
      <c r="AC9" s="26" t="s">
        <v>267</v>
      </c>
    </row>
    <row r="10">
      <c r="A10" s="22" t="s">
        <v>269</v>
      </c>
      <c r="B10" s="23" t="s">
        <v>270</v>
      </c>
      <c r="C10" s="23" t="s">
        <v>296</v>
      </c>
      <c r="D10" s="24" t="s">
        <v>271</v>
      </c>
      <c r="E10" s="23" t="s">
        <v>272</v>
      </c>
      <c r="F10" s="23" t="s">
        <v>273</v>
      </c>
      <c r="G10" s="23" t="s">
        <v>274</v>
      </c>
      <c r="H10" s="23" t="s">
        <v>275</v>
      </c>
      <c r="I10" s="23" t="s">
        <v>276</v>
      </c>
      <c r="J10" s="23" t="s">
        <v>277</v>
      </c>
      <c r="K10" s="23" t="s">
        <v>278</v>
      </c>
      <c r="L10" s="25" t="s">
        <v>279</v>
      </c>
      <c r="M10" s="23" t="s">
        <v>280</v>
      </c>
      <c r="N10" s="23" t="s">
        <v>281</v>
      </c>
      <c r="O10" s="26" t="s">
        <v>282</v>
      </c>
      <c r="P10" s="27" t="s">
        <v>283</v>
      </c>
      <c r="Q10" s="28" t="s">
        <v>284</v>
      </c>
      <c r="R10" s="29" t="s">
        <v>285</v>
      </c>
      <c r="S10" s="30" t="s">
        <v>286</v>
      </c>
      <c r="T10" s="23" t="s">
        <v>287</v>
      </c>
      <c r="U10" s="23" t="s">
        <v>288</v>
      </c>
      <c r="V10" s="23" t="s">
        <v>289</v>
      </c>
      <c r="W10" s="23" t="s">
        <v>290</v>
      </c>
      <c r="X10" s="23" t="s">
        <v>291</v>
      </c>
      <c r="Y10" s="23" t="s">
        <v>292</v>
      </c>
      <c r="Z10" s="31" t="s">
        <v>293</v>
      </c>
      <c r="AA10" s="23" t="s">
        <v>294</v>
      </c>
      <c r="AB10" s="23" t="s">
        <v>266</v>
      </c>
      <c r="AC10" s="26" t="s">
        <v>295</v>
      </c>
    </row>
    <row r="11">
      <c r="A11" s="22" t="s">
        <v>297</v>
      </c>
      <c r="B11" s="23" t="s">
        <v>298</v>
      </c>
      <c r="C11" s="23" t="s">
        <v>325</v>
      </c>
      <c r="D11" s="24" t="s">
        <v>299</v>
      </c>
      <c r="E11" s="23" t="s">
        <v>300</v>
      </c>
      <c r="F11" s="23" t="s">
        <v>301</v>
      </c>
      <c r="G11" s="23" t="s">
        <v>302</v>
      </c>
      <c r="H11" s="23" t="s">
        <v>303</v>
      </c>
      <c r="I11" s="23" t="s">
        <v>304</v>
      </c>
      <c r="J11" s="23" t="s">
        <v>305</v>
      </c>
      <c r="K11" s="23" t="s">
        <v>306</v>
      </c>
      <c r="L11" s="25" t="s">
        <v>307</v>
      </c>
      <c r="M11" s="23" t="s">
        <v>308</v>
      </c>
      <c r="N11" s="23" t="s">
        <v>309</v>
      </c>
      <c r="O11" s="26" t="s">
        <v>310</v>
      </c>
      <c r="P11" s="27" t="s">
        <v>311</v>
      </c>
      <c r="Q11" s="28" t="s">
        <v>312</v>
      </c>
      <c r="R11" s="29" t="s">
        <v>313</v>
      </c>
      <c r="S11" s="30" t="s">
        <v>314</v>
      </c>
      <c r="T11" s="23" t="s">
        <v>315</v>
      </c>
      <c r="U11" s="23" t="s">
        <v>316</v>
      </c>
      <c r="V11" s="23" t="s">
        <v>317</v>
      </c>
      <c r="W11" s="23" t="s">
        <v>318</v>
      </c>
      <c r="X11" s="23" t="s">
        <v>319</v>
      </c>
      <c r="Y11" s="23" t="s">
        <v>320</v>
      </c>
      <c r="Z11" s="31" t="s">
        <v>321</v>
      </c>
      <c r="AA11" s="23" t="s">
        <v>322</v>
      </c>
      <c r="AB11" s="23" t="s">
        <v>323</v>
      </c>
      <c r="AC11" s="26" t="s">
        <v>324</v>
      </c>
    </row>
    <row r="12">
      <c r="A12" s="22" t="s">
        <v>326</v>
      </c>
      <c r="B12" s="23" t="s">
        <v>327</v>
      </c>
      <c r="C12" s="23" t="s">
        <v>354</v>
      </c>
      <c r="D12" s="24" t="s">
        <v>328</v>
      </c>
      <c r="E12" s="23" t="s">
        <v>329</v>
      </c>
      <c r="F12" s="23" t="s">
        <v>330</v>
      </c>
      <c r="G12" s="23" t="s">
        <v>331</v>
      </c>
      <c r="H12" s="23" t="s">
        <v>332</v>
      </c>
      <c r="I12" s="23" t="s">
        <v>333</v>
      </c>
      <c r="J12" s="23" t="s">
        <v>334</v>
      </c>
      <c r="K12" s="23" t="s">
        <v>335</v>
      </c>
      <c r="L12" s="25" t="s">
        <v>336</v>
      </c>
      <c r="M12" s="23" t="s">
        <v>337</v>
      </c>
      <c r="N12" s="23" t="s">
        <v>338</v>
      </c>
      <c r="O12" s="26" t="s">
        <v>339</v>
      </c>
      <c r="P12" s="27" t="s">
        <v>340</v>
      </c>
      <c r="Q12" s="28" t="s">
        <v>341</v>
      </c>
      <c r="R12" s="29" t="s">
        <v>342</v>
      </c>
      <c r="S12" s="30" t="s">
        <v>343</v>
      </c>
      <c r="T12" s="23" t="s">
        <v>344</v>
      </c>
      <c r="U12" s="23" t="s">
        <v>345</v>
      </c>
      <c r="V12" s="23" t="s">
        <v>346</v>
      </c>
      <c r="W12" s="23" t="s">
        <v>347</v>
      </c>
      <c r="X12" s="23" t="s">
        <v>348</v>
      </c>
      <c r="Y12" s="23" t="s">
        <v>349</v>
      </c>
      <c r="Z12" s="31" t="s">
        <v>350</v>
      </c>
      <c r="AA12" s="23" t="s">
        <v>351</v>
      </c>
      <c r="AB12" s="23" t="s">
        <v>352</v>
      </c>
      <c r="AC12" s="26" t="s">
        <v>353</v>
      </c>
    </row>
    <row r="13">
      <c r="A13" s="22" t="s">
        <v>355</v>
      </c>
      <c r="B13" s="23" t="s">
        <v>356</v>
      </c>
      <c r="C13" s="23" t="s">
        <v>382</v>
      </c>
      <c r="D13" s="24" t="s">
        <v>357</v>
      </c>
      <c r="E13" s="23" t="s">
        <v>358</v>
      </c>
      <c r="F13" s="23" t="s">
        <v>359</v>
      </c>
      <c r="G13" s="23" t="s">
        <v>360</v>
      </c>
      <c r="H13" s="23" t="s">
        <v>361</v>
      </c>
      <c r="I13" s="23" t="s">
        <v>362</v>
      </c>
      <c r="J13" s="23" t="s">
        <v>362</v>
      </c>
      <c r="K13" s="23" t="s">
        <v>363</v>
      </c>
      <c r="L13" s="25" t="s">
        <v>364</v>
      </c>
      <c r="M13" s="23" t="s">
        <v>365</v>
      </c>
      <c r="N13" s="23" t="s">
        <v>366</v>
      </c>
      <c r="O13" s="26" t="s">
        <v>367</v>
      </c>
      <c r="P13" s="27" t="s">
        <v>368</v>
      </c>
      <c r="Q13" s="28" t="s">
        <v>369</v>
      </c>
      <c r="R13" s="29" t="s">
        <v>370</v>
      </c>
      <c r="S13" s="30" t="s">
        <v>371</v>
      </c>
      <c r="T13" s="23" t="s">
        <v>372</v>
      </c>
      <c r="U13" s="23" t="s">
        <v>373</v>
      </c>
      <c r="V13" s="23" t="s">
        <v>374</v>
      </c>
      <c r="W13" s="23" t="s">
        <v>375</v>
      </c>
      <c r="X13" s="23" t="s">
        <v>376</v>
      </c>
      <c r="Y13" s="23" t="s">
        <v>377</v>
      </c>
      <c r="Z13" s="31" t="s">
        <v>378</v>
      </c>
      <c r="AA13" s="23" t="s">
        <v>379</v>
      </c>
      <c r="AB13" s="23" t="s">
        <v>380</v>
      </c>
      <c r="AC13" s="26" t="s">
        <v>381</v>
      </c>
    </row>
    <row r="14">
      <c r="A14" s="22" t="s">
        <v>383</v>
      </c>
      <c r="B14" s="23" t="s">
        <v>384</v>
      </c>
      <c r="C14" s="23" t="s">
        <v>411</v>
      </c>
      <c r="D14" s="24" t="s">
        <v>385</v>
      </c>
      <c r="E14" s="23" t="s">
        <v>386</v>
      </c>
      <c r="F14" s="23" t="s">
        <v>387</v>
      </c>
      <c r="G14" s="23" t="s">
        <v>388</v>
      </c>
      <c r="H14" s="23" t="s">
        <v>389</v>
      </c>
      <c r="I14" s="23" t="s">
        <v>390</v>
      </c>
      <c r="J14" s="23" t="s">
        <v>391</v>
      </c>
      <c r="K14" s="23" t="s">
        <v>392</v>
      </c>
      <c r="L14" s="25" t="s">
        <v>393</v>
      </c>
      <c r="M14" s="23" t="s">
        <v>394</v>
      </c>
      <c r="N14" s="23" t="s">
        <v>395</v>
      </c>
      <c r="O14" s="26" t="s">
        <v>396</v>
      </c>
      <c r="P14" s="27" t="s">
        <v>397</v>
      </c>
      <c r="Q14" s="28" t="s">
        <v>398</v>
      </c>
      <c r="R14" s="29" t="s">
        <v>399</v>
      </c>
      <c r="S14" s="30" t="s">
        <v>400</v>
      </c>
      <c r="T14" s="23" t="s">
        <v>401</v>
      </c>
      <c r="U14" s="23" t="s">
        <v>402</v>
      </c>
      <c r="V14" s="23" t="s">
        <v>403</v>
      </c>
      <c r="W14" s="23" t="s">
        <v>404</v>
      </c>
      <c r="X14" s="23" t="s">
        <v>405</v>
      </c>
      <c r="Y14" s="23" t="s">
        <v>406</v>
      </c>
      <c r="Z14" s="31" t="s">
        <v>407</v>
      </c>
      <c r="AA14" s="23" t="s">
        <v>408</v>
      </c>
      <c r="AB14" s="23" t="s">
        <v>409</v>
      </c>
      <c r="AC14" s="26" t="s">
        <v>410</v>
      </c>
    </row>
    <row r="15">
      <c r="A15" s="22" t="s">
        <v>412</v>
      </c>
      <c r="B15" s="23" t="s">
        <v>413</v>
      </c>
      <c r="C15" s="23" t="s">
        <v>440</v>
      </c>
      <c r="D15" s="24" t="s">
        <v>414</v>
      </c>
      <c r="E15" s="23" t="s">
        <v>415</v>
      </c>
      <c r="F15" s="23" t="s">
        <v>416</v>
      </c>
      <c r="G15" s="23" t="s">
        <v>417</v>
      </c>
      <c r="H15" s="23" t="s">
        <v>418</v>
      </c>
      <c r="I15" s="23" t="s">
        <v>419</v>
      </c>
      <c r="J15" s="23" t="s">
        <v>420</v>
      </c>
      <c r="K15" s="23" t="s">
        <v>421</v>
      </c>
      <c r="L15" s="25" t="s">
        <v>422</v>
      </c>
      <c r="M15" s="23" t="s">
        <v>423</v>
      </c>
      <c r="N15" s="23" t="s">
        <v>424</v>
      </c>
      <c r="O15" s="26" t="s">
        <v>425</v>
      </c>
      <c r="P15" s="27" t="s">
        <v>426</v>
      </c>
      <c r="Q15" s="28" t="s">
        <v>427</v>
      </c>
      <c r="R15" s="29" t="s">
        <v>428</v>
      </c>
      <c r="S15" s="30" t="s">
        <v>429</v>
      </c>
      <c r="T15" s="23" t="s">
        <v>430</v>
      </c>
      <c r="U15" s="23" t="s">
        <v>431</v>
      </c>
      <c r="V15" s="23" t="s">
        <v>432</v>
      </c>
      <c r="W15" s="23" t="s">
        <v>433</v>
      </c>
      <c r="X15" s="23" t="s">
        <v>434</v>
      </c>
      <c r="Y15" s="23" t="s">
        <v>435</v>
      </c>
      <c r="Z15" s="31" t="s">
        <v>436</v>
      </c>
      <c r="AA15" s="23" t="s">
        <v>437</v>
      </c>
      <c r="AB15" s="23" t="s">
        <v>438</v>
      </c>
      <c r="AC15" s="26" t="s">
        <v>439</v>
      </c>
    </row>
    <row r="16">
      <c r="A16" s="22" t="s">
        <v>441</v>
      </c>
      <c r="B16" s="23" t="s">
        <v>442</v>
      </c>
      <c r="C16" s="23" t="s">
        <v>467</v>
      </c>
      <c r="D16" s="24" t="s">
        <v>443</v>
      </c>
      <c r="E16" s="23" t="s">
        <v>444</v>
      </c>
      <c r="F16" s="23" t="s">
        <v>445</v>
      </c>
      <c r="G16" s="23" t="s">
        <v>446</v>
      </c>
      <c r="H16" s="23" t="s">
        <v>447</v>
      </c>
      <c r="I16" s="23" t="s">
        <v>448</v>
      </c>
      <c r="J16" s="23" t="s">
        <v>449</v>
      </c>
      <c r="K16" s="23" t="s">
        <v>450</v>
      </c>
      <c r="L16" s="25" t="s">
        <v>451</v>
      </c>
      <c r="M16" s="23" t="s">
        <v>445</v>
      </c>
      <c r="N16" s="23" t="s">
        <v>452</v>
      </c>
      <c r="O16" s="26" t="s">
        <v>453</v>
      </c>
      <c r="P16" s="27" t="s">
        <v>454</v>
      </c>
      <c r="Q16" s="28" t="s">
        <v>455</v>
      </c>
      <c r="R16" s="29" t="s">
        <v>456</v>
      </c>
      <c r="S16" s="30" t="s">
        <v>457</v>
      </c>
      <c r="T16" s="23" t="s">
        <v>458</v>
      </c>
      <c r="U16" s="23" t="s">
        <v>459</v>
      </c>
      <c r="V16" s="23" t="s">
        <v>460</v>
      </c>
      <c r="W16" s="23" t="s">
        <v>461</v>
      </c>
      <c r="X16" s="23" t="s">
        <v>447</v>
      </c>
      <c r="Y16" s="23" t="s">
        <v>462</v>
      </c>
      <c r="Z16" s="31" t="s">
        <v>463</v>
      </c>
      <c r="AA16" s="23" t="s">
        <v>464</v>
      </c>
      <c r="AB16" s="23" t="s">
        <v>465</v>
      </c>
      <c r="AC16" s="26" t="s">
        <v>466</v>
      </c>
    </row>
    <row r="17">
      <c r="A17" s="22" t="s">
        <v>468</v>
      </c>
      <c r="B17" s="23" t="s">
        <v>469</v>
      </c>
      <c r="C17" s="23" t="s">
        <v>495</v>
      </c>
      <c r="D17" s="32" t="s">
        <v>470</v>
      </c>
      <c r="E17" s="23" t="s">
        <v>471</v>
      </c>
      <c r="F17" s="23" t="s">
        <v>472</v>
      </c>
      <c r="G17" s="23" t="s">
        <v>473</v>
      </c>
      <c r="H17" s="23" t="s">
        <v>474</v>
      </c>
      <c r="I17" s="23" t="s">
        <v>475</v>
      </c>
      <c r="J17" s="23" t="s">
        <v>476</v>
      </c>
      <c r="K17" s="23" t="s">
        <v>477</v>
      </c>
      <c r="L17" s="25" t="s">
        <v>478</v>
      </c>
      <c r="M17" s="23" t="s">
        <v>479</v>
      </c>
      <c r="N17" s="23" t="s">
        <v>480</v>
      </c>
      <c r="O17" s="26" t="s">
        <v>481</v>
      </c>
      <c r="P17" s="27" t="s">
        <v>482</v>
      </c>
      <c r="Q17" s="28" t="s">
        <v>483</v>
      </c>
      <c r="R17" s="29" t="s">
        <v>484</v>
      </c>
      <c r="S17" s="30" t="s">
        <v>485</v>
      </c>
      <c r="T17" s="23" t="s">
        <v>486</v>
      </c>
      <c r="U17" s="23" t="s">
        <v>479</v>
      </c>
      <c r="V17" s="23" t="s">
        <v>487</v>
      </c>
      <c r="W17" s="23" t="s">
        <v>488</v>
      </c>
      <c r="X17" s="23" t="s">
        <v>489</v>
      </c>
      <c r="Y17" s="23" t="s">
        <v>490</v>
      </c>
      <c r="Z17" s="31" t="s">
        <v>491</v>
      </c>
      <c r="AA17" s="23" t="s">
        <v>492</v>
      </c>
      <c r="AB17" s="23" t="s">
        <v>493</v>
      </c>
      <c r="AC17" s="26" t="s">
        <v>494</v>
      </c>
    </row>
    <row r="18">
      <c r="A18" s="22" t="s">
        <v>496</v>
      </c>
      <c r="B18" s="23" t="s">
        <v>497</v>
      </c>
      <c r="C18" s="23" t="s">
        <v>523</v>
      </c>
      <c r="D18" s="24" t="s">
        <v>498</v>
      </c>
      <c r="E18" s="23" t="s">
        <v>499</v>
      </c>
      <c r="F18" s="23" t="s">
        <v>500</v>
      </c>
      <c r="G18" s="23" t="s">
        <v>501</v>
      </c>
      <c r="H18" s="23" t="s">
        <v>502</v>
      </c>
      <c r="I18" s="23" t="s">
        <v>503</v>
      </c>
      <c r="J18" s="23" t="s">
        <v>504</v>
      </c>
      <c r="K18" s="23" t="s">
        <v>505</v>
      </c>
      <c r="L18" s="25" t="s">
        <v>506</v>
      </c>
      <c r="M18" s="23" t="s">
        <v>507</v>
      </c>
      <c r="N18" s="23" t="s">
        <v>507</v>
      </c>
      <c r="O18" s="26" t="s">
        <v>508</v>
      </c>
      <c r="P18" s="27" t="s">
        <v>509</v>
      </c>
      <c r="Q18" s="28" t="s">
        <v>510</v>
      </c>
      <c r="R18" s="29" t="s">
        <v>511</v>
      </c>
      <c r="S18" s="30" t="s">
        <v>512</v>
      </c>
      <c r="T18" s="23" t="s">
        <v>513</v>
      </c>
      <c r="U18" s="23" t="s">
        <v>514</v>
      </c>
      <c r="V18" s="23" t="s">
        <v>515</v>
      </c>
      <c r="W18" s="23" t="s">
        <v>516</v>
      </c>
      <c r="X18" s="23" t="s">
        <v>517</v>
      </c>
      <c r="Y18" s="23" t="s">
        <v>518</v>
      </c>
      <c r="Z18" s="31" t="s">
        <v>519</v>
      </c>
      <c r="AA18" s="23" t="s">
        <v>520</v>
      </c>
      <c r="AB18" s="23" t="s">
        <v>521</v>
      </c>
      <c r="AC18" s="26" t="s">
        <v>522</v>
      </c>
    </row>
    <row r="19">
      <c r="A19" s="22" t="s">
        <v>524</v>
      </c>
      <c r="B19" s="23" t="s">
        <v>525</v>
      </c>
      <c r="C19" s="23" t="s">
        <v>551</v>
      </c>
      <c r="D19" s="24" t="s">
        <v>526</v>
      </c>
      <c r="E19" s="23" t="s">
        <v>527</v>
      </c>
      <c r="F19" s="23" t="s">
        <v>528</v>
      </c>
      <c r="G19" s="23" t="s">
        <v>529</v>
      </c>
      <c r="H19" s="23" t="s">
        <v>530</v>
      </c>
      <c r="I19" s="23" t="s">
        <v>531</v>
      </c>
      <c r="J19" s="23" t="s">
        <v>532</v>
      </c>
      <c r="K19" s="23" t="s">
        <v>533</v>
      </c>
      <c r="L19" s="25" t="s">
        <v>534</v>
      </c>
      <c r="M19" s="23" t="s">
        <v>535</v>
      </c>
      <c r="N19" s="23" t="s">
        <v>536</v>
      </c>
      <c r="O19" s="26" t="s">
        <v>537</v>
      </c>
      <c r="P19" s="27" t="s">
        <v>538</v>
      </c>
      <c r="Q19" s="28" t="s">
        <v>539</v>
      </c>
      <c r="R19" s="29" t="s">
        <v>540</v>
      </c>
      <c r="S19" s="30" t="s">
        <v>541</v>
      </c>
      <c r="T19" s="23" t="s">
        <v>542</v>
      </c>
      <c r="U19" s="23" t="s">
        <v>543</v>
      </c>
      <c r="V19" s="23" t="s">
        <v>544</v>
      </c>
      <c r="W19" s="23" t="s">
        <v>545</v>
      </c>
      <c r="X19" s="23" t="s">
        <v>530</v>
      </c>
      <c r="Y19" s="23" t="s">
        <v>546</v>
      </c>
      <c r="Z19" s="31" t="s">
        <v>547</v>
      </c>
      <c r="AA19" s="23" t="s">
        <v>548</v>
      </c>
      <c r="AB19" s="23" t="s">
        <v>549</v>
      </c>
      <c r="AC19" s="26" t="s">
        <v>550</v>
      </c>
    </row>
    <row r="20">
      <c r="A20" s="22" t="s">
        <v>552</v>
      </c>
      <c r="B20" s="23" t="s">
        <v>553</v>
      </c>
      <c r="C20" s="23" t="s">
        <v>495</v>
      </c>
      <c r="D20" s="24" t="s">
        <v>554</v>
      </c>
      <c r="E20" s="23" t="s">
        <v>555</v>
      </c>
      <c r="F20" s="23" t="s">
        <v>556</v>
      </c>
      <c r="G20" s="23" t="s">
        <v>557</v>
      </c>
      <c r="H20" s="23" t="s">
        <v>558</v>
      </c>
      <c r="I20" s="23" t="s">
        <v>559</v>
      </c>
      <c r="J20" s="23" t="s">
        <v>560</v>
      </c>
      <c r="K20" s="23" t="s">
        <v>553</v>
      </c>
      <c r="L20" s="25" t="s">
        <v>561</v>
      </c>
      <c r="M20" s="23" t="s">
        <v>562</v>
      </c>
      <c r="N20" s="23" t="s">
        <v>562</v>
      </c>
      <c r="O20" s="26" t="s">
        <v>563</v>
      </c>
      <c r="P20" s="27" t="s">
        <v>564</v>
      </c>
      <c r="Q20" s="28" t="s">
        <v>565</v>
      </c>
      <c r="R20" s="29" t="s">
        <v>566</v>
      </c>
      <c r="S20" s="30" t="s">
        <v>567</v>
      </c>
      <c r="T20" s="23" t="s">
        <v>568</v>
      </c>
      <c r="U20" s="23" t="s">
        <v>562</v>
      </c>
      <c r="V20" s="23" t="s">
        <v>553</v>
      </c>
      <c r="W20" s="23" t="s">
        <v>569</v>
      </c>
      <c r="X20" s="23" t="s">
        <v>570</v>
      </c>
      <c r="Y20" s="23" t="s">
        <v>571</v>
      </c>
      <c r="Z20" s="31" t="s">
        <v>572</v>
      </c>
      <c r="AA20" s="23" t="s">
        <v>573</v>
      </c>
      <c r="AB20" s="23" t="s">
        <v>574</v>
      </c>
      <c r="AC20" s="26" t="s">
        <v>575</v>
      </c>
    </row>
    <row r="21">
      <c r="A21" s="22" t="s">
        <v>576</v>
      </c>
      <c r="B21" s="23" t="s">
        <v>562</v>
      </c>
      <c r="C21" s="23" t="s">
        <v>495</v>
      </c>
      <c r="D21" s="24" t="s">
        <v>577</v>
      </c>
      <c r="E21" s="23" t="s">
        <v>562</v>
      </c>
      <c r="F21" s="23" t="s">
        <v>562</v>
      </c>
      <c r="G21" s="23" t="s">
        <v>578</v>
      </c>
      <c r="H21" s="23" t="s">
        <v>579</v>
      </c>
      <c r="I21" s="23" t="s">
        <v>562</v>
      </c>
      <c r="J21" s="23" t="s">
        <v>568</v>
      </c>
      <c r="K21" s="23" t="s">
        <v>562</v>
      </c>
      <c r="L21" s="25" t="s">
        <v>580</v>
      </c>
      <c r="M21" s="23" t="s">
        <v>562</v>
      </c>
      <c r="N21" s="23" t="s">
        <v>562</v>
      </c>
      <c r="O21" s="26" t="s">
        <v>563</v>
      </c>
      <c r="P21" s="27" t="s">
        <v>581</v>
      </c>
      <c r="Q21" s="28" t="s">
        <v>565</v>
      </c>
      <c r="R21" s="29" t="s">
        <v>566</v>
      </c>
      <c r="S21" s="30" t="s">
        <v>582</v>
      </c>
      <c r="T21" s="23" t="s">
        <v>553</v>
      </c>
      <c r="U21" s="23" t="s">
        <v>562</v>
      </c>
      <c r="V21" s="23" t="s">
        <v>562</v>
      </c>
      <c r="W21" s="23" t="s">
        <v>562</v>
      </c>
      <c r="X21" s="23" t="s">
        <v>579</v>
      </c>
      <c r="Y21" s="23" t="s">
        <v>583</v>
      </c>
      <c r="Z21" s="31" t="s">
        <v>572</v>
      </c>
      <c r="AA21" s="23" t="s">
        <v>584</v>
      </c>
      <c r="AB21" s="23" t="s">
        <v>583</v>
      </c>
      <c r="AC21" s="26" t="s">
        <v>575</v>
      </c>
    </row>
    <row r="22">
      <c r="A22" s="22"/>
      <c r="B22" s="23"/>
      <c r="C22" s="23"/>
      <c r="D22" s="24"/>
      <c r="E22" s="23"/>
      <c r="F22" s="23"/>
      <c r="G22" s="23"/>
      <c r="H22" s="23"/>
      <c r="I22" s="23"/>
      <c r="J22" s="23"/>
      <c r="K22" s="23"/>
      <c r="L22" s="25"/>
      <c r="M22" s="23"/>
      <c r="N22" s="23"/>
      <c r="O22" s="26"/>
      <c r="P22" s="27"/>
      <c r="Q22" s="28"/>
      <c r="R22" s="29"/>
      <c r="S22" s="30"/>
      <c r="T22" s="23"/>
      <c r="U22" s="23"/>
      <c r="V22" s="23"/>
      <c r="W22" s="23"/>
      <c r="X22" s="23"/>
      <c r="Y22" s="23"/>
      <c r="Z22" s="31"/>
      <c r="AA22" s="23"/>
      <c r="AB22" s="23"/>
      <c r="AC22" s="26"/>
    </row>
    <row r="23">
      <c r="A23" s="22"/>
      <c r="B23" s="23"/>
      <c r="C23" s="23"/>
      <c r="D23" s="24"/>
      <c r="E23" s="23"/>
      <c r="F23" s="23"/>
      <c r="G23" s="23"/>
      <c r="H23" s="23"/>
      <c r="I23" s="23"/>
      <c r="J23" s="23"/>
      <c r="K23" s="23"/>
      <c r="L23" s="25"/>
      <c r="M23" s="23"/>
      <c r="N23" s="23"/>
      <c r="O23" s="26"/>
      <c r="P23" s="27"/>
      <c r="Q23" s="28"/>
      <c r="R23" s="29"/>
      <c r="S23" s="30"/>
      <c r="T23" s="23"/>
      <c r="U23" s="23"/>
      <c r="V23" s="23"/>
      <c r="W23" s="23"/>
      <c r="X23" s="23"/>
      <c r="Y23" s="23"/>
      <c r="Z23" s="31"/>
      <c r="AA23" s="23"/>
      <c r="AB23" s="23"/>
      <c r="AC23" s="26"/>
    </row>
    <row r="24">
      <c r="A24" s="22"/>
      <c r="B24" s="23"/>
      <c r="C24" s="23"/>
      <c r="D24" s="24"/>
      <c r="E24" s="23"/>
      <c r="F24" s="23"/>
      <c r="G24" s="23"/>
      <c r="H24" s="23"/>
      <c r="I24" s="23"/>
      <c r="J24" s="23"/>
      <c r="K24" s="23"/>
      <c r="L24" s="25"/>
      <c r="M24" s="23"/>
      <c r="N24" s="23"/>
      <c r="O24" s="26"/>
      <c r="P24" s="27"/>
      <c r="Q24" s="28"/>
      <c r="R24" s="29"/>
      <c r="S24" s="30"/>
      <c r="T24" s="23"/>
      <c r="U24" s="23"/>
      <c r="V24" s="23"/>
      <c r="W24" s="23"/>
      <c r="X24" s="23"/>
      <c r="Y24" s="23"/>
      <c r="Z24" s="31"/>
      <c r="AA24" s="23"/>
      <c r="AB24" s="23"/>
      <c r="AC24" s="26"/>
    </row>
    <row r="25">
      <c r="A25" s="22"/>
      <c r="B25" s="23"/>
      <c r="C25" s="23"/>
      <c r="D25" s="24"/>
      <c r="E25" s="23"/>
      <c r="F25" s="23"/>
      <c r="G25" s="23"/>
      <c r="H25" s="23"/>
      <c r="I25" s="23"/>
      <c r="J25" s="23"/>
      <c r="K25" s="23"/>
      <c r="L25" s="25"/>
      <c r="M25" s="23"/>
      <c r="N25" s="23"/>
      <c r="O25" s="26"/>
      <c r="P25" s="27"/>
      <c r="Q25" s="28"/>
      <c r="R25" s="29"/>
      <c r="S25" s="30"/>
      <c r="T25" s="23"/>
      <c r="U25" s="23"/>
      <c r="V25" s="23"/>
      <c r="W25" s="23"/>
      <c r="X25" s="23"/>
      <c r="Y25" s="23"/>
      <c r="Z25" s="31"/>
      <c r="AA25" s="23"/>
      <c r="AB25" s="23"/>
      <c r="AC25" s="26"/>
    </row>
    <row r="26">
      <c r="A26" s="22" t="s">
        <v>35</v>
      </c>
      <c r="B26" s="23" t="s">
        <v>36</v>
      </c>
      <c r="C26" s="23" t="s">
        <v>718</v>
      </c>
      <c r="D26" s="24" t="s">
        <v>692</v>
      </c>
      <c r="E26" s="23" t="s">
        <v>693</v>
      </c>
      <c r="F26" s="23" t="s">
        <v>694</v>
      </c>
      <c r="G26" s="23" t="s">
        <v>695</v>
      </c>
      <c r="H26" s="23" t="s">
        <v>696</v>
      </c>
      <c r="I26" s="23" t="s">
        <v>697</v>
      </c>
      <c r="J26" s="23" t="s">
        <v>698</v>
      </c>
      <c r="K26" s="23" t="s">
        <v>699</v>
      </c>
      <c r="L26" s="25" t="s">
        <v>700</v>
      </c>
      <c r="M26" s="23" t="s">
        <v>701</v>
      </c>
      <c r="N26" s="23" t="s">
        <v>702</v>
      </c>
      <c r="O26" s="26" t="s">
        <v>703</v>
      </c>
      <c r="P26" s="27" t="s">
        <v>704</v>
      </c>
      <c r="Q26" s="28" t="s">
        <v>705</v>
      </c>
      <c r="R26" s="29" t="s">
        <v>706</v>
      </c>
      <c r="S26" s="30" t="s">
        <v>707</v>
      </c>
      <c r="T26" s="23" t="s">
        <v>708</v>
      </c>
      <c r="U26" s="23" t="s">
        <v>709</v>
      </c>
      <c r="V26" s="23" t="s">
        <v>710</v>
      </c>
      <c r="W26" s="23" t="s">
        <v>711</v>
      </c>
      <c r="X26" s="23" t="s">
        <v>712</v>
      </c>
      <c r="Y26" s="23" t="s">
        <v>713</v>
      </c>
      <c r="Z26" s="31" t="s">
        <v>714</v>
      </c>
      <c r="AA26" s="23" t="s">
        <v>715</v>
      </c>
      <c r="AB26" s="23" t="s">
        <v>716</v>
      </c>
      <c r="AC26" s="26" t="s">
        <v>717</v>
      </c>
    </row>
    <row r="27">
      <c r="A27" s="22" t="s">
        <v>719</v>
      </c>
      <c r="B27" s="23" t="s">
        <v>720</v>
      </c>
      <c r="C27" s="23" t="s">
        <v>746</v>
      </c>
      <c r="D27" s="24" t="s">
        <v>721</v>
      </c>
      <c r="E27" s="23" t="s">
        <v>722</v>
      </c>
      <c r="F27" s="23" t="s">
        <v>723</v>
      </c>
      <c r="G27" s="23" t="s">
        <v>724</v>
      </c>
      <c r="H27" s="23" t="s">
        <v>725</v>
      </c>
      <c r="I27" s="23" t="s">
        <v>726</v>
      </c>
      <c r="J27" s="23" t="s">
        <v>727</v>
      </c>
      <c r="K27" s="23" t="s">
        <v>720</v>
      </c>
      <c r="L27" s="25" t="s">
        <v>728</v>
      </c>
      <c r="M27" s="23" t="s">
        <v>729</v>
      </c>
      <c r="N27" s="23" t="s">
        <v>730</v>
      </c>
      <c r="O27" s="26" t="s">
        <v>731</v>
      </c>
      <c r="P27" s="27" t="s">
        <v>732</v>
      </c>
      <c r="Q27" s="28" t="s">
        <v>733</v>
      </c>
      <c r="R27" s="29" t="s">
        <v>734</v>
      </c>
      <c r="S27" s="30" t="s">
        <v>735</v>
      </c>
      <c r="T27" s="23" t="s">
        <v>736</v>
      </c>
      <c r="U27" s="23" t="s">
        <v>737</v>
      </c>
      <c r="V27" s="23" t="s">
        <v>738</v>
      </c>
      <c r="W27" s="23" t="s">
        <v>739</v>
      </c>
      <c r="X27" s="23" t="s">
        <v>740</v>
      </c>
      <c r="Y27" s="23" t="s">
        <v>741</v>
      </c>
      <c r="Z27" s="31" t="s">
        <v>742</v>
      </c>
      <c r="AA27" s="23" t="s">
        <v>743</v>
      </c>
      <c r="AB27" s="23" t="s">
        <v>744</v>
      </c>
      <c r="AC27" s="26" t="s">
        <v>745</v>
      </c>
    </row>
    <row r="28">
      <c r="A28" s="22"/>
      <c r="B28" s="23"/>
      <c r="C28" s="23"/>
      <c r="D28" s="24"/>
      <c r="E28" s="23"/>
      <c r="F28" s="23"/>
      <c r="G28" s="23"/>
      <c r="H28" s="23"/>
      <c r="I28" s="23"/>
      <c r="J28" s="23"/>
      <c r="K28" s="23"/>
      <c r="L28" s="25"/>
      <c r="M28" s="23"/>
      <c r="N28" s="23"/>
      <c r="O28" s="26"/>
      <c r="P28" s="27"/>
      <c r="Q28" s="28"/>
      <c r="R28" s="29"/>
      <c r="S28" s="30"/>
      <c r="T28" s="23"/>
      <c r="U28" s="23"/>
      <c r="V28" s="23"/>
      <c r="W28" s="23"/>
      <c r="X28" s="23"/>
      <c r="Y28" s="23"/>
      <c r="Z28" s="31"/>
      <c r="AA28" s="23"/>
      <c r="AB28" s="23"/>
      <c r="AC28" s="26"/>
    </row>
    <row r="29">
      <c r="A29" s="22" t="s">
        <v>776</v>
      </c>
      <c r="B29" s="23" t="s">
        <v>479</v>
      </c>
      <c r="C29" s="23" t="s">
        <v>495</v>
      </c>
      <c r="D29" s="24" t="s">
        <v>777</v>
      </c>
      <c r="E29" s="23" t="s">
        <v>778</v>
      </c>
      <c r="F29" s="23" t="s">
        <v>472</v>
      </c>
      <c r="G29" s="23" t="s">
        <v>779</v>
      </c>
      <c r="H29" s="23" t="s">
        <v>780</v>
      </c>
      <c r="I29" s="23" t="s">
        <v>781</v>
      </c>
      <c r="J29" s="23" t="s">
        <v>782</v>
      </c>
      <c r="K29" s="23" t="s">
        <v>783</v>
      </c>
      <c r="L29" s="25" t="s">
        <v>478</v>
      </c>
      <c r="M29" s="23" t="s">
        <v>784</v>
      </c>
      <c r="N29" s="23" t="s">
        <v>785</v>
      </c>
      <c r="O29" s="26" t="s">
        <v>786</v>
      </c>
      <c r="P29" s="27" t="s">
        <v>787</v>
      </c>
      <c r="Q29" s="28" t="s">
        <v>788</v>
      </c>
      <c r="R29" s="29" t="s">
        <v>484</v>
      </c>
      <c r="S29" s="30" t="s">
        <v>789</v>
      </c>
      <c r="T29" s="23" t="s">
        <v>790</v>
      </c>
      <c r="U29" s="23" t="s">
        <v>479</v>
      </c>
      <c r="V29" s="23" t="s">
        <v>784</v>
      </c>
      <c r="W29" s="23" t="s">
        <v>791</v>
      </c>
      <c r="X29" s="23" t="s">
        <v>792</v>
      </c>
      <c r="Y29" s="23" t="s">
        <v>793</v>
      </c>
      <c r="Z29" s="31" t="s">
        <v>491</v>
      </c>
      <c r="AA29" s="23" t="s">
        <v>794</v>
      </c>
      <c r="AB29" s="23" t="s">
        <v>793</v>
      </c>
      <c r="AC29" s="26" t="s">
        <v>494</v>
      </c>
    </row>
    <row r="30">
      <c r="A30" s="22" t="s">
        <v>795</v>
      </c>
      <c r="B30" s="23" t="s">
        <v>507</v>
      </c>
      <c r="C30" s="23" t="s">
        <v>813</v>
      </c>
      <c r="D30" s="24" t="s">
        <v>796</v>
      </c>
      <c r="E30" s="23" t="s">
        <v>797</v>
      </c>
      <c r="F30" s="23" t="s">
        <v>798</v>
      </c>
      <c r="G30" s="23" t="s">
        <v>799</v>
      </c>
      <c r="H30" s="23" t="s">
        <v>800</v>
      </c>
      <c r="I30" s="23" t="s">
        <v>801</v>
      </c>
      <c r="J30" s="23" t="s">
        <v>802</v>
      </c>
      <c r="K30" s="23" t="s">
        <v>803</v>
      </c>
      <c r="L30" s="25" t="s">
        <v>804</v>
      </c>
      <c r="M30" s="23" t="s">
        <v>805</v>
      </c>
      <c r="N30" s="23" t="s">
        <v>507</v>
      </c>
      <c r="O30" s="26" t="s">
        <v>508</v>
      </c>
      <c r="P30" s="27" t="s">
        <v>806</v>
      </c>
      <c r="Q30" s="28" t="s">
        <v>807</v>
      </c>
      <c r="R30" s="29" t="s">
        <v>511</v>
      </c>
      <c r="S30" s="30" t="s">
        <v>485</v>
      </c>
      <c r="T30" s="23" t="s">
        <v>808</v>
      </c>
      <c r="U30" s="23" t="s">
        <v>514</v>
      </c>
      <c r="V30" s="23" t="s">
        <v>809</v>
      </c>
      <c r="W30" s="23" t="s">
        <v>810</v>
      </c>
      <c r="X30" s="23" t="s">
        <v>811</v>
      </c>
      <c r="Y30" s="23" t="s">
        <v>812</v>
      </c>
      <c r="Z30" s="31" t="s">
        <v>519</v>
      </c>
      <c r="AA30" s="23" t="s">
        <v>794</v>
      </c>
      <c r="AB30" s="23" t="s">
        <v>812</v>
      </c>
      <c r="AC30" s="26" t="s">
        <v>522</v>
      </c>
    </row>
    <row r="31">
      <c r="A31" s="22"/>
      <c r="B31" s="23"/>
      <c r="C31" s="23"/>
      <c r="D31" s="24"/>
      <c r="E31" s="23"/>
      <c r="F31" s="23"/>
      <c r="G31" s="23"/>
      <c r="H31" s="23"/>
      <c r="I31" s="23"/>
      <c r="J31" s="23"/>
      <c r="K31" s="23"/>
      <c r="L31" s="25"/>
      <c r="M31" s="23"/>
      <c r="N31" s="23"/>
      <c r="O31" s="26"/>
      <c r="P31" s="27"/>
      <c r="Q31" s="28"/>
      <c r="R31" s="29"/>
      <c r="S31" s="30"/>
      <c r="T31" s="23"/>
      <c r="U31" s="23"/>
      <c r="V31" s="23"/>
      <c r="W31" s="23"/>
      <c r="X31" s="23"/>
      <c r="Y31" s="23"/>
      <c r="Z31" s="31"/>
      <c r="AA31" s="23"/>
      <c r="AB31" s="23"/>
      <c r="AC31" s="26"/>
    </row>
    <row r="32">
      <c r="A32" s="22" t="s">
        <v>834</v>
      </c>
      <c r="B32" s="23" t="s">
        <v>835</v>
      </c>
      <c r="C32" s="23" t="s">
        <v>668</v>
      </c>
      <c r="D32" s="24" t="s">
        <v>836</v>
      </c>
      <c r="E32" s="23" t="s">
        <v>837</v>
      </c>
      <c r="F32" s="23" t="s">
        <v>838</v>
      </c>
      <c r="G32" s="23" t="s">
        <v>839</v>
      </c>
      <c r="H32" s="23" t="s">
        <v>840</v>
      </c>
      <c r="I32" s="23" t="s">
        <v>841</v>
      </c>
      <c r="J32" s="23" t="s">
        <v>842</v>
      </c>
      <c r="K32" s="23" t="s">
        <v>843</v>
      </c>
      <c r="L32" s="25" t="s">
        <v>844</v>
      </c>
      <c r="M32" s="23" t="s">
        <v>651</v>
      </c>
      <c r="N32" s="23" t="s">
        <v>845</v>
      </c>
      <c r="O32" s="26" t="s">
        <v>653</v>
      </c>
      <c r="P32" s="27" t="s">
        <v>846</v>
      </c>
      <c r="Q32" s="28" t="s">
        <v>847</v>
      </c>
      <c r="R32" s="29" t="s">
        <v>656</v>
      </c>
      <c r="S32" s="30" t="s">
        <v>657</v>
      </c>
      <c r="T32" s="23" t="s">
        <v>848</v>
      </c>
      <c r="U32" s="23" t="s">
        <v>659</v>
      </c>
      <c r="V32" s="23" t="s">
        <v>849</v>
      </c>
      <c r="W32" s="23" t="s">
        <v>850</v>
      </c>
      <c r="X32" s="23" t="s">
        <v>851</v>
      </c>
      <c r="Y32" s="23" t="s">
        <v>852</v>
      </c>
      <c r="Z32" s="31" t="s">
        <v>664</v>
      </c>
      <c r="AA32" s="23" t="s">
        <v>853</v>
      </c>
      <c r="AB32" s="23" t="s">
        <v>852</v>
      </c>
      <c r="AC32" s="26" t="s">
        <v>667</v>
      </c>
    </row>
    <row r="33">
      <c r="A33" s="22" t="s">
        <v>854</v>
      </c>
      <c r="B33" s="23" t="s">
        <v>855</v>
      </c>
      <c r="C33" s="23" t="s">
        <v>718</v>
      </c>
      <c r="D33" s="24" t="s">
        <v>856</v>
      </c>
      <c r="E33" s="23" t="s">
        <v>693</v>
      </c>
      <c r="F33" s="23" t="s">
        <v>857</v>
      </c>
      <c r="G33" s="23" t="s">
        <v>858</v>
      </c>
      <c r="H33" s="23" t="s">
        <v>859</v>
      </c>
      <c r="I33" s="23" t="s">
        <v>860</v>
      </c>
      <c r="J33" s="23" t="s">
        <v>861</v>
      </c>
      <c r="K33" s="23" t="s">
        <v>862</v>
      </c>
      <c r="L33" s="25" t="s">
        <v>863</v>
      </c>
      <c r="M33" s="23" t="s">
        <v>701</v>
      </c>
      <c r="N33" s="23" t="s">
        <v>864</v>
      </c>
      <c r="O33" s="26" t="s">
        <v>703</v>
      </c>
      <c r="P33" s="27" t="s">
        <v>704</v>
      </c>
      <c r="Q33" s="28" t="s">
        <v>865</v>
      </c>
      <c r="R33" s="29" t="s">
        <v>866</v>
      </c>
      <c r="S33" s="30" t="s">
        <v>867</v>
      </c>
      <c r="T33" s="23" t="s">
        <v>868</v>
      </c>
      <c r="U33" s="23" t="s">
        <v>869</v>
      </c>
      <c r="V33" s="23" t="s">
        <v>870</v>
      </c>
      <c r="W33" s="23" t="s">
        <v>871</v>
      </c>
      <c r="X33" s="23" t="s">
        <v>872</v>
      </c>
      <c r="Y33" s="23" t="s">
        <v>873</v>
      </c>
      <c r="Z33" s="31" t="s">
        <v>714</v>
      </c>
      <c r="AA33" s="23" t="s">
        <v>874</v>
      </c>
      <c r="AB33" s="23" t="s">
        <v>875</v>
      </c>
      <c r="AC33" s="26" t="s">
        <v>876</v>
      </c>
    </row>
    <row r="34">
      <c r="A34" s="22"/>
      <c r="B34" s="23"/>
      <c r="C34" s="23"/>
      <c r="D34" s="24"/>
      <c r="E34" s="23"/>
      <c r="F34" s="23"/>
      <c r="G34" s="23"/>
      <c r="H34" s="23"/>
      <c r="I34" s="23"/>
      <c r="J34" s="23"/>
      <c r="K34" s="23"/>
      <c r="L34" s="25"/>
      <c r="M34" s="23"/>
      <c r="N34" s="23"/>
      <c r="O34" s="26"/>
      <c r="P34" s="27"/>
      <c r="Q34" s="28"/>
      <c r="R34" s="29"/>
      <c r="S34" s="30"/>
      <c r="T34" s="23"/>
      <c r="U34" s="23"/>
      <c r="V34" s="23"/>
      <c r="W34" s="23"/>
      <c r="X34" s="23"/>
      <c r="Y34" s="23"/>
      <c r="Z34" s="31"/>
      <c r="AA34" s="23"/>
      <c r="AB34" s="23"/>
      <c r="AC34" s="26"/>
    </row>
    <row r="35">
      <c r="A35" s="22"/>
      <c r="B35" s="23"/>
      <c r="C35" s="23"/>
      <c r="D35" s="24"/>
      <c r="E35" s="23"/>
      <c r="F35" s="23"/>
      <c r="G35" s="23"/>
      <c r="H35" s="23"/>
      <c r="I35" s="23"/>
      <c r="J35" s="23"/>
      <c r="K35" s="23"/>
      <c r="L35" s="25"/>
      <c r="M35" s="23"/>
      <c r="N35" s="23"/>
      <c r="O35" s="26"/>
      <c r="P35" s="27"/>
      <c r="Q35" s="28"/>
      <c r="R35" s="29"/>
      <c r="S35" s="30"/>
      <c r="T35" s="23"/>
      <c r="U35" s="23"/>
      <c r="V35" s="23"/>
      <c r="W35" s="23"/>
      <c r="X35" s="23"/>
      <c r="Y35" s="23"/>
      <c r="Z35" s="31"/>
      <c r="AA35" s="23"/>
      <c r="AB35" s="23"/>
      <c r="AC35" s="26"/>
    </row>
    <row r="36">
      <c r="A36" s="22"/>
      <c r="B36" s="23"/>
      <c r="C36" s="23"/>
      <c r="D36" s="24"/>
      <c r="E36" s="23"/>
      <c r="F36" s="23"/>
      <c r="G36" s="23"/>
      <c r="H36" s="23"/>
      <c r="I36" s="23"/>
      <c r="J36" s="23"/>
      <c r="K36" s="23"/>
      <c r="L36" s="25"/>
      <c r="M36" s="23"/>
      <c r="N36" s="23"/>
      <c r="O36" s="26"/>
      <c r="P36" s="27"/>
      <c r="Q36" s="28"/>
      <c r="R36" s="29"/>
      <c r="S36" s="30"/>
      <c r="T36" s="23"/>
      <c r="U36" s="23"/>
      <c r="V36" s="23"/>
      <c r="W36" s="23"/>
      <c r="X36" s="23"/>
      <c r="Y36" s="23"/>
      <c r="Z36" s="31"/>
      <c r="AA36" s="23"/>
      <c r="AB36" s="23"/>
      <c r="AC36" s="26"/>
    </row>
    <row r="37">
      <c r="A37" s="22"/>
      <c r="B37" s="23"/>
      <c r="C37" s="23"/>
      <c r="D37" s="24"/>
      <c r="E37" s="23"/>
      <c r="F37" s="23"/>
      <c r="G37" s="23"/>
      <c r="H37" s="23"/>
      <c r="I37" s="23"/>
      <c r="J37" s="23"/>
      <c r="K37" s="23"/>
      <c r="L37" s="25"/>
      <c r="M37" s="23"/>
      <c r="N37" s="23"/>
      <c r="O37" s="26"/>
      <c r="P37" s="27"/>
      <c r="Q37" s="28"/>
      <c r="R37" s="29"/>
      <c r="S37" s="30"/>
      <c r="T37" s="23"/>
      <c r="U37" s="23"/>
      <c r="V37" s="23"/>
      <c r="W37" s="23"/>
      <c r="X37" s="23"/>
      <c r="Y37" s="23"/>
      <c r="Z37" s="31"/>
      <c r="AA37" s="23"/>
      <c r="AB37" s="23"/>
      <c r="AC37" s="26"/>
    </row>
    <row r="38">
      <c r="A38" s="22"/>
      <c r="B38" s="23"/>
      <c r="C38" s="23"/>
      <c r="D38" s="24"/>
      <c r="E38" s="23"/>
      <c r="F38" s="23"/>
      <c r="G38" s="23"/>
      <c r="H38" s="23"/>
      <c r="I38" s="23"/>
      <c r="J38" s="23"/>
      <c r="K38" s="23"/>
      <c r="L38" s="25"/>
      <c r="M38" s="23"/>
      <c r="N38" s="23"/>
      <c r="O38" s="26"/>
      <c r="P38" s="27"/>
      <c r="Q38" s="28"/>
      <c r="R38" s="29"/>
      <c r="S38" s="30"/>
      <c r="T38" s="23"/>
      <c r="U38" s="23"/>
      <c r="V38" s="23"/>
      <c r="W38" s="23"/>
      <c r="X38" s="23"/>
      <c r="Y38" s="23"/>
      <c r="Z38" s="31"/>
      <c r="AA38" s="23"/>
      <c r="AB38" s="23"/>
      <c r="AC38" s="26"/>
    </row>
    <row r="39">
      <c r="A39" s="22"/>
      <c r="B39" s="23"/>
      <c r="C39" s="23"/>
      <c r="D39" s="24"/>
      <c r="E39" s="23"/>
      <c r="F39" s="23"/>
      <c r="G39" s="23"/>
      <c r="H39" s="23"/>
      <c r="I39" s="23"/>
      <c r="J39" s="23"/>
      <c r="K39" s="23"/>
      <c r="L39" s="25"/>
      <c r="M39" s="23"/>
      <c r="N39" s="23"/>
      <c r="O39" s="23"/>
      <c r="P39" s="27"/>
      <c r="Q39" s="28"/>
      <c r="R39" s="29"/>
      <c r="S39" s="30"/>
      <c r="T39" s="23"/>
      <c r="U39" s="23"/>
      <c r="V39" s="23"/>
      <c r="W39" s="23"/>
      <c r="X39" s="23"/>
      <c r="Y39" s="23"/>
      <c r="Z39" s="31"/>
      <c r="AA39" s="23"/>
      <c r="AB39" s="23"/>
      <c r="AC39" s="26"/>
    </row>
    <row r="40">
      <c r="A40" s="22"/>
      <c r="B40" s="23"/>
      <c r="C40" s="23"/>
      <c r="D40" s="24"/>
      <c r="E40" s="23"/>
      <c r="F40" s="23"/>
      <c r="G40" s="23"/>
      <c r="H40" s="23"/>
      <c r="I40" s="23"/>
      <c r="J40" s="23"/>
      <c r="K40" s="23"/>
      <c r="L40" s="25"/>
      <c r="M40" s="23"/>
      <c r="N40" s="23"/>
      <c r="O40" s="26"/>
      <c r="P40" s="27"/>
      <c r="Q40" s="28"/>
      <c r="R40" s="29"/>
      <c r="S40" s="30"/>
      <c r="T40" s="23"/>
      <c r="U40" s="23"/>
      <c r="V40" s="23"/>
      <c r="W40" s="23"/>
      <c r="X40" s="23"/>
      <c r="Y40" s="23"/>
      <c r="Z40" s="31"/>
      <c r="AA40" s="23"/>
      <c r="AB40" s="23"/>
      <c r="AC40" s="26"/>
    </row>
    <row r="41">
      <c r="A41" s="22"/>
      <c r="B41" s="23"/>
      <c r="C41" s="23"/>
      <c r="D41" s="24"/>
      <c r="E41" s="23"/>
      <c r="F41" s="23"/>
      <c r="G41" s="23"/>
      <c r="H41" s="23"/>
      <c r="I41" s="23"/>
      <c r="J41" s="23"/>
      <c r="K41" s="23"/>
      <c r="L41" s="25"/>
      <c r="M41" s="23"/>
      <c r="N41" s="23"/>
      <c r="O41" s="26"/>
      <c r="P41" s="27"/>
      <c r="Q41" s="28"/>
      <c r="R41" s="29"/>
      <c r="S41" s="30"/>
      <c r="T41" s="23"/>
      <c r="U41" s="23"/>
      <c r="V41" s="23"/>
      <c r="W41" s="23"/>
      <c r="X41" s="23"/>
      <c r="Y41" s="23"/>
      <c r="Z41" s="31"/>
      <c r="AA41" s="23"/>
      <c r="AB41" s="23"/>
      <c r="AC41" s="26"/>
    </row>
    <row r="42">
      <c r="A42" s="22"/>
      <c r="B42" s="23"/>
      <c r="C42" s="23"/>
      <c r="D42" s="24"/>
      <c r="E42" s="23"/>
      <c r="F42" s="23"/>
      <c r="G42" s="23"/>
      <c r="H42" s="23"/>
      <c r="I42" s="23"/>
      <c r="J42" s="23"/>
      <c r="K42" s="23"/>
      <c r="L42" s="25"/>
      <c r="M42" s="23"/>
      <c r="N42" s="23"/>
      <c r="O42" s="26"/>
      <c r="P42" s="27"/>
      <c r="Q42" s="28"/>
      <c r="R42" s="29"/>
      <c r="S42" s="30"/>
      <c r="T42" s="23"/>
      <c r="U42" s="23"/>
      <c r="V42" s="23"/>
      <c r="W42" s="23"/>
      <c r="X42" s="23"/>
      <c r="Y42" s="23"/>
      <c r="Z42" s="31"/>
      <c r="AA42" s="23"/>
      <c r="AB42" s="23"/>
      <c r="AC42" s="26"/>
    </row>
    <row r="43">
      <c r="A43" s="22"/>
      <c r="B43" s="23"/>
      <c r="C43" s="23"/>
      <c r="D43" s="24"/>
      <c r="E43" s="23"/>
      <c r="F43" s="23"/>
      <c r="G43" s="23"/>
      <c r="H43" s="23"/>
      <c r="I43" s="23"/>
      <c r="J43" s="23"/>
      <c r="K43" s="23"/>
      <c r="L43" s="25"/>
      <c r="M43" s="23"/>
      <c r="N43" s="23"/>
      <c r="O43" s="26"/>
      <c r="P43" s="27"/>
      <c r="Q43" s="28"/>
      <c r="R43" s="29"/>
      <c r="S43" s="30"/>
      <c r="T43" s="23"/>
      <c r="U43" s="23"/>
      <c r="V43" s="23"/>
      <c r="W43" s="23"/>
      <c r="X43" s="23"/>
      <c r="Y43" s="23"/>
      <c r="Z43" s="31"/>
      <c r="AA43" s="23"/>
      <c r="AB43" s="23"/>
      <c r="AC43" s="26"/>
    </row>
    <row r="44">
      <c r="A44" s="22" t="s">
        <v>1156</v>
      </c>
      <c r="B44" s="23" t="s">
        <v>1157</v>
      </c>
      <c r="C44" s="23" t="s">
        <v>1184</v>
      </c>
      <c r="D44" s="24" t="s">
        <v>1158</v>
      </c>
      <c r="E44" s="23" t="s">
        <v>1159</v>
      </c>
      <c r="F44" s="23" t="s">
        <v>1160</v>
      </c>
      <c r="G44" s="23" t="s">
        <v>1161</v>
      </c>
      <c r="H44" s="23" t="s">
        <v>1162</v>
      </c>
      <c r="I44" s="23" t="s">
        <v>1163</v>
      </c>
      <c r="J44" s="23" t="s">
        <v>1164</v>
      </c>
      <c r="K44" s="23" t="s">
        <v>1165</v>
      </c>
      <c r="L44" s="25" t="s">
        <v>1166</v>
      </c>
      <c r="M44" s="23" t="s">
        <v>1167</v>
      </c>
      <c r="N44" s="23" t="s">
        <v>1168</v>
      </c>
      <c r="O44" s="26" t="s">
        <v>1169</v>
      </c>
      <c r="P44" s="27" t="s">
        <v>1170</v>
      </c>
      <c r="Q44" s="28" t="s">
        <v>1171</v>
      </c>
      <c r="R44" s="29" t="s">
        <v>1172</v>
      </c>
      <c r="S44" s="30" t="s">
        <v>1173</v>
      </c>
      <c r="T44" s="23" t="s">
        <v>1174</v>
      </c>
      <c r="U44" s="23" t="s">
        <v>1175</v>
      </c>
      <c r="V44" s="23" t="s">
        <v>1176</v>
      </c>
      <c r="W44" s="23" t="s">
        <v>1177</v>
      </c>
      <c r="X44" s="23" t="s">
        <v>1178</v>
      </c>
      <c r="Y44" s="23" t="s">
        <v>1179</v>
      </c>
      <c r="Z44" s="31" t="s">
        <v>1180</v>
      </c>
      <c r="AA44" s="23" t="s">
        <v>1181</v>
      </c>
      <c r="AB44" s="23" t="s">
        <v>1182</v>
      </c>
      <c r="AC44" s="26" t="s">
        <v>1183</v>
      </c>
    </row>
    <row r="45">
      <c r="A45" s="22" t="s">
        <v>1185</v>
      </c>
      <c r="B45" s="23" t="s">
        <v>1186</v>
      </c>
      <c r="C45" s="23" t="s">
        <v>1210</v>
      </c>
      <c r="D45" s="24" t="s">
        <v>1187</v>
      </c>
      <c r="E45" s="23" t="s">
        <v>1188</v>
      </c>
      <c r="F45" s="23" t="s">
        <v>1189</v>
      </c>
      <c r="G45" s="23" t="s">
        <v>1190</v>
      </c>
      <c r="H45" s="23" t="s">
        <v>1191</v>
      </c>
      <c r="I45" s="23" t="s">
        <v>1192</v>
      </c>
      <c r="J45" s="23" t="s">
        <v>1193</v>
      </c>
      <c r="K45" s="23" t="s">
        <v>1194</v>
      </c>
      <c r="L45" s="25" t="s">
        <v>1195</v>
      </c>
      <c r="M45" s="23" t="s">
        <v>1196</v>
      </c>
      <c r="N45" s="23" t="s">
        <v>1197</v>
      </c>
      <c r="O45" s="26" t="s">
        <v>1198</v>
      </c>
      <c r="P45" s="27" t="s">
        <v>1199</v>
      </c>
      <c r="Q45" s="28" t="s">
        <v>1200</v>
      </c>
      <c r="R45" s="23" t="s">
        <v>1201</v>
      </c>
      <c r="S45" s="30" t="s">
        <v>1202</v>
      </c>
      <c r="T45" s="23" t="s">
        <v>1203</v>
      </c>
      <c r="U45" s="23" t="s">
        <v>1196</v>
      </c>
      <c r="V45" s="23" t="s">
        <v>1204</v>
      </c>
      <c r="W45" s="23" t="s">
        <v>1205</v>
      </c>
      <c r="X45" s="23" t="s">
        <v>1191</v>
      </c>
      <c r="Y45" s="23" t="s">
        <v>1206</v>
      </c>
      <c r="Z45" s="31" t="s">
        <v>1207</v>
      </c>
      <c r="AA45" s="23" t="s">
        <v>1208</v>
      </c>
      <c r="AB45" s="23" t="s">
        <v>1206</v>
      </c>
      <c r="AC45" s="26" t="s">
        <v>1209</v>
      </c>
    </row>
    <row r="46">
      <c r="A46" s="22"/>
      <c r="B46" s="23"/>
      <c r="C46" s="23"/>
      <c r="D46" s="24"/>
      <c r="E46" s="23"/>
      <c r="F46" s="23"/>
      <c r="G46" s="23"/>
      <c r="H46" s="23"/>
      <c r="I46" s="23"/>
      <c r="J46" s="23"/>
      <c r="K46" s="23"/>
      <c r="L46" s="25"/>
      <c r="M46" s="23"/>
      <c r="N46" s="23"/>
      <c r="O46" s="26"/>
      <c r="P46" s="27"/>
      <c r="Q46" s="28"/>
      <c r="R46" s="29"/>
      <c r="S46" s="30"/>
      <c r="T46" s="23"/>
      <c r="U46" s="23"/>
      <c r="V46" s="23"/>
      <c r="W46" s="23"/>
      <c r="X46" s="23"/>
      <c r="Y46" s="23"/>
      <c r="Z46" s="31"/>
      <c r="AA46" s="23"/>
      <c r="AB46" s="23"/>
      <c r="AC46" s="26"/>
    </row>
    <row r="47">
      <c r="A47" s="22"/>
      <c r="B47" s="23"/>
      <c r="C47" s="23"/>
      <c r="D47" s="24"/>
      <c r="E47" s="23"/>
      <c r="F47" s="23"/>
      <c r="G47" s="23"/>
      <c r="H47" s="23"/>
      <c r="I47" s="23"/>
      <c r="J47" s="23"/>
      <c r="K47" s="23"/>
      <c r="L47" s="25"/>
      <c r="M47" s="23"/>
      <c r="N47" s="23"/>
      <c r="O47" s="26"/>
      <c r="P47" s="27"/>
      <c r="Q47" s="28"/>
      <c r="R47" s="29"/>
      <c r="S47" s="30"/>
      <c r="T47" s="23"/>
      <c r="U47" s="23"/>
      <c r="V47" s="23"/>
      <c r="W47" s="23"/>
      <c r="X47" s="23"/>
      <c r="Y47" s="23"/>
      <c r="Z47" s="31"/>
      <c r="AA47" s="23"/>
      <c r="AB47" s="23"/>
      <c r="AC47" s="26"/>
    </row>
    <row r="48">
      <c r="A48" s="22" t="s">
        <v>1269</v>
      </c>
      <c r="B48" s="23" t="s">
        <v>1270</v>
      </c>
      <c r="C48" s="23" t="s">
        <v>1297</v>
      </c>
      <c r="D48" s="24" t="s">
        <v>1271</v>
      </c>
      <c r="E48" s="23" t="s">
        <v>1272</v>
      </c>
      <c r="F48" s="23" t="s">
        <v>1273</v>
      </c>
      <c r="G48" s="23" t="s">
        <v>1274</v>
      </c>
      <c r="H48" s="23" t="s">
        <v>1275</v>
      </c>
      <c r="I48" s="23" t="s">
        <v>1276</v>
      </c>
      <c r="J48" s="23" t="s">
        <v>1277</v>
      </c>
      <c r="K48" s="23" t="s">
        <v>1278</v>
      </c>
      <c r="L48" s="25" t="s">
        <v>1279</v>
      </c>
      <c r="M48" s="23" t="s">
        <v>1280</v>
      </c>
      <c r="N48" s="23" t="s">
        <v>1281</v>
      </c>
      <c r="O48" s="26" t="s">
        <v>1282</v>
      </c>
      <c r="P48" s="27" t="s">
        <v>1283</v>
      </c>
      <c r="Q48" s="28" t="s">
        <v>1284</v>
      </c>
      <c r="R48" s="29" t="s">
        <v>1285</v>
      </c>
      <c r="S48" s="30" t="s">
        <v>1286</v>
      </c>
      <c r="T48" s="23" t="s">
        <v>1287</v>
      </c>
      <c r="U48" s="23" t="s">
        <v>1288</v>
      </c>
      <c r="V48" s="23" t="s">
        <v>1289</v>
      </c>
      <c r="W48" s="23" t="s">
        <v>1290</v>
      </c>
      <c r="X48" s="23" t="s">
        <v>1291</v>
      </c>
      <c r="Y48" s="23" t="s">
        <v>1292</v>
      </c>
      <c r="Z48" s="31" t="s">
        <v>1293</v>
      </c>
      <c r="AA48" s="23" t="s">
        <v>1294</v>
      </c>
      <c r="AB48" s="23" t="s">
        <v>1295</v>
      </c>
      <c r="AC48" s="26" t="s">
        <v>1296</v>
      </c>
    </row>
    <row r="49">
      <c r="A49" s="22"/>
      <c r="B49" s="23"/>
      <c r="C49" s="23"/>
      <c r="D49" s="24"/>
      <c r="E49" s="23"/>
      <c r="F49" s="23"/>
      <c r="G49" s="23"/>
      <c r="H49" s="23"/>
      <c r="I49" s="23"/>
      <c r="J49" s="23"/>
      <c r="K49" s="23"/>
      <c r="L49" s="25"/>
      <c r="M49" s="23"/>
      <c r="N49" s="23"/>
      <c r="O49" s="26"/>
      <c r="P49" s="27"/>
      <c r="Q49" s="28"/>
      <c r="R49" s="29"/>
      <c r="S49" s="30"/>
      <c r="T49" s="23"/>
      <c r="U49" s="23"/>
      <c r="V49" s="23"/>
      <c r="W49" s="23"/>
      <c r="X49" s="23"/>
      <c r="Y49" s="23"/>
      <c r="Z49" s="31"/>
      <c r="AA49" s="23"/>
      <c r="AB49" s="23"/>
      <c r="AC49" s="26"/>
    </row>
    <row r="50">
      <c r="A50" s="22" t="s">
        <v>1320</v>
      </c>
      <c r="B50" s="23" t="s">
        <v>1321</v>
      </c>
      <c r="C50" s="23" t="s">
        <v>1348</v>
      </c>
      <c r="D50" s="24" t="s">
        <v>1322</v>
      </c>
      <c r="E50" s="23" t="s">
        <v>1323</v>
      </c>
      <c r="F50" s="23" t="s">
        <v>1324</v>
      </c>
      <c r="G50" s="23" t="s">
        <v>1325</v>
      </c>
      <c r="H50" s="23" t="s">
        <v>1326</v>
      </c>
      <c r="I50" s="23" t="s">
        <v>1327</v>
      </c>
      <c r="J50" s="23" t="s">
        <v>1328</v>
      </c>
      <c r="K50" s="23" t="s">
        <v>1329</v>
      </c>
      <c r="L50" s="25" t="s">
        <v>1330</v>
      </c>
      <c r="M50" s="23" t="s">
        <v>1331</v>
      </c>
      <c r="N50" s="23" t="s">
        <v>1332</v>
      </c>
      <c r="O50" s="26" t="s">
        <v>1333</v>
      </c>
      <c r="P50" s="27" t="s">
        <v>1334</v>
      </c>
      <c r="Q50" s="28" t="s">
        <v>1335</v>
      </c>
      <c r="R50" s="29" t="s">
        <v>1336</v>
      </c>
      <c r="S50" s="30" t="s">
        <v>1337</v>
      </c>
      <c r="T50" s="23" t="s">
        <v>1338</v>
      </c>
      <c r="U50" s="23" t="s">
        <v>1339</v>
      </c>
      <c r="V50" s="23" t="s">
        <v>1340</v>
      </c>
      <c r="W50" s="23" t="s">
        <v>1341</v>
      </c>
      <c r="X50" s="23" t="s">
        <v>1342</v>
      </c>
      <c r="Y50" s="23" t="s">
        <v>1343</v>
      </c>
      <c r="Z50" s="31" t="s">
        <v>1344</v>
      </c>
      <c r="AA50" s="23" t="s">
        <v>1345</v>
      </c>
      <c r="AB50" s="23" t="s">
        <v>1346</v>
      </c>
      <c r="AC50" s="26" t="s">
        <v>1347</v>
      </c>
    </row>
    <row r="51">
      <c r="A51" s="22"/>
      <c r="B51" s="23"/>
      <c r="C51" s="23"/>
      <c r="D51" s="24"/>
      <c r="E51" s="23"/>
      <c r="F51" s="23"/>
      <c r="G51" s="23"/>
      <c r="H51" s="23"/>
      <c r="I51" s="23"/>
      <c r="J51" s="23"/>
      <c r="K51" s="23"/>
      <c r="L51" s="25"/>
      <c r="M51" s="23"/>
      <c r="N51" s="23"/>
      <c r="O51" s="26"/>
      <c r="P51" s="27"/>
      <c r="Q51" s="28"/>
      <c r="R51" s="29"/>
      <c r="S51" s="30"/>
      <c r="T51" s="23"/>
      <c r="U51" s="23"/>
      <c r="V51" s="23"/>
      <c r="W51" s="23"/>
      <c r="X51" s="23"/>
      <c r="Y51" s="23"/>
      <c r="Z51" s="31"/>
      <c r="AA51" s="23"/>
      <c r="AB51" s="23"/>
      <c r="AC51" s="26"/>
    </row>
    <row r="52">
      <c r="A52" s="22"/>
      <c r="B52" s="23"/>
      <c r="C52" s="23"/>
      <c r="D52" s="24"/>
      <c r="E52" s="23"/>
      <c r="F52" s="23"/>
      <c r="G52" s="23"/>
      <c r="H52" s="23"/>
      <c r="I52" s="23"/>
      <c r="J52" s="23"/>
      <c r="K52" s="23"/>
      <c r="L52" s="25"/>
      <c r="M52" s="23"/>
      <c r="N52" s="23"/>
      <c r="O52" s="26"/>
      <c r="P52" s="27"/>
      <c r="Q52" s="28"/>
      <c r="R52" s="29"/>
      <c r="S52" s="30"/>
      <c r="T52" s="23"/>
      <c r="U52" s="23"/>
      <c r="V52" s="23"/>
      <c r="W52" s="23"/>
      <c r="X52" s="23"/>
      <c r="Y52" s="23"/>
      <c r="Z52" s="31"/>
      <c r="AA52" s="23"/>
      <c r="AB52" s="23"/>
      <c r="AC52" s="26"/>
    </row>
    <row r="53">
      <c r="A53" s="22"/>
      <c r="B53" s="23"/>
      <c r="C53" s="23"/>
      <c r="D53" s="24"/>
      <c r="E53" s="23"/>
      <c r="F53" s="23"/>
      <c r="G53" s="23"/>
      <c r="H53" s="23"/>
      <c r="I53" s="23"/>
      <c r="J53" s="23"/>
      <c r="K53" s="23"/>
      <c r="L53" s="25"/>
      <c r="M53" s="23"/>
      <c r="N53" s="23"/>
      <c r="O53" s="26"/>
      <c r="P53" s="27"/>
      <c r="Q53" s="28"/>
      <c r="R53" s="29"/>
      <c r="S53" s="30"/>
      <c r="T53" s="23"/>
      <c r="U53" s="23"/>
      <c r="V53" s="23"/>
      <c r="W53" s="23"/>
      <c r="X53" s="23"/>
      <c r="Y53" s="23"/>
      <c r="Z53" s="31"/>
      <c r="AA53" s="23"/>
      <c r="AB53" s="23"/>
      <c r="AC53" s="26"/>
    </row>
    <row r="54">
      <c r="A54" s="22"/>
      <c r="B54" s="23"/>
      <c r="C54" s="23"/>
      <c r="D54" s="24"/>
      <c r="E54" s="23"/>
      <c r="F54" s="23"/>
      <c r="G54" s="23"/>
      <c r="H54" s="23"/>
      <c r="I54" s="23"/>
      <c r="J54" s="23"/>
      <c r="K54" s="23"/>
      <c r="L54" s="25"/>
      <c r="M54" s="23"/>
      <c r="N54" s="23"/>
      <c r="O54" s="26"/>
      <c r="P54" s="27"/>
      <c r="Q54" s="28"/>
      <c r="R54" s="29"/>
      <c r="S54" s="30"/>
      <c r="T54" s="23"/>
      <c r="U54" s="23"/>
      <c r="V54" s="23"/>
      <c r="W54" s="23"/>
      <c r="X54" s="23"/>
      <c r="Y54" s="23"/>
      <c r="Z54" s="31"/>
      <c r="AA54" s="23"/>
      <c r="AB54" s="23"/>
      <c r="AC54" s="26"/>
    </row>
    <row r="55">
      <c r="A55" s="22" t="s">
        <v>1462</v>
      </c>
      <c r="B55" s="23" t="s">
        <v>1463</v>
      </c>
      <c r="C55" s="23" t="s">
        <v>1488</v>
      </c>
      <c r="D55" s="24" t="s">
        <v>1464</v>
      </c>
      <c r="E55" s="23" t="s">
        <v>1465</v>
      </c>
      <c r="F55" s="23" t="s">
        <v>1466</v>
      </c>
      <c r="G55" s="23" t="s">
        <v>1467</v>
      </c>
      <c r="H55" s="23" t="s">
        <v>1468</v>
      </c>
      <c r="I55" s="23" t="s">
        <v>1469</v>
      </c>
      <c r="J55" s="23" t="s">
        <v>1470</v>
      </c>
      <c r="K55" s="23" t="s">
        <v>1471</v>
      </c>
      <c r="L55" s="25" t="s">
        <v>1472</v>
      </c>
      <c r="M55" s="23" t="s">
        <v>1473</v>
      </c>
      <c r="N55" s="23" t="s">
        <v>1474</v>
      </c>
      <c r="O55" s="26" t="s">
        <v>1475</v>
      </c>
      <c r="P55" s="27" t="s">
        <v>1476</v>
      </c>
      <c r="Q55" s="28" t="s">
        <v>1477</v>
      </c>
      <c r="R55" s="29" t="s">
        <v>1478</v>
      </c>
      <c r="S55" s="30" t="s">
        <v>1479</v>
      </c>
      <c r="T55" s="23" t="s">
        <v>1480</v>
      </c>
      <c r="U55" s="23" t="s">
        <v>1473</v>
      </c>
      <c r="V55" s="23" t="s">
        <v>1481</v>
      </c>
      <c r="W55" s="23" t="s">
        <v>1482</v>
      </c>
      <c r="X55" s="23" t="s">
        <v>1483</v>
      </c>
      <c r="Y55" s="23" t="s">
        <v>1484</v>
      </c>
      <c r="Z55" s="31" t="s">
        <v>1485</v>
      </c>
      <c r="AA55" s="23" t="s">
        <v>1486</v>
      </c>
      <c r="AB55" s="23" t="s">
        <v>1487</v>
      </c>
      <c r="AC55" s="26" t="s">
        <v>1475</v>
      </c>
    </row>
    <row r="56">
      <c r="A56" s="22"/>
      <c r="B56" s="23"/>
      <c r="C56" s="23"/>
      <c r="D56" s="24"/>
      <c r="E56" s="23"/>
      <c r="F56" s="23"/>
      <c r="G56" s="23"/>
      <c r="H56" s="23"/>
      <c r="I56" s="23"/>
      <c r="J56" s="23"/>
      <c r="K56" s="23"/>
      <c r="L56" s="25"/>
      <c r="M56" s="23"/>
      <c r="N56" s="23"/>
      <c r="O56" s="26"/>
      <c r="P56" s="27"/>
      <c r="Q56" s="28"/>
      <c r="R56" s="29"/>
      <c r="S56" s="30"/>
      <c r="T56" s="23"/>
      <c r="U56" s="23"/>
      <c r="V56" s="23"/>
      <c r="W56" s="23"/>
      <c r="X56" s="23"/>
      <c r="Y56" s="23"/>
      <c r="Z56" s="31"/>
      <c r="AA56" s="23"/>
      <c r="AB56" s="23"/>
      <c r="AC56" s="26"/>
    </row>
    <row r="57">
      <c r="A57" s="22"/>
      <c r="B57" s="23"/>
      <c r="C57" s="23"/>
      <c r="D57" s="24"/>
      <c r="E57" s="23"/>
      <c r="F57" s="23"/>
      <c r="G57" s="23"/>
      <c r="H57" s="23"/>
      <c r="I57" s="23"/>
      <c r="J57" s="23"/>
      <c r="K57" s="23"/>
      <c r="L57" s="25"/>
      <c r="M57" s="23"/>
      <c r="N57" s="23"/>
      <c r="O57" s="26"/>
      <c r="P57" s="27"/>
      <c r="Q57" s="28"/>
      <c r="R57" s="29"/>
      <c r="S57" s="30"/>
      <c r="T57" s="23"/>
      <c r="U57" s="23"/>
      <c r="V57" s="23"/>
      <c r="W57" s="23"/>
      <c r="X57" s="23"/>
      <c r="Y57" s="23"/>
      <c r="Z57" s="31"/>
      <c r="AA57" s="23"/>
      <c r="AB57" s="23"/>
      <c r="AC57" s="26"/>
    </row>
    <row r="58">
      <c r="A58" s="22"/>
      <c r="B58" s="23"/>
      <c r="C58" s="23"/>
      <c r="D58" s="24"/>
      <c r="E58" s="23"/>
      <c r="F58" s="23"/>
      <c r="G58" s="23"/>
      <c r="H58" s="23"/>
      <c r="I58" s="23"/>
      <c r="J58" s="23"/>
      <c r="K58" s="23"/>
      <c r="L58" s="25"/>
      <c r="M58" s="23"/>
      <c r="N58" s="23"/>
      <c r="O58" s="26"/>
      <c r="P58" s="27"/>
      <c r="Q58" s="28"/>
      <c r="R58" s="29"/>
      <c r="S58" s="30"/>
      <c r="T58" s="23"/>
      <c r="U58" s="23"/>
      <c r="V58" s="23"/>
      <c r="W58" s="23"/>
      <c r="X58" s="23"/>
      <c r="Y58" s="23"/>
      <c r="Z58" s="31"/>
      <c r="AA58" s="23"/>
      <c r="AB58" s="23"/>
      <c r="AC58" s="26"/>
    </row>
    <row r="59">
      <c r="A59" s="22"/>
      <c r="B59" s="23"/>
      <c r="C59" s="23"/>
      <c r="D59" s="24"/>
      <c r="E59" s="23"/>
      <c r="F59" s="23"/>
      <c r="G59" s="23"/>
      <c r="H59" s="23"/>
      <c r="I59" s="23"/>
      <c r="J59" s="23"/>
      <c r="K59" s="23"/>
      <c r="L59" s="25"/>
      <c r="M59" s="23"/>
      <c r="N59" s="23"/>
      <c r="O59" s="26"/>
      <c r="P59" s="27"/>
      <c r="Q59" s="28"/>
      <c r="R59" s="29"/>
      <c r="S59" s="30"/>
      <c r="T59" s="23"/>
      <c r="U59" s="23"/>
      <c r="V59" s="23"/>
      <c r="W59" s="23"/>
      <c r="X59" s="23"/>
      <c r="Y59" s="23"/>
      <c r="Z59" s="31"/>
      <c r="AA59" s="23"/>
      <c r="AB59" s="23"/>
      <c r="AC59" s="26"/>
    </row>
    <row r="60">
      <c r="A60" s="22"/>
      <c r="B60" s="23"/>
      <c r="C60" s="23"/>
      <c r="D60" s="24"/>
      <c r="E60" s="23"/>
      <c r="F60" s="23"/>
      <c r="G60" s="23"/>
      <c r="H60" s="23"/>
      <c r="I60" s="23"/>
      <c r="J60" s="23"/>
      <c r="K60" s="23"/>
      <c r="L60" s="25"/>
      <c r="M60" s="23"/>
      <c r="N60" s="23"/>
      <c r="O60" s="26"/>
      <c r="P60" s="27"/>
      <c r="Q60" s="28"/>
      <c r="R60" s="29"/>
      <c r="S60" s="30"/>
      <c r="T60" s="23"/>
      <c r="U60" s="23"/>
      <c r="V60" s="23"/>
      <c r="W60" s="23"/>
      <c r="X60" s="23"/>
      <c r="Y60" s="23"/>
      <c r="Z60" s="31"/>
      <c r="AA60" s="23"/>
      <c r="AB60" s="23"/>
      <c r="AC60" s="26"/>
    </row>
    <row r="61">
      <c r="A61" s="22"/>
      <c r="B61" s="23"/>
      <c r="C61" s="23"/>
      <c r="D61" s="24"/>
      <c r="E61" s="23"/>
      <c r="F61" s="23"/>
      <c r="G61" s="23"/>
      <c r="H61" s="23"/>
      <c r="I61" s="23"/>
      <c r="J61" s="23"/>
      <c r="K61" s="23"/>
      <c r="L61" s="25"/>
      <c r="M61" s="23"/>
      <c r="N61" s="23"/>
      <c r="O61" s="23"/>
      <c r="P61" s="27"/>
      <c r="Q61" s="28"/>
      <c r="R61" s="29"/>
      <c r="S61" s="30"/>
      <c r="T61" s="23"/>
      <c r="U61" s="23"/>
      <c r="V61" s="23"/>
      <c r="W61" s="23"/>
      <c r="X61" s="23"/>
      <c r="Y61" s="23"/>
      <c r="Z61" s="31"/>
      <c r="AA61" s="23"/>
      <c r="AB61" s="23"/>
      <c r="AC61" s="26"/>
    </row>
    <row r="62">
      <c r="A62" s="22"/>
      <c r="B62" s="23"/>
      <c r="C62" s="23"/>
      <c r="D62" s="24"/>
      <c r="E62" s="23"/>
      <c r="F62" s="23"/>
      <c r="G62" s="23"/>
      <c r="H62" s="23"/>
      <c r="I62" s="23"/>
      <c r="J62" s="23"/>
      <c r="K62" s="23"/>
      <c r="L62" s="25"/>
      <c r="M62" s="23"/>
      <c r="N62" s="23"/>
      <c r="O62" s="26"/>
      <c r="P62" s="27"/>
      <c r="Q62" s="28"/>
      <c r="R62" s="29"/>
      <c r="S62" s="30"/>
      <c r="T62" s="23"/>
      <c r="U62" s="23"/>
      <c r="V62" s="23"/>
      <c r="W62" s="23"/>
      <c r="X62" s="23"/>
      <c r="Y62" s="23"/>
      <c r="Z62" s="31"/>
      <c r="AA62" s="23"/>
      <c r="AB62" s="23"/>
      <c r="AC62" s="26"/>
    </row>
    <row r="63">
      <c r="A63" s="22"/>
      <c r="B63" s="23"/>
      <c r="C63" s="23"/>
      <c r="D63" s="24"/>
      <c r="E63" s="23"/>
      <c r="F63" s="23"/>
      <c r="G63" s="23"/>
      <c r="H63" s="23"/>
      <c r="I63" s="23"/>
      <c r="J63" s="23"/>
      <c r="K63" s="23"/>
      <c r="L63" s="25"/>
      <c r="M63" s="23"/>
      <c r="N63" s="23"/>
      <c r="O63" s="26"/>
      <c r="P63" s="27"/>
      <c r="Q63" s="28"/>
      <c r="R63" s="29"/>
      <c r="S63" s="30"/>
      <c r="T63" s="23"/>
      <c r="U63" s="23"/>
      <c r="V63" s="23"/>
      <c r="W63" s="23"/>
      <c r="X63" s="23"/>
      <c r="Y63" s="23"/>
      <c r="Z63" s="31"/>
      <c r="AA63" s="23"/>
      <c r="AB63" s="23"/>
      <c r="AC63" s="26"/>
    </row>
    <row r="64">
      <c r="A64" s="22"/>
      <c r="B64" s="23"/>
      <c r="C64" s="23"/>
      <c r="D64" s="24"/>
      <c r="E64" s="23"/>
      <c r="F64" s="23"/>
      <c r="G64" s="23"/>
      <c r="H64" s="23"/>
      <c r="I64" s="23"/>
      <c r="J64" s="23"/>
      <c r="K64" s="23"/>
      <c r="L64" s="25"/>
      <c r="M64" s="23"/>
      <c r="N64" s="23"/>
      <c r="O64" s="23"/>
      <c r="P64" s="27"/>
      <c r="Q64" s="23"/>
      <c r="R64" s="23"/>
      <c r="S64" s="30"/>
      <c r="T64" s="23"/>
      <c r="U64" s="23"/>
      <c r="V64" s="23"/>
      <c r="W64" s="23"/>
      <c r="X64" s="23"/>
      <c r="Y64" s="23"/>
      <c r="Z64" s="31"/>
      <c r="AA64" s="23"/>
      <c r="AB64" s="23"/>
      <c r="AC64" s="26"/>
    </row>
    <row r="65">
      <c r="A65" s="22"/>
      <c r="B65" s="23"/>
      <c r="C65" s="23"/>
      <c r="D65" s="24"/>
      <c r="E65" s="23"/>
      <c r="F65" s="23"/>
      <c r="G65" s="23"/>
      <c r="H65" s="23"/>
      <c r="I65" s="23"/>
      <c r="J65" s="23"/>
      <c r="K65" s="23"/>
      <c r="L65" s="25"/>
      <c r="M65" s="23"/>
      <c r="N65" s="23"/>
      <c r="O65" s="26"/>
      <c r="P65" s="27"/>
      <c r="Q65" s="28"/>
      <c r="R65" s="29"/>
      <c r="S65" s="30"/>
      <c r="T65" s="23"/>
      <c r="U65" s="23"/>
      <c r="V65" s="23"/>
      <c r="W65" s="23"/>
      <c r="X65" s="23"/>
      <c r="Y65" s="23"/>
      <c r="Z65" s="31"/>
      <c r="AA65" s="23"/>
      <c r="AB65" s="23"/>
      <c r="AC65" s="26"/>
    </row>
    <row r="66">
      <c r="A66" s="22"/>
      <c r="B66" s="23"/>
      <c r="C66" s="23"/>
      <c r="D66" s="24"/>
      <c r="E66" s="23"/>
      <c r="F66" s="23"/>
      <c r="G66" s="23"/>
      <c r="H66" s="23"/>
      <c r="I66" s="23"/>
      <c r="J66" s="23"/>
      <c r="K66" s="23"/>
      <c r="L66" s="25"/>
      <c r="M66" s="23"/>
      <c r="N66" s="23"/>
      <c r="O66" s="26"/>
      <c r="P66" s="27"/>
      <c r="Q66" s="28"/>
      <c r="R66" s="29"/>
      <c r="S66" s="30"/>
      <c r="T66" s="23"/>
      <c r="U66" s="23"/>
      <c r="V66" s="23"/>
      <c r="W66" s="23"/>
      <c r="X66" s="23"/>
      <c r="Y66" s="23"/>
      <c r="Z66" s="31"/>
      <c r="AA66" s="23"/>
      <c r="AB66" s="23"/>
      <c r="AC66" s="26"/>
    </row>
    <row r="67">
      <c r="A67" s="22"/>
      <c r="B67" s="23"/>
      <c r="C67" s="23"/>
      <c r="D67" s="24"/>
      <c r="E67" s="23"/>
      <c r="F67" s="23"/>
      <c r="G67" s="23"/>
      <c r="H67" s="23"/>
      <c r="I67" s="23"/>
      <c r="J67" s="23"/>
      <c r="K67" s="23"/>
      <c r="L67" s="25"/>
      <c r="M67" s="23"/>
      <c r="N67" s="23"/>
      <c r="O67" s="26"/>
      <c r="P67" s="27"/>
      <c r="Q67" s="28"/>
      <c r="R67" s="29"/>
      <c r="S67" s="30"/>
      <c r="T67" s="23"/>
      <c r="U67" s="23"/>
      <c r="V67" s="23"/>
      <c r="W67" s="23"/>
      <c r="X67" s="23"/>
      <c r="Y67" s="23"/>
      <c r="Z67" s="31"/>
      <c r="AA67" s="23"/>
      <c r="AB67" s="23"/>
      <c r="AC67" s="26"/>
    </row>
    <row r="68">
      <c r="A68" s="22"/>
      <c r="B68" s="23"/>
      <c r="C68" s="23"/>
      <c r="D68" s="24"/>
      <c r="E68" s="23"/>
      <c r="F68" s="23"/>
      <c r="G68" s="23"/>
      <c r="H68" s="23"/>
      <c r="I68" s="23"/>
      <c r="J68" s="23"/>
      <c r="K68" s="23"/>
      <c r="L68" s="25"/>
      <c r="M68" s="23"/>
      <c r="N68" s="23"/>
      <c r="O68" s="26"/>
      <c r="P68" s="27"/>
      <c r="Q68" s="28"/>
      <c r="R68" s="29"/>
      <c r="S68" s="30"/>
      <c r="T68" s="23"/>
      <c r="U68" s="23"/>
      <c r="V68" s="23"/>
      <c r="W68" s="23"/>
      <c r="X68" s="23"/>
      <c r="Y68" s="23"/>
      <c r="Z68" s="31"/>
      <c r="AA68" s="23"/>
      <c r="AB68" s="23"/>
      <c r="AC68" s="26"/>
    </row>
    <row r="69">
      <c r="A69" s="22"/>
      <c r="B69" s="23"/>
      <c r="C69" s="23"/>
      <c r="D69" s="24"/>
      <c r="E69" s="23"/>
      <c r="F69" s="23"/>
      <c r="G69" s="23"/>
      <c r="H69" s="23"/>
      <c r="I69" s="23"/>
      <c r="J69" s="23"/>
      <c r="K69" s="23"/>
      <c r="L69" s="25"/>
      <c r="M69" s="23"/>
      <c r="N69" s="23"/>
      <c r="O69" s="26"/>
      <c r="P69" s="27"/>
      <c r="Q69" s="28"/>
      <c r="R69" s="29"/>
      <c r="S69" s="30"/>
      <c r="T69" s="23"/>
      <c r="U69" s="23"/>
      <c r="V69" s="23"/>
      <c r="W69" s="23"/>
      <c r="X69" s="23"/>
      <c r="Y69" s="23"/>
      <c r="Z69" s="31"/>
      <c r="AA69" s="23"/>
      <c r="AB69" s="23"/>
      <c r="AC69" s="26"/>
    </row>
    <row r="70">
      <c r="A70" s="22"/>
      <c r="B70" s="23"/>
      <c r="C70" s="23"/>
      <c r="D70" s="24"/>
      <c r="E70" s="23"/>
      <c r="F70" s="23"/>
      <c r="G70" s="23"/>
      <c r="H70" s="23"/>
      <c r="I70" s="23"/>
      <c r="J70" s="23"/>
      <c r="K70" s="23"/>
      <c r="L70" s="25"/>
      <c r="M70" s="23"/>
      <c r="N70" s="23"/>
      <c r="O70" s="23"/>
      <c r="P70" s="27"/>
      <c r="Q70" s="28"/>
      <c r="R70" s="29"/>
      <c r="S70" s="30"/>
      <c r="T70" s="23"/>
      <c r="U70" s="23"/>
      <c r="V70" s="23"/>
      <c r="W70" s="23"/>
      <c r="X70" s="23"/>
      <c r="Y70" s="23"/>
      <c r="Z70" s="31"/>
      <c r="AA70" s="23"/>
      <c r="AB70" s="23"/>
      <c r="AC70" s="26"/>
    </row>
    <row r="71">
      <c r="A71" s="22"/>
      <c r="B71" s="23"/>
      <c r="C71" s="23"/>
      <c r="D71" s="24"/>
      <c r="E71" s="23"/>
      <c r="F71" s="23"/>
      <c r="G71" s="23"/>
      <c r="H71" s="23"/>
      <c r="I71" s="23"/>
      <c r="J71" s="23"/>
      <c r="K71" s="23"/>
      <c r="L71" s="25"/>
      <c r="M71" s="23"/>
      <c r="N71" s="23"/>
      <c r="O71" s="26"/>
      <c r="P71" s="27"/>
      <c r="Q71" s="28"/>
      <c r="R71" s="29"/>
      <c r="S71" s="30"/>
      <c r="T71" s="23"/>
      <c r="U71" s="23"/>
      <c r="V71" s="23"/>
      <c r="W71" s="23"/>
      <c r="X71" s="23"/>
      <c r="Y71" s="23"/>
      <c r="Z71" s="31"/>
      <c r="AA71" s="23"/>
      <c r="AB71" s="23"/>
      <c r="AC71" s="26"/>
    </row>
    <row r="72">
      <c r="A72" s="22"/>
      <c r="B72" s="23"/>
      <c r="C72" s="23"/>
      <c r="D72" s="24"/>
      <c r="E72" s="23"/>
      <c r="F72" s="23"/>
      <c r="G72" s="23"/>
      <c r="H72" s="23"/>
      <c r="I72" s="23"/>
      <c r="J72" s="23"/>
      <c r="K72" s="23"/>
      <c r="L72" s="25"/>
      <c r="M72" s="23"/>
      <c r="N72" s="23"/>
      <c r="O72" s="26"/>
      <c r="P72" s="27"/>
      <c r="Q72" s="28"/>
      <c r="R72" s="29"/>
      <c r="S72" s="30"/>
      <c r="T72" s="23"/>
      <c r="U72" s="23"/>
      <c r="V72" s="23"/>
      <c r="W72" s="23"/>
      <c r="X72" s="23"/>
      <c r="Y72" s="23"/>
      <c r="Z72" s="31"/>
      <c r="AA72" s="23"/>
      <c r="AB72" s="23"/>
      <c r="AC72" s="26"/>
    </row>
    <row r="73">
      <c r="A73" s="22"/>
      <c r="B73" s="23"/>
      <c r="C73" s="23"/>
      <c r="D73" s="24"/>
      <c r="E73" s="23"/>
      <c r="F73" s="23"/>
      <c r="G73" s="23"/>
      <c r="H73" s="23"/>
      <c r="I73" s="23"/>
      <c r="J73" s="23"/>
      <c r="K73" s="23"/>
      <c r="L73" s="25"/>
      <c r="M73" s="23"/>
      <c r="N73" s="23"/>
      <c r="O73" s="26"/>
      <c r="P73" s="27"/>
      <c r="Q73" s="28"/>
      <c r="R73" s="29"/>
      <c r="S73" s="30"/>
      <c r="T73" s="23"/>
      <c r="U73" s="23"/>
      <c r="V73" s="23"/>
      <c r="W73" s="23"/>
      <c r="X73" s="23"/>
      <c r="Y73" s="23"/>
      <c r="Z73" s="31"/>
      <c r="AA73" s="23"/>
      <c r="AB73" s="23"/>
      <c r="AC73" s="26"/>
    </row>
    <row r="74">
      <c r="A74" s="22"/>
      <c r="B74" s="23"/>
      <c r="C74" s="23"/>
      <c r="D74" s="24"/>
      <c r="E74" s="23"/>
      <c r="F74" s="23"/>
      <c r="G74" s="23"/>
      <c r="H74" s="23"/>
      <c r="I74" s="23"/>
      <c r="J74" s="23"/>
      <c r="K74" s="23"/>
      <c r="L74" s="25"/>
      <c r="M74" s="23"/>
      <c r="N74" s="23"/>
      <c r="O74" s="26"/>
      <c r="P74" s="27"/>
      <c r="Q74" s="28"/>
      <c r="R74" s="29"/>
      <c r="S74" s="30"/>
      <c r="T74" s="23"/>
      <c r="U74" s="23"/>
      <c r="V74" s="23"/>
      <c r="W74" s="23"/>
      <c r="X74" s="23"/>
      <c r="Y74" s="23"/>
      <c r="Z74" s="31"/>
      <c r="AA74" s="23"/>
      <c r="AB74" s="23"/>
      <c r="AC74" s="26"/>
    </row>
    <row r="75">
      <c r="A75" s="22"/>
      <c r="B75" s="23"/>
      <c r="C75" s="23"/>
      <c r="D75" s="24"/>
      <c r="E75" s="23"/>
      <c r="F75" s="23"/>
      <c r="G75" s="23"/>
      <c r="H75" s="23"/>
      <c r="I75" s="23"/>
      <c r="J75" s="23"/>
      <c r="K75" s="23"/>
      <c r="L75" s="25"/>
      <c r="M75" s="23"/>
      <c r="N75" s="23"/>
      <c r="O75" s="26"/>
      <c r="P75" s="27"/>
      <c r="Q75" s="28"/>
      <c r="R75" s="29"/>
      <c r="S75" s="30"/>
      <c r="T75" s="23"/>
      <c r="U75" s="23"/>
      <c r="V75" s="23"/>
      <c r="W75" s="23"/>
      <c r="X75" s="23"/>
      <c r="Y75" s="23"/>
      <c r="Z75" s="31"/>
      <c r="AA75" s="23"/>
      <c r="AB75" s="23"/>
      <c r="AC75" s="26"/>
    </row>
    <row r="76">
      <c r="A76" s="22"/>
      <c r="B76" s="23"/>
      <c r="C76" s="23"/>
      <c r="D76" s="24"/>
      <c r="E76" s="23"/>
      <c r="F76" s="23"/>
      <c r="G76" s="23"/>
      <c r="H76" s="23"/>
      <c r="I76" s="23"/>
      <c r="J76" s="23"/>
      <c r="K76" s="23"/>
      <c r="L76" s="25"/>
      <c r="M76" s="23"/>
      <c r="N76" s="23"/>
      <c r="O76" s="26"/>
      <c r="P76" s="27"/>
      <c r="Q76" s="28"/>
      <c r="R76" s="29"/>
      <c r="S76" s="30"/>
      <c r="T76" s="23"/>
      <c r="U76" s="23"/>
      <c r="V76" s="23"/>
      <c r="W76" s="23"/>
      <c r="X76" s="23"/>
      <c r="Y76" s="23"/>
      <c r="Z76" s="31"/>
      <c r="AA76" s="23"/>
      <c r="AB76" s="23"/>
      <c r="AC76" s="26"/>
    </row>
    <row r="77">
      <c r="A77" s="22"/>
      <c r="B77" s="23"/>
      <c r="C77" s="23"/>
      <c r="D77" s="33"/>
      <c r="E77" s="23"/>
      <c r="F77" s="23"/>
      <c r="G77" s="23"/>
      <c r="H77" s="23"/>
      <c r="I77" s="23"/>
      <c r="J77" s="23"/>
      <c r="K77" s="23"/>
      <c r="L77" s="25"/>
      <c r="M77" s="23"/>
      <c r="N77" s="23"/>
      <c r="O77" s="26"/>
      <c r="P77" s="23"/>
      <c r="Q77" s="28"/>
      <c r="R77" s="29"/>
      <c r="S77" s="23"/>
      <c r="T77" s="23"/>
      <c r="U77" s="23"/>
      <c r="V77" s="23"/>
      <c r="W77" s="23"/>
      <c r="X77" s="23"/>
      <c r="Y77" s="23"/>
      <c r="Z77" s="23"/>
      <c r="AA77" s="23"/>
      <c r="AB77" s="23"/>
      <c r="AC77" s="26"/>
    </row>
    <row r="78">
      <c r="A78" s="22"/>
      <c r="B78" s="23"/>
      <c r="C78" s="23"/>
      <c r="D78" s="33"/>
      <c r="E78" s="23"/>
      <c r="F78" s="23"/>
      <c r="G78" s="23"/>
      <c r="H78" s="23"/>
      <c r="I78" s="23"/>
      <c r="J78" s="23"/>
      <c r="K78" s="23"/>
      <c r="L78" s="25"/>
      <c r="M78" s="23"/>
      <c r="N78" s="23"/>
      <c r="O78" s="26"/>
      <c r="P78" s="27"/>
      <c r="Q78" s="28"/>
      <c r="R78" s="29"/>
      <c r="S78" s="23"/>
      <c r="T78" s="23"/>
      <c r="U78" s="23"/>
      <c r="V78" s="23"/>
      <c r="W78" s="23"/>
      <c r="X78" s="23"/>
      <c r="Y78" s="23"/>
      <c r="Z78" s="23"/>
      <c r="AA78" s="23"/>
      <c r="AB78" s="23"/>
      <c r="AC78" s="26"/>
    </row>
    <row r="79">
      <c r="A79" s="22"/>
      <c r="B79" s="23"/>
      <c r="C79" s="23"/>
      <c r="D79" s="24"/>
      <c r="E79" s="23"/>
      <c r="F79" s="23"/>
      <c r="G79" s="23"/>
      <c r="H79" s="23"/>
      <c r="I79" s="23"/>
      <c r="J79" s="23"/>
      <c r="K79" s="23"/>
      <c r="L79" s="25"/>
      <c r="M79" s="23"/>
      <c r="N79" s="23"/>
      <c r="O79" s="26"/>
      <c r="P79" s="27"/>
      <c r="Q79" s="28"/>
      <c r="R79" s="29"/>
      <c r="S79" s="30"/>
      <c r="T79" s="23"/>
      <c r="U79" s="23"/>
      <c r="V79" s="23"/>
      <c r="W79" s="23"/>
      <c r="X79" s="23"/>
      <c r="Y79" s="23"/>
      <c r="Z79" s="31"/>
      <c r="AA79" s="23"/>
      <c r="AB79" s="23"/>
      <c r="AC79" s="26"/>
    </row>
    <row r="80">
      <c r="A80" s="22"/>
      <c r="B80" s="23"/>
      <c r="C80" s="23"/>
      <c r="D80" s="24"/>
      <c r="E80" s="23"/>
      <c r="F80" s="23"/>
      <c r="G80" s="23"/>
      <c r="H80" s="23"/>
      <c r="I80" s="23"/>
      <c r="J80" s="23"/>
      <c r="K80" s="23"/>
      <c r="L80" s="23"/>
      <c r="M80" s="23"/>
      <c r="N80" s="23"/>
      <c r="O80" s="23"/>
      <c r="P80" s="27"/>
      <c r="Q80" s="23"/>
      <c r="R80" s="23"/>
      <c r="S80" s="30"/>
      <c r="T80" s="23"/>
      <c r="U80" s="23"/>
      <c r="V80" s="23"/>
      <c r="W80" s="23"/>
      <c r="X80" s="23"/>
      <c r="Y80" s="23"/>
      <c r="Z80" s="31"/>
      <c r="AA80" s="23"/>
      <c r="AB80" s="23"/>
      <c r="AC80" s="26"/>
    </row>
    <row r="81">
      <c r="A81" s="22"/>
      <c r="B81" s="23"/>
      <c r="C81" s="23"/>
      <c r="D81" s="24"/>
      <c r="E81" s="23"/>
      <c r="F81" s="23"/>
      <c r="G81" s="23"/>
      <c r="H81" s="23"/>
      <c r="I81" s="23"/>
      <c r="J81" s="23"/>
      <c r="K81" s="23"/>
      <c r="L81" s="25"/>
      <c r="M81" s="23"/>
      <c r="N81" s="23"/>
      <c r="O81" s="26"/>
      <c r="P81" s="27"/>
      <c r="Q81" s="28"/>
      <c r="R81" s="29"/>
      <c r="S81" s="30"/>
      <c r="T81" s="23"/>
      <c r="U81" s="23"/>
      <c r="V81" s="23"/>
      <c r="W81" s="23"/>
      <c r="X81" s="23"/>
      <c r="Y81" s="23"/>
      <c r="Z81" s="31"/>
      <c r="AA81" s="23"/>
      <c r="AB81" s="23"/>
      <c r="AC81" s="26"/>
    </row>
    <row r="82">
      <c r="A82" s="22"/>
      <c r="B82" s="23"/>
      <c r="C82" s="23"/>
      <c r="D82" s="24"/>
      <c r="E82" s="23"/>
      <c r="F82" s="23"/>
      <c r="G82" s="23"/>
      <c r="H82" s="23"/>
      <c r="I82" s="23"/>
      <c r="J82" s="23"/>
      <c r="K82" s="23"/>
      <c r="L82" s="25"/>
      <c r="M82" s="23"/>
      <c r="N82" s="23"/>
      <c r="O82" s="26"/>
      <c r="P82" s="27"/>
      <c r="Q82" s="28"/>
      <c r="R82" s="29"/>
      <c r="S82" s="30"/>
      <c r="T82" s="23"/>
      <c r="U82" s="23"/>
      <c r="V82" s="23"/>
      <c r="W82" s="23"/>
      <c r="X82" s="23"/>
      <c r="Y82" s="23"/>
      <c r="Z82" s="31"/>
      <c r="AA82" s="23"/>
      <c r="AB82" s="23"/>
      <c r="AC82" s="26"/>
    </row>
    <row r="83">
      <c r="A83" s="22"/>
      <c r="B83" s="23"/>
      <c r="C83" s="23"/>
      <c r="D83" s="24"/>
      <c r="E83" s="23"/>
      <c r="F83" s="23"/>
      <c r="G83" s="23"/>
      <c r="H83" s="23"/>
      <c r="I83" s="23"/>
      <c r="J83" s="23"/>
      <c r="K83" s="23"/>
      <c r="L83" s="25"/>
      <c r="M83" s="23"/>
      <c r="N83" s="23"/>
      <c r="O83" s="26"/>
      <c r="P83" s="27"/>
      <c r="Q83" s="28"/>
      <c r="R83" s="29"/>
      <c r="S83" s="30"/>
      <c r="T83" s="23"/>
      <c r="U83" s="23"/>
      <c r="V83" s="23"/>
      <c r="W83" s="23"/>
      <c r="X83" s="23"/>
      <c r="Y83" s="23"/>
      <c r="Z83" s="31"/>
      <c r="AA83" s="23"/>
      <c r="AB83" s="23"/>
      <c r="AC83" s="26"/>
    </row>
    <row r="84">
      <c r="A84" s="22"/>
      <c r="B84" s="23"/>
      <c r="C84" s="23"/>
      <c r="D84" s="24"/>
      <c r="E84" s="23"/>
      <c r="F84" s="23"/>
      <c r="G84" s="23"/>
      <c r="H84" s="23"/>
      <c r="I84" s="23"/>
      <c r="J84" s="23"/>
      <c r="K84" s="23"/>
      <c r="L84" s="25"/>
      <c r="M84" s="23"/>
      <c r="N84" s="23"/>
      <c r="O84" s="26"/>
      <c r="P84" s="27"/>
      <c r="Q84" s="28"/>
      <c r="R84" s="29"/>
      <c r="S84" s="23"/>
      <c r="T84" s="23"/>
      <c r="U84" s="23"/>
      <c r="V84" s="23"/>
      <c r="W84" s="23"/>
      <c r="X84" s="23"/>
      <c r="Y84" s="23"/>
      <c r="Z84" s="31"/>
      <c r="AA84" s="23"/>
      <c r="AB84" s="23"/>
      <c r="AC84" s="26"/>
    </row>
    <row r="85">
      <c r="A85" s="22"/>
      <c r="B85" s="23"/>
      <c r="C85" s="23"/>
      <c r="D85" s="24"/>
      <c r="E85" s="23"/>
      <c r="F85" s="23"/>
      <c r="G85" s="23"/>
      <c r="H85" s="23"/>
      <c r="I85" s="23"/>
      <c r="J85" s="23"/>
      <c r="K85" s="23"/>
      <c r="L85" s="25"/>
      <c r="M85" s="23"/>
      <c r="N85" s="23"/>
      <c r="O85" s="26"/>
      <c r="P85" s="27"/>
      <c r="Q85" s="28"/>
      <c r="R85" s="29"/>
      <c r="S85" s="30"/>
      <c r="T85" s="23"/>
      <c r="U85" s="23"/>
      <c r="V85" s="23"/>
      <c r="W85" s="23"/>
      <c r="X85" s="23"/>
      <c r="Y85" s="23"/>
      <c r="Z85" s="31"/>
      <c r="AA85" s="23"/>
      <c r="AB85" s="23"/>
      <c r="AC85" s="26"/>
    </row>
    <row r="86">
      <c r="A86" s="22"/>
      <c r="B86" s="23"/>
      <c r="C86" s="23"/>
      <c r="D86" s="24"/>
      <c r="E86" s="23"/>
      <c r="F86" s="23"/>
      <c r="G86" s="23"/>
      <c r="H86" s="23"/>
      <c r="I86" s="23"/>
      <c r="J86" s="23"/>
      <c r="K86" s="23"/>
      <c r="L86" s="25"/>
      <c r="M86" s="23"/>
      <c r="N86" s="23"/>
      <c r="O86" s="26"/>
      <c r="P86" s="27"/>
      <c r="Q86" s="28"/>
      <c r="R86" s="29"/>
      <c r="S86" s="30"/>
      <c r="T86" s="23"/>
      <c r="U86" s="23"/>
      <c r="V86" s="23"/>
      <c r="W86" s="23"/>
      <c r="X86" s="23"/>
      <c r="Y86" s="23"/>
      <c r="Z86" s="31"/>
      <c r="AA86" s="23"/>
      <c r="AB86" s="23"/>
      <c r="AC86" s="26"/>
    </row>
    <row r="87">
      <c r="A87" s="22"/>
      <c r="B87" s="23"/>
      <c r="C87" s="23"/>
      <c r="D87" s="24"/>
      <c r="E87" s="23"/>
      <c r="F87" s="23"/>
      <c r="G87" s="23"/>
      <c r="H87" s="23"/>
      <c r="I87" s="23"/>
      <c r="J87" s="23"/>
      <c r="K87" s="23"/>
      <c r="L87" s="25"/>
      <c r="M87" s="23"/>
      <c r="N87" s="23"/>
      <c r="O87" s="26"/>
      <c r="P87" s="27"/>
      <c r="Q87" s="28"/>
      <c r="R87" s="29"/>
      <c r="S87" s="30"/>
      <c r="T87" s="23"/>
      <c r="U87" s="23"/>
      <c r="V87" s="23"/>
      <c r="W87" s="23"/>
      <c r="X87" s="23"/>
      <c r="Y87" s="23"/>
      <c r="Z87" s="23"/>
      <c r="AA87" s="23"/>
      <c r="AB87" s="23"/>
      <c r="AC87" s="26"/>
    </row>
    <row r="88">
      <c r="A88" s="22"/>
      <c r="B88" s="23"/>
      <c r="C88" s="23"/>
      <c r="D88" s="24"/>
      <c r="E88" s="23"/>
      <c r="F88" s="23"/>
      <c r="G88" s="23"/>
      <c r="H88" s="23"/>
      <c r="I88" s="23"/>
      <c r="J88" s="23"/>
      <c r="K88" s="23"/>
      <c r="L88" s="25"/>
      <c r="M88" s="23"/>
      <c r="N88" s="23"/>
      <c r="O88" s="26"/>
      <c r="P88" s="27"/>
      <c r="Q88" s="28"/>
      <c r="R88" s="29"/>
      <c r="S88" s="30"/>
      <c r="T88" s="23"/>
      <c r="U88" s="23"/>
      <c r="V88" s="23"/>
      <c r="W88" s="23"/>
      <c r="X88" s="23"/>
      <c r="Y88" s="23"/>
      <c r="Z88" s="31"/>
      <c r="AA88" s="23"/>
      <c r="AB88" s="23"/>
      <c r="AC88" s="26"/>
    </row>
    <row r="89">
      <c r="A89" s="22"/>
      <c r="B89" s="23"/>
      <c r="C89" s="23"/>
      <c r="D89" s="24"/>
      <c r="E89" s="23"/>
      <c r="F89" s="23"/>
      <c r="G89" s="23"/>
      <c r="H89" s="23"/>
      <c r="I89" s="23"/>
      <c r="J89" s="23"/>
      <c r="K89" s="23"/>
      <c r="L89" s="25"/>
      <c r="M89" s="23"/>
      <c r="N89" s="23"/>
      <c r="O89" s="26"/>
      <c r="P89" s="27"/>
      <c r="Q89" s="28"/>
      <c r="R89" s="29"/>
      <c r="S89" s="30"/>
      <c r="T89" s="23"/>
      <c r="U89" s="23"/>
      <c r="V89" s="23"/>
      <c r="W89" s="23"/>
      <c r="X89" s="23"/>
      <c r="Y89" s="23"/>
      <c r="Z89" s="31"/>
      <c r="AA89" s="23"/>
      <c r="AB89" s="23"/>
      <c r="AC89" s="26"/>
    </row>
    <row r="90">
      <c r="A90" s="22"/>
      <c r="B90" s="23"/>
      <c r="C90" s="23"/>
      <c r="D90" s="24"/>
      <c r="E90" s="23"/>
      <c r="F90" s="23"/>
      <c r="G90" s="23"/>
      <c r="H90" s="23"/>
      <c r="I90" s="23"/>
      <c r="J90" s="23"/>
      <c r="K90" s="23"/>
      <c r="L90" s="25"/>
      <c r="M90" s="23"/>
      <c r="N90" s="23"/>
      <c r="O90" s="26"/>
      <c r="P90" s="27"/>
      <c r="Q90" s="28"/>
      <c r="R90" s="29"/>
      <c r="S90" s="30"/>
      <c r="T90" s="23"/>
      <c r="U90" s="23"/>
      <c r="V90" s="23"/>
      <c r="W90" s="23"/>
      <c r="X90" s="23"/>
      <c r="Y90" s="23"/>
      <c r="Z90" s="31"/>
      <c r="AA90" s="23"/>
      <c r="AB90" s="23"/>
      <c r="AC90" s="26"/>
    </row>
    <row r="91">
      <c r="A91" s="22"/>
      <c r="B91" s="23"/>
      <c r="C91" s="23"/>
      <c r="D91" s="24"/>
      <c r="E91" s="23"/>
      <c r="F91" s="23"/>
      <c r="G91" s="23"/>
      <c r="H91" s="23"/>
      <c r="I91" s="23"/>
      <c r="J91" s="23"/>
      <c r="K91" s="23"/>
      <c r="L91" s="25"/>
      <c r="M91" s="23"/>
      <c r="N91" s="23"/>
      <c r="O91" s="26"/>
      <c r="P91" s="27"/>
      <c r="Q91" s="28"/>
      <c r="R91" s="29"/>
      <c r="S91" s="30"/>
      <c r="T91" s="23"/>
      <c r="U91" s="23"/>
      <c r="V91" s="23"/>
      <c r="W91" s="23"/>
      <c r="X91" s="23"/>
      <c r="Y91" s="23"/>
      <c r="Z91" s="31"/>
      <c r="AA91" s="23"/>
      <c r="AB91" s="23"/>
      <c r="AC91" s="26"/>
    </row>
    <row r="92">
      <c r="A92" s="22"/>
      <c r="B92" s="23"/>
      <c r="C92" s="23"/>
      <c r="D92" s="24"/>
      <c r="E92" s="23"/>
      <c r="F92" s="23"/>
      <c r="G92" s="23"/>
      <c r="H92" s="23"/>
      <c r="I92" s="23"/>
      <c r="J92" s="23"/>
      <c r="K92" s="23"/>
      <c r="L92" s="25"/>
      <c r="M92" s="23"/>
      <c r="N92" s="23"/>
      <c r="O92" s="26"/>
      <c r="P92" s="27"/>
      <c r="Q92" s="28"/>
      <c r="R92" s="29"/>
      <c r="S92" s="30"/>
      <c r="T92" s="23"/>
      <c r="U92" s="23"/>
      <c r="V92" s="23"/>
      <c r="W92" s="23"/>
      <c r="X92" s="23"/>
      <c r="Y92" s="23"/>
      <c r="Z92" s="31"/>
      <c r="AA92" s="23"/>
      <c r="AB92" s="23"/>
      <c r="AC92" s="26"/>
    </row>
    <row r="93">
      <c r="A93" s="22"/>
      <c r="B93" s="23"/>
      <c r="C93" s="23"/>
      <c r="D93" s="24"/>
      <c r="E93" s="23"/>
      <c r="F93" s="23"/>
      <c r="G93" s="23"/>
      <c r="H93" s="23"/>
      <c r="I93" s="23"/>
      <c r="J93" s="23"/>
      <c r="K93" s="23"/>
      <c r="L93" s="25"/>
      <c r="M93" s="23"/>
      <c r="N93" s="23"/>
      <c r="O93" s="26"/>
      <c r="P93" s="27"/>
      <c r="Q93" s="28"/>
      <c r="R93" s="29"/>
      <c r="S93" s="30"/>
      <c r="T93" s="23"/>
      <c r="U93" s="23"/>
      <c r="V93" s="23"/>
      <c r="W93" s="23"/>
      <c r="X93" s="23"/>
      <c r="Y93" s="23"/>
      <c r="Z93" s="31"/>
      <c r="AA93" s="23"/>
      <c r="AB93" s="23"/>
      <c r="AC93" s="26"/>
    </row>
    <row r="94">
      <c r="A94" s="22"/>
      <c r="B94" s="23"/>
      <c r="C94" s="23"/>
      <c r="D94" s="24"/>
      <c r="E94" s="23"/>
      <c r="F94" s="23"/>
      <c r="G94" s="23"/>
      <c r="H94" s="23"/>
      <c r="I94" s="23"/>
      <c r="J94" s="23"/>
      <c r="K94" s="23"/>
      <c r="L94" s="25"/>
      <c r="M94" s="23"/>
      <c r="N94" s="23"/>
      <c r="O94" s="26"/>
      <c r="P94" s="27"/>
      <c r="Q94" s="28"/>
      <c r="R94" s="29"/>
      <c r="S94" s="30"/>
      <c r="T94" s="23"/>
      <c r="U94" s="23"/>
      <c r="V94" s="23"/>
      <c r="W94" s="23"/>
      <c r="X94" s="23"/>
      <c r="Y94" s="23"/>
      <c r="Z94" s="31"/>
      <c r="AA94" s="23"/>
      <c r="AB94" s="23"/>
      <c r="AC94" s="26"/>
    </row>
    <row r="95">
      <c r="A95" s="22"/>
      <c r="B95" s="23"/>
      <c r="C95" s="23"/>
      <c r="D95" s="24"/>
      <c r="E95" s="23"/>
      <c r="F95" s="23"/>
      <c r="G95" s="23"/>
      <c r="H95" s="23"/>
      <c r="I95" s="23"/>
      <c r="J95" s="23"/>
      <c r="K95" s="23"/>
      <c r="L95" s="25"/>
      <c r="M95" s="23"/>
      <c r="N95" s="23"/>
      <c r="O95" s="26"/>
      <c r="P95" s="27"/>
      <c r="Q95" s="28"/>
      <c r="R95" s="29"/>
      <c r="S95" s="30"/>
      <c r="T95" s="23"/>
      <c r="U95" s="23"/>
      <c r="V95" s="23"/>
      <c r="W95" s="23"/>
      <c r="X95" s="23"/>
      <c r="Y95" s="23"/>
      <c r="Z95" s="31"/>
      <c r="AA95" s="23"/>
      <c r="AB95" s="23"/>
      <c r="AC95" s="26"/>
    </row>
    <row r="96">
      <c r="A96" s="22"/>
      <c r="B96" s="23"/>
      <c r="C96" s="23"/>
      <c r="D96" s="24"/>
      <c r="E96" s="23"/>
      <c r="F96" s="23"/>
      <c r="G96" s="23"/>
      <c r="H96" s="23"/>
      <c r="I96" s="23"/>
      <c r="J96" s="23"/>
      <c r="K96" s="23"/>
      <c r="L96" s="25"/>
      <c r="M96" s="23"/>
      <c r="N96" s="23"/>
      <c r="O96" s="26"/>
      <c r="P96" s="27"/>
      <c r="Q96" s="28"/>
      <c r="R96" s="29"/>
      <c r="S96" s="30"/>
      <c r="T96" s="23"/>
      <c r="U96" s="23"/>
      <c r="V96" s="23"/>
      <c r="W96" s="23"/>
      <c r="X96" s="23"/>
      <c r="Y96" s="23"/>
      <c r="Z96" s="31"/>
      <c r="AA96" s="23"/>
      <c r="AB96" s="23"/>
      <c r="AC96" s="26"/>
    </row>
    <row r="97">
      <c r="A97" s="22" t="s">
        <v>2618</v>
      </c>
      <c r="B97" s="23" t="s">
        <v>2619</v>
      </c>
      <c r="C97" s="23" t="s">
        <v>2646</v>
      </c>
      <c r="D97" s="24" t="s">
        <v>2620</v>
      </c>
      <c r="E97" s="23" t="s">
        <v>2621</v>
      </c>
      <c r="F97" s="23" t="s">
        <v>2622</v>
      </c>
      <c r="G97" s="23" t="s">
        <v>2623</v>
      </c>
      <c r="H97" s="23" t="s">
        <v>2624</v>
      </c>
      <c r="I97" s="23" t="s">
        <v>2625</v>
      </c>
      <c r="J97" s="23" t="s">
        <v>2626</v>
      </c>
      <c r="K97" s="23" t="s">
        <v>2627</v>
      </c>
      <c r="L97" s="25" t="s">
        <v>2628</v>
      </c>
      <c r="M97" s="23" t="s">
        <v>2629</v>
      </c>
      <c r="N97" s="23" t="s">
        <v>2630</v>
      </c>
      <c r="O97" s="26" t="s">
        <v>2631</v>
      </c>
      <c r="P97" s="27" t="s">
        <v>2632</v>
      </c>
      <c r="Q97" s="28" t="s">
        <v>2633</v>
      </c>
      <c r="R97" s="29" t="s">
        <v>2634</v>
      </c>
      <c r="S97" s="30" t="s">
        <v>2635</v>
      </c>
      <c r="T97" s="23" t="s">
        <v>2636</v>
      </c>
      <c r="U97" s="23" t="s">
        <v>2637</v>
      </c>
      <c r="V97" s="23" t="s">
        <v>2638</v>
      </c>
      <c r="W97" s="23" t="s">
        <v>2639</v>
      </c>
      <c r="X97" s="23" t="s">
        <v>2640</v>
      </c>
      <c r="Y97" s="23" t="s">
        <v>2641</v>
      </c>
      <c r="Z97" s="31" t="s">
        <v>2642</v>
      </c>
      <c r="AA97" s="23" t="s">
        <v>2643</v>
      </c>
      <c r="AB97" s="23" t="s">
        <v>2644</v>
      </c>
      <c r="AC97" s="26" t="s">
        <v>2645</v>
      </c>
    </row>
    <row r="98">
      <c r="A98" s="22" t="s">
        <v>2647</v>
      </c>
      <c r="B98" s="23" t="s">
        <v>2648</v>
      </c>
      <c r="C98" s="23" t="s">
        <v>2673</v>
      </c>
      <c r="D98" s="24" t="s">
        <v>2649</v>
      </c>
      <c r="E98" s="23" t="s">
        <v>2650</v>
      </c>
      <c r="F98" s="23" t="s">
        <v>2651</v>
      </c>
      <c r="G98" s="23" t="s">
        <v>2652</v>
      </c>
      <c r="H98" s="23" t="s">
        <v>2653</v>
      </c>
      <c r="I98" s="23" t="s">
        <v>2654</v>
      </c>
      <c r="J98" s="23" t="s">
        <v>2655</v>
      </c>
      <c r="K98" s="23" t="s">
        <v>2656</v>
      </c>
      <c r="L98" s="25" t="s">
        <v>2657</v>
      </c>
      <c r="M98" s="23" t="s">
        <v>2658</v>
      </c>
      <c r="N98" s="23" t="s">
        <v>2648</v>
      </c>
      <c r="O98" s="26" t="s">
        <v>2659</v>
      </c>
      <c r="P98" s="27" t="s">
        <v>2660</v>
      </c>
      <c r="Q98" s="28" t="s">
        <v>2661</v>
      </c>
      <c r="R98" s="29" t="s">
        <v>2662</v>
      </c>
      <c r="S98" s="30" t="s">
        <v>2663</v>
      </c>
      <c r="T98" s="23" t="s">
        <v>2664</v>
      </c>
      <c r="U98" s="23" t="s">
        <v>2665</v>
      </c>
      <c r="V98" s="23" t="s">
        <v>2648</v>
      </c>
      <c r="W98" s="23" t="s">
        <v>2666</v>
      </c>
      <c r="X98" s="23" t="s">
        <v>2667</v>
      </c>
      <c r="Y98" s="23" t="s">
        <v>2668</v>
      </c>
      <c r="Z98" s="31" t="s">
        <v>2669</v>
      </c>
      <c r="AA98" s="23" t="s">
        <v>2670</v>
      </c>
      <c r="AB98" s="23" t="s">
        <v>2671</v>
      </c>
      <c r="AC98" s="26" t="s">
        <v>2672</v>
      </c>
    </row>
    <row r="99">
      <c r="A99" s="22" t="s">
        <v>2674</v>
      </c>
      <c r="B99" s="23" t="s">
        <v>327</v>
      </c>
      <c r="C99" s="23" t="s">
        <v>354</v>
      </c>
      <c r="D99" s="24" t="s">
        <v>328</v>
      </c>
      <c r="E99" s="23" t="s">
        <v>329</v>
      </c>
      <c r="F99" s="23" t="s">
        <v>330</v>
      </c>
      <c r="G99" s="23" t="s">
        <v>331</v>
      </c>
      <c r="H99" s="23" t="s">
        <v>332</v>
      </c>
      <c r="I99" s="23" t="s">
        <v>333</v>
      </c>
      <c r="J99" s="23" t="s">
        <v>334</v>
      </c>
      <c r="K99" s="23" t="s">
        <v>335</v>
      </c>
      <c r="L99" s="25" t="s">
        <v>336</v>
      </c>
      <c r="M99" s="23" t="s">
        <v>337</v>
      </c>
      <c r="N99" s="23" t="s">
        <v>338</v>
      </c>
      <c r="O99" s="26" t="s">
        <v>339</v>
      </c>
      <c r="P99" s="27" t="s">
        <v>340</v>
      </c>
      <c r="Q99" s="28" t="s">
        <v>341</v>
      </c>
      <c r="R99" s="29" t="s">
        <v>342</v>
      </c>
      <c r="S99" s="30" t="s">
        <v>343</v>
      </c>
      <c r="T99" s="23" t="s">
        <v>344</v>
      </c>
      <c r="U99" s="23" t="s">
        <v>345</v>
      </c>
      <c r="V99" s="23" t="s">
        <v>346</v>
      </c>
      <c r="W99" s="23" t="s">
        <v>347</v>
      </c>
      <c r="X99" s="23" t="s">
        <v>348</v>
      </c>
      <c r="Y99" s="23" t="s">
        <v>349</v>
      </c>
      <c r="Z99" s="31" t="s">
        <v>350</v>
      </c>
      <c r="AA99" s="23" t="s">
        <v>351</v>
      </c>
      <c r="AB99" s="23" t="s">
        <v>352</v>
      </c>
      <c r="AC99" s="26" t="s">
        <v>353</v>
      </c>
    </row>
    <row r="100">
      <c r="A100" s="22" t="s">
        <v>2675</v>
      </c>
      <c r="B100" s="23" t="s">
        <v>2676</v>
      </c>
      <c r="C100" s="23" t="s">
        <v>2702</v>
      </c>
      <c r="D100" s="24" t="s">
        <v>2677</v>
      </c>
      <c r="E100" s="23" t="s">
        <v>2678</v>
      </c>
      <c r="F100" s="23" t="s">
        <v>2676</v>
      </c>
      <c r="G100" s="23" t="s">
        <v>2679</v>
      </c>
      <c r="H100" s="23" t="s">
        <v>2680</v>
      </c>
      <c r="I100" s="23" t="s">
        <v>2681</v>
      </c>
      <c r="J100" s="23" t="s">
        <v>2682</v>
      </c>
      <c r="K100" s="23" t="s">
        <v>2683</v>
      </c>
      <c r="L100" s="25" t="s">
        <v>2684</v>
      </c>
      <c r="M100" s="23" t="s">
        <v>2685</v>
      </c>
      <c r="N100" s="23" t="s">
        <v>2686</v>
      </c>
      <c r="O100" s="26" t="s">
        <v>2687</v>
      </c>
      <c r="P100" s="27" t="s">
        <v>2688</v>
      </c>
      <c r="Q100" s="28" t="s">
        <v>2689</v>
      </c>
      <c r="R100" s="29" t="s">
        <v>2690</v>
      </c>
      <c r="S100" s="30" t="s">
        <v>2691</v>
      </c>
      <c r="T100" s="23" t="s">
        <v>2692</v>
      </c>
      <c r="U100" s="23" t="s">
        <v>2693</v>
      </c>
      <c r="V100" s="23" t="s">
        <v>2694</v>
      </c>
      <c r="W100" s="23" t="s">
        <v>2695</v>
      </c>
      <c r="X100" s="23" t="s">
        <v>2696</v>
      </c>
      <c r="Y100" s="23" t="s">
        <v>2697</v>
      </c>
      <c r="Z100" s="31" t="s">
        <v>2698</v>
      </c>
      <c r="AA100" s="23" t="s">
        <v>2699</v>
      </c>
      <c r="AB100" s="23" t="s">
        <v>2700</v>
      </c>
      <c r="AC100" s="26" t="s">
        <v>2701</v>
      </c>
    </row>
    <row r="101">
      <c r="A101" s="22" t="s">
        <v>2703</v>
      </c>
      <c r="B101" s="23" t="s">
        <v>2704</v>
      </c>
      <c r="C101" s="23" t="s">
        <v>2731</v>
      </c>
      <c r="D101" s="24" t="s">
        <v>2705</v>
      </c>
      <c r="E101" s="23" t="s">
        <v>2706</v>
      </c>
      <c r="F101" s="23" t="s">
        <v>2707</v>
      </c>
      <c r="G101" s="23" t="s">
        <v>2708</v>
      </c>
      <c r="H101" s="23" t="s">
        <v>2709</v>
      </c>
      <c r="I101" s="23" t="s">
        <v>2710</v>
      </c>
      <c r="J101" s="23" t="s">
        <v>2711</v>
      </c>
      <c r="K101" s="23" t="s">
        <v>2712</v>
      </c>
      <c r="L101" s="25" t="s">
        <v>2713</v>
      </c>
      <c r="M101" s="23" t="s">
        <v>2714</v>
      </c>
      <c r="N101" s="23" t="s">
        <v>2715</v>
      </c>
      <c r="O101" s="26" t="s">
        <v>2716</v>
      </c>
      <c r="P101" s="27" t="s">
        <v>2717</v>
      </c>
      <c r="Q101" s="28" t="s">
        <v>2718</v>
      </c>
      <c r="R101" s="29" t="s">
        <v>2719</v>
      </c>
      <c r="S101" s="30" t="s">
        <v>2720</v>
      </c>
      <c r="T101" s="23" t="s">
        <v>2721</v>
      </c>
      <c r="U101" s="23" t="s">
        <v>2722</v>
      </c>
      <c r="V101" s="23" t="s">
        <v>2723</v>
      </c>
      <c r="W101" s="23" t="s">
        <v>2724</v>
      </c>
      <c r="X101" s="23" t="s">
        <v>2725</v>
      </c>
      <c r="Y101" s="23" t="s">
        <v>2726</v>
      </c>
      <c r="Z101" s="31" t="s">
        <v>2727</v>
      </c>
      <c r="AA101" s="23" t="s">
        <v>2728</v>
      </c>
      <c r="AB101" s="23" t="s">
        <v>2729</v>
      </c>
      <c r="AC101" s="26" t="s">
        <v>2730</v>
      </c>
    </row>
    <row r="102">
      <c r="A102" s="22" t="s">
        <v>2732</v>
      </c>
      <c r="B102" s="23" t="s">
        <v>2733</v>
      </c>
      <c r="C102" s="23" t="s">
        <v>2760</v>
      </c>
      <c r="D102" s="24" t="s">
        <v>2734</v>
      </c>
      <c r="E102" s="23" t="s">
        <v>2735</v>
      </c>
      <c r="F102" s="23" t="s">
        <v>2736</v>
      </c>
      <c r="G102" s="23" t="s">
        <v>2737</v>
      </c>
      <c r="H102" s="23" t="s">
        <v>2738</v>
      </c>
      <c r="I102" s="23" t="s">
        <v>2739</v>
      </c>
      <c r="J102" s="23" t="s">
        <v>2740</v>
      </c>
      <c r="K102" s="23" t="s">
        <v>2741</v>
      </c>
      <c r="L102" s="25" t="s">
        <v>2742</v>
      </c>
      <c r="M102" s="23" t="s">
        <v>2743</v>
      </c>
      <c r="N102" s="23" t="s">
        <v>2744</v>
      </c>
      <c r="O102" s="26" t="s">
        <v>2745</v>
      </c>
      <c r="P102" s="27" t="s">
        <v>2746</v>
      </c>
      <c r="Q102" s="28" t="s">
        <v>2747</v>
      </c>
      <c r="R102" s="29" t="s">
        <v>2748</v>
      </c>
      <c r="S102" s="30" t="s">
        <v>2749</v>
      </c>
      <c r="T102" s="23" t="s">
        <v>2750</v>
      </c>
      <c r="U102" s="23" t="s">
        <v>2751</v>
      </c>
      <c r="V102" s="23" t="s">
        <v>2752</v>
      </c>
      <c r="W102" s="23" t="s">
        <v>2753</v>
      </c>
      <c r="X102" s="23" t="s">
        <v>2754</v>
      </c>
      <c r="Y102" s="23" t="s">
        <v>2755</v>
      </c>
      <c r="Z102" s="31" t="s">
        <v>2756</v>
      </c>
      <c r="AA102" s="23" t="s">
        <v>2757</v>
      </c>
      <c r="AB102" s="23" t="s">
        <v>2758</v>
      </c>
      <c r="AC102" s="26" t="s">
        <v>2759</v>
      </c>
    </row>
    <row r="103">
      <c r="A103" s="22"/>
      <c r="B103" s="23"/>
      <c r="C103" s="23"/>
      <c r="D103" s="24"/>
      <c r="E103" s="23"/>
      <c r="F103" s="23"/>
      <c r="G103" s="23"/>
      <c r="H103" s="23"/>
      <c r="I103" s="23"/>
      <c r="J103" s="23"/>
      <c r="K103" s="23"/>
      <c r="L103" s="25"/>
      <c r="M103" s="23"/>
      <c r="N103" s="23"/>
      <c r="O103" s="26"/>
      <c r="P103" s="27"/>
      <c r="Q103" s="28"/>
      <c r="R103" s="29"/>
      <c r="S103" s="30"/>
      <c r="T103" s="23"/>
      <c r="U103" s="23"/>
      <c r="V103" s="23"/>
      <c r="W103" s="23"/>
      <c r="X103" s="23"/>
      <c r="Y103" s="23"/>
      <c r="Z103" s="31"/>
      <c r="AA103" s="23"/>
      <c r="AB103" s="23"/>
      <c r="AC103" s="26"/>
    </row>
    <row r="104">
      <c r="A104" s="22"/>
      <c r="B104" s="23"/>
      <c r="C104" s="23"/>
      <c r="D104" s="24"/>
      <c r="E104" s="23"/>
      <c r="F104" s="23"/>
      <c r="G104" s="23"/>
      <c r="H104" s="23"/>
      <c r="I104" s="23"/>
      <c r="J104" s="23"/>
      <c r="K104" s="23"/>
      <c r="L104" s="25"/>
      <c r="M104" s="23"/>
      <c r="N104" s="23"/>
      <c r="O104" s="26"/>
      <c r="P104" s="27"/>
      <c r="Q104" s="28"/>
      <c r="R104" s="29"/>
      <c r="S104" s="30"/>
      <c r="T104" s="23"/>
      <c r="U104" s="23"/>
      <c r="V104" s="23"/>
      <c r="W104" s="23"/>
      <c r="X104" s="23"/>
      <c r="Y104" s="23"/>
      <c r="Z104" s="31"/>
      <c r="AA104" s="23"/>
      <c r="AB104" s="23"/>
      <c r="AC104" s="26"/>
    </row>
    <row r="105">
      <c r="A105" s="22"/>
      <c r="B105" s="23"/>
      <c r="C105" s="23"/>
      <c r="D105" s="24"/>
      <c r="E105" s="23"/>
      <c r="F105" s="23"/>
      <c r="G105" s="23"/>
      <c r="H105" s="23"/>
      <c r="I105" s="23"/>
      <c r="J105" s="23"/>
      <c r="K105" s="23"/>
      <c r="L105" s="25"/>
      <c r="M105" s="23"/>
      <c r="N105" s="23"/>
      <c r="O105" s="26"/>
      <c r="P105" s="27"/>
      <c r="Q105" s="28"/>
      <c r="R105" s="29"/>
      <c r="S105" s="30"/>
      <c r="T105" s="23"/>
      <c r="U105" s="23"/>
      <c r="V105" s="23"/>
      <c r="W105" s="23"/>
      <c r="X105" s="23"/>
      <c r="Y105" s="23"/>
      <c r="Z105" s="31"/>
      <c r="AA105" s="23"/>
      <c r="AB105" s="23"/>
      <c r="AC105" s="26"/>
    </row>
    <row r="106">
      <c r="A106" s="22"/>
      <c r="B106" s="23"/>
      <c r="C106" s="23"/>
      <c r="D106" s="24"/>
      <c r="E106" s="23"/>
      <c r="F106" s="23"/>
      <c r="G106" s="23"/>
      <c r="H106" s="23"/>
      <c r="I106" s="23"/>
      <c r="J106" s="23"/>
      <c r="K106" s="23"/>
      <c r="L106" s="25"/>
      <c r="M106" s="23"/>
      <c r="N106" s="23"/>
      <c r="O106" s="26"/>
      <c r="P106" s="27"/>
      <c r="Q106" s="28"/>
      <c r="R106" s="29"/>
      <c r="S106" s="30"/>
      <c r="T106" s="23"/>
      <c r="U106" s="23"/>
      <c r="V106" s="23"/>
      <c r="W106" s="23"/>
      <c r="X106" s="23"/>
      <c r="Y106" s="23"/>
      <c r="Z106" s="31"/>
      <c r="AA106" s="23"/>
      <c r="AB106" s="23"/>
      <c r="AC106" s="26"/>
    </row>
    <row r="107">
      <c r="A107" s="22"/>
      <c r="B107" s="23"/>
      <c r="C107" s="23"/>
      <c r="D107" s="24"/>
      <c r="E107" s="23"/>
      <c r="F107" s="23"/>
      <c r="G107" s="23"/>
      <c r="H107" s="23"/>
      <c r="I107" s="23"/>
      <c r="J107" s="23"/>
      <c r="K107" s="23"/>
      <c r="L107" s="25"/>
      <c r="M107" s="23"/>
      <c r="N107" s="23"/>
      <c r="O107" s="26"/>
      <c r="P107" s="27"/>
      <c r="Q107" s="28"/>
      <c r="R107" s="29"/>
      <c r="S107" s="30"/>
      <c r="T107" s="23"/>
      <c r="U107" s="23"/>
      <c r="V107" s="23"/>
      <c r="W107" s="23"/>
      <c r="X107" s="23"/>
      <c r="Y107" s="23"/>
      <c r="Z107" s="31"/>
      <c r="AA107" s="23"/>
      <c r="AB107" s="23"/>
      <c r="AC107" s="26"/>
    </row>
    <row r="108">
      <c r="A108" s="22"/>
      <c r="B108" s="23"/>
      <c r="C108" s="23"/>
      <c r="D108" s="24"/>
      <c r="E108" s="23"/>
      <c r="F108" s="23"/>
      <c r="G108" s="23"/>
      <c r="H108" s="23"/>
      <c r="I108" s="23"/>
      <c r="J108" s="23"/>
      <c r="K108" s="23"/>
      <c r="L108" s="25"/>
      <c r="M108" s="23"/>
      <c r="N108" s="23"/>
      <c r="O108" s="23"/>
      <c r="P108" s="23"/>
      <c r="Q108" s="28"/>
      <c r="R108" s="23"/>
      <c r="S108" s="23"/>
      <c r="T108" s="23"/>
      <c r="U108" s="23"/>
      <c r="V108" s="23"/>
      <c r="W108" s="23"/>
      <c r="X108" s="23"/>
      <c r="Y108" s="23"/>
      <c r="Z108" s="23"/>
      <c r="AA108" s="23"/>
      <c r="AB108" s="23"/>
      <c r="AC108" s="23"/>
    </row>
    <row r="109">
      <c r="A109" s="22"/>
      <c r="B109" s="23"/>
      <c r="C109" s="23"/>
      <c r="D109" s="24"/>
      <c r="E109" s="23"/>
      <c r="F109" s="23"/>
      <c r="G109" s="23"/>
      <c r="H109" s="23"/>
      <c r="I109" s="23"/>
      <c r="J109" s="23"/>
      <c r="K109" s="23"/>
      <c r="L109" s="25"/>
      <c r="M109" s="23"/>
      <c r="N109" s="23"/>
      <c r="O109" s="26"/>
      <c r="P109" s="27"/>
      <c r="Q109" s="28"/>
      <c r="R109" s="29"/>
      <c r="S109" s="30"/>
      <c r="T109" s="23"/>
      <c r="U109" s="23"/>
      <c r="V109" s="23"/>
      <c r="W109" s="23"/>
      <c r="X109" s="23"/>
      <c r="Y109" s="23"/>
      <c r="Z109" s="31"/>
      <c r="AA109" s="23"/>
      <c r="AB109" s="23"/>
      <c r="AC109" s="26"/>
    </row>
    <row r="110">
      <c r="A110" s="22"/>
      <c r="B110" s="23"/>
      <c r="C110" s="23"/>
      <c r="D110" s="24"/>
      <c r="E110" s="23"/>
      <c r="F110" s="23"/>
      <c r="G110" s="23"/>
      <c r="H110" s="23"/>
      <c r="I110" s="23"/>
      <c r="J110" s="23"/>
      <c r="K110" s="23"/>
      <c r="L110" s="25"/>
      <c r="M110" s="23"/>
      <c r="N110" s="23"/>
      <c r="O110" s="26"/>
      <c r="P110" s="27"/>
      <c r="Q110" s="28"/>
      <c r="R110" s="23"/>
      <c r="S110" s="30"/>
      <c r="T110" s="23"/>
      <c r="U110" s="23"/>
      <c r="V110" s="23"/>
      <c r="W110" s="23"/>
      <c r="X110" s="23"/>
      <c r="Y110" s="23"/>
      <c r="Z110" s="23"/>
      <c r="AA110" s="23"/>
      <c r="AB110" s="23"/>
      <c r="AC110" s="26"/>
    </row>
    <row r="111">
      <c r="A111" s="22"/>
      <c r="B111" s="23"/>
      <c r="C111" s="23"/>
      <c r="D111" s="24"/>
      <c r="E111" s="23"/>
      <c r="F111" s="23"/>
      <c r="G111" s="23"/>
      <c r="H111" s="23"/>
      <c r="I111" s="23"/>
      <c r="J111" s="23"/>
      <c r="K111" s="23"/>
      <c r="L111" s="25"/>
      <c r="M111" s="23"/>
      <c r="N111" s="23"/>
      <c r="O111" s="26"/>
      <c r="P111" s="27"/>
      <c r="Q111" s="28"/>
      <c r="R111" s="29"/>
      <c r="S111" s="30"/>
      <c r="T111" s="23"/>
      <c r="U111" s="23"/>
      <c r="V111" s="23"/>
      <c r="W111" s="23"/>
      <c r="X111" s="23"/>
      <c r="Y111" s="23"/>
      <c r="Z111" s="31"/>
      <c r="AA111" s="23"/>
      <c r="AB111" s="23"/>
      <c r="AC111" s="26"/>
    </row>
    <row r="112">
      <c r="A112" s="22"/>
      <c r="B112" s="23"/>
      <c r="C112" s="23"/>
      <c r="D112" s="24"/>
      <c r="E112" s="23"/>
      <c r="F112" s="23"/>
      <c r="G112" s="23"/>
      <c r="H112" s="23"/>
      <c r="I112" s="23"/>
      <c r="J112" s="23"/>
      <c r="K112" s="23"/>
      <c r="L112" s="25"/>
      <c r="M112" s="23"/>
      <c r="N112" s="23"/>
      <c r="O112" s="26"/>
      <c r="P112" s="27"/>
      <c r="Q112" s="28"/>
      <c r="R112" s="29"/>
      <c r="S112" s="30"/>
      <c r="T112" s="23"/>
      <c r="U112" s="23"/>
      <c r="V112" s="23"/>
      <c r="W112" s="23"/>
      <c r="X112" s="23"/>
      <c r="Y112" s="23"/>
      <c r="Z112" s="31"/>
      <c r="AA112" s="23"/>
      <c r="AB112" s="23"/>
      <c r="AC112" s="26"/>
    </row>
    <row r="113">
      <c r="A113" s="22"/>
      <c r="B113" s="23"/>
      <c r="C113" s="23"/>
      <c r="D113" s="24"/>
      <c r="E113" s="23"/>
      <c r="F113" s="23"/>
      <c r="G113" s="23"/>
      <c r="H113" s="23"/>
      <c r="I113" s="23"/>
      <c r="J113" s="23"/>
      <c r="K113" s="23"/>
      <c r="L113" s="25"/>
      <c r="M113" s="23"/>
      <c r="N113" s="23"/>
      <c r="O113" s="26"/>
      <c r="P113" s="27"/>
      <c r="Q113" s="28"/>
      <c r="R113" s="29"/>
      <c r="S113" s="30"/>
      <c r="T113" s="23"/>
      <c r="U113" s="23"/>
      <c r="V113" s="23"/>
      <c r="W113" s="23"/>
      <c r="X113" s="23"/>
      <c r="Y113" s="23"/>
      <c r="Z113" s="31"/>
      <c r="AA113" s="23"/>
      <c r="AB113" s="23"/>
      <c r="AC113" s="26"/>
    </row>
    <row r="114">
      <c r="A114" s="22"/>
      <c r="B114" s="23"/>
      <c r="C114" s="23"/>
      <c r="D114" s="24"/>
      <c r="E114" s="23"/>
      <c r="F114" s="23"/>
      <c r="G114" s="23"/>
      <c r="H114" s="23"/>
      <c r="I114" s="23"/>
      <c r="J114" s="23"/>
      <c r="K114" s="23"/>
      <c r="L114" s="25"/>
      <c r="M114" s="23"/>
      <c r="N114" s="23"/>
      <c r="O114" s="26"/>
      <c r="P114" s="27"/>
      <c r="Q114" s="28"/>
      <c r="R114" s="29"/>
      <c r="S114" s="30"/>
      <c r="T114" s="23"/>
      <c r="U114" s="23"/>
      <c r="V114" s="23"/>
      <c r="W114" s="23"/>
      <c r="X114" s="23"/>
      <c r="Y114" s="23"/>
      <c r="Z114" s="31"/>
      <c r="AA114" s="23"/>
      <c r="AB114" s="23"/>
      <c r="AC114" s="26"/>
    </row>
    <row r="115">
      <c r="A115" s="22"/>
      <c r="B115" s="23"/>
      <c r="C115" s="23"/>
      <c r="D115" s="24"/>
      <c r="E115" s="23"/>
      <c r="F115" s="23"/>
      <c r="G115" s="23"/>
      <c r="H115" s="23"/>
      <c r="I115" s="23"/>
      <c r="J115" s="23"/>
      <c r="K115" s="23"/>
      <c r="L115" s="25"/>
      <c r="M115" s="23"/>
      <c r="N115" s="23"/>
      <c r="O115" s="26"/>
      <c r="P115" s="27"/>
      <c r="Q115" s="28"/>
      <c r="R115" s="29"/>
      <c r="S115" s="30"/>
      <c r="T115" s="23"/>
      <c r="U115" s="23"/>
      <c r="V115" s="23"/>
      <c r="W115" s="23"/>
      <c r="X115" s="23"/>
      <c r="Y115" s="23"/>
      <c r="Z115" s="31"/>
      <c r="AA115" s="23"/>
      <c r="AB115" s="23"/>
      <c r="AC115" s="26"/>
    </row>
    <row r="116">
      <c r="A116" s="22"/>
      <c r="B116" s="23"/>
      <c r="C116" s="23"/>
      <c r="D116" s="24"/>
      <c r="E116" s="23"/>
      <c r="F116" s="23"/>
      <c r="G116" s="23"/>
      <c r="H116" s="23"/>
      <c r="I116" s="23"/>
      <c r="J116" s="23"/>
      <c r="K116" s="23"/>
      <c r="L116" s="25"/>
      <c r="M116" s="23"/>
      <c r="N116" s="23"/>
      <c r="O116" s="26"/>
      <c r="P116" s="27"/>
      <c r="Q116" s="28"/>
      <c r="R116" s="29"/>
      <c r="S116" s="30"/>
      <c r="T116" s="23"/>
      <c r="U116" s="23"/>
      <c r="V116" s="23"/>
      <c r="W116" s="23"/>
      <c r="X116" s="23"/>
      <c r="Y116" s="23"/>
      <c r="Z116" s="31"/>
      <c r="AA116" s="23"/>
      <c r="AB116" s="23"/>
      <c r="AC116" s="26"/>
    </row>
    <row r="117">
      <c r="A117" s="22"/>
      <c r="B117" s="23"/>
      <c r="C117" s="23"/>
      <c r="D117" s="24"/>
      <c r="E117" s="23"/>
      <c r="F117" s="23"/>
      <c r="G117" s="23"/>
      <c r="H117" s="23"/>
      <c r="I117" s="23"/>
      <c r="J117" s="23"/>
      <c r="K117" s="23"/>
      <c r="L117" s="25"/>
      <c r="M117" s="23"/>
      <c r="N117" s="23"/>
      <c r="O117" s="26"/>
      <c r="P117" s="27"/>
      <c r="Q117" s="28"/>
      <c r="R117" s="29"/>
      <c r="S117" s="30"/>
      <c r="T117" s="23"/>
      <c r="U117" s="23"/>
      <c r="V117" s="23"/>
      <c r="W117" s="23"/>
      <c r="X117" s="23"/>
      <c r="Y117" s="23"/>
      <c r="Z117" s="31"/>
      <c r="AA117" s="23"/>
      <c r="AB117" s="23"/>
      <c r="AC117" s="26"/>
    </row>
    <row r="118">
      <c r="A118" s="22" t="s">
        <v>3190</v>
      </c>
      <c r="B118" s="23" t="s">
        <v>3191</v>
      </c>
      <c r="C118" s="23" t="s">
        <v>3218</v>
      </c>
      <c r="D118" s="24" t="s">
        <v>3192</v>
      </c>
      <c r="E118" s="23" t="s">
        <v>3193</v>
      </c>
      <c r="F118" s="23" t="s">
        <v>3194</v>
      </c>
      <c r="G118" s="23" t="s">
        <v>3195</v>
      </c>
      <c r="H118" s="23" t="s">
        <v>3196</v>
      </c>
      <c r="I118" s="23" t="s">
        <v>3197</v>
      </c>
      <c r="J118" s="23" t="s">
        <v>3198</v>
      </c>
      <c r="K118" s="23" t="s">
        <v>3199</v>
      </c>
      <c r="L118" s="25" t="s">
        <v>3200</v>
      </c>
      <c r="M118" s="23" t="s">
        <v>3201</v>
      </c>
      <c r="N118" s="23" t="s">
        <v>3202</v>
      </c>
      <c r="O118" s="26" t="s">
        <v>3203</v>
      </c>
      <c r="P118" s="27" t="s">
        <v>3204</v>
      </c>
      <c r="Q118" s="28" t="s">
        <v>3205</v>
      </c>
      <c r="R118" s="29" t="s">
        <v>3206</v>
      </c>
      <c r="S118" s="30" t="s">
        <v>3207</v>
      </c>
      <c r="T118" s="23" t="s">
        <v>3208</v>
      </c>
      <c r="U118" s="23" t="s">
        <v>3209</v>
      </c>
      <c r="V118" s="23" t="s">
        <v>3210</v>
      </c>
      <c r="W118" s="23" t="s">
        <v>3211</v>
      </c>
      <c r="X118" s="23" t="s">
        <v>3212</v>
      </c>
      <c r="Y118" s="23" t="s">
        <v>3213</v>
      </c>
      <c r="Z118" s="31" t="s">
        <v>3214</v>
      </c>
      <c r="AA118" s="23" t="s">
        <v>3215</v>
      </c>
      <c r="AB118" s="23" t="s">
        <v>3216</v>
      </c>
      <c r="AC118" s="26" t="s">
        <v>3217</v>
      </c>
    </row>
    <row r="119">
      <c r="A119" s="22" t="s">
        <v>3219</v>
      </c>
      <c r="B119" s="23" t="s">
        <v>3220</v>
      </c>
      <c r="C119" s="23" t="s">
        <v>3244</v>
      </c>
      <c r="D119" s="24" t="s">
        <v>3221</v>
      </c>
      <c r="E119" s="23" t="s">
        <v>3222</v>
      </c>
      <c r="F119" s="23" t="s">
        <v>3223</v>
      </c>
      <c r="G119" s="23" t="s">
        <v>3224</v>
      </c>
      <c r="H119" s="23" t="s">
        <v>3225</v>
      </c>
      <c r="I119" s="23" t="s">
        <v>3226</v>
      </c>
      <c r="J119" s="23" t="s">
        <v>3227</v>
      </c>
      <c r="K119" s="23" t="s">
        <v>3228</v>
      </c>
      <c r="L119" s="25" t="s">
        <v>3229</v>
      </c>
      <c r="M119" s="23" t="s">
        <v>3230</v>
      </c>
      <c r="N119" s="23" t="s">
        <v>3225</v>
      </c>
      <c r="O119" s="26" t="s">
        <v>3231</v>
      </c>
      <c r="P119" s="27" t="s">
        <v>3232</v>
      </c>
      <c r="Q119" s="28" t="s">
        <v>3233</v>
      </c>
      <c r="R119" s="29" t="s">
        <v>3234</v>
      </c>
      <c r="S119" s="30" t="s">
        <v>3235</v>
      </c>
      <c r="T119" s="23" t="s">
        <v>3236</v>
      </c>
      <c r="U119" s="23" t="s">
        <v>3237</v>
      </c>
      <c r="V119" s="23" t="s">
        <v>3238</v>
      </c>
      <c r="W119" s="23" t="s">
        <v>3239</v>
      </c>
      <c r="X119" s="23" t="s">
        <v>3225</v>
      </c>
      <c r="Y119" s="23" t="s">
        <v>3240</v>
      </c>
      <c r="Z119" s="31" t="s">
        <v>3241</v>
      </c>
      <c r="AA119" s="23" t="s">
        <v>3237</v>
      </c>
      <c r="AB119" s="23" t="s">
        <v>3242</v>
      </c>
      <c r="AC119" s="26" t="s">
        <v>3243</v>
      </c>
    </row>
    <row r="120">
      <c r="A120" s="22"/>
      <c r="B120" s="23"/>
      <c r="C120" s="23"/>
      <c r="D120" s="24"/>
      <c r="E120" s="23"/>
      <c r="F120" s="23"/>
      <c r="G120" s="23"/>
      <c r="H120" s="23"/>
      <c r="I120" s="23"/>
      <c r="J120" s="23"/>
      <c r="K120" s="23"/>
      <c r="L120" s="25"/>
      <c r="M120" s="23"/>
      <c r="N120" s="23"/>
      <c r="O120" s="26"/>
      <c r="P120" s="27"/>
      <c r="Q120" s="28"/>
      <c r="R120" s="29"/>
      <c r="S120" s="30"/>
      <c r="T120" s="23"/>
      <c r="U120" s="23"/>
      <c r="V120" s="23"/>
      <c r="W120" s="23"/>
      <c r="X120" s="23"/>
      <c r="Y120" s="23"/>
      <c r="Z120" s="31"/>
      <c r="AA120" s="23"/>
      <c r="AB120" s="23"/>
      <c r="AC120" s="26"/>
    </row>
    <row r="121">
      <c r="A121" s="22"/>
      <c r="B121" s="23"/>
      <c r="C121" s="23"/>
      <c r="D121" s="24"/>
      <c r="E121" s="23"/>
      <c r="F121" s="23"/>
      <c r="G121" s="23"/>
      <c r="H121" s="23"/>
      <c r="I121" s="23"/>
      <c r="J121" s="23"/>
      <c r="K121" s="23"/>
      <c r="L121" s="25"/>
      <c r="M121" s="23"/>
      <c r="N121" s="23"/>
      <c r="O121" s="26"/>
      <c r="P121" s="27"/>
      <c r="Q121" s="28"/>
      <c r="R121" s="29"/>
      <c r="S121" s="30"/>
      <c r="T121" s="23"/>
      <c r="U121" s="23"/>
      <c r="V121" s="23"/>
      <c r="W121" s="23"/>
      <c r="X121" s="23"/>
      <c r="Y121" s="23"/>
      <c r="Z121" s="31"/>
      <c r="AA121" s="23"/>
      <c r="AB121" s="23"/>
      <c r="AC121" s="26"/>
    </row>
    <row r="122">
      <c r="A122" s="22"/>
      <c r="B122" s="23"/>
      <c r="C122" s="23"/>
      <c r="D122" s="24"/>
      <c r="E122" s="23"/>
      <c r="F122" s="23"/>
      <c r="G122" s="23"/>
      <c r="H122" s="23"/>
      <c r="I122" s="23"/>
      <c r="J122" s="23"/>
      <c r="K122" s="23"/>
      <c r="L122" s="25"/>
      <c r="M122" s="23"/>
      <c r="N122" s="23"/>
      <c r="O122" s="26"/>
      <c r="P122" s="27"/>
      <c r="Q122" s="28"/>
      <c r="R122" s="29"/>
      <c r="S122" s="30"/>
      <c r="T122" s="23"/>
      <c r="U122" s="23"/>
      <c r="V122" s="23"/>
      <c r="W122" s="23"/>
      <c r="X122" s="23"/>
      <c r="Y122" s="23"/>
      <c r="Z122" s="31"/>
      <c r="AA122" s="23"/>
      <c r="AB122" s="23"/>
      <c r="AC122" s="26"/>
    </row>
    <row r="123">
      <c r="A123" s="22"/>
      <c r="B123" s="23"/>
      <c r="C123" s="23"/>
      <c r="D123" s="24"/>
      <c r="E123" s="23"/>
      <c r="F123" s="23"/>
      <c r="G123" s="23"/>
      <c r="H123" s="23"/>
      <c r="I123" s="23"/>
      <c r="J123" s="23"/>
      <c r="K123" s="23"/>
      <c r="L123" s="25"/>
      <c r="M123" s="23"/>
      <c r="N123" s="23"/>
      <c r="O123" s="26"/>
      <c r="P123" s="27"/>
      <c r="Q123" s="28"/>
      <c r="R123" s="29"/>
      <c r="S123" s="30"/>
      <c r="T123" s="23"/>
      <c r="U123" s="23"/>
      <c r="V123" s="23"/>
      <c r="W123" s="23"/>
      <c r="X123" s="23"/>
      <c r="Y123" s="23"/>
      <c r="Z123" s="31"/>
      <c r="AA123" s="23"/>
      <c r="AB123" s="23"/>
      <c r="AC123" s="26"/>
    </row>
    <row r="124">
      <c r="A124" s="22"/>
      <c r="B124" s="23"/>
      <c r="C124" s="23"/>
      <c r="D124" s="24"/>
      <c r="E124" s="23"/>
      <c r="F124" s="23"/>
      <c r="G124" s="23"/>
      <c r="H124" s="23"/>
      <c r="I124" s="23"/>
      <c r="J124" s="23"/>
      <c r="K124" s="23"/>
      <c r="L124" s="25"/>
      <c r="M124" s="23"/>
      <c r="N124" s="23"/>
      <c r="O124" s="23"/>
      <c r="P124" s="27"/>
      <c r="Q124" s="28"/>
      <c r="R124" s="29"/>
      <c r="S124" s="30"/>
      <c r="T124" s="23"/>
      <c r="U124" s="23"/>
      <c r="V124" s="23"/>
      <c r="W124" s="23"/>
      <c r="X124" s="23"/>
      <c r="Y124" s="23"/>
      <c r="Z124" s="31"/>
      <c r="AA124" s="23"/>
      <c r="AB124" s="23"/>
      <c r="AC124" s="26"/>
    </row>
    <row r="125">
      <c r="A125" s="22"/>
      <c r="B125" s="23"/>
      <c r="C125" s="23"/>
      <c r="D125" s="24"/>
      <c r="E125" s="23"/>
      <c r="F125" s="23"/>
      <c r="G125" s="23"/>
      <c r="H125" s="23"/>
      <c r="I125" s="23"/>
      <c r="J125" s="23"/>
      <c r="K125" s="23"/>
      <c r="L125" s="25"/>
      <c r="M125" s="23"/>
      <c r="N125" s="23"/>
      <c r="O125" s="26"/>
      <c r="P125" s="27"/>
      <c r="Q125" s="28"/>
      <c r="R125" s="29"/>
      <c r="S125" s="30"/>
      <c r="T125" s="23"/>
      <c r="U125" s="23"/>
      <c r="V125" s="23"/>
      <c r="W125" s="23"/>
      <c r="X125" s="23"/>
      <c r="Y125" s="23"/>
      <c r="Z125" s="31"/>
      <c r="AA125" s="23"/>
      <c r="AB125" s="23"/>
      <c r="AC125" s="26"/>
    </row>
    <row r="126">
      <c r="A126" s="22"/>
      <c r="B126" s="23"/>
      <c r="C126" s="23"/>
      <c r="D126" s="24"/>
      <c r="E126" s="23"/>
      <c r="F126" s="23"/>
      <c r="G126" s="23"/>
      <c r="H126" s="23"/>
      <c r="I126" s="23"/>
      <c r="J126" s="23"/>
      <c r="K126" s="23"/>
      <c r="L126" s="25"/>
      <c r="M126" s="23"/>
      <c r="N126" s="23"/>
      <c r="O126" s="26"/>
      <c r="P126" s="27"/>
      <c r="Q126" s="28"/>
      <c r="R126" s="29"/>
      <c r="S126" s="30"/>
      <c r="T126" s="23"/>
      <c r="U126" s="23"/>
      <c r="V126" s="23"/>
      <c r="W126" s="23"/>
      <c r="X126" s="23"/>
      <c r="Y126" s="23"/>
      <c r="Z126" s="31"/>
      <c r="AA126" s="23"/>
      <c r="AB126" s="23"/>
      <c r="AC126" s="26"/>
    </row>
    <row r="127">
      <c r="A127" s="22"/>
      <c r="B127" s="23"/>
      <c r="C127" s="23"/>
      <c r="D127" s="24"/>
      <c r="E127" s="23"/>
      <c r="F127" s="23"/>
      <c r="G127" s="23"/>
      <c r="H127" s="23"/>
      <c r="I127" s="23"/>
      <c r="J127" s="23"/>
      <c r="K127" s="23"/>
      <c r="L127" s="25"/>
      <c r="M127" s="23"/>
      <c r="N127" s="23"/>
      <c r="O127" s="26"/>
      <c r="P127" s="27"/>
      <c r="Q127" s="28"/>
      <c r="R127" s="29"/>
      <c r="S127" s="30"/>
      <c r="T127" s="23"/>
      <c r="U127" s="23"/>
      <c r="V127" s="23"/>
      <c r="W127" s="23"/>
      <c r="X127" s="23"/>
      <c r="Y127" s="23"/>
      <c r="Z127" s="31"/>
      <c r="AA127" s="23"/>
      <c r="AB127" s="23"/>
      <c r="AC127" s="26"/>
    </row>
    <row r="128">
      <c r="A128" s="22"/>
      <c r="B128" s="23"/>
      <c r="C128" s="23"/>
      <c r="D128" s="24"/>
      <c r="E128" s="23"/>
      <c r="F128" s="23"/>
      <c r="G128" s="23"/>
      <c r="H128" s="23"/>
      <c r="I128" s="23"/>
      <c r="J128" s="23"/>
      <c r="K128" s="23"/>
      <c r="L128" s="25"/>
      <c r="M128" s="23"/>
      <c r="N128" s="23"/>
      <c r="O128" s="26"/>
      <c r="P128" s="27"/>
      <c r="Q128" s="28"/>
      <c r="R128" s="29"/>
      <c r="S128" s="23"/>
      <c r="T128" s="23"/>
      <c r="U128" s="23"/>
      <c r="V128" s="23"/>
      <c r="W128" s="23"/>
      <c r="X128" s="23"/>
      <c r="Y128" s="23"/>
      <c r="Z128" s="31"/>
      <c r="AA128" s="23"/>
      <c r="AB128" s="23"/>
      <c r="AC128" s="26"/>
    </row>
    <row r="129">
      <c r="A129" s="22"/>
      <c r="B129" s="23"/>
      <c r="C129" s="23"/>
      <c r="D129" s="24"/>
      <c r="E129" s="23"/>
      <c r="F129" s="23"/>
      <c r="G129" s="23"/>
      <c r="H129" s="23"/>
      <c r="I129" s="23"/>
      <c r="J129" s="23"/>
      <c r="K129" s="23"/>
      <c r="L129" s="25"/>
      <c r="M129" s="23"/>
      <c r="N129" s="23"/>
      <c r="O129" s="26"/>
      <c r="P129" s="27"/>
      <c r="Q129" s="28"/>
      <c r="R129" s="29"/>
      <c r="S129" s="30"/>
      <c r="T129" s="23"/>
      <c r="U129" s="23"/>
      <c r="V129" s="23"/>
      <c r="W129" s="23"/>
      <c r="X129" s="23"/>
      <c r="Y129" s="23"/>
      <c r="Z129" s="31"/>
      <c r="AA129" s="23"/>
      <c r="AB129" s="23"/>
      <c r="AC129" s="26"/>
    </row>
    <row r="130">
      <c r="A130" s="22"/>
      <c r="B130" s="23"/>
      <c r="C130" s="23"/>
      <c r="D130" s="24"/>
      <c r="E130" s="23"/>
      <c r="F130" s="23"/>
      <c r="G130" s="23"/>
      <c r="H130" s="23"/>
      <c r="I130" s="23"/>
      <c r="J130" s="23"/>
      <c r="K130" s="23"/>
      <c r="L130" s="25"/>
      <c r="M130" s="23"/>
      <c r="N130" s="23"/>
      <c r="O130" s="26"/>
      <c r="P130" s="27"/>
      <c r="Q130" s="28"/>
      <c r="R130" s="29"/>
      <c r="S130" s="30"/>
      <c r="T130" s="23"/>
      <c r="U130" s="23"/>
      <c r="V130" s="23"/>
      <c r="W130" s="23"/>
      <c r="X130" s="23"/>
      <c r="Y130" s="23"/>
      <c r="Z130" s="31"/>
      <c r="AA130" s="23"/>
      <c r="AB130" s="23"/>
      <c r="AC130" s="26"/>
    </row>
    <row r="131">
      <c r="A131" s="22"/>
      <c r="B131" s="23"/>
      <c r="C131" s="23"/>
      <c r="D131" s="24"/>
      <c r="E131" s="23"/>
      <c r="F131" s="23"/>
      <c r="G131" s="23"/>
      <c r="H131" s="23"/>
      <c r="I131" s="23"/>
      <c r="J131" s="23"/>
      <c r="K131" s="23"/>
      <c r="L131" s="25"/>
      <c r="M131" s="23"/>
      <c r="N131" s="23"/>
      <c r="O131" s="26"/>
      <c r="P131" s="27"/>
      <c r="Q131" s="28"/>
      <c r="R131" s="29"/>
      <c r="S131" s="30"/>
      <c r="T131" s="23"/>
      <c r="U131" s="23"/>
      <c r="V131" s="23"/>
      <c r="W131" s="23"/>
      <c r="X131" s="23"/>
      <c r="Y131" s="23"/>
      <c r="Z131" s="31"/>
      <c r="AA131" s="23"/>
      <c r="AB131" s="23"/>
      <c r="AC131" s="26"/>
    </row>
    <row r="132">
      <c r="A132" s="22"/>
      <c r="B132" s="23"/>
      <c r="C132" s="23"/>
      <c r="D132" s="24"/>
      <c r="E132" s="23"/>
      <c r="F132" s="23"/>
      <c r="G132" s="23"/>
      <c r="H132" s="23"/>
      <c r="I132" s="23"/>
      <c r="J132" s="23"/>
      <c r="K132" s="23"/>
      <c r="L132" s="25"/>
      <c r="M132" s="23"/>
      <c r="N132" s="23"/>
      <c r="O132" s="26"/>
      <c r="P132" s="27"/>
      <c r="Q132" s="28"/>
      <c r="R132" s="29"/>
      <c r="S132" s="30"/>
      <c r="T132" s="23"/>
      <c r="U132" s="23"/>
      <c r="V132" s="23"/>
      <c r="W132" s="23"/>
      <c r="X132" s="23"/>
      <c r="Y132" s="23"/>
      <c r="Z132" s="31"/>
      <c r="AA132" s="23"/>
      <c r="AB132" s="23"/>
      <c r="AC132" s="26"/>
    </row>
    <row r="133">
      <c r="A133" s="22"/>
      <c r="B133" s="23"/>
      <c r="C133" s="23"/>
      <c r="D133" s="24"/>
      <c r="E133" s="23"/>
      <c r="F133" s="23"/>
      <c r="G133" s="23"/>
      <c r="H133" s="23"/>
      <c r="I133" s="23"/>
      <c r="J133" s="23"/>
      <c r="K133" s="23"/>
      <c r="L133" s="25"/>
      <c r="M133" s="23"/>
      <c r="N133" s="23"/>
      <c r="O133" s="26"/>
      <c r="P133" s="27"/>
      <c r="Q133" s="28"/>
      <c r="R133" s="29"/>
      <c r="S133" s="30"/>
      <c r="T133" s="23"/>
      <c r="U133" s="23"/>
      <c r="V133" s="23"/>
      <c r="W133" s="23"/>
      <c r="X133" s="23"/>
      <c r="Y133" s="23"/>
      <c r="Z133" s="31"/>
      <c r="AA133" s="23"/>
      <c r="AB133" s="23"/>
      <c r="AC133" s="26"/>
    </row>
    <row r="134">
      <c r="A134" s="22"/>
      <c r="B134" s="23"/>
      <c r="C134" s="23"/>
      <c r="D134" s="24"/>
      <c r="E134" s="23"/>
      <c r="F134" s="23"/>
      <c r="G134" s="23"/>
      <c r="H134" s="23"/>
      <c r="I134" s="23"/>
      <c r="J134" s="23"/>
      <c r="K134" s="23"/>
      <c r="L134" s="25"/>
      <c r="M134" s="23"/>
      <c r="N134" s="23"/>
      <c r="O134" s="26"/>
      <c r="P134" s="27"/>
      <c r="Q134" s="28"/>
      <c r="R134" s="29"/>
      <c r="S134" s="30"/>
      <c r="T134" s="23"/>
      <c r="U134" s="23"/>
      <c r="V134" s="23"/>
      <c r="W134" s="23"/>
      <c r="X134" s="23"/>
      <c r="Y134" s="23"/>
      <c r="Z134" s="31"/>
      <c r="AA134" s="23"/>
      <c r="AB134" s="23"/>
      <c r="AC134" s="26"/>
    </row>
    <row r="135">
      <c r="A135" s="22"/>
      <c r="B135" s="23"/>
      <c r="C135" s="23"/>
      <c r="D135" s="24"/>
      <c r="E135" s="23"/>
      <c r="F135" s="23"/>
      <c r="G135" s="23"/>
      <c r="H135" s="23"/>
      <c r="I135" s="23"/>
      <c r="J135" s="23"/>
      <c r="K135" s="23"/>
      <c r="L135" s="25"/>
      <c r="M135" s="23"/>
      <c r="N135" s="23"/>
      <c r="O135" s="26"/>
      <c r="P135" s="27"/>
      <c r="Q135" s="28"/>
      <c r="R135" s="29"/>
      <c r="S135" s="30"/>
      <c r="T135" s="23"/>
      <c r="U135" s="23"/>
      <c r="V135" s="23"/>
      <c r="W135" s="23"/>
      <c r="X135" s="23"/>
      <c r="Y135" s="23"/>
      <c r="Z135" s="31"/>
      <c r="AA135" s="23"/>
      <c r="AB135" s="23"/>
      <c r="AC135" s="26"/>
    </row>
    <row r="136">
      <c r="A136" s="22"/>
      <c r="B136" s="23"/>
      <c r="C136" s="23"/>
      <c r="D136" s="24"/>
      <c r="E136" s="23"/>
      <c r="F136" s="23"/>
      <c r="G136" s="23"/>
      <c r="H136" s="23"/>
      <c r="I136" s="23"/>
      <c r="J136" s="23"/>
      <c r="K136" s="23"/>
      <c r="L136" s="25"/>
      <c r="M136" s="23"/>
      <c r="N136" s="23"/>
      <c r="O136" s="26"/>
      <c r="P136" s="27"/>
      <c r="Q136" s="28"/>
      <c r="R136" s="29"/>
      <c r="S136" s="23"/>
      <c r="T136" s="23"/>
      <c r="U136" s="23"/>
      <c r="V136" s="23"/>
      <c r="W136" s="23"/>
      <c r="X136" s="23"/>
      <c r="Y136" s="23"/>
      <c r="Z136" s="31"/>
      <c r="AA136" s="23"/>
      <c r="AB136" s="23"/>
      <c r="AC136" s="26"/>
    </row>
    <row r="137">
      <c r="A137" s="22"/>
      <c r="B137" s="23"/>
      <c r="C137" s="23"/>
      <c r="D137" s="24"/>
      <c r="E137" s="23"/>
      <c r="F137" s="23"/>
      <c r="G137" s="23"/>
      <c r="H137" s="23"/>
      <c r="I137" s="23"/>
      <c r="J137" s="23"/>
      <c r="K137" s="23"/>
      <c r="L137" s="25"/>
      <c r="M137" s="23"/>
      <c r="N137" s="23"/>
      <c r="O137" s="26"/>
      <c r="P137" s="27"/>
      <c r="Q137" s="28"/>
      <c r="R137" s="29"/>
      <c r="S137" s="30"/>
      <c r="T137" s="23"/>
      <c r="U137" s="23"/>
      <c r="V137" s="23"/>
      <c r="W137" s="23"/>
      <c r="X137" s="23"/>
      <c r="Y137" s="23"/>
      <c r="Z137" s="31"/>
      <c r="AA137" s="23"/>
      <c r="AB137" s="23"/>
      <c r="AC137" s="26"/>
    </row>
    <row r="138">
      <c r="A138" s="22"/>
      <c r="B138" s="23"/>
      <c r="C138" s="23"/>
      <c r="D138" s="24"/>
      <c r="E138" s="23"/>
      <c r="F138" s="23"/>
      <c r="G138" s="23"/>
      <c r="H138" s="23"/>
      <c r="I138" s="23"/>
      <c r="J138" s="23"/>
      <c r="K138" s="23"/>
      <c r="L138" s="25"/>
      <c r="M138" s="23"/>
      <c r="N138" s="23"/>
      <c r="O138" s="26"/>
      <c r="P138" s="27"/>
      <c r="Q138" s="28"/>
      <c r="R138" s="29"/>
      <c r="S138" s="30"/>
      <c r="T138" s="23"/>
      <c r="U138" s="23"/>
      <c r="V138" s="23"/>
      <c r="W138" s="23"/>
      <c r="X138" s="23"/>
      <c r="Y138" s="23"/>
      <c r="Z138" s="31"/>
      <c r="AA138" s="23"/>
      <c r="AB138" s="23"/>
      <c r="AC138" s="26"/>
    </row>
    <row r="139">
      <c r="A139" s="22"/>
      <c r="B139" s="23"/>
      <c r="C139" s="23"/>
      <c r="D139" s="24"/>
      <c r="E139" s="23"/>
      <c r="F139" s="23"/>
      <c r="G139" s="23"/>
      <c r="H139" s="23"/>
      <c r="I139" s="23"/>
      <c r="J139" s="23"/>
      <c r="K139" s="23"/>
      <c r="L139" s="25"/>
      <c r="M139" s="23"/>
      <c r="N139" s="23"/>
      <c r="O139" s="26"/>
      <c r="P139" s="27"/>
      <c r="Q139" s="28"/>
      <c r="R139" s="29"/>
      <c r="S139" s="30"/>
      <c r="T139" s="23"/>
      <c r="U139" s="23"/>
      <c r="V139" s="23"/>
      <c r="W139" s="23"/>
      <c r="X139" s="23"/>
      <c r="Y139" s="23"/>
      <c r="Z139" s="31"/>
      <c r="AA139" s="23"/>
      <c r="AB139" s="23"/>
      <c r="AC139" s="26"/>
    </row>
    <row r="140">
      <c r="A140" s="22"/>
      <c r="B140" s="23"/>
      <c r="C140" s="23"/>
      <c r="D140" s="24"/>
      <c r="E140" s="23"/>
      <c r="F140" s="23"/>
      <c r="G140" s="23"/>
      <c r="H140" s="23"/>
      <c r="I140" s="23"/>
      <c r="J140" s="23"/>
      <c r="K140" s="23"/>
      <c r="L140" s="25"/>
      <c r="M140" s="23"/>
      <c r="N140" s="23"/>
      <c r="O140" s="26"/>
      <c r="P140" s="27"/>
      <c r="Q140" s="28"/>
      <c r="R140" s="29"/>
      <c r="S140" s="30"/>
      <c r="T140" s="23"/>
      <c r="U140" s="23"/>
      <c r="V140" s="23"/>
      <c r="W140" s="23"/>
      <c r="X140" s="23"/>
      <c r="Y140" s="23"/>
      <c r="Z140" s="31"/>
      <c r="AA140" s="23"/>
      <c r="AB140" s="23"/>
      <c r="AC140" s="26"/>
    </row>
    <row r="141">
      <c r="A141" s="22"/>
      <c r="B141" s="23"/>
      <c r="C141" s="23"/>
      <c r="D141" s="24"/>
      <c r="E141" s="23"/>
      <c r="F141" s="23"/>
      <c r="G141" s="23"/>
      <c r="H141" s="23"/>
      <c r="I141" s="23"/>
      <c r="J141" s="23"/>
      <c r="K141" s="23"/>
      <c r="L141" s="25"/>
      <c r="M141" s="23"/>
      <c r="N141" s="23"/>
      <c r="O141" s="26"/>
      <c r="P141" s="27"/>
      <c r="Q141" s="28"/>
      <c r="R141" s="29"/>
      <c r="S141" s="30"/>
      <c r="T141" s="23"/>
      <c r="U141" s="23"/>
      <c r="V141" s="23"/>
      <c r="W141" s="23"/>
      <c r="X141" s="23"/>
      <c r="Y141" s="23"/>
      <c r="Z141" s="31"/>
      <c r="AA141" s="23"/>
      <c r="AB141" s="23"/>
      <c r="AC141" s="26"/>
    </row>
    <row r="142">
      <c r="A142" s="22"/>
      <c r="B142" s="23"/>
      <c r="C142" s="23"/>
      <c r="D142" s="24"/>
      <c r="E142" s="23"/>
      <c r="F142" s="23"/>
      <c r="G142" s="23"/>
      <c r="H142" s="23"/>
      <c r="I142" s="23"/>
      <c r="J142" s="23"/>
      <c r="K142" s="23"/>
      <c r="L142" s="25"/>
      <c r="M142" s="23"/>
      <c r="N142" s="23"/>
      <c r="O142" s="26"/>
      <c r="P142" s="27"/>
      <c r="Q142" s="28"/>
      <c r="R142" s="29"/>
      <c r="S142" s="30"/>
      <c r="T142" s="23"/>
      <c r="U142" s="23"/>
      <c r="V142" s="23"/>
      <c r="W142" s="23"/>
      <c r="X142" s="23"/>
      <c r="Y142" s="23"/>
      <c r="Z142" s="31"/>
      <c r="AA142" s="23"/>
      <c r="AB142" s="23"/>
      <c r="AC142" s="26"/>
    </row>
    <row r="143">
      <c r="A143" s="22"/>
      <c r="B143" s="23"/>
      <c r="C143" s="23"/>
      <c r="D143" s="24"/>
      <c r="E143" s="23"/>
      <c r="F143" s="23"/>
      <c r="G143" s="23"/>
      <c r="H143" s="23"/>
      <c r="I143" s="23"/>
      <c r="J143" s="23"/>
      <c r="K143" s="23"/>
      <c r="L143" s="25"/>
      <c r="M143" s="23"/>
      <c r="N143" s="23"/>
      <c r="O143" s="26"/>
      <c r="P143" s="27"/>
      <c r="Q143" s="28"/>
      <c r="R143" s="29"/>
      <c r="S143" s="30"/>
      <c r="T143" s="23"/>
      <c r="U143" s="23"/>
      <c r="V143" s="23"/>
      <c r="W143" s="23"/>
      <c r="X143" s="23"/>
      <c r="Y143" s="23"/>
      <c r="Z143" s="31"/>
      <c r="AA143" s="23"/>
      <c r="AB143" s="23"/>
      <c r="AC143" s="26"/>
    </row>
    <row r="144">
      <c r="A144" s="22"/>
      <c r="B144" s="23"/>
      <c r="C144" s="23"/>
      <c r="D144" s="24"/>
      <c r="E144" s="23"/>
      <c r="F144" s="23"/>
      <c r="G144" s="23"/>
      <c r="H144" s="23"/>
      <c r="I144" s="23"/>
      <c r="J144" s="23"/>
      <c r="K144" s="23"/>
      <c r="L144" s="25"/>
      <c r="M144" s="23"/>
      <c r="N144" s="23"/>
      <c r="O144" s="26"/>
      <c r="P144" s="27"/>
      <c r="Q144" s="28"/>
      <c r="R144" s="29"/>
      <c r="S144" s="30"/>
      <c r="T144" s="23"/>
      <c r="U144" s="23"/>
      <c r="V144" s="23"/>
      <c r="W144" s="23"/>
      <c r="X144" s="23"/>
      <c r="Y144" s="23"/>
      <c r="Z144" s="31"/>
      <c r="AA144" s="23"/>
      <c r="AB144" s="23"/>
      <c r="AC144" s="26"/>
    </row>
    <row r="145">
      <c r="A145" s="22"/>
      <c r="B145" s="23"/>
      <c r="C145" s="23"/>
      <c r="D145" s="24"/>
      <c r="E145" s="23"/>
      <c r="F145" s="23"/>
      <c r="G145" s="23"/>
      <c r="H145" s="23"/>
      <c r="I145" s="23"/>
      <c r="J145" s="23"/>
      <c r="K145" s="23"/>
      <c r="L145" s="25"/>
      <c r="M145" s="23"/>
      <c r="N145" s="23"/>
      <c r="O145" s="23"/>
      <c r="P145" s="27"/>
      <c r="Q145" s="28"/>
      <c r="R145" s="29"/>
      <c r="S145" s="23"/>
      <c r="T145" s="23"/>
      <c r="U145" s="23"/>
      <c r="V145" s="23"/>
      <c r="W145" s="23"/>
      <c r="X145" s="23"/>
      <c r="Y145" s="23"/>
      <c r="Z145" s="31"/>
      <c r="AA145" s="23"/>
      <c r="AB145" s="23"/>
      <c r="AC145" s="26"/>
    </row>
    <row r="146">
      <c r="A146" s="22"/>
      <c r="B146" s="23"/>
      <c r="C146" s="23"/>
      <c r="D146" s="24"/>
      <c r="E146" s="23"/>
      <c r="F146" s="23"/>
      <c r="G146" s="23"/>
      <c r="H146" s="23"/>
      <c r="I146" s="23"/>
      <c r="J146" s="23"/>
      <c r="K146" s="23"/>
      <c r="L146" s="25"/>
      <c r="M146" s="23"/>
      <c r="N146" s="23"/>
      <c r="O146" s="26"/>
      <c r="P146" s="27"/>
      <c r="Q146" s="28"/>
      <c r="R146" s="29"/>
      <c r="S146" s="30"/>
      <c r="T146" s="23"/>
      <c r="U146" s="23"/>
      <c r="V146" s="23"/>
      <c r="W146" s="23"/>
      <c r="X146" s="23"/>
      <c r="Y146" s="23"/>
      <c r="Z146" s="31"/>
      <c r="AA146" s="23"/>
      <c r="AB146" s="23"/>
      <c r="AC146" s="26"/>
    </row>
    <row r="147">
      <c r="A147" s="22"/>
      <c r="B147" s="23"/>
      <c r="C147" s="23"/>
      <c r="D147" s="24"/>
      <c r="E147" s="23"/>
      <c r="F147" s="23"/>
      <c r="G147" s="23"/>
      <c r="H147" s="23"/>
      <c r="I147" s="23"/>
      <c r="J147" s="23"/>
      <c r="K147" s="23"/>
      <c r="L147" s="25"/>
      <c r="M147" s="23"/>
      <c r="N147" s="23"/>
      <c r="O147" s="26"/>
      <c r="P147" s="27"/>
      <c r="Q147" s="28"/>
      <c r="R147" s="29"/>
      <c r="S147" s="30"/>
      <c r="T147" s="23"/>
      <c r="U147" s="23"/>
      <c r="V147" s="23"/>
      <c r="W147" s="23"/>
      <c r="X147" s="23"/>
      <c r="Y147" s="23"/>
      <c r="Z147" s="31"/>
      <c r="AA147" s="23"/>
      <c r="AB147" s="23"/>
      <c r="AC147" s="26"/>
    </row>
    <row r="148">
      <c r="A148" s="22"/>
      <c r="B148" s="23"/>
      <c r="C148" s="23"/>
      <c r="D148" s="24"/>
      <c r="E148" s="23"/>
      <c r="F148" s="23"/>
      <c r="G148" s="23"/>
      <c r="H148" s="23"/>
      <c r="I148" s="23"/>
      <c r="J148" s="23"/>
      <c r="K148" s="23"/>
      <c r="L148" s="25"/>
      <c r="M148" s="23"/>
      <c r="N148" s="23"/>
      <c r="O148" s="26"/>
      <c r="P148" s="27"/>
      <c r="Q148" s="28"/>
      <c r="R148" s="29"/>
      <c r="S148" s="30"/>
      <c r="T148" s="23"/>
      <c r="U148" s="23"/>
      <c r="V148" s="23"/>
      <c r="W148" s="23"/>
      <c r="X148" s="23"/>
      <c r="Y148" s="23"/>
      <c r="Z148" s="31"/>
      <c r="AA148" s="23"/>
      <c r="AB148" s="23"/>
      <c r="AC148" s="26"/>
    </row>
    <row r="149">
      <c r="A149" s="22"/>
      <c r="B149" s="23"/>
      <c r="C149" s="23"/>
      <c r="D149" s="24"/>
      <c r="E149" s="23"/>
      <c r="F149" s="23"/>
      <c r="G149" s="23"/>
      <c r="H149" s="23"/>
      <c r="I149" s="23"/>
      <c r="J149" s="23"/>
      <c r="K149" s="23"/>
      <c r="L149" s="25"/>
      <c r="M149" s="23"/>
      <c r="N149" s="23"/>
      <c r="O149" s="26"/>
      <c r="P149" s="27"/>
      <c r="Q149" s="28"/>
      <c r="R149" s="29"/>
      <c r="S149" s="30"/>
      <c r="T149" s="23"/>
      <c r="U149" s="23"/>
      <c r="V149" s="23"/>
      <c r="W149" s="23"/>
      <c r="X149" s="23"/>
      <c r="Y149" s="23"/>
      <c r="Z149" s="31"/>
      <c r="AA149" s="23"/>
      <c r="AB149" s="23"/>
      <c r="AC149" s="26"/>
    </row>
    <row r="150">
      <c r="A150" s="22"/>
      <c r="B150" s="23"/>
      <c r="C150" s="23"/>
      <c r="D150" s="24"/>
      <c r="E150" s="23"/>
      <c r="F150" s="23"/>
      <c r="G150" s="23"/>
      <c r="H150" s="23"/>
      <c r="I150" s="23"/>
      <c r="J150" s="23"/>
      <c r="K150" s="23"/>
      <c r="L150" s="25"/>
      <c r="M150" s="23"/>
      <c r="N150" s="23"/>
      <c r="O150" s="26"/>
      <c r="P150" s="27"/>
      <c r="Q150" s="28"/>
      <c r="R150" s="29"/>
      <c r="S150" s="30"/>
      <c r="T150" s="23"/>
      <c r="U150" s="23"/>
      <c r="V150" s="23"/>
      <c r="W150" s="23"/>
      <c r="X150" s="23"/>
      <c r="Y150" s="23"/>
      <c r="Z150" s="31"/>
      <c r="AA150" s="23"/>
      <c r="AB150" s="23"/>
      <c r="AC150" s="26"/>
    </row>
    <row r="151">
      <c r="A151" s="22"/>
      <c r="B151" s="23"/>
      <c r="C151" s="23"/>
      <c r="D151" s="24"/>
      <c r="E151" s="23"/>
      <c r="F151" s="23"/>
      <c r="G151" s="23"/>
      <c r="H151" s="23"/>
      <c r="I151" s="23"/>
      <c r="J151" s="23"/>
      <c r="K151" s="23"/>
      <c r="L151" s="25"/>
      <c r="M151" s="23"/>
      <c r="N151" s="23"/>
      <c r="O151" s="26"/>
      <c r="P151" s="27"/>
      <c r="Q151" s="28"/>
      <c r="R151" s="29"/>
      <c r="S151" s="23"/>
      <c r="T151" s="23"/>
      <c r="U151" s="23"/>
      <c r="V151" s="23"/>
      <c r="W151" s="23"/>
      <c r="X151" s="23"/>
      <c r="Y151" s="23"/>
      <c r="Z151" s="31"/>
      <c r="AA151" s="23"/>
      <c r="AB151" s="23"/>
      <c r="AC151" s="26"/>
    </row>
    <row r="152">
      <c r="A152" s="22" t="s">
        <v>4053</v>
      </c>
      <c r="B152" s="23" t="s">
        <v>1186</v>
      </c>
      <c r="C152" s="23" t="s">
        <v>1210</v>
      </c>
      <c r="D152" s="24" t="s">
        <v>1187</v>
      </c>
      <c r="E152" s="23" t="s">
        <v>1188</v>
      </c>
      <c r="F152" s="23" t="s">
        <v>1189</v>
      </c>
      <c r="G152" s="23" t="s">
        <v>1190</v>
      </c>
      <c r="H152" s="23" t="s">
        <v>1191</v>
      </c>
      <c r="I152" s="23" t="s">
        <v>1192</v>
      </c>
      <c r="J152" s="23" t="s">
        <v>1193</v>
      </c>
      <c r="K152" s="23" t="s">
        <v>1194</v>
      </c>
      <c r="L152" s="25" t="s">
        <v>1195</v>
      </c>
      <c r="M152" s="23" t="s">
        <v>1196</v>
      </c>
      <c r="N152" s="23" t="s">
        <v>1197</v>
      </c>
      <c r="O152" s="26" t="s">
        <v>1198</v>
      </c>
      <c r="P152" s="27" t="s">
        <v>1199</v>
      </c>
      <c r="Q152" s="28" t="s">
        <v>1200</v>
      </c>
      <c r="R152" s="23" t="s">
        <v>1201</v>
      </c>
      <c r="S152" s="30" t="s">
        <v>1202</v>
      </c>
      <c r="T152" s="23" t="s">
        <v>1203</v>
      </c>
      <c r="U152" s="23" t="s">
        <v>1196</v>
      </c>
      <c r="V152" s="23" t="s">
        <v>1204</v>
      </c>
      <c r="W152" s="23" t="s">
        <v>1205</v>
      </c>
      <c r="X152" s="23" t="s">
        <v>1191</v>
      </c>
      <c r="Y152" s="23" t="s">
        <v>1206</v>
      </c>
      <c r="Z152" s="31" t="s">
        <v>1207</v>
      </c>
      <c r="AA152" s="23" t="s">
        <v>1208</v>
      </c>
      <c r="AB152" s="23" t="s">
        <v>1206</v>
      </c>
      <c r="AC152" s="26" t="s">
        <v>1209</v>
      </c>
    </row>
    <row r="153">
      <c r="A153" s="22" t="s">
        <v>4054</v>
      </c>
      <c r="B153" s="23" t="s">
        <v>4055</v>
      </c>
      <c r="C153" s="23" t="s">
        <v>4082</v>
      </c>
      <c r="D153" s="24" t="s">
        <v>4056</v>
      </c>
      <c r="E153" s="23" t="s">
        <v>4057</v>
      </c>
      <c r="F153" s="23" t="s">
        <v>4058</v>
      </c>
      <c r="G153" s="23" t="s">
        <v>4059</v>
      </c>
      <c r="H153" s="23" t="s">
        <v>4060</v>
      </c>
      <c r="I153" s="23" t="s">
        <v>4061</v>
      </c>
      <c r="J153" s="23" t="s">
        <v>4062</v>
      </c>
      <c r="K153" s="23" t="s">
        <v>4063</v>
      </c>
      <c r="L153" s="25" t="s">
        <v>4064</v>
      </c>
      <c r="M153" s="23" t="s">
        <v>4065</v>
      </c>
      <c r="N153" s="23" t="s">
        <v>4066</v>
      </c>
      <c r="O153" s="26" t="s">
        <v>4067</v>
      </c>
      <c r="P153" s="27" t="s">
        <v>4068</v>
      </c>
      <c r="Q153" s="28" t="s">
        <v>4069</v>
      </c>
      <c r="R153" s="29" t="s">
        <v>4070</v>
      </c>
      <c r="S153" s="30" t="s">
        <v>4071</v>
      </c>
      <c r="T153" s="23" t="s">
        <v>4072</v>
      </c>
      <c r="U153" s="23" t="s">
        <v>4073</v>
      </c>
      <c r="V153" s="23" t="s">
        <v>4074</v>
      </c>
      <c r="W153" s="23" t="s">
        <v>4075</v>
      </c>
      <c r="X153" s="23" t="s">
        <v>4076</v>
      </c>
      <c r="Y153" s="23" t="s">
        <v>4077</v>
      </c>
      <c r="Z153" s="31" t="s">
        <v>4078</v>
      </c>
      <c r="AA153" s="23" t="s">
        <v>4079</v>
      </c>
      <c r="AB153" s="23" t="s">
        <v>4080</v>
      </c>
      <c r="AC153" s="26" t="s">
        <v>4081</v>
      </c>
    </row>
    <row r="154">
      <c r="A154" s="22" t="s">
        <v>4083</v>
      </c>
      <c r="B154" s="23" t="s">
        <v>4084</v>
      </c>
      <c r="C154" s="23" t="s">
        <v>4111</v>
      </c>
      <c r="D154" s="24" t="s">
        <v>4085</v>
      </c>
      <c r="E154" s="23" t="s">
        <v>4086</v>
      </c>
      <c r="F154" s="23" t="s">
        <v>4087</v>
      </c>
      <c r="G154" s="23" t="s">
        <v>4088</v>
      </c>
      <c r="H154" s="23" t="s">
        <v>4089</v>
      </c>
      <c r="I154" s="23" t="s">
        <v>4090</v>
      </c>
      <c r="J154" s="23" t="s">
        <v>4091</v>
      </c>
      <c r="K154" s="23" t="s">
        <v>4092</v>
      </c>
      <c r="L154" s="25" t="s">
        <v>4093</v>
      </c>
      <c r="M154" s="23" t="s">
        <v>4094</v>
      </c>
      <c r="N154" s="23" t="s">
        <v>4095</v>
      </c>
      <c r="O154" s="26" t="s">
        <v>4096</v>
      </c>
      <c r="P154" s="27" t="s">
        <v>4097</v>
      </c>
      <c r="Q154" s="28" t="s">
        <v>4098</v>
      </c>
      <c r="R154" s="29" t="s">
        <v>4099</v>
      </c>
      <c r="S154" s="30" t="s">
        <v>4100</v>
      </c>
      <c r="T154" s="23" t="s">
        <v>4101</v>
      </c>
      <c r="U154" s="23" t="s">
        <v>4102</v>
      </c>
      <c r="V154" s="23" t="s">
        <v>4103</v>
      </c>
      <c r="W154" s="23" t="s">
        <v>4104</v>
      </c>
      <c r="X154" s="23" t="s">
        <v>4105</v>
      </c>
      <c r="Y154" s="23" t="s">
        <v>4106</v>
      </c>
      <c r="Z154" s="31" t="s">
        <v>4107</v>
      </c>
      <c r="AA154" s="23" t="s">
        <v>4108</v>
      </c>
      <c r="AB154" s="23" t="s">
        <v>4109</v>
      </c>
      <c r="AC154" s="26" t="s">
        <v>4110</v>
      </c>
    </row>
    <row r="155">
      <c r="A155" s="22" t="s">
        <v>4112</v>
      </c>
      <c r="B155" s="23" t="s">
        <v>4113</v>
      </c>
      <c r="C155" s="23" t="s">
        <v>4140</v>
      </c>
      <c r="D155" s="24" t="s">
        <v>4114</v>
      </c>
      <c r="E155" s="23" t="s">
        <v>4115</v>
      </c>
      <c r="F155" s="23" t="s">
        <v>4116</v>
      </c>
      <c r="G155" s="23" t="s">
        <v>4117</v>
      </c>
      <c r="H155" s="23" t="s">
        <v>4118</v>
      </c>
      <c r="I155" s="23" t="s">
        <v>4119</v>
      </c>
      <c r="J155" s="23" t="s">
        <v>4120</v>
      </c>
      <c r="K155" s="23" t="s">
        <v>4121</v>
      </c>
      <c r="L155" s="25" t="s">
        <v>4122</v>
      </c>
      <c r="M155" s="23" t="s">
        <v>4123</v>
      </c>
      <c r="N155" s="23" t="s">
        <v>4124</v>
      </c>
      <c r="O155" s="26" t="s">
        <v>4125</v>
      </c>
      <c r="P155" s="27" t="s">
        <v>4126</v>
      </c>
      <c r="Q155" s="28" t="s">
        <v>4127</v>
      </c>
      <c r="R155" s="29" t="s">
        <v>4128</v>
      </c>
      <c r="S155" s="30" t="s">
        <v>4129</v>
      </c>
      <c r="T155" s="23" t="s">
        <v>4130</v>
      </c>
      <c r="U155" s="23" t="s">
        <v>4131</v>
      </c>
      <c r="V155" s="23" t="s">
        <v>4132</v>
      </c>
      <c r="W155" s="23" t="s">
        <v>4133</v>
      </c>
      <c r="X155" s="23" t="s">
        <v>4134</v>
      </c>
      <c r="Y155" s="23" t="s">
        <v>4135</v>
      </c>
      <c r="Z155" s="31" t="s">
        <v>4136</v>
      </c>
      <c r="AA155" s="23" t="s">
        <v>4137</v>
      </c>
      <c r="AB155" s="23" t="s">
        <v>4138</v>
      </c>
      <c r="AC155" s="26" t="s">
        <v>4139</v>
      </c>
    </row>
    <row r="156">
      <c r="A156" s="22" t="s">
        <v>4141</v>
      </c>
      <c r="B156" s="23" t="s">
        <v>1072</v>
      </c>
      <c r="C156" s="23" t="s">
        <v>1099</v>
      </c>
      <c r="D156" s="24" t="s">
        <v>1073</v>
      </c>
      <c r="E156" s="23" t="s">
        <v>1074</v>
      </c>
      <c r="F156" s="23" t="s">
        <v>1075</v>
      </c>
      <c r="G156" s="23" t="s">
        <v>1076</v>
      </c>
      <c r="H156" s="23" t="s">
        <v>1077</v>
      </c>
      <c r="I156" s="23" t="s">
        <v>1078</v>
      </c>
      <c r="J156" s="23" t="s">
        <v>1079</v>
      </c>
      <c r="K156" s="23" t="s">
        <v>1080</v>
      </c>
      <c r="L156" s="25" t="s">
        <v>1081</v>
      </c>
      <c r="M156" s="23" t="s">
        <v>1082</v>
      </c>
      <c r="N156" s="23" t="s">
        <v>1083</v>
      </c>
      <c r="O156" s="26" t="s">
        <v>1084</v>
      </c>
      <c r="P156" s="27" t="s">
        <v>1085</v>
      </c>
      <c r="Q156" s="28" t="s">
        <v>1086</v>
      </c>
      <c r="R156" s="29" t="s">
        <v>1087</v>
      </c>
      <c r="S156" s="30" t="s">
        <v>1088</v>
      </c>
      <c r="T156" s="23" t="s">
        <v>1089</v>
      </c>
      <c r="U156" s="23" t="s">
        <v>1090</v>
      </c>
      <c r="V156" s="23" t="s">
        <v>1091</v>
      </c>
      <c r="W156" s="23" t="s">
        <v>1092</v>
      </c>
      <c r="X156" s="23" t="s">
        <v>1093</v>
      </c>
      <c r="Y156" s="23" t="s">
        <v>1094</v>
      </c>
      <c r="Z156" s="31" t="s">
        <v>1095</v>
      </c>
      <c r="AA156" s="23" t="s">
        <v>1096</v>
      </c>
      <c r="AB156" s="23" t="s">
        <v>1097</v>
      </c>
      <c r="AC156" s="26" t="s">
        <v>1098</v>
      </c>
    </row>
    <row r="157">
      <c r="A157" s="22" t="s">
        <v>4142</v>
      </c>
      <c r="B157" s="23" t="s">
        <v>1072</v>
      </c>
      <c r="C157" s="23" t="s">
        <v>1099</v>
      </c>
      <c r="D157" s="24" t="s">
        <v>1073</v>
      </c>
      <c r="E157" s="23" t="s">
        <v>1074</v>
      </c>
      <c r="F157" s="23" t="s">
        <v>1075</v>
      </c>
      <c r="G157" s="23" t="s">
        <v>1076</v>
      </c>
      <c r="H157" s="23" t="s">
        <v>1077</v>
      </c>
      <c r="I157" s="23" t="s">
        <v>1078</v>
      </c>
      <c r="J157" s="23" t="s">
        <v>1079</v>
      </c>
      <c r="K157" s="23" t="s">
        <v>1080</v>
      </c>
      <c r="L157" s="25" t="s">
        <v>1081</v>
      </c>
      <c r="M157" s="23" t="s">
        <v>1082</v>
      </c>
      <c r="N157" s="23" t="s">
        <v>1083</v>
      </c>
      <c r="O157" s="26" t="s">
        <v>1084</v>
      </c>
      <c r="P157" s="27" t="s">
        <v>1085</v>
      </c>
      <c r="Q157" s="28" t="s">
        <v>1086</v>
      </c>
      <c r="R157" s="29" t="s">
        <v>1087</v>
      </c>
      <c r="S157" s="30" t="s">
        <v>1088</v>
      </c>
      <c r="T157" s="23" t="s">
        <v>1089</v>
      </c>
      <c r="U157" s="23" t="s">
        <v>1090</v>
      </c>
      <c r="V157" s="23" t="s">
        <v>1091</v>
      </c>
      <c r="W157" s="23" t="s">
        <v>1092</v>
      </c>
      <c r="X157" s="23" t="s">
        <v>1093</v>
      </c>
      <c r="Y157" s="23" t="s">
        <v>1094</v>
      </c>
      <c r="Z157" s="31" t="s">
        <v>1095</v>
      </c>
      <c r="AA157" s="23" t="s">
        <v>1096</v>
      </c>
      <c r="AB157" s="23" t="s">
        <v>1097</v>
      </c>
      <c r="AC157" s="26" t="s">
        <v>1098</v>
      </c>
    </row>
    <row r="158">
      <c r="A158" s="22"/>
      <c r="B158" s="23"/>
      <c r="C158" s="23"/>
      <c r="D158" s="24"/>
      <c r="E158" s="23"/>
      <c r="F158" s="23"/>
      <c r="G158" s="23"/>
      <c r="H158" s="23"/>
      <c r="I158" s="23"/>
      <c r="J158" s="23"/>
      <c r="K158" s="23"/>
      <c r="L158" s="25"/>
      <c r="M158" s="23"/>
      <c r="N158" s="23"/>
      <c r="O158" s="26"/>
      <c r="P158" s="27"/>
      <c r="Q158" s="28"/>
      <c r="R158" s="29"/>
      <c r="S158" s="30"/>
      <c r="T158" s="23"/>
      <c r="U158" s="23"/>
      <c r="V158" s="23"/>
      <c r="W158" s="23"/>
      <c r="X158" s="23"/>
      <c r="Y158" s="23"/>
      <c r="Z158" s="31"/>
      <c r="AA158" s="23"/>
      <c r="AB158" s="23"/>
      <c r="AC158" s="26"/>
    </row>
    <row r="159">
      <c r="A159" s="22"/>
      <c r="B159" s="23"/>
      <c r="C159" s="23"/>
      <c r="D159" s="24"/>
      <c r="E159" s="23"/>
      <c r="F159" s="23"/>
      <c r="G159" s="23"/>
      <c r="H159" s="23"/>
      <c r="I159" s="23"/>
      <c r="J159" s="23"/>
      <c r="K159" s="23"/>
      <c r="L159" s="25"/>
      <c r="M159" s="23"/>
      <c r="N159" s="23"/>
      <c r="O159" s="23"/>
      <c r="P159" s="27"/>
      <c r="Q159" s="28"/>
      <c r="R159" s="29"/>
      <c r="S159" s="30"/>
      <c r="T159" s="23"/>
      <c r="U159" s="23"/>
      <c r="V159" s="23"/>
      <c r="W159" s="23"/>
      <c r="X159" s="23"/>
      <c r="Y159" s="23"/>
      <c r="Z159" s="31"/>
      <c r="AA159" s="23"/>
      <c r="AB159" s="23"/>
      <c r="AC159" s="26"/>
    </row>
    <row r="160">
      <c r="A160" s="22"/>
      <c r="B160" s="23"/>
      <c r="C160" s="23"/>
      <c r="D160" s="24"/>
      <c r="E160" s="23"/>
      <c r="F160" s="23"/>
      <c r="G160" s="23"/>
      <c r="H160" s="23"/>
      <c r="I160" s="23"/>
      <c r="J160" s="23"/>
      <c r="K160" s="23"/>
      <c r="L160" s="25"/>
      <c r="M160" s="23"/>
      <c r="N160" s="23"/>
      <c r="O160" s="26"/>
      <c r="P160" s="27"/>
      <c r="Q160" s="28"/>
      <c r="R160" s="29"/>
      <c r="S160" s="30"/>
      <c r="T160" s="23"/>
      <c r="U160" s="23"/>
      <c r="V160" s="23"/>
      <c r="W160" s="23"/>
      <c r="X160" s="23"/>
      <c r="Y160" s="23"/>
      <c r="Z160" s="31"/>
      <c r="AA160" s="23"/>
      <c r="AB160" s="23"/>
      <c r="AC160" s="26"/>
    </row>
    <row r="161">
      <c r="A161" s="22"/>
      <c r="B161" s="23"/>
      <c r="C161" s="23"/>
      <c r="D161" s="24"/>
      <c r="E161" s="23"/>
      <c r="F161" s="23"/>
      <c r="G161" s="23"/>
      <c r="H161" s="23"/>
      <c r="I161" s="23"/>
      <c r="J161" s="23"/>
      <c r="K161" s="23"/>
      <c r="L161" s="25"/>
      <c r="M161" s="23"/>
      <c r="N161" s="23"/>
      <c r="O161" s="26"/>
      <c r="P161" s="27"/>
      <c r="Q161" s="28"/>
      <c r="R161" s="29"/>
      <c r="S161" s="30"/>
      <c r="T161" s="23"/>
      <c r="U161" s="23"/>
      <c r="V161" s="23"/>
      <c r="W161" s="23"/>
      <c r="X161" s="23"/>
      <c r="Y161" s="23"/>
      <c r="Z161" s="31"/>
      <c r="AA161" s="23"/>
      <c r="AB161" s="23"/>
      <c r="AC161" s="26"/>
    </row>
    <row r="162">
      <c r="A162" s="22"/>
      <c r="B162" s="23"/>
      <c r="C162" s="23"/>
      <c r="D162" s="24"/>
      <c r="E162" s="23"/>
      <c r="F162" s="23"/>
      <c r="G162" s="23"/>
      <c r="H162" s="23"/>
      <c r="I162" s="23"/>
      <c r="J162" s="23"/>
      <c r="K162" s="23"/>
      <c r="L162" s="25"/>
      <c r="M162" s="23"/>
      <c r="N162" s="23"/>
      <c r="O162" s="26"/>
      <c r="P162" s="27"/>
      <c r="Q162" s="28"/>
      <c r="R162" s="29"/>
      <c r="S162" s="30"/>
      <c r="T162" s="23"/>
      <c r="U162" s="23"/>
      <c r="V162" s="23"/>
      <c r="W162" s="23"/>
      <c r="X162" s="23"/>
      <c r="Y162" s="23"/>
      <c r="Z162" s="31"/>
      <c r="AA162" s="23"/>
      <c r="AB162" s="23"/>
      <c r="AC162" s="26"/>
    </row>
    <row r="163">
      <c r="A163" s="22"/>
      <c r="B163" s="23"/>
      <c r="C163" s="23"/>
      <c r="D163" s="24"/>
      <c r="E163" s="23"/>
      <c r="F163" s="23"/>
      <c r="G163" s="23"/>
      <c r="H163" s="23"/>
      <c r="I163" s="23"/>
      <c r="J163" s="23"/>
      <c r="K163" s="23"/>
      <c r="L163" s="25"/>
      <c r="M163" s="23"/>
      <c r="N163" s="23"/>
      <c r="O163" s="26"/>
      <c r="P163" s="27"/>
      <c r="Q163" s="28"/>
      <c r="R163" s="29"/>
      <c r="S163" s="30"/>
      <c r="T163" s="23"/>
      <c r="U163" s="23"/>
      <c r="V163" s="23"/>
      <c r="W163" s="23"/>
      <c r="X163" s="23"/>
      <c r="Y163" s="23"/>
      <c r="Z163" s="31"/>
      <c r="AA163" s="23"/>
      <c r="AB163" s="23"/>
      <c r="AC163" s="26"/>
    </row>
    <row r="164">
      <c r="A164" s="22"/>
      <c r="B164" s="23"/>
      <c r="C164" s="23"/>
      <c r="D164" s="24"/>
      <c r="E164" s="23"/>
      <c r="F164" s="23"/>
      <c r="G164" s="23"/>
      <c r="H164" s="23"/>
      <c r="I164" s="23"/>
      <c r="J164" s="23"/>
      <c r="K164" s="23"/>
      <c r="L164" s="25"/>
      <c r="M164" s="23"/>
      <c r="N164" s="23"/>
      <c r="O164" s="26"/>
      <c r="P164" s="27"/>
      <c r="Q164" s="28"/>
      <c r="R164" s="29"/>
      <c r="S164" s="30"/>
      <c r="T164" s="23"/>
      <c r="U164" s="23"/>
      <c r="V164" s="23"/>
      <c r="W164" s="23"/>
      <c r="X164" s="23"/>
      <c r="Y164" s="23"/>
      <c r="Z164" s="31"/>
      <c r="AA164" s="23"/>
      <c r="AB164" s="23"/>
      <c r="AC164" s="26"/>
    </row>
    <row r="165">
      <c r="A165" s="22"/>
      <c r="B165" s="23"/>
      <c r="C165" s="23"/>
      <c r="D165" s="24"/>
      <c r="E165" s="23"/>
      <c r="F165" s="23"/>
      <c r="G165" s="23"/>
      <c r="H165" s="23"/>
      <c r="I165" s="23"/>
      <c r="J165" s="23"/>
      <c r="K165" s="23"/>
      <c r="L165" s="25"/>
      <c r="M165" s="23"/>
      <c r="N165" s="23"/>
      <c r="O165" s="26"/>
      <c r="P165" s="27"/>
      <c r="Q165" s="28"/>
      <c r="R165" s="29"/>
      <c r="S165" s="30"/>
      <c r="T165" s="23"/>
      <c r="U165" s="23"/>
      <c r="V165" s="23"/>
      <c r="W165" s="23"/>
      <c r="X165" s="23"/>
      <c r="Y165" s="23"/>
      <c r="Z165" s="31"/>
      <c r="AA165" s="23"/>
      <c r="AB165" s="23"/>
      <c r="AC165" s="26"/>
    </row>
    <row r="166">
      <c r="A166" s="22"/>
      <c r="B166" s="23"/>
      <c r="C166" s="23"/>
      <c r="D166" s="24"/>
      <c r="E166" s="23"/>
      <c r="F166" s="23"/>
      <c r="G166" s="23"/>
      <c r="H166" s="23"/>
      <c r="I166" s="23"/>
      <c r="J166" s="23"/>
      <c r="K166" s="23"/>
      <c r="L166" s="25"/>
      <c r="M166" s="23"/>
      <c r="N166" s="23"/>
      <c r="O166" s="26"/>
      <c r="P166" s="27"/>
      <c r="Q166" s="28"/>
      <c r="R166" s="29"/>
      <c r="S166" s="30"/>
      <c r="T166" s="23"/>
      <c r="U166" s="23"/>
      <c r="V166" s="23"/>
      <c r="W166" s="23"/>
      <c r="X166" s="23"/>
      <c r="Y166" s="23"/>
      <c r="Z166" s="31"/>
      <c r="AA166" s="23"/>
      <c r="AB166" s="23"/>
      <c r="AC166" s="26"/>
    </row>
    <row r="167">
      <c r="A167" s="22"/>
      <c r="B167" s="23"/>
      <c r="C167" s="23"/>
      <c r="D167" s="24"/>
      <c r="E167" s="23"/>
      <c r="F167" s="23"/>
      <c r="G167" s="23"/>
      <c r="H167" s="23"/>
      <c r="I167" s="23"/>
      <c r="J167" s="23"/>
      <c r="K167" s="23"/>
      <c r="L167" s="25"/>
      <c r="M167" s="23"/>
      <c r="N167" s="23"/>
      <c r="O167" s="26"/>
      <c r="P167" s="27"/>
      <c r="Q167" s="28"/>
      <c r="R167" s="29"/>
      <c r="S167" s="30"/>
      <c r="T167" s="23"/>
      <c r="U167" s="23"/>
      <c r="V167" s="23"/>
      <c r="W167" s="23"/>
      <c r="X167" s="23"/>
      <c r="Y167" s="23"/>
      <c r="Z167" s="31"/>
      <c r="AA167" s="23"/>
      <c r="AB167" s="23"/>
      <c r="AC167" s="26"/>
    </row>
    <row r="168">
      <c r="A168" s="22"/>
      <c r="B168" s="23"/>
      <c r="C168" s="23"/>
      <c r="D168" s="24"/>
      <c r="E168" s="23"/>
      <c r="F168" s="23"/>
      <c r="G168" s="23"/>
      <c r="H168" s="23"/>
      <c r="I168" s="23"/>
      <c r="J168" s="23"/>
      <c r="K168" s="23"/>
      <c r="L168" s="25"/>
      <c r="M168" s="23"/>
      <c r="N168" s="23"/>
      <c r="O168" s="26"/>
      <c r="P168" s="27"/>
      <c r="Q168" s="28"/>
      <c r="R168" s="29"/>
      <c r="S168" s="30"/>
      <c r="T168" s="23"/>
      <c r="U168" s="23"/>
      <c r="V168" s="23"/>
      <c r="W168" s="23"/>
      <c r="X168" s="23"/>
      <c r="Y168" s="23"/>
      <c r="Z168" s="31"/>
      <c r="AA168" s="23"/>
      <c r="AB168" s="23"/>
      <c r="AC168" s="26"/>
    </row>
    <row r="169">
      <c r="A169" s="22" t="s">
        <v>4443</v>
      </c>
      <c r="B169" s="23" t="s">
        <v>4444</v>
      </c>
      <c r="C169" s="23" t="s">
        <v>4470</v>
      </c>
      <c r="D169" s="24" t="s">
        <v>4445</v>
      </c>
      <c r="E169" s="23" t="s">
        <v>4446</v>
      </c>
      <c r="F169" s="23" t="s">
        <v>4447</v>
      </c>
      <c r="G169" s="23" t="s">
        <v>4448</v>
      </c>
      <c r="H169" s="23" t="s">
        <v>4449</v>
      </c>
      <c r="I169" s="23" t="s">
        <v>4450</v>
      </c>
      <c r="J169" s="23" t="s">
        <v>4451</v>
      </c>
      <c r="K169" s="23" t="s">
        <v>4452</v>
      </c>
      <c r="L169" s="25" t="s">
        <v>4453</v>
      </c>
      <c r="M169" s="23" t="s">
        <v>4454</v>
      </c>
      <c r="N169" s="23" t="s">
        <v>4455</v>
      </c>
      <c r="O169" s="26" t="s">
        <v>4456</v>
      </c>
      <c r="P169" s="27" t="s">
        <v>4457</v>
      </c>
      <c r="Q169" s="28" t="s">
        <v>4458</v>
      </c>
      <c r="R169" s="29" t="s">
        <v>4459</v>
      </c>
      <c r="S169" s="30" t="s">
        <v>4460</v>
      </c>
      <c r="T169" s="23" t="s">
        <v>4461</v>
      </c>
      <c r="U169" s="23" t="s">
        <v>4462</v>
      </c>
      <c r="V169" s="23" t="s">
        <v>4463</v>
      </c>
      <c r="W169" s="23" t="s">
        <v>4464</v>
      </c>
      <c r="X169" s="23" t="s">
        <v>4449</v>
      </c>
      <c r="Y169" s="23" t="s">
        <v>4465</v>
      </c>
      <c r="Z169" s="31" t="s">
        <v>4466</v>
      </c>
      <c r="AA169" s="23" t="s">
        <v>4467</v>
      </c>
      <c r="AB169" s="23" t="s">
        <v>4468</v>
      </c>
      <c r="AC169" s="26" t="s">
        <v>4469</v>
      </c>
    </row>
    <row r="170">
      <c r="A170" s="22"/>
      <c r="B170" s="23"/>
      <c r="C170" s="23"/>
      <c r="D170" s="24"/>
      <c r="E170" s="23"/>
      <c r="F170" s="23"/>
      <c r="G170" s="23"/>
      <c r="H170" s="23"/>
      <c r="I170" s="23"/>
      <c r="J170" s="23"/>
      <c r="K170" s="23"/>
      <c r="L170" s="25"/>
      <c r="M170" s="23"/>
      <c r="N170" s="23"/>
      <c r="O170" s="26"/>
      <c r="P170" s="27"/>
      <c r="Q170" s="28"/>
      <c r="R170" s="29"/>
      <c r="S170" s="30"/>
      <c r="T170" s="23"/>
      <c r="U170" s="23"/>
      <c r="V170" s="23"/>
      <c r="W170" s="23"/>
      <c r="X170" s="23"/>
      <c r="Y170" s="23"/>
      <c r="Z170" s="31"/>
      <c r="AA170" s="23"/>
      <c r="AB170" s="23"/>
      <c r="AC170" s="26"/>
    </row>
    <row r="171">
      <c r="A171" s="22" t="s">
        <v>4500</v>
      </c>
      <c r="B171" s="23" t="s">
        <v>4500</v>
      </c>
      <c r="C171" s="23" t="s">
        <v>4523</v>
      </c>
      <c r="D171" s="24" t="s">
        <v>4501</v>
      </c>
      <c r="E171" s="23" t="s">
        <v>4502</v>
      </c>
      <c r="F171" s="23" t="s">
        <v>4503</v>
      </c>
      <c r="G171" s="23" t="s">
        <v>4504</v>
      </c>
      <c r="H171" s="23" t="s">
        <v>4505</v>
      </c>
      <c r="I171" s="23" t="s">
        <v>4506</v>
      </c>
      <c r="J171" s="23" t="s">
        <v>4507</v>
      </c>
      <c r="K171" s="23" t="s">
        <v>4508</v>
      </c>
      <c r="L171" s="25" t="s">
        <v>4509</v>
      </c>
      <c r="M171" s="23" t="s">
        <v>4510</v>
      </c>
      <c r="N171" s="23" t="s">
        <v>4511</v>
      </c>
      <c r="O171" s="26" t="s">
        <v>4512</v>
      </c>
      <c r="P171" s="27" t="s">
        <v>4513</v>
      </c>
      <c r="Q171" s="28" t="s">
        <v>807</v>
      </c>
      <c r="R171" s="29" t="s">
        <v>4514</v>
      </c>
      <c r="S171" s="30" t="s">
        <v>4515</v>
      </c>
      <c r="T171" s="23" t="s">
        <v>4516</v>
      </c>
      <c r="U171" s="23" t="s">
        <v>4500</v>
      </c>
      <c r="V171" s="23" t="s">
        <v>4500</v>
      </c>
      <c r="W171" s="23" t="s">
        <v>4517</v>
      </c>
      <c r="X171" s="23" t="s">
        <v>4500</v>
      </c>
      <c r="Y171" s="23" t="s">
        <v>4518</v>
      </c>
      <c r="Z171" s="31" t="s">
        <v>4519</v>
      </c>
      <c r="AA171" s="23" t="s">
        <v>4520</v>
      </c>
      <c r="AB171" s="23" t="s">
        <v>4521</v>
      </c>
      <c r="AC171" s="26" t="s">
        <v>4522</v>
      </c>
    </row>
    <row r="172">
      <c r="A172" s="22" t="s">
        <v>4524</v>
      </c>
      <c r="B172" s="23" t="s">
        <v>4524</v>
      </c>
      <c r="C172" s="23" t="s">
        <v>4523</v>
      </c>
      <c r="D172" s="24" t="s">
        <v>4525</v>
      </c>
      <c r="E172" s="23" t="s">
        <v>4526</v>
      </c>
      <c r="F172" s="23" t="s">
        <v>4503</v>
      </c>
      <c r="G172" s="23" t="s">
        <v>4527</v>
      </c>
      <c r="H172" s="23" t="s">
        <v>4528</v>
      </c>
      <c r="I172" s="23" t="s">
        <v>4529</v>
      </c>
      <c r="J172" s="23" t="s">
        <v>4530</v>
      </c>
      <c r="K172" s="23" t="s">
        <v>4531</v>
      </c>
      <c r="L172" s="25" t="s">
        <v>4532</v>
      </c>
      <c r="M172" s="23" t="s">
        <v>4500</v>
      </c>
      <c r="N172" s="23" t="s">
        <v>4533</v>
      </c>
      <c r="O172" s="26" t="s">
        <v>4512</v>
      </c>
      <c r="P172" s="27" t="s">
        <v>4534</v>
      </c>
      <c r="Q172" s="28" t="s">
        <v>4535</v>
      </c>
      <c r="R172" s="29" t="s">
        <v>4536</v>
      </c>
      <c r="S172" s="30" t="s">
        <v>4515</v>
      </c>
      <c r="T172" s="23" t="s">
        <v>4537</v>
      </c>
      <c r="U172" s="23" t="s">
        <v>4538</v>
      </c>
      <c r="V172" s="23" t="s">
        <v>4524</v>
      </c>
      <c r="W172" s="23" t="s">
        <v>4539</v>
      </c>
      <c r="X172" s="23" t="s">
        <v>4540</v>
      </c>
      <c r="Y172" s="23" t="s">
        <v>4541</v>
      </c>
      <c r="Z172" s="31" t="s">
        <v>4519</v>
      </c>
      <c r="AA172" s="23" t="s">
        <v>4542</v>
      </c>
      <c r="AB172" s="23" t="s">
        <v>4543</v>
      </c>
      <c r="AC172" s="26" t="s">
        <v>4544</v>
      </c>
    </row>
    <row r="173">
      <c r="A173" s="22" t="s">
        <v>4545</v>
      </c>
      <c r="B173" s="23" t="s">
        <v>4545</v>
      </c>
      <c r="C173" s="23" t="s">
        <v>4571</v>
      </c>
      <c r="D173" s="24" t="s">
        <v>4546</v>
      </c>
      <c r="E173" s="23" t="s">
        <v>4547</v>
      </c>
      <c r="F173" s="23" t="s">
        <v>4548</v>
      </c>
      <c r="G173" s="23" t="s">
        <v>4549</v>
      </c>
      <c r="H173" s="23" t="s">
        <v>4550</v>
      </c>
      <c r="I173" s="23" t="s">
        <v>4551</v>
      </c>
      <c r="J173" s="23" t="s">
        <v>4552</v>
      </c>
      <c r="K173" s="23" t="s">
        <v>4553</v>
      </c>
      <c r="L173" s="25" t="s">
        <v>4554</v>
      </c>
      <c r="M173" s="23" t="s">
        <v>4555</v>
      </c>
      <c r="N173" s="23" t="s">
        <v>4556</v>
      </c>
      <c r="O173" s="26" t="s">
        <v>4557</v>
      </c>
      <c r="P173" s="27" t="s">
        <v>4558</v>
      </c>
      <c r="Q173" s="28" t="s">
        <v>4559</v>
      </c>
      <c r="R173" s="29" t="s">
        <v>4560</v>
      </c>
      <c r="S173" s="30" t="s">
        <v>4561</v>
      </c>
      <c r="T173" s="23" t="s">
        <v>4562</v>
      </c>
      <c r="U173" s="23" t="s">
        <v>4563</v>
      </c>
      <c r="V173" s="23" t="s">
        <v>4564</v>
      </c>
      <c r="W173" s="23" t="s">
        <v>4565</v>
      </c>
      <c r="X173" s="23" t="s">
        <v>4566</v>
      </c>
      <c r="Y173" s="23" t="s">
        <v>4567</v>
      </c>
      <c r="Z173" s="31" t="s">
        <v>4568</v>
      </c>
      <c r="AA173" s="23" t="s">
        <v>4569</v>
      </c>
      <c r="AB173" s="23" t="s">
        <v>4570</v>
      </c>
      <c r="AC173" s="26" t="s">
        <v>4557</v>
      </c>
    </row>
    <row r="174">
      <c r="A174" s="22"/>
      <c r="B174" s="23"/>
      <c r="C174" s="23"/>
      <c r="D174" s="24"/>
      <c r="E174" s="23"/>
      <c r="F174" s="23"/>
      <c r="G174" s="23"/>
      <c r="H174" s="23"/>
      <c r="I174" s="23"/>
      <c r="J174" s="23"/>
      <c r="K174" s="23"/>
      <c r="L174" s="25"/>
      <c r="M174" s="23"/>
      <c r="N174" s="23"/>
      <c r="O174" s="26"/>
      <c r="P174" s="27"/>
      <c r="Q174" s="28"/>
      <c r="R174" s="23"/>
      <c r="S174" s="30"/>
      <c r="T174" s="23"/>
      <c r="U174" s="23"/>
      <c r="V174" s="23"/>
      <c r="W174" s="23"/>
      <c r="X174" s="23"/>
      <c r="Y174" s="23"/>
      <c r="Z174" s="31"/>
      <c r="AA174" s="23"/>
      <c r="AB174" s="23"/>
      <c r="AC174" s="26"/>
    </row>
    <row r="175">
      <c r="A175" s="22"/>
      <c r="B175" s="23"/>
      <c r="C175" s="23"/>
      <c r="D175" s="24"/>
      <c r="E175" s="23"/>
      <c r="F175" s="23"/>
      <c r="G175" s="23"/>
      <c r="H175" s="23"/>
      <c r="I175" s="23"/>
      <c r="J175" s="23"/>
      <c r="K175" s="23"/>
      <c r="L175" s="25"/>
      <c r="M175" s="23"/>
      <c r="N175" s="23"/>
      <c r="O175" s="26"/>
      <c r="P175" s="27"/>
      <c r="Q175" s="28"/>
      <c r="R175" s="29"/>
      <c r="S175" s="30"/>
      <c r="T175" s="23"/>
      <c r="U175" s="23"/>
      <c r="V175" s="23"/>
      <c r="W175" s="23"/>
      <c r="X175" s="23"/>
      <c r="Y175" s="23"/>
      <c r="Z175" s="31"/>
      <c r="AA175" s="23"/>
      <c r="AB175" s="23"/>
      <c r="AC175" s="26"/>
    </row>
    <row r="176">
      <c r="A176" s="22"/>
      <c r="B176" s="23"/>
      <c r="C176" s="23"/>
      <c r="D176" s="24"/>
      <c r="E176" s="23"/>
      <c r="F176" s="23"/>
      <c r="G176" s="23"/>
      <c r="H176" s="23"/>
      <c r="I176" s="23"/>
      <c r="J176" s="23"/>
      <c r="K176" s="23"/>
      <c r="L176" s="25"/>
      <c r="M176" s="23"/>
      <c r="N176" s="23"/>
      <c r="O176" s="26"/>
      <c r="P176" s="27"/>
      <c r="Q176" s="28"/>
      <c r="R176" s="29"/>
      <c r="S176" s="30"/>
      <c r="T176" s="23"/>
      <c r="U176" s="23"/>
      <c r="V176" s="23"/>
      <c r="W176" s="23"/>
      <c r="X176" s="23"/>
      <c r="Y176" s="23"/>
      <c r="Z176" s="31"/>
      <c r="AA176" s="23"/>
      <c r="AB176" s="23"/>
      <c r="AC176" s="26"/>
    </row>
    <row r="177">
      <c r="A177" s="22" t="s">
        <v>4655</v>
      </c>
      <c r="B177" s="23" t="s">
        <v>4655</v>
      </c>
      <c r="C177" s="23" t="s">
        <v>325</v>
      </c>
      <c r="D177" s="24" t="s">
        <v>4656</v>
      </c>
      <c r="E177" s="23" t="s">
        <v>4657</v>
      </c>
      <c r="F177" s="23" t="s">
        <v>4658</v>
      </c>
      <c r="G177" s="23" t="s">
        <v>4659</v>
      </c>
      <c r="H177" s="23" t="s">
        <v>4660</v>
      </c>
      <c r="I177" s="23" t="s">
        <v>4661</v>
      </c>
      <c r="J177" s="23" t="s">
        <v>4662</v>
      </c>
      <c r="K177" s="23" t="s">
        <v>4663</v>
      </c>
      <c r="L177" s="25" t="s">
        <v>4664</v>
      </c>
      <c r="M177" s="23" t="s">
        <v>308</v>
      </c>
      <c r="N177" s="23" t="s">
        <v>4665</v>
      </c>
      <c r="O177" s="26" t="s">
        <v>4666</v>
      </c>
      <c r="P177" s="27" t="s">
        <v>4667</v>
      </c>
      <c r="Q177" s="28" t="s">
        <v>4668</v>
      </c>
      <c r="R177" s="29" t="s">
        <v>4669</v>
      </c>
      <c r="S177" s="30" t="s">
        <v>4670</v>
      </c>
      <c r="T177" s="23" t="s">
        <v>4671</v>
      </c>
      <c r="U177" s="23" t="s">
        <v>4672</v>
      </c>
      <c r="V177" s="23" t="s">
        <v>317</v>
      </c>
      <c r="W177" s="23" t="s">
        <v>4673</v>
      </c>
      <c r="X177" s="23" t="s">
        <v>4674</v>
      </c>
      <c r="Y177" s="23" t="s">
        <v>4675</v>
      </c>
      <c r="Z177" s="31" t="s">
        <v>321</v>
      </c>
      <c r="AA177" s="23" t="s">
        <v>4676</v>
      </c>
      <c r="AB177" s="23" t="s">
        <v>4677</v>
      </c>
      <c r="AC177" s="26" t="s">
        <v>4678</v>
      </c>
    </row>
    <row r="178">
      <c r="A178" s="22" t="s">
        <v>4679</v>
      </c>
      <c r="B178" s="23" t="s">
        <v>4680</v>
      </c>
      <c r="C178" s="23" t="s">
        <v>4052</v>
      </c>
      <c r="D178" s="24" t="s">
        <v>4681</v>
      </c>
      <c r="E178" s="23" t="s">
        <v>4682</v>
      </c>
      <c r="F178" s="23" t="s">
        <v>4683</v>
      </c>
      <c r="G178" s="23" t="s">
        <v>4684</v>
      </c>
      <c r="H178" s="23" t="s">
        <v>4685</v>
      </c>
      <c r="I178" s="23" t="s">
        <v>4686</v>
      </c>
      <c r="J178" s="23" t="s">
        <v>4687</v>
      </c>
      <c r="K178" s="23" t="s">
        <v>4688</v>
      </c>
      <c r="L178" s="25" t="s">
        <v>4689</v>
      </c>
      <c r="M178" s="23" t="s">
        <v>4690</v>
      </c>
      <c r="N178" s="23" t="s">
        <v>4691</v>
      </c>
      <c r="O178" s="26" t="s">
        <v>4692</v>
      </c>
      <c r="P178" s="27" t="s">
        <v>4693</v>
      </c>
      <c r="Q178" s="28" t="s">
        <v>4694</v>
      </c>
      <c r="R178" s="29" t="s">
        <v>4695</v>
      </c>
      <c r="S178" s="30" t="s">
        <v>4696</v>
      </c>
      <c r="T178" s="23" t="s">
        <v>4697</v>
      </c>
      <c r="U178" s="23" t="s">
        <v>4698</v>
      </c>
      <c r="V178" s="23" t="s">
        <v>4699</v>
      </c>
      <c r="W178" s="23" t="s">
        <v>4700</v>
      </c>
      <c r="X178" s="23" t="s">
        <v>4701</v>
      </c>
      <c r="Y178" s="23" t="s">
        <v>4702</v>
      </c>
      <c r="Z178" s="31" t="s">
        <v>4703</v>
      </c>
      <c r="AA178" s="23" t="s">
        <v>4704</v>
      </c>
      <c r="AB178" s="23" t="s">
        <v>4705</v>
      </c>
      <c r="AC178" s="26" t="s">
        <v>4706</v>
      </c>
    </row>
    <row r="179">
      <c r="A179" s="22"/>
      <c r="B179" s="23"/>
      <c r="C179" s="23"/>
      <c r="D179" s="24"/>
      <c r="E179" s="23"/>
      <c r="F179" s="23"/>
      <c r="G179" s="23"/>
      <c r="H179" s="23"/>
      <c r="I179" s="23"/>
      <c r="J179" s="23"/>
      <c r="K179" s="23"/>
      <c r="L179" s="25"/>
      <c r="M179" s="23"/>
      <c r="N179" s="23"/>
      <c r="O179" s="26"/>
      <c r="P179" s="27"/>
      <c r="Q179" s="28"/>
      <c r="R179" s="29"/>
      <c r="S179" s="30"/>
      <c r="T179" s="23"/>
      <c r="U179" s="23"/>
      <c r="V179" s="23"/>
      <c r="W179" s="23"/>
      <c r="X179" s="23"/>
      <c r="Y179" s="23"/>
      <c r="Z179" s="31"/>
      <c r="AA179" s="23"/>
      <c r="AB179" s="23"/>
      <c r="AC179" s="26"/>
    </row>
    <row r="180">
      <c r="A180" s="22"/>
      <c r="B180" s="23"/>
      <c r="C180" s="23"/>
      <c r="D180" s="24"/>
      <c r="E180" s="23"/>
      <c r="F180" s="23"/>
      <c r="G180" s="23"/>
      <c r="H180" s="23"/>
      <c r="I180" s="23"/>
      <c r="J180" s="23"/>
      <c r="K180" s="23"/>
      <c r="L180" s="25"/>
      <c r="M180" s="23"/>
      <c r="N180" s="23"/>
      <c r="O180" s="26"/>
      <c r="P180" s="27"/>
      <c r="Q180" s="28"/>
      <c r="R180" s="29"/>
      <c r="S180" s="30"/>
      <c r="T180" s="23"/>
      <c r="U180" s="23"/>
      <c r="V180" s="23"/>
      <c r="W180" s="23"/>
      <c r="X180" s="23"/>
      <c r="Y180" s="23"/>
      <c r="Z180" s="31"/>
      <c r="AA180" s="23"/>
      <c r="AB180" s="23"/>
      <c r="AC180" s="26"/>
    </row>
    <row r="181">
      <c r="A181" s="22"/>
      <c r="B181" s="23"/>
      <c r="C181" s="23"/>
      <c r="D181" s="24"/>
      <c r="E181" s="23"/>
      <c r="F181" s="23"/>
      <c r="G181" s="23"/>
      <c r="H181" s="23"/>
      <c r="I181" s="23"/>
      <c r="J181" s="23"/>
      <c r="K181" s="23"/>
      <c r="L181" s="25"/>
      <c r="M181" s="23"/>
      <c r="N181" s="23"/>
      <c r="O181" s="26"/>
      <c r="P181" s="27"/>
      <c r="Q181" s="28"/>
      <c r="R181" s="29"/>
      <c r="S181" s="30"/>
      <c r="T181" s="23"/>
      <c r="U181" s="23"/>
      <c r="V181" s="23"/>
      <c r="W181" s="23"/>
      <c r="X181" s="23"/>
      <c r="Y181" s="23"/>
      <c r="Z181" s="31"/>
      <c r="AA181" s="23"/>
      <c r="AB181" s="23"/>
      <c r="AC181" s="26"/>
    </row>
    <row r="182">
      <c r="A182" s="22"/>
      <c r="B182" s="23"/>
      <c r="C182" s="23"/>
      <c r="D182" s="24"/>
      <c r="E182" s="23"/>
      <c r="F182" s="23"/>
      <c r="G182" s="23"/>
      <c r="H182" s="23"/>
      <c r="I182" s="23"/>
      <c r="J182" s="23"/>
      <c r="K182" s="23"/>
      <c r="L182" s="25"/>
      <c r="M182" s="23"/>
      <c r="N182" s="23"/>
      <c r="O182" s="26"/>
      <c r="P182" s="27"/>
      <c r="Q182" s="28"/>
      <c r="R182" s="29"/>
      <c r="S182" s="30"/>
      <c r="T182" s="23"/>
      <c r="U182" s="23"/>
      <c r="V182" s="23"/>
      <c r="W182" s="23"/>
      <c r="X182" s="23"/>
      <c r="Y182" s="23"/>
      <c r="Z182" s="31"/>
      <c r="AA182" s="23"/>
      <c r="AB182" s="23"/>
      <c r="AC182" s="26"/>
    </row>
    <row r="183">
      <c r="A183" s="22"/>
      <c r="B183" s="23"/>
      <c r="C183" s="23"/>
      <c r="D183" s="24"/>
      <c r="E183" s="23"/>
      <c r="F183" s="23"/>
      <c r="G183" s="23"/>
      <c r="H183" s="23"/>
      <c r="I183" s="23"/>
      <c r="J183" s="23"/>
      <c r="K183" s="23"/>
      <c r="L183" s="25"/>
      <c r="M183" s="23"/>
      <c r="N183" s="23"/>
      <c r="O183" s="26"/>
      <c r="P183" s="27"/>
      <c r="Q183" s="28"/>
      <c r="R183" s="29"/>
      <c r="S183" s="30"/>
      <c r="T183" s="23"/>
      <c r="U183" s="23"/>
      <c r="V183" s="23"/>
      <c r="W183" s="23"/>
      <c r="X183" s="23"/>
      <c r="Y183" s="23"/>
      <c r="Z183" s="31"/>
      <c r="AA183" s="23"/>
      <c r="AB183" s="23"/>
      <c r="AC183" s="26"/>
    </row>
    <row r="184">
      <c r="A184" s="22" t="s">
        <v>4848</v>
      </c>
      <c r="B184" s="23" t="s">
        <v>4849</v>
      </c>
      <c r="C184" s="23" t="s">
        <v>4876</v>
      </c>
      <c r="D184" s="24" t="s">
        <v>4850</v>
      </c>
      <c r="E184" s="23" t="s">
        <v>4851</v>
      </c>
      <c r="F184" s="23" t="s">
        <v>4852</v>
      </c>
      <c r="G184" s="23" t="s">
        <v>4853</v>
      </c>
      <c r="H184" s="23" t="s">
        <v>4854</v>
      </c>
      <c r="I184" s="23" t="s">
        <v>4855</v>
      </c>
      <c r="J184" s="23" t="s">
        <v>4856</v>
      </c>
      <c r="K184" s="23" t="s">
        <v>4857</v>
      </c>
      <c r="L184" s="25" t="s">
        <v>4858</v>
      </c>
      <c r="M184" s="23" t="s">
        <v>4859</v>
      </c>
      <c r="N184" s="23" t="s">
        <v>4860</v>
      </c>
      <c r="O184" s="26" t="s">
        <v>4861</v>
      </c>
      <c r="P184" s="27" t="s">
        <v>4862</v>
      </c>
      <c r="Q184" s="28" t="s">
        <v>4863</v>
      </c>
      <c r="R184" s="29" t="s">
        <v>4864</v>
      </c>
      <c r="S184" s="30" t="s">
        <v>4865</v>
      </c>
      <c r="T184" s="23" t="s">
        <v>4866</v>
      </c>
      <c r="U184" s="23" t="s">
        <v>4867</v>
      </c>
      <c r="V184" s="23" t="s">
        <v>4868</v>
      </c>
      <c r="W184" s="23" t="s">
        <v>4869</v>
      </c>
      <c r="X184" s="23" t="s">
        <v>4870</v>
      </c>
      <c r="Y184" s="23" t="s">
        <v>4871</v>
      </c>
      <c r="Z184" s="31" t="s">
        <v>4872</v>
      </c>
      <c r="AA184" s="23" t="s">
        <v>4873</v>
      </c>
      <c r="AB184" s="23" t="s">
        <v>4874</v>
      </c>
      <c r="AC184" s="26" t="s">
        <v>4875</v>
      </c>
    </row>
    <row r="185">
      <c r="A185" s="22" t="s">
        <v>4877</v>
      </c>
      <c r="B185" s="23" t="s">
        <v>4878</v>
      </c>
      <c r="C185" s="23" t="s">
        <v>4905</v>
      </c>
      <c r="D185" s="24" t="s">
        <v>4879</v>
      </c>
      <c r="E185" s="23" t="s">
        <v>4880</v>
      </c>
      <c r="F185" s="23" t="s">
        <v>4881</v>
      </c>
      <c r="G185" s="23" t="s">
        <v>4882</v>
      </c>
      <c r="H185" s="23" t="s">
        <v>4883</v>
      </c>
      <c r="I185" s="23" t="s">
        <v>4884</v>
      </c>
      <c r="J185" s="23" t="s">
        <v>4885</v>
      </c>
      <c r="K185" s="23" t="s">
        <v>4886</v>
      </c>
      <c r="L185" s="25" t="s">
        <v>4887</v>
      </c>
      <c r="M185" s="23" t="s">
        <v>4888</v>
      </c>
      <c r="N185" s="23" t="s">
        <v>4889</v>
      </c>
      <c r="O185" s="26" t="s">
        <v>4890</v>
      </c>
      <c r="P185" s="27" t="s">
        <v>4891</v>
      </c>
      <c r="Q185" s="28" t="s">
        <v>4892</v>
      </c>
      <c r="R185" s="29" t="s">
        <v>4893</v>
      </c>
      <c r="S185" s="30" t="s">
        <v>4894</v>
      </c>
      <c r="T185" s="23" t="s">
        <v>4895</v>
      </c>
      <c r="U185" s="23" t="s">
        <v>4896</v>
      </c>
      <c r="V185" s="23" t="s">
        <v>4897</v>
      </c>
      <c r="W185" s="23" t="s">
        <v>4898</v>
      </c>
      <c r="X185" s="23" t="s">
        <v>4899</v>
      </c>
      <c r="Y185" s="23" t="s">
        <v>4900</v>
      </c>
      <c r="Z185" s="31" t="s">
        <v>4901</v>
      </c>
      <c r="AA185" s="23" t="s">
        <v>4902</v>
      </c>
      <c r="AB185" s="23" t="s">
        <v>4903</v>
      </c>
      <c r="AC185" s="26" t="s">
        <v>4904</v>
      </c>
    </row>
    <row r="186">
      <c r="A186" s="22" t="s">
        <v>4906</v>
      </c>
      <c r="B186" s="23" t="s">
        <v>4907</v>
      </c>
      <c r="C186" s="23" t="s">
        <v>4934</v>
      </c>
      <c r="D186" s="24" t="s">
        <v>4908</v>
      </c>
      <c r="E186" s="23" t="s">
        <v>4909</v>
      </c>
      <c r="F186" s="23" t="s">
        <v>4910</v>
      </c>
      <c r="G186" s="23" t="s">
        <v>4911</v>
      </c>
      <c r="H186" s="23" t="s">
        <v>4912</v>
      </c>
      <c r="I186" s="23" t="s">
        <v>4913</v>
      </c>
      <c r="J186" s="23" t="s">
        <v>4914</v>
      </c>
      <c r="K186" s="23" t="s">
        <v>4915</v>
      </c>
      <c r="L186" s="25" t="s">
        <v>4916</v>
      </c>
      <c r="M186" s="23" t="s">
        <v>4917</v>
      </c>
      <c r="N186" s="23" t="s">
        <v>4918</v>
      </c>
      <c r="O186" s="26" t="s">
        <v>4919</v>
      </c>
      <c r="P186" s="27" t="s">
        <v>4920</v>
      </c>
      <c r="Q186" s="28" t="s">
        <v>4921</v>
      </c>
      <c r="R186" s="29" t="s">
        <v>4922</v>
      </c>
      <c r="S186" s="30" t="s">
        <v>4923</v>
      </c>
      <c r="T186" s="23" t="s">
        <v>4924</v>
      </c>
      <c r="U186" s="23" t="s">
        <v>4925</v>
      </c>
      <c r="V186" s="23" t="s">
        <v>4926</v>
      </c>
      <c r="W186" s="23" t="s">
        <v>4927</v>
      </c>
      <c r="X186" s="23" t="s">
        <v>4928</v>
      </c>
      <c r="Y186" s="23" t="s">
        <v>4929</v>
      </c>
      <c r="Z186" s="31" t="s">
        <v>4930</v>
      </c>
      <c r="AA186" s="23" t="s">
        <v>4931</v>
      </c>
      <c r="AB186" s="23" t="s">
        <v>4932</v>
      </c>
      <c r="AC186" s="26" t="s">
        <v>4933</v>
      </c>
    </row>
    <row r="187">
      <c r="A187" s="22"/>
      <c r="B187" s="23"/>
      <c r="C187" s="23"/>
      <c r="D187" s="24"/>
      <c r="E187" s="23"/>
      <c r="F187" s="23"/>
      <c r="G187" s="23"/>
      <c r="H187" s="23"/>
      <c r="I187" s="23"/>
      <c r="J187" s="23"/>
      <c r="K187" s="23"/>
      <c r="L187" s="25"/>
      <c r="M187" s="23"/>
      <c r="N187" s="23"/>
      <c r="O187" s="23"/>
      <c r="P187" s="27"/>
      <c r="Q187" s="28"/>
      <c r="R187" s="29"/>
      <c r="S187" s="30"/>
      <c r="T187" s="23"/>
      <c r="U187" s="23"/>
      <c r="V187" s="23"/>
      <c r="W187" s="23"/>
      <c r="X187" s="23"/>
      <c r="Y187" s="23"/>
      <c r="Z187" s="31"/>
      <c r="AA187" s="23"/>
      <c r="AB187" s="23"/>
      <c r="AC187" s="26"/>
    </row>
    <row r="188">
      <c r="A188" s="22"/>
      <c r="B188" s="23"/>
      <c r="C188" s="23"/>
      <c r="D188" s="24"/>
      <c r="E188" s="23"/>
      <c r="F188" s="23"/>
      <c r="G188" s="23"/>
      <c r="H188" s="23"/>
      <c r="I188" s="23"/>
      <c r="J188" s="23"/>
      <c r="K188" s="23"/>
      <c r="L188" s="25"/>
      <c r="M188" s="23"/>
      <c r="N188" s="23"/>
      <c r="O188" s="26"/>
      <c r="P188" s="27"/>
      <c r="Q188" s="28"/>
      <c r="R188" s="29"/>
      <c r="S188" s="30"/>
      <c r="T188" s="23"/>
      <c r="U188" s="23"/>
      <c r="V188" s="23"/>
      <c r="W188" s="23"/>
      <c r="X188" s="23"/>
      <c r="Y188" s="23"/>
      <c r="Z188" s="31"/>
      <c r="AA188" s="23"/>
      <c r="AB188" s="23"/>
      <c r="AC188" s="26"/>
    </row>
    <row r="189">
      <c r="A189" s="22"/>
      <c r="B189" s="23"/>
      <c r="C189" s="23"/>
      <c r="D189" s="24"/>
      <c r="E189" s="23"/>
      <c r="F189" s="23"/>
      <c r="G189" s="23"/>
      <c r="H189" s="23"/>
      <c r="I189" s="23"/>
      <c r="J189" s="23"/>
      <c r="K189" s="23"/>
      <c r="L189" s="25"/>
      <c r="M189" s="23"/>
      <c r="N189" s="23"/>
      <c r="O189" s="26"/>
      <c r="P189" s="27"/>
      <c r="Q189" s="28"/>
      <c r="R189" s="29"/>
      <c r="S189" s="30"/>
      <c r="T189" s="23"/>
      <c r="U189" s="23"/>
      <c r="V189" s="23"/>
      <c r="W189" s="23"/>
      <c r="X189" s="23"/>
      <c r="Y189" s="23"/>
      <c r="Z189" s="31"/>
      <c r="AA189" s="23"/>
      <c r="AB189" s="23"/>
      <c r="AC189" s="26"/>
    </row>
    <row r="190">
      <c r="A190" s="22" t="s">
        <v>5022</v>
      </c>
      <c r="B190" s="23" t="s">
        <v>5023</v>
      </c>
      <c r="C190" s="23" t="s">
        <v>5050</v>
      </c>
      <c r="D190" s="24" t="s">
        <v>5024</v>
      </c>
      <c r="E190" s="23" t="s">
        <v>5025</v>
      </c>
      <c r="F190" s="23" t="s">
        <v>5026</v>
      </c>
      <c r="G190" s="23" t="s">
        <v>5027</v>
      </c>
      <c r="H190" s="23" t="s">
        <v>5028</v>
      </c>
      <c r="I190" s="23" t="s">
        <v>5029</v>
      </c>
      <c r="J190" s="23" t="s">
        <v>5030</v>
      </c>
      <c r="K190" s="23" t="s">
        <v>5031</v>
      </c>
      <c r="L190" s="25" t="s">
        <v>5032</v>
      </c>
      <c r="M190" s="23" t="s">
        <v>5033</v>
      </c>
      <c r="N190" s="23" t="s">
        <v>5034</v>
      </c>
      <c r="O190" s="26" t="s">
        <v>5035</v>
      </c>
      <c r="P190" s="27" t="s">
        <v>5036</v>
      </c>
      <c r="Q190" s="28" t="s">
        <v>5037</v>
      </c>
      <c r="R190" s="29" t="s">
        <v>5038</v>
      </c>
      <c r="S190" s="30" t="s">
        <v>5039</v>
      </c>
      <c r="T190" s="23" t="s">
        <v>5040</v>
      </c>
      <c r="U190" s="23" t="s">
        <v>5041</v>
      </c>
      <c r="V190" s="23" t="s">
        <v>5042</v>
      </c>
      <c r="W190" s="23" t="s">
        <v>5043</v>
      </c>
      <c r="X190" s="23" t="s">
        <v>5044</v>
      </c>
      <c r="Y190" s="23" t="s">
        <v>5045</v>
      </c>
      <c r="Z190" s="31" t="s">
        <v>5046</v>
      </c>
      <c r="AA190" s="23" t="s">
        <v>5047</v>
      </c>
      <c r="AB190" s="23" t="s">
        <v>5048</v>
      </c>
      <c r="AC190" s="26" t="s">
        <v>5049</v>
      </c>
    </row>
    <row r="191">
      <c r="A191" s="22" t="s">
        <v>5051</v>
      </c>
      <c r="B191" s="23" t="s">
        <v>5052</v>
      </c>
      <c r="C191" s="23" t="s">
        <v>5079</v>
      </c>
      <c r="D191" s="24" t="s">
        <v>5053</v>
      </c>
      <c r="E191" s="23" t="s">
        <v>5054</v>
      </c>
      <c r="F191" s="23" t="s">
        <v>5055</v>
      </c>
      <c r="G191" s="23" t="s">
        <v>5056</v>
      </c>
      <c r="H191" s="23" t="s">
        <v>5057</v>
      </c>
      <c r="I191" s="23" t="s">
        <v>5058</v>
      </c>
      <c r="J191" s="23" t="s">
        <v>5059</v>
      </c>
      <c r="K191" s="23" t="s">
        <v>5060</v>
      </c>
      <c r="L191" s="25" t="s">
        <v>5061</v>
      </c>
      <c r="M191" s="23" t="s">
        <v>5062</v>
      </c>
      <c r="N191" s="23" t="s">
        <v>5063</v>
      </c>
      <c r="O191" s="26" t="s">
        <v>5064</v>
      </c>
      <c r="P191" s="27" t="s">
        <v>5065</v>
      </c>
      <c r="Q191" s="28" t="s">
        <v>5066</v>
      </c>
      <c r="R191" s="29" t="s">
        <v>5067</v>
      </c>
      <c r="S191" s="30" t="s">
        <v>5068</v>
      </c>
      <c r="T191" s="23" t="s">
        <v>5069</v>
      </c>
      <c r="U191" s="23" t="s">
        <v>5070</v>
      </c>
      <c r="V191" s="23" t="s">
        <v>5071</v>
      </c>
      <c r="W191" s="23" t="s">
        <v>5072</v>
      </c>
      <c r="X191" s="23" t="s">
        <v>5073</v>
      </c>
      <c r="Y191" s="23" t="s">
        <v>5074</v>
      </c>
      <c r="Z191" s="31" t="s">
        <v>5075</v>
      </c>
      <c r="AA191" s="23" t="s">
        <v>5076</v>
      </c>
      <c r="AB191" s="23" t="s">
        <v>5077</v>
      </c>
      <c r="AC191" s="26" t="s">
        <v>5078</v>
      </c>
    </row>
    <row r="192">
      <c r="A192" s="22" t="s">
        <v>5080</v>
      </c>
      <c r="B192" s="23" t="s">
        <v>5081</v>
      </c>
      <c r="C192" s="23" t="s">
        <v>5108</v>
      </c>
      <c r="D192" s="24" t="s">
        <v>5082</v>
      </c>
      <c r="E192" s="23" t="s">
        <v>5083</v>
      </c>
      <c r="F192" s="23" t="s">
        <v>5084</v>
      </c>
      <c r="G192" s="23" t="s">
        <v>5085</v>
      </c>
      <c r="H192" s="23" t="s">
        <v>5086</v>
      </c>
      <c r="I192" s="23" t="s">
        <v>5087</v>
      </c>
      <c r="J192" s="23" t="s">
        <v>5088</v>
      </c>
      <c r="K192" s="23" t="s">
        <v>5089</v>
      </c>
      <c r="L192" s="25" t="s">
        <v>5090</v>
      </c>
      <c r="M192" s="23" t="s">
        <v>5091</v>
      </c>
      <c r="N192" s="23" t="s">
        <v>5092</v>
      </c>
      <c r="O192" s="26" t="s">
        <v>5093</v>
      </c>
      <c r="P192" s="27" t="s">
        <v>5094</v>
      </c>
      <c r="Q192" s="28" t="s">
        <v>5095</v>
      </c>
      <c r="R192" s="29" t="s">
        <v>5096</v>
      </c>
      <c r="S192" s="30" t="s">
        <v>5097</v>
      </c>
      <c r="T192" s="23" t="s">
        <v>5098</v>
      </c>
      <c r="U192" s="23" t="s">
        <v>5099</v>
      </c>
      <c r="V192" s="23" t="s">
        <v>5100</v>
      </c>
      <c r="W192" s="23" t="s">
        <v>5101</v>
      </c>
      <c r="X192" s="23" t="s">
        <v>5102</v>
      </c>
      <c r="Y192" s="23" t="s">
        <v>5103</v>
      </c>
      <c r="Z192" s="31" t="s">
        <v>5104</v>
      </c>
      <c r="AA192" s="23" t="s">
        <v>5105</v>
      </c>
      <c r="AB192" s="23" t="s">
        <v>5106</v>
      </c>
      <c r="AC192" s="26" t="s">
        <v>5107</v>
      </c>
    </row>
    <row r="193">
      <c r="A193" s="22" t="s">
        <v>5109</v>
      </c>
      <c r="B193" s="23" t="s">
        <v>5110</v>
      </c>
      <c r="C193" s="23" t="s">
        <v>5136</v>
      </c>
      <c r="D193" s="24" t="s">
        <v>5111</v>
      </c>
      <c r="E193" s="23" t="s">
        <v>5112</v>
      </c>
      <c r="F193" s="23" t="s">
        <v>5113</v>
      </c>
      <c r="G193" s="23" t="s">
        <v>5114</v>
      </c>
      <c r="H193" s="23" t="s">
        <v>5115</v>
      </c>
      <c r="I193" s="23" t="s">
        <v>5116</v>
      </c>
      <c r="J193" s="23" t="s">
        <v>5117</v>
      </c>
      <c r="K193" s="23" t="s">
        <v>5118</v>
      </c>
      <c r="L193" s="25" t="s">
        <v>5119</v>
      </c>
      <c r="M193" s="23" t="s">
        <v>5120</v>
      </c>
      <c r="N193" s="23" t="s">
        <v>5121</v>
      </c>
      <c r="O193" s="26" t="s">
        <v>5122</v>
      </c>
      <c r="P193" s="27" t="s">
        <v>5123</v>
      </c>
      <c r="Q193" s="28" t="s">
        <v>5124</v>
      </c>
      <c r="R193" s="29" t="s">
        <v>5125</v>
      </c>
      <c r="S193" s="30" t="s">
        <v>5126</v>
      </c>
      <c r="T193" s="23" t="s">
        <v>5127</v>
      </c>
      <c r="U193" s="23" t="s">
        <v>5120</v>
      </c>
      <c r="V193" s="23" t="s">
        <v>5128</v>
      </c>
      <c r="W193" s="23" t="s">
        <v>5129</v>
      </c>
      <c r="X193" s="23" t="s">
        <v>5130</v>
      </c>
      <c r="Y193" s="23" t="s">
        <v>5131</v>
      </c>
      <c r="Z193" s="31" t="s">
        <v>5132</v>
      </c>
      <c r="AA193" s="23" t="s">
        <v>5133</v>
      </c>
      <c r="AB193" s="23" t="s">
        <v>5134</v>
      </c>
      <c r="AC193" s="26" t="s">
        <v>5135</v>
      </c>
    </row>
    <row r="194">
      <c r="A194" s="22" t="s">
        <v>3220</v>
      </c>
      <c r="B194" s="23" t="s">
        <v>3220</v>
      </c>
      <c r="C194" s="23" t="s">
        <v>3244</v>
      </c>
      <c r="D194" s="24" t="s">
        <v>3221</v>
      </c>
      <c r="E194" s="23" t="s">
        <v>3222</v>
      </c>
      <c r="F194" s="23" t="s">
        <v>3223</v>
      </c>
      <c r="G194" s="23" t="s">
        <v>3224</v>
      </c>
      <c r="H194" s="23" t="s">
        <v>3225</v>
      </c>
      <c r="I194" s="23" t="s">
        <v>3226</v>
      </c>
      <c r="J194" s="23" t="s">
        <v>3227</v>
      </c>
      <c r="K194" s="23" t="s">
        <v>3228</v>
      </c>
      <c r="L194" s="25" t="s">
        <v>3229</v>
      </c>
      <c r="M194" s="23" t="s">
        <v>3230</v>
      </c>
      <c r="N194" s="23" t="s">
        <v>3225</v>
      </c>
      <c r="O194" s="26" t="s">
        <v>3231</v>
      </c>
      <c r="P194" s="27" t="s">
        <v>3232</v>
      </c>
      <c r="Q194" s="28" t="s">
        <v>3233</v>
      </c>
      <c r="R194" s="29" t="s">
        <v>3234</v>
      </c>
      <c r="S194" s="30" t="s">
        <v>3235</v>
      </c>
      <c r="T194" s="23" t="s">
        <v>3236</v>
      </c>
      <c r="U194" s="23" t="s">
        <v>3237</v>
      </c>
      <c r="V194" s="23" t="s">
        <v>3238</v>
      </c>
      <c r="W194" s="23" t="s">
        <v>3239</v>
      </c>
      <c r="X194" s="23" t="s">
        <v>3225</v>
      </c>
      <c r="Y194" s="23" t="s">
        <v>3240</v>
      </c>
      <c r="Z194" s="31" t="s">
        <v>3241</v>
      </c>
      <c r="AA194" s="23" t="s">
        <v>3237</v>
      </c>
      <c r="AB194" s="23" t="s">
        <v>3242</v>
      </c>
      <c r="AC194" s="26" t="s">
        <v>3243</v>
      </c>
    </row>
    <row r="195">
      <c r="A195" s="22" t="s">
        <v>3191</v>
      </c>
      <c r="B195" s="23" t="s">
        <v>3191</v>
      </c>
      <c r="C195" s="23" t="s">
        <v>3218</v>
      </c>
      <c r="D195" s="24" t="s">
        <v>3192</v>
      </c>
      <c r="E195" s="23" t="s">
        <v>3193</v>
      </c>
      <c r="F195" s="23" t="s">
        <v>3194</v>
      </c>
      <c r="G195" s="23" t="s">
        <v>3195</v>
      </c>
      <c r="H195" s="23" t="s">
        <v>3196</v>
      </c>
      <c r="I195" s="23" t="s">
        <v>3197</v>
      </c>
      <c r="J195" s="23" t="s">
        <v>3198</v>
      </c>
      <c r="K195" s="23" t="s">
        <v>3199</v>
      </c>
      <c r="L195" s="25" t="s">
        <v>3200</v>
      </c>
      <c r="M195" s="23" t="s">
        <v>3201</v>
      </c>
      <c r="N195" s="23" t="s">
        <v>3202</v>
      </c>
      <c r="O195" s="26" t="s">
        <v>3203</v>
      </c>
      <c r="P195" s="27" t="s">
        <v>3204</v>
      </c>
      <c r="Q195" s="28" t="s">
        <v>3205</v>
      </c>
      <c r="R195" s="29" t="s">
        <v>3206</v>
      </c>
      <c r="S195" s="30" t="s">
        <v>3207</v>
      </c>
      <c r="T195" s="23" t="s">
        <v>3208</v>
      </c>
      <c r="U195" s="23" t="s">
        <v>3209</v>
      </c>
      <c r="V195" s="23" t="s">
        <v>3210</v>
      </c>
      <c r="W195" s="23" t="s">
        <v>3211</v>
      </c>
      <c r="X195" s="23" t="s">
        <v>3212</v>
      </c>
      <c r="Y195" s="23" t="s">
        <v>3213</v>
      </c>
      <c r="Z195" s="31" t="s">
        <v>3214</v>
      </c>
      <c r="AA195" s="23" t="s">
        <v>3215</v>
      </c>
      <c r="AB195" s="23" t="s">
        <v>3216</v>
      </c>
      <c r="AC195" s="26" t="s">
        <v>3217</v>
      </c>
    </row>
    <row r="196">
      <c r="A196" s="22" t="s">
        <v>5137</v>
      </c>
      <c r="B196" s="23" t="s">
        <v>5137</v>
      </c>
      <c r="C196" s="23" t="s">
        <v>5159</v>
      </c>
      <c r="D196" s="24" t="s">
        <v>5138</v>
      </c>
      <c r="E196" s="23" t="s">
        <v>5139</v>
      </c>
      <c r="F196" s="23" t="s">
        <v>5140</v>
      </c>
      <c r="G196" s="23" t="s">
        <v>5141</v>
      </c>
      <c r="H196" s="23" t="s">
        <v>5142</v>
      </c>
      <c r="I196" s="23" t="s">
        <v>5143</v>
      </c>
      <c r="J196" s="23" t="s">
        <v>5144</v>
      </c>
      <c r="K196" s="23" t="s">
        <v>5137</v>
      </c>
      <c r="L196" s="25" t="s">
        <v>5145</v>
      </c>
      <c r="M196" s="23" t="s">
        <v>5146</v>
      </c>
      <c r="N196" s="23" t="s">
        <v>5147</v>
      </c>
      <c r="O196" s="26" t="s">
        <v>5148</v>
      </c>
      <c r="P196" s="27" t="s">
        <v>5149</v>
      </c>
      <c r="Q196" s="28" t="s">
        <v>5150</v>
      </c>
      <c r="R196" s="29" t="s">
        <v>5151</v>
      </c>
      <c r="S196" s="30" t="s">
        <v>5152</v>
      </c>
      <c r="T196" s="23" t="s">
        <v>5153</v>
      </c>
      <c r="U196" s="23" t="s">
        <v>5154</v>
      </c>
      <c r="V196" s="23" t="s">
        <v>5140</v>
      </c>
      <c r="W196" s="23" t="s">
        <v>5147</v>
      </c>
      <c r="X196" s="23" t="s">
        <v>5147</v>
      </c>
      <c r="Y196" s="23" t="s">
        <v>5155</v>
      </c>
      <c r="Z196" s="31" t="s">
        <v>5156</v>
      </c>
      <c r="AA196" s="23" t="s">
        <v>5157</v>
      </c>
      <c r="AB196" s="23" t="s">
        <v>5155</v>
      </c>
      <c r="AC196" s="26" t="s">
        <v>5158</v>
      </c>
    </row>
    <row r="197">
      <c r="A197" s="22" t="s">
        <v>5160</v>
      </c>
      <c r="B197" s="23" t="s">
        <v>5160</v>
      </c>
      <c r="C197" s="23" t="s">
        <v>5187</v>
      </c>
      <c r="D197" s="24" t="s">
        <v>5161</v>
      </c>
      <c r="E197" s="23" t="s">
        <v>5162</v>
      </c>
      <c r="F197" s="23" t="s">
        <v>5163</v>
      </c>
      <c r="G197" s="23" t="s">
        <v>5164</v>
      </c>
      <c r="H197" s="23" t="s">
        <v>5165</v>
      </c>
      <c r="I197" s="23" t="s">
        <v>5166</v>
      </c>
      <c r="J197" s="23" t="s">
        <v>5167</v>
      </c>
      <c r="K197" s="23" t="s">
        <v>5168</v>
      </c>
      <c r="L197" s="25" t="s">
        <v>5169</v>
      </c>
      <c r="M197" s="23" t="s">
        <v>5170</v>
      </c>
      <c r="N197" s="23" t="s">
        <v>5171</v>
      </c>
      <c r="O197" s="26" t="s">
        <v>5172</v>
      </c>
      <c r="P197" s="27" t="s">
        <v>5173</v>
      </c>
      <c r="Q197" s="28" t="s">
        <v>5174</v>
      </c>
      <c r="R197" s="29" t="s">
        <v>5175</v>
      </c>
      <c r="S197" s="30" t="s">
        <v>5176</v>
      </c>
      <c r="T197" s="23" t="s">
        <v>5177</v>
      </c>
      <c r="U197" s="23" t="s">
        <v>5178</v>
      </c>
      <c r="V197" s="23" t="s">
        <v>5179</v>
      </c>
      <c r="W197" s="23" t="s">
        <v>5180</v>
      </c>
      <c r="X197" s="23" t="s">
        <v>5181</v>
      </c>
      <c r="Y197" s="23" t="s">
        <v>5182</v>
      </c>
      <c r="Z197" s="31" t="s">
        <v>5183</v>
      </c>
      <c r="AA197" s="23" t="s">
        <v>5184</v>
      </c>
      <c r="AB197" s="23" t="s">
        <v>5185</v>
      </c>
      <c r="AC197" s="26" t="s">
        <v>5186</v>
      </c>
    </row>
    <row r="198">
      <c r="A198" s="22" t="s">
        <v>1740</v>
      </c>
      <c r="B198" s="23" t="s">
        <v>1740</v>
      </c>
      <c r="C198" s="23" t="s">
        <v>1377</v>
      </c>
      <c r="D198" s="24" t="s">
        <v>1741</v>
      </c>
      <c r="E198" s="23" t="s">
        <v>1742</v>
      </c>
      <c r="F198" s="23" t="s">
        <v>1740</v>
      </c>
      <c r="G198" s="23" t="s">
        <v>1354</v>
      </c>
      <c r="H198" s="23" t="s">
        <v>1743</v>
      </c>
      <c r="I198" s="23" t="s">
        <v>1744</v>
      </c>
      <c r="J198" s="23" t="s">
        <v>1745</v>
      </c>
      <c r="K198" s="23" t="s">
        <v>1746</v>
      </c>
      <c r="L198" s="25" t="s">
        <v>1747</v>
      </c>
      <c r="M198" s="23" t="s">
        <v>1748</v>
      </c>
      <c r="N198" s="23" t="s">
        <v>1749</v>
      </c>
      <c r="O198" s="26" t="s">
        <v>1750</v>
      </c>
      <c r="P198" s="27" t="s">
        <v>1751</v>
      </c>
      <c r="Q198" s="28" t="s">
        <v>1752</v>
      </c>
      <c r="R198" s="29" t="s">
        <v>1365</v>
      </c>
      <c r="S198" s="30" t="s">
        <v>1753</v>
      </c>
      <c r="T198" s="23" t="s">
        <v>1754</v>
      </c>
      <c r="U198" s="23" t="s">
        <v>1748</v>
      </c>
      <c r="V198" s="23" t="s">
        <v>1755</v>
      </c>
      <c r="W198" s="23" t="s">
        <v>1756</v>
      </c>
      <c r="X198" s="23" t="s">
        <v>1749</v>
      </c>
      <c r="Y198" s="23" t="s">
        <v>1372</v>
      </c>
      <c r="Z198" s="31" t="s">
        <v>1757</v>
      </c>
      <c r="AA198" s="23" t="s">
        <v>1758</v>
      </c>
      <c r="AB198" s="23" t="s">
        <v>1759</v>
      </c>
      <c r="AC198" s="26" t="s">
        <v>1760</v>
      </c>
    </row>
    <row r="199">
      <c r="A199" s="22" t="s">
        <v>5188</v>
      </c>
      <c r="B199" s="23" t="s">
        <v>5189</v>
      </c>
      <c r="C199" s="23" t="s">
        <v>5216</v>
      </c>
      <c r="D199" s="24" t="s">
        <v>5190</v>
      </c>
      <c r="E199" s="23" t="s">
        <v>5191</v>
      </c>
      <c r="F199" s="23" t="s">
        <v>5192</v>
      </c>
      <c r="G199" s="23" t="s">
        <v>5193</v>
      </c>
      <c r="H199" s="23" t="s">
        <v>5194</v>
      </c>
      <c r="I199" s="23" t="s">
        <v>5195</v>
      </c>
      <c r="J199" s="23" t="s">
        <v>5196</v>
      </c>
      <c r="K199" s="23" t="s">
        <v>5197</v>
      </c>
      <c r="L199" s="25" t="s">
        <v>5198</v>
      </c>
      <c r="M199" s="23" t="s">
        <v>5199</v>
      </c>
      <c r="N199" s="23" t="s">
        <v>5200</v>
      </c>
      <c r="O199" s="26" t="s">
        <v>5201</v>
      </c>
      <c r="P199" s="27" t="s">
        <v>5202</v>
      </c>
      <c r="Q199" s="28" t="s">
        <v>5203</v>
      </c>
      <c r="R199" s="29" t="s">
        <v>5204</v>
      </c>
      <c r="S199" s="30" t="s">
        <v>5205</v>
      </c>
      <c r="T199" s="23" t="s">
        <v>5206</v>
      </c>
      <c r="U199" s="23" t="s">
        <v>5207</v>
      </c>
      <c r="V199" s="23" t="s">
        <v>5208</v>
      </c>
      <c r="W199" s="23" t="s">
        <v>5209</v>
      </c>
      <c r="X199" s="23" t="s">
        <v>5210</v>
      </c>
      <c r="Y199" s="23" t="s">
        <v>5211</v>
      </c>
      <c r="Z199" s="31" t="s">
        <v>5212</v>
      </c>
      <c r="AA199" s="23" t="s">
        <v>5213</v>
      </c>
      <c r="AB199" s="23" t="s">
        <v>5214</v>
      </c>
      <c r="AC199" s="26" t="s">
        <v>5215</v>
      </c>
    </row>
    <row r="200">
      <c r="A200" s="22" t="s">
        <v>5217</v>
      </c>
      <c r="B200" s="23" t="s">
        <v>5218</v>
      </c>
      <c r="C200" s="23" t="s">
        <v>5245</v>
      </c>
      <c r="D200" s="24" t="s">
        <v>5219</v>
      </c>
      <c r="E200" s="23" t="s">
        <v>5220</v>
      </c>
      <c r="F200" s="23" t="s">
        <v>5221</v>
      </c>
      <c r="G200" s="23" t="s">
        <v>5222</v>
      </c>
      <c r="H200" s="23" t="s">
        <v>5223</v>
      </c>
      <c r="I200" s="23" t="s">
        <v>5224</v>
      </c>
      <c r="J200" s="23" t="s">
        <v>5225</v>
      </c>
      <c r="K200" s="23" t="s">
        <v>5226</v>
      </c>
      <c r="L200" s="25" t="s">
        <v>5227</v>
      </c>
      <c r="M200" s="23" t="s">
        <v>5228</v>
      </c>
      <c r="N200" s="23" t="s">
        <v>5229</v>
      </c>
      <c r="O200" s="26" t="s">
        <v>5230</v>
      </c>
      <c r="P200" s="27" t="s">
        <v>5231</v>
      </c>
      <c r="Q200" s="28" t="s">
        <v>5232</v>
      </c>
      <c r="R200" s="29" t="s">
        <v>5233</v>
      </c>
      <c r="S200" s="30" t="s">
        <v>5234</v>
      </c>
      <c r="T200" s="23" t="s">
        <v>5235</v>
      </c>
      <c r="U200" s="23" t="s">
        <v>5236</v>
      </c>
      <c r="V200" s="23" t="s">
        <v>5237</v>
      </c>
      <c r="W200" s="23" t="s">
        <v>5238</v>
      </c>
      <c r="X200" s="23" t="s">
        <v>5239</v>
      </c>
      <c r="Y200" s="23" t="s">
        <v>5240</v>
      </c>
      <c r="Z200" s="31" t="s">
        <v>5241</v>
      </c>
      <c r="AA200" s="23" t="s">
        <v>5242</v>
      </c>
      <c r="AB200" s="23" t="s">
        <v>5243</v>
      </c>
      <c r="AC200" s="26" t="s">
        <v>5244</v>
      </c>
    </row>
    <row r="201">
      <c r="A201" s="22" t="s">
        <v>5246</v>
      </c>
      <c r="B201" s="23" t="s">
        <v>5247</v>
      </c>
      <c r="C201" s="23" t="s">
        <v>5274</v>
      </c>
      <c r="D201" s="24" t="s">
        <v>5248</v>
      </c>
      <c r="E201" s="23" t="s">
        <v>5249</v>
      </c>
      <c r="F201" s="23" t="s">
        <v>5250</v>
      </c>
      <c r="G201" s="23" t="s">
        <v>5251</v>
      </c>
      <c r="H201" s="23" t="s">
        <v>5252</v>
      </c>
      <c r="I201" s="23" t="s">
        <v>5253</v>
      </c>
      <c r="J201" s="23" t="s">
        <v>5254</v>
      </c>
      <c r="K201" s="23" t="s">
        <v>5255</v>
      </c>
      <c r="L201" s="25" t="s">
        <v>5256</v>
      </c>
      <c r="M201" s="23" t="s">
        <v>5257</v>
      </c>
      <c r="N201" s="23" t="s">
        <v>5258</v>
      </c>
      <c r="O201" s="26" t="s">
        <v>5259</v>
      </c>
      <c r="P201" s="27" t="s">
        <v>5260</v>
      </c>
      <c r="Q201" s="28" t="s">
        <v>5261</v>
      </c>
      <c r="R201" s="29" t="s">
        <v>5262</v>
      </c>
      <c r="S201" s="30" t="s">
        <v>5263</v>
      </c>
      <c r="T201" s="23" t="s">
        <v>5264</v>
      </c>
      <c r="U201" s="23" t="s">
        <v>5265</v>
      </c>
      <c r="V201" s="23" t="s">
        <v>5266</v>
      </c>
      <c r="W201" s="23" t="s">
        <v>5267</v>
      </c>
      <c r="X201" s="23" t="s">
        <v>5268</v>
      </c>
      <c r="Y201" s="23" t="s">
        <v>5269</v>
      </c>
      <c r="Z201" s="31" t="s">
        <v>5270</v>
      </c>
      <c r="AA201" s="23" t="s">
        <v>5271</v>
      </c>
      <c r="AB201" s="23" t="s">
        <v>5272</v>
      </c>
      <c r="AC201" s="26" t="s">
        <v>5273</v>
      </c>
    </row>
    <row r="202">
      <c r="A202" s="22" t="s">
        <v>5275</v>
      </c>
      <c r="B202" s="23" t="s">
        <v>5276</v>
      </c>
      <c r="C202" s="23" t="s">
        <v>5303</v>
      </c>
      <c r="D202" s="24" t="s">
        <v>5277</v>
      </c>
      <c r="E202" s="23" t="s">
        <v>5278</v>
      </c>
      <c r="F202" s="23" t="s">
        <v>5279</v>
      </c>
      <c r="G202" s="23" t="s">
        <v>5280</v>
      </c>
      <c r="H202" s="23" t="s">
        <v>5281</v>
      </c>
      <c r="I202" s="23" t="s">
        <v>5282</v>
      </c>
      <c r="J202" s="23" t="s">
        <v>5283</v>
      </c>
      <c r="K202" s="23" t="s">
        <v>5284</v>
      </c>
      <c r="L202" s="25" t="s">
        <v>5285</v>
      </c>
      <c r="M202" s="23" t="s">
        <v>5286</v>
      </c>
      <c r="N202" s="23" t="s">
        <v>5287</v>
      </c>
      <c r="O202" s="26" t="s">
        <v>5288</v>
      </c>
      <c r="P202" s="27" t="s">
        <v>5289</v>
      </c>
      <c r="Q202" s="28" t="s">
        <v>5290</v>
      </c>
      <c r="R202" s="29" t="s">
        <v>5291</v>
      </c>
      <c r="S202" s="30" t="s">
        <v>5292</v>
      </c>
      <c r="T202" s="23" t="s">
        <v>5293</v>
      </c>
      <c r="U202" s="23" t="s">
        <v>5294</v>
      </c>
      <c r="V202" s="23" t="s">
        <v>5295</v>
      </c>
      <c r="W202" s="23" t="s">
        <v>5296</v>
      </c>
      <c r="X202" s="23" t="s">
        <v>5297</v>
      </c>
      <c r="Y202" s="23" t="s">
        <v>5298</v>
      </c>
      <c r="Z202" s="31" t="s">
        <v>5299</v>
      </c>
      <c r="AA202" s="23" t="s">
        <v>5300</v>
      </c>
      <c r="AB202" s="23" t="s">
        <v>5301</v>
      </c>
      <c r="AC202" s="26" t="s">
        <v>5302</v>
      </c>
    </row>
    <row r="203">
      <c r="A203" s="22" t="s">
        <v>5304</v>
      </c>
      <c r="B203" s="23" t="s">
        <v>5305</v>
      </c>
      <c r="C203" s="23" t="s">
        <v>5332</v>
      </c>
      <c r="D203" s="24" t="s">
        <v>5306</v>
      </c>
      <c r="E203" s="23" t="s">
        <v>5307</v>
      </c>
      <c r="F203" s="23" t="s">
        <v>5308</v>
      </c>
      <c r="G203" s="23" t="s">
        <v>5309</v>
      </c>
      <c r="H203" s="23" t="s">
        <v>5310</v>
      </c>
      <c r="I203" s="23" t="s">
        <v>5311</v>
      </c>
      <c r="J203" s="23" t="s">
        <v>5312</v>
      </c>
      <c r="K203" s="23" t="s">
        <v>5313</v>
      </c>
      <c r="L203" s="23" t="s">
        <v>5314</v>
      </c>
      <c r="M203" s="23" t="s">
        <v>5315</v>
      </c>
      <c r="N203" s="23" t="s">
        <v>5316</v>
      </c>
      <c r="O203" s="26" t="s">
        <v>5317</v>
      </c>
      <c r="P203" s="27" t="s">
        <v>5318</v>
      </c>
      <c r="Q203" s="28" t="s">
        <v>5319</v>
      </c>
      <c r="R203" s="29" t="s">
        <v>5320</v>
      </c>
      <c r="S203" s="30" t="s">
        <v>5321</v>
      </c>
      <c r="T203" s="23" t="s">
        <v>5322</v>
      </c>
      <c r="U203" s="23" t="s">
        <v>5323</v>
      </c>
      <c r="V203" s="23" t="s">
        <v>5324</v>
      </c>
      <c r="W203" s="23" t="s">
        <v>5325</v>
      </c>
      <c r="X203" s="23" t="s">
        <v>5326</v>
      </c>
      <c r="Y203" s="23" t="s">
        <v>5327</v>
      </c>
      <c r="Z203" s="31" t="s">
        <v>5328</v>
      </c>
      <c r="AA203" s="23" t="s">
        <v>5329</v>
      </c>
      <c r="AB203" s="23" t="s">
        <v>5330</v>
      </c>
      <c r="AC203" s="26" t="s">
        <v>5331</v>
      </c>
    </row>
    <row r="204">
      <c r="A204" s="22" t="s">
        <v>5333</v>
      </c>
      <c r="B204" s="23" t="s">
        <v>5334</v>
      </c>
      <c r="C204" s="23" t="s">
        <v>5361</v>
      </c>
      <c r="D204" s="24" t="s">
        <v>5335</v>
      </c>
      <c r="E204" s="23" t="s">
        <v>5336</v>
      </c>
      <c r="F204" s="23" t="s">
        <v>5337</v>
      </c>
      <c r="G204" s="23" t="s">
        <v>5338</v>
      </c>
      <c r="H204" s="23" t="s">
        <v>5339</v>
      </c>
      <c r="I204" s="23" t="s">
        <v>5340</v>
      </c>
      <c r="J204" s="23" t="s">
        <v>5341</v>
      </c>
      <c r="K204" s="23" t="s">
        <v>5342</v>
      </c>
      <c r="L204" s="25" t="s">
        <v>5343</v>
      </c>
      <c r="M204" s="23" t="s">
        <v>5344</v>
      </c>
      <c r="N204" s="23" t="s">
        <v>5345</v>
      </c>
      <c r="O204" s="26" t="s">
        <v>5346</v>
      </c>
      <c r="P204" s="27" t="s">
        <v>5347</v>
      </c>
      <c r="Q204" s="28" t="s">
        <v>5348</v>
      </c>
      <c r="R204" s="29" t="s">
        <v>5349</v>
      </c>
      <c r="S204" s="30" t="s">
        <v>5350</v>
      </c>
      <c r="T204" s="23" t="s">
        <v>5351</v>
      </c>
      <c r="U204" s="23" t="s">
        <v>5352</v>
      </c>
      <c r="V204" s="23" t="s">
        <v>5353</v>
      </c>
      <c r="W204" s="23" t="s">
        <v>5354</v>
      </c>
      <c r="X204" s="23" t="s">
        <v>5355</v>
      </c>
      <c r="Y204" s="23" t="s">
        <v>5356</v>
      </c>
      <c r="Z204" s="31" t="s">
        <v>5357</v>
      </c>
      <c r="AA204" s="23" t="s">
        <v>5358</v>
      </c>
      <c r="AB204" s="23" t="s">
        <v>5359</v>
      </c>
      <c r="AC204" s="26" t="s">
        <v>5360</v>
      </c>
    </row>
    <row r="205">
      <c r="A205" s="22" t="s">
        <v>5362</v>
      </c>
      <c r="B205" s="23" t="s">
        <v>5363</v>
      </c>
      <c r="C205" s="23" t="s">
        <v>5390</v>
      </c>
      <c r="D205" s="24" t="s">
        <v>5364</v>
      </c>
      <c r="E205" s="23" t="s">
        <v>5365</v>
      </c>
      <c r="F205" s="23" t="s">
        <v>5366</v>
      </c>
      <c r="G205" s="23" t="s">
        <v>5367</v>
      </c>
      <c r="H205" s="23" t="s">
        <v>5368</v>
      </c>
      <c r="I205" s="23" t="s">
        <v>5369</v>
      </c>
      <c r="J205" s="23" t="s">
        <v>5370</v>
      </c>
      <c r="K205" s="23" t="s">
        <v>5371</v>
      </c>
      <c r="L205" s="25" t="s">
        <v>5372</v>
      </c>
      <c r="M205" s="23" t="s">
        <v>5373</v>
      </c>
      <c r="N205" s="23" t="s">
        <v>5374</v>
      </c>
      <c r="O205" s="26" t="s">
        <v>5375</v>
      </c>
      <c r="P205" s="27" t="s">
        <v>5376</v>
      </c>
      <c r="Q205" s="28" t="s">
        <v>5377</v>
      </c>
      <c r="R205" s="29" t="s">
        <v>5378</v>
      </c>
      <c r="S205" s="30" t="s">
        <v>5379</v>
      </c>
      <c r="T205" s="23" t="s">
        <v>5380</v>
      </c>
      <c r="U205" s="23" t="s">
        <v>5381</v>
      </c>
      <c r="V205" s="23" t="s">
        <v>5382</v>
      </c>
      <c r="W205" s="23" t="s">
        <v>5383</v>
      </c>
      <c r="X205" s="23" t="s">
        <v>5384</v>
      </c>
      <c r="Y205" s="23" t="s">
        <v>5385</v>
      </c>
      <c r="Z205" s="31" t="s">
        <v>5386</v>
      </c>
      <c r="AA205" s="23" t="s">
        <v>5387</v>
      </c>
      <c r="AB205" s="23" t="s">
        <v>5388</v>
      </c>
      <c r="AC205" s="26" t="s">
        <v>5389</v>
      </c>
    </row>
    <row r="206">
      <c r="A206" s="22" t="s">
        <v>5391</v>
      </c>
      <c r="B206" s="23" t="s">
        <v>5392</v>
      </c>
      <c r="C206" s="23" t="s">
        <v>5419</v>
      </c>
      <c r="D206" s="24" t="s">
        <v>5393</v>
      </c>
      <c r="E206" s="23" t="s">
        <v>5394</v>
      </c>
      <c r="F206" s="23" t="s">
        <v>5395</v>
      </c>
      <c r="G206" s="23" t="s">
        <v>5396</v>
      </c>
      <c r="H206" s="23" t="s">
        <v>5397</v>
      </c>
      <c r="I206" s="23" t="s">
        <v>5398</v>
      </c>
      <c r="J206" s="23" t="s">
        <v>5399</v>
      </c>
      <c r="K206" s="23" t="s">
        <v>5400</v>
      </c>
      <c r="L206" s="25" t="s">
        <v>5401</v>
      </c>
      <c r="M206" s="23" t="s">
        <v>5402</v>
      </c>
      <c r="N206" s="23" t="s">
        <v>5403</v>
      </c>
      <c r="O206" s="26" t="s">
        <v>5404</v>
      </c>
      <c r="P206" s="27" t="s">
        <v>5405</v>
      </c>
      <c r="Q206" s="28" t="s">
        <v>5406</v>
      </c>
      <c r="R206" s="29" t="s">
        <v>5407</v>
      </c>
      <c r="S206" s="30" t="s">
        <v>5408</v>
      </c>
      <c r="T206" s="23" t="s">
        <v>5409</v>
      </c>
      <c r="U206" s="23" t="s">
        <v>5410</v>
      </c>
      <c r="V206" s="23" t="s">
        <v>5411</v>
      </c>
      <c r="W206" s="23" t="s">
        <v>5412</v>
      </c>
      <c r="X206" s="23" t="s">
        <v>5413</v>
      </c>
      <c r="Y206" s="23" t="s">
        <v>5414</v>
      </c>
      <c r="Z206" s="31" t="s">
        <v>5415</v>
      </c>
      <c r="AA206" s="23" t="s">
        <v>5416</v>
      </c>
      <c r="AB206" s="23" t="s">
        <v>5417</v>
      </c>
      <c r="AC206" s="26" t="s">
        <v>5418</v>
      </c>
    </row>
    <row r="207">
      <c r="A207" s="22" t="s">
        <v>5420</v>
      </c>
      <c r="B207" s="23" t="s">
        <v>5421</v>
      </c>
      <c r="C207" s="23" t="s">
        <v>5448</v>
      </c>
      <c r="D207" s="24" t="s">
        <v>5422</v>
      </c>
      <c r="E207" s="23" t="s">
        <v>5423</v>
      </c>
      <c r="F207" s="23" t="s">
        <v>5424</v>
      </c>
      <c r="G207" s="23" t="s">
        <v>5425</v>
      </c>
      <c r="H207" s="23" t="s">
        <v>5426</v>
      </c>
      <c r="I207" s="23" t="s">
        <v>5427</v>
      </c>
      <c r="J207" s="23" t="s">
        <v>5428</v>
      </c>
      <c r="K207" s="23" t="s">
        <v>5429</v>
      </c>
      <c r="L207" s="25" t="s">
        <v>5430</v>
      </c>
      <c r="M207" s="23" t="s">
        <v>5431</v>
      </c>
      <c r="N207" s="23" t="s">
        <v>5432</v>
      </c>
      <c r="O207" s="26" t="s">
        <v>5433</v>
      </c>
      <c r="P207" s="27" t="s">
        <v>5434</v>
      </c>
      <c r="Q207" s="28" t="s">
        <v>5435</v>
      </c>
      <c r="R207" s="29" t="s">
        <v>5436</v>
      </c>
      <c r="S207" s="30" t="s">
        <v>5437</v>
      </c>
      <c r="T207" s="23" t="s">
        <v>5438</v>
      </c>
      <c r="U207" s="23" t="s">
        <v>5439</v>
      </c>
      <c r="V207" s="23" t="s">
        <v>5440</v>
      </c>
      <c r="W207" s="23" t="s">
        <v>5441</v>
      </c>
      <c r="X207" s="23" t="s">
        <v>5442</v>
      </c>
      <c r="Y207" s="23" t="s">
        <v>5443</v>
      </c>
      <c r="Z207" s="31" t="s">
        <v>5444</v>
      </c>
      <c r="AA207" s="23" t="s">
        <v>5445</v>
      </c>
      <c r="AB207" s="23" t="s">
        <v>5446</v>
      </c>
      <c r="AC207" s="26" t="s">
        <v>5447</v>
      </c>
    </row>
    <row r="208">
      <c r="A208" s="22" t="s">
        <v>5449</v>
      </c>
      <c r="B208" s="23" t="s">
        <v>5449</v>
      </c>
      <c r="C208" s="23" t="s">
        <v>5476</v>
      </c>
      <c r="D208" s="24" t="s">
        <v>5450</v>
      </c>
      <c r="E208" s="23" t="s">
        <v>5451</v>
      </c>
      <c r="F208" s="23" t="s">
        <v>5452</v>
      </c>
      <c r="G208" s="23" t="s">
        <v>5453</v>
      </c>
      <c r="H208" s="23" t="s">
        <v>5454</v>
      </c>
      <c r="I208" s="23" t="s">
        <v>5455</v>
      </c>
      <c r="J208" s="23" t="s">
        <v>5456</v>
      </c>
      <c r="K208" s="23" t="s">
        <v>5457</v>
      </c>
      <c r="L208" s="25" t="s">
        <v>5458</v>
      </c>
      <c r="M208" s="23" t="s">
        <v>5459</v>
      </c>
      <c r="N208" s="23" t="s">
        <v>5460</v>
      </c>
      <c r="O208" s="26" t="s">
        <v>5461</v>
      </c>
      <c r="P208" s="27" t="s">
        <v>5462</v>
      </c>
      <c r="Q208" s="28" t="s">
        <v>5463</v>
      </c>
      <c r="R208" s="29" t="s">
        <v>5464</v>
      </c>
      <c r="S208" s="30" t="s">
        <v>5465</v>
      </c>
      <c r="T208" s="23" t="s">
        <v>5466</v>
      </c>
      <c r="U208" s="23" t="s">
        <v>5467</v>
      </c>
      <c r="V208" s="23" t="s">
        <v>5468</v>
      </c>
      <c r="W208" s="23" t="s">
        <v>5469</v>
      </c>
      <c r="X208" s="23" t="s">
        <v>5470</v>
      </c>
      <c r="Y208" s="23" t="s">
        <v>5471</v>
      </c>
      <c r="Z208" s="31" t="s">
        <v>5472</v>
      </c>
      <c r="AA208" s="23" t="s">
        <v>5473</v>
      </c>
      <c r="AB208" s="23" t="s">
        <v>5474</v>
      </c>
      <c r="AC208" s="26" t="s">
        <v>5475</v>
      </c>
    </row>
    <row r="209">
      <c r="A209" s="22" t="s">
        <v>5477</v>
      </c>
      <c r="B209" s="23" t="s">
        <v>5477</v>
      </c>
      <c r="C209" s="23" t="s">
        <v>5501</v>
      </c>
      <c r="D209" s="24" t="s">
        <v>5478</v>
      </c>
      <c r="E209" s="23" t="s">
        <v>5479</v>
      </c>
      <c r="F209" s="23" t="s">
        <v>5480</v>
      </c>
      <c r="G209" s="23" t="s">
        <v>5481</v>
      </c>
      <c r="H209" s="23" t="s">
        <v>5482</v>
      </c>
      <c r="I209" s="23" t="s">
        <v>5483</v>
      </c>
      <c r="J209" s="23" t="s">
        <v>5484</v>
      </c>
      <c r="K209" s="23" t="s">
        <v>5485</v>
      </c>
      <c r="L209" s="25" t="s">
        <v>5486</v>
      </c>
      <c r="M209" s="23" t="s">
        <v>5477</v>
      </c>
      <c r="N209" s="23" t="s">
        <v>5477</v>
      </c>
      <c r="O209" s="26" t="s">
        <v>5487</v>
      </c>
      <c r="P209" s="27" t="s">
        <v>5488</v>
      </c>
      <c r="Q209" s="28" t="s">
        <v>5489</v>
      </c>
      <c r="R209" s="29" t="s">
        <v>5490</v>
      </c>
      <c r="S209" s="30" t="s">
        <v>5491</v>
      </c>
      <c r="T209" s="23" t="s">
        <v>5492</v>
      </c>
      <c r="U209" s="23" t="s">
        <v>5477</v>
      </c>
      <c r="V209" s="23" t="s">
        <v>5493</v>
      </c>
      <c r="W209" s="23" t="s">
        <v>5494</v>
      </c>
      <c r="X209" s="23" t="s">
        <v>5495</v>
      </c>
      <c r="Y209" s="23" t="s">
        <v>5496</v>
      </c>
      <c r="Z209" s="31" t="s">
        <v>5497</v>
      </c>
      <c r="AA209" s="23" t="s">
        <v>5498</v>
      </c>
      <c r="AB209" s="23" t="s">
        <v>5499</v>
      </c>
      <c r="AC209" s="26" t="s">
        <v>5500</v>
      </c>
    </row>
    <row r="210">
      <c r="A210" s="22" t="s">
        <v>5502</v>
      </c>
      <c r="B210" s="23" t="s">
        <v>5502</v>
      </c>
      <c r="C210" s="23" t="s">
        <v>5528</v>
      </c>
      <c r="D210" s="24" t="s">
        <v>5503</v>
      </c>
      <c r="E210" s="23" t="s">
        <v>5504</v>
      </c>
      <c r="F210" s="23" t="s">
        <v>5505</v>
      </c>
      <c r="G210" s="23" t="s">
        <v>5506</v>
      </c>
      <c r="H210" s="23" t="s">
        <v>5507</v>
      </c>
      <c r="I210" s="23" t="s">
        <v>5508</v>
      </c>
      <c r="J210" s="23" t="s">
        <v>5509</v>
      </c>
      <c r="K210" s="23" t="s">
        <v>5510</v>
      </c>
      <c r="L210" s="25" t="s">
        <v>5511</v>
      </c>
      <c r="M210" s="23" t="s">
        <v>5512</v>
      </c>
      <c r="N210" s="23" t="s">
        <v>5513</v>
      </c>
      <c r="O210" s="26" t="s">
        <v>5514</v>
      </c>
      <c r="P210" s="27" t="s">
        <v>5515</v>
      </c>
      <c r="Q210" s="28" t="s">
        <v>5516</v>
      </c>
      <c r="R210" s="29" t="s">
        <v>5517</v>
      </c>
      <c r="S210" s="30" t="s">
        <v>5518</v>
      </c>
      <c r="T210" s="23" t="s">
        <v>5519</v>
      </c>
      <c r="U210" s="23" t="s">
        <v>5520</v>
      </c>
      <c r="V210" s="23" t="s">
        <v>5521</v>
      </c>
      <c r="W210" s="23" t="s">
        <v>5522</v>
      </c>
      <c r="X210" s="23" t="s">
        <v>5507</v>
      </c>
      <c r="Y210" s="23" t="s">
        <v>5523</v>
      </c>
      <c r="Z210" s="31" t="s">
        <v>5524</v>
      </c>
      <c r="AA210" s="23" t="s">
        <v>5525</v>
      </c>
      <c r="AB210" s="23" t="s">
        <v>5526</v>
      </c>
      <c r="AC210" s="26" t="s">
        <v>5527</v>
      </c>
    </row>
    <row r="211">
      <c r="A211" s="22" t="s">
        <v>5529</v>
      </c>
      <c r="B211" s="23" t="s">
        <v>5530</v>
      </c>
      <c r="C211" s="23" t="s">
        <v>5557</v>
      </c>
      <c r="D211" s="24" t="s">
        <v>5531</v>
      </c>
      <c r="E211" s="23" t="s">
        <v>5532</v>
      </c>
      <c r="F211" s="23" t="s">
        <v>5533</v>
      </c>
      <c r="G211" s="23" t="s">
        <v>5534</v>
      </c>
      <c r="H211" s="23" t="s">
        <v>5535</v>
      </c>
      <c r="I211" s="23" t="s">
        <v>5536</v>
      </c>
      <c r="J211" s="23" t="s">
        <v>5537</v>
      </c>
      <c r="K211" s="23" t="s">
        <v>5538</v>
      </c>
      <c r="L211" s="25" t="s">
        <v>5539</v>
      </c>
      <c r="M211" s="23" t="s">
        <v>5540</v>
      </c>
      <c r="N211" s="23" t="s">
        <v>5541</v>
      </c>
      <c r="O211" s="26" t="s">
        <v>5542</v>
      </c>
      <c r="P211" s="27" t="s">
        <v>5543</v>
      </c>
      <c r="Q211" s="28" t="s">
        <v>5544</v>
      </c>
      <c r="R211" s="29" t="s">
        <v>5545</v>
      </c>
      <c r="S211" s="30" t="s">
        <v>5546</v>
      </c>
      <c r="T211" s="23" t="s">
        <v>5547</v>
      </c>
      <c r="U211" s="23" t="s">
        <v>5548</v>
      </c>
      <c r="V211" s="23" t="s">
        <v>5549</v>
      </c>
      <c r="W211" s="23" t="s">
        <v>5550</v>
      </c>
      <c r="X211" s="23" t="s">
        <v>5551</v>
      </c>
      <c r="Y211" s="23" t="s">
        <v>5552</v>
      </c>
      <c r="Z211" s="31" t="s">
        <v>5553</v>
      </c>
      <c r="AA211" s="23" t="s">
        <v>5554</v>
      </c>
      <c r="AB211" s="23" t="s">
        <v>5555</v>
      </c>
      <c r="AC211" s="26" t="s">
        <v>5556</v>
      </c>
    </row>
    <row r="212">
      <c r="A212" s="22" t="s">
        <v>5558</v>
      </c>
      <c r="B212" s="23" t="s">
        <v>5559</v>
      </c>
      <c r="C212" s="23" t="s">
        <v>5586</v>
      </c>
      <c r="D212" s="24" t="s">
        <v>5560</v>
      </c>
      <c r="E212" s="23" t="s">
        <v>5561</v>
      </c>
      <c r="F212" s="23" t="s">
        <v>5562</v>
      </c>
      <c r="G212" s="23" t="s">
        <v>5563</v>
      </c>
      <c r="H212" s="23" t="s">
        <v>5564</v>
      </c>
      <c r="I212" s="23" t="s">
        <v>5565</v>
      </c>
      <c r="J212" s="23" t="s">
        <v>5566</v>
      </c>
      <c r="K212" s="23" t="s">
        <v>5567</v>
      </c>
      <c r="L212" s="25" t="s">
        <v>5568</v>
      </c>
      <c r="M212" s="23" t="s">
        <v>5569</v>
      </c>
      <c r="N212" s="23" t="s">
        <v>5570</v>
      </c>
      <c r="O212" s="26" t="s">
        <v>5571</v>
      </c>
      <c r="P212" s="27" t="s">
        <v>5572</v>
      </c>
      <c r="Q212" s="28" t="s">
        <v>5573</v>
      </c>
      <c r="R212" s="29" t="s">
        <v>5574</v>
      </c>
      <c r="S212" s="30" t="s">
        <v>5575</v>
      </c>
      <c r="T212" s="23" t="s">
        <v>5576</v>
      </c>
      <c r="U212" s="23" t="s">
        <v>5577</v>
      </c>
      <c r="V212" s="23" t="s">
        <v>5578</v>
      </c>
      <c r="W212" s="23" t="s">
        <v>5579</v>
      </c>
      <c r="X212" s="23" t="s">
        <v>5580</v>
      </c>
      <c r="Y212" s="23" t="s">
        <v>5581</v>
      </c>
      <c r="Z212" s="31" t="s">
        <v>5582</v>
      </c>
      <c r="AA212" s="23" t="s">
        <v>5583</v>
      </c>
      <c r="AB212" s="23" t="s">
        <v>5584</v>
      </c>
      <c r="AC212" s="26" t="s">
        <v>5585</v>
      </c>
    </row>
    <row r="213">
      <c r="A213" s="22" t="s">
        <v>5587</v>
      </c>
      <c r="B213" s="23" t="s">
        <v>5587</v>
      </c>
      <c r="C213" s="23" t="s">
        <v>5613</v>
      </c>
      <c r="D213" s="24" t="s">
        <v>5588</v>
      </c>
      <c r="E213" s="23" t="s">
        <v>5589</v>
      </c>
      <c r="F213" s="23" t="s">
        <v>5590</v>
      </c>
      <c r="G213" s="23" t="s">
        <v>5591</v>
      </c>
      <c r="H213" s="23" t="s">
        <v>5592</v>
      </c>
      <c r="I213" s="23" t="s">
        <v>5593</v>
      </c>
      <c r="J213" s="23" t="s">
        <v>5594</v>
      </c>
      <c r="K213" s="23" t="s">
        <v>5595</v>
      </c>
      <c r="L213" s="25" t="s">
        <v>5596</v>
      </c>
      <c r="M213" s="23" t="s">
        <v>5597</v>
      </c>
      <c r="N213" s="23" t="s">
        <v>5598</v>
      </c>
      <c r="O213" s="26" t="s">
        <v>5599</v>
      </c>
      <c r="P213" s="27" t="s">
        <v>5600</v>
      </c>
      <c r="Q213" s="28" t="s">
        <v>5601</v>
      </c>
      <c r="R213" s="29" t="s">
        <v>5602</v>
      </c>
      <c r="S213" s="30" t="s">
        <v>5603</v>
      </c>
      <c r="T213" s="23" t="s">
        <v>5604</v>
      </c>
      <c r="U213" s="23" t="s">
        <v>5605</v>
      </c>
      <c r="V213" s="23" t="s">
        <v>5606</v>
      </c>
      <c r="W213" s="23" t="s">
        <v>5607</v>
      </c>
      <c r="X213" s="23" t="s">
        <v>5592</v>
      </c>
      <c r="Y213" s="23" t="s">
        <v>5608</v>
      </c>
      <c r="Z213" s="31" t="s">
        <v>5609</v>
      </c>
      <c r="AA213" s="23" t="s">
        <v>5610</v>
      </c>
      <c r="AB213" s="23" t="s">
        <v>5611</v>
      </c>
      <c r="AC213" s="26" t="s">
        <v>5612</v>
      </c>
    </row>
    <row r="214">
      <c r="A214" s="22" t="s">
        <v>5614</v>
      </c>
      <c r="B214" s="23" t="s">
        <v>5614</v>
      </c>
      <c r="C214" s="23" t="s">
        <v>5639</v>
      </c>
      <c r="D214" s="24" t="s">
        <v>5615</v>
      </c>
      <c r="E214" s="23" t="s">
        <v>5616</v>
      </c>
      <c r="F214" s="23" t="s">
        <v>5617</v>
      </c>
      <c r="G214" s="23" t="s">
        <v>5618</v>
      </c>
      <c r="H214" s="23" t="s">
        <v>5619</v>
      </c>
      <c r="I214" s="23" t="s">
        <v>5620</v>
      </c>
      <c r="J214" s="23" t="s">
        <v>5621</v>
      </c>
      <c r="K214" s="23" t="s">
        <v>5622</v>
      </c>
      <c r="L214" s="25" t="s">
        <v>5623</v>
      </c>
      <c r="M214" s="23" t="s">
        <v>5624</v>
      </c>
      <c r="N214" s="23" t="s">
        <v>5625</v>
      </c>
      <c r="O214" s="26" t="s">
        <v>5626</v>
      </c>
      <c r="P214" s="27" t="s">
        <v>5627</v>
      </c>
      <c r="Q214" s="28" t="s">
        <v>5628</v>
      </c>
      <c r="R214" s="29" t="s">
        <v>5629</v>
      </c>
      <c r="S214" s="30" t="s">
        <v>5630</v>
      </c>
      <c r="T214" s="23" t="s">
        <v>5631</v>
      </c>
      <c r="U214" s="23" t="s">
        <v>5624</v>
      </c>
      <c r="V214" s="23" t="s">
        <v>5632</v>
      </c>
      <c r="W214" s="23" t="s">
        <v>5616</v>
      </c>
      <c r="X214" s="23" t="s">
        <v>5633</v>
      </c>
      <c r="Y214" s="23" t="s">
        <v>5634</v>
      </c>
      <c r="Z214" s="31" t="s">
        <v>5635</v>
      </c>
      <c r="AA214" s="23" t="s">
        <v>5636</v>
      </c>
      <c r="AB214" s="23" t="s">
        <v>5637</v>
      </c>
      <c r="AC214" s="26" t="s">
        <v>5638</v>
      </c>
    </row>
    <row r="215">
      <c r="A215" s="22" t="s">
        <v>5640</v>
      </c>
      <c r="B215" s="23" t="s">
        <v>5641</v>
      </c>
      <c r="C215" s="23" t="s">
        <v>5668</v>
      </c>
      <c r="D215" s="24" t="s">
        <v>5642</v>
      </c>
      <c r="E215" s="23" t="s">
        <v>5643</v>
      </c>
      <c r="F215" s="23" t="s">
        <v>5644</v>
      </c>
      <c r="G215" s="23" t="s">
        <v>5645</v>
      </c>
      <c r="H215" s="23" t="s">
        <v>5646</v>
      </c>
      <c r="I215" s="23" t="s">
        <v>5647</v>
      </c>
      <c r="J215" s="23" t="s">
        <v>5648</v>
      </c>
      <c r="K215" s="23" t="s">
        <v>5649</v>
      </c>
      <c r="L215" s="25" t="s">
        <v>5650</v>
      </c>
      <c r="M215" s="23" t="s">
        <v>5651</v>
      </c>
      <c r="N215" s="23" t="s">
        <v>5652</v>
      </c>
      <c r="O215" s="26" t="s">
        <v>5653</v>
      </c>
      <c r="P215" s="27" t="s">
        <v>5654</v>
      </c>
      <c r="Q215" s="28" t="s">
        <v>5655</v>
      </c>
      <c r="R215" s="29" t="s">
        <v>5656</v>
      </c>
      <c r="S215" s="30" t="s">
        <v>5657</v>
      </c>
      <c r="T215" s="23" t="s">
        <v>5658</v>
      </c>
      <c r="U215" s="23" t="s">
        <v>5659</v>
      </c>
      <c r="V215" s="23" t="s">
        <v>5660</v>
      </c>
      <c r="W215" s="23" t="s">
        <v>5661</v>
      </c>
      <c r="X215" s="23" t="s">
        <v>5662</v>
      </c>
      <c r="Y215" s="23" t="s">
        <v>5663</v>
      </c>
      <c r="Z215" s="31" t="s">
        <v>5664</v>
      </c>
      <c r="AA215" s="23" t="s">
        <v>5665</v>
      </c>
      <c r="AB215" s="23" t="s">
        <v>5666</v>
      </c>
      <c r="AC215" s="26" t="s">
        <v>5667</v>
      </c>
    </row>
    <row r="216">
      <c r="A216" s="22" t="s">
        <v>5669</v>
      </c>
      <c r="B216" s="23" t="s">
        <v>5670</v>
      </c>
      <c r="C216" s="23" t="s">
        <v>5697</v>
      </c>
      <c r="D216" s="24" t="s">
        <v>5671</v>
      </c>
      <c r="E216" s="23" t="s">
        <v>5672</v>
      </c>
      <c r="F216" s="23" t="s">
        <v>5673</v>
      </c>
      <c r="G216" s="23" t="s">
        <v>5674</v>
      </c>
      <c r="H216" s="23" t="s">
        <v>5675</v>
      </c>
      <c r="I216" s="23" t="s">
        <v>5676</v>
      </c>
      <c r="J216" s="23" t="s">
        <v>5677</v>
      </c>
      <c r="K216" s="23" t="s">
        <v>5678</v>
      </c>
      <c r="L216" s="23" t="s">
        <v>5679</v>
      </c>
      <c r="M216" s="23" t="s">
        <v>5680</v>
      </c>
      <c r="N216" s="23" t="s">
        <v>5681</v>
      </c>
      <c r="O216" s="23" t="s">
        <v>5682</v>
      </c>
      <c r="P216" s="27" t="s">
        <v>5683</v>
      </c>
      <c r="Q216" s="23" t="s">
        <v>5684</v>
      </c>
      <c r="R216" s="23" t="s">
        <v>5685</v>
      </c>
      <c r="S216" s="30" t="s">
        <v>5686</v>
      </c>
      <c r="T216" s="23" t="s">
        <v>5687</v>
      </c>
      <c r="U216" s="23" t="s">
        <v>5688</v>
      </c>
      <c r="V216" s="23" t="s">
        <v>5689</v>
      </c>
      <c r="W216" s="23" t="s">
        <v>5690</v>
      </c>
      <c r="X216" s="23" t="s">
        <v>5691</v>
      </c>
      <c r="Y216" s="23" t="s">
        <v>5692</v>
      </c>
      <c r="Z216" s="31" t="s">
        <v>5693</v>
      </c>
      <c r="AA216" s="23" t="s">
        <v>5694</v>
      </c>
      <c r="AB216" s="23" t="s">
        <v>5695</v>
      </c>
      <c r="AC216" s="26" t="s">
        <v>5696</v>
      </c>
    </row>
    <row r="217">
      <c r="A217" s="22" t="s">
        <v>5698</v>
      </c>
      <c r="B217" s="23" t="s">
        <v>5699</v>
      </c>
      <c r="C217" s="23" t="s">
        <v>5708</v>
      </c>
      <c r="D217" s="23" t="s">
        <v>5699</v>
      </c>
      <c r="E217" s="23" t="s">
        <v>5699</v>
      </c>
      <c r="F217" s="23" t="s">
        <v>5699</v>
      </c>
      <c r="G217" s="23" t="s">
        <v>5700</v>
      </c>
      <c r="H217" s="23" t="s">
        <v>5699</v>
      </c>
      <c r="I217" s="23" t="s">
        <v>5699</v>
      </c>
      <c r="J217" s="23" t="s">
        <v>5699</v>
      </c>
      <c r="K217" s="23" t="s">
        <v>5699</v>
      </c>
      <c r="L217" s="25" t="s">
        <v>5701</v>
      </c>
      <c r="M217" s="23" t="s">
        <v>5699</v>
      </c>
      <c r="N217" s="23" t="s">
        <v>5699</v>
      </c>
      <c r="O217" s="23" t="s">
        <v>5702</v>
      </c>
      <c r="P217" s="27" t="s">
        <v>5703</v>
      </c>
      <c r="Q217" s="28" t="s">
        <v>5704</v>
      </c>
      <c r="R217" s="23" t="s">
        <v>5705</v>
      </c>
      <c r="S217" s="23" t="s">
        <v>5699</v>
      </c>
      <c r="T217" s="23" t="s">
        <v>5706</v>
      </c>
      <c r="U217" s="23" t="s">
        <v>5699</v>
      </c>
      <c r="V217" s="23" t="s">
        <v>5699</v>
      </c>
      <c r="W217" s="23" t="s">
        <v>5699</v>
      </c>
      <c r="X217" s="23" t="s">
        <v>5699</v>
      </c>
      <c r="Y217" s="23" t="s">
        <v>5699</v>
      </c>
      <c r="Z217" s="31" t="s">
        <v>5707</v>
      </c>
      <c r="AA217" s="23" t="s">
        <v>5699</v>
      </c>
      <c r="AB217" s="23" t="s">
        <v>5699</v>
      </c>
      <c r="AC217" s="23" t="s">
        <v>5699</v>
      </c>
    </row>
    <row r="218">
      <c r="A218" s="22" t="s">
        <v>5709</v>
      </c>
      <c r="B218" s="23" t="s">
        <v>5710</v>
      </c>
      <c r="C218" s="23" t="s">
        <v>5737</v>
      </c>
      <c r="D218" s="24" t="s">
        <v>5711</v>
      </c>
      <c r="E218" s="23" t="s">
        <v>5712</v>
      </c>
      <c r="F218" s="23" t="s">
        <v>5713</v>
      </c>
      <c r="G218" s="23" t="s">
        <v>5714</v>
      </c>
      <c r="H218" s="23" t="s">
        <v>5715</v>
      </c>
      <c r="I218" s="23" t="s">
        <v>5716</v>
      </c>
      <c r="J218" s="23" t="s">
        <v>5717</v>
      </c>
      <c r="K218" s="23" t="s">
        <v>5718</v>
      </c>
      <c r="L218" s="25" t="s">
        <v>5719</v>
      </c>
      <c r="M218" s="23" t="s">
        <v>5720</v>
      </c>
      <c r="N218" s="23" t="s">
        <v>5721</v>
      </c>
      <c r="O218" s="26" t="s">
        <v>5722</v>
      </c>
      <c r="P218" s="27" t="s">
        <v>5723</v>
      </c>
      <c r="Q218" s="28" t="s">
        <v>5724</v>
      </c>
      <c r="R218" s="29" t="s">
        <v>5725</v>
      </c>
      <c r="S218" s="30" t="s">
        <v>5726</v>
      </c>
      <c r="T218" s="23" t="s">
        <v>5727</v>
      </c>
      <c r="U218" s="23" t="s">
        <v>5728</v>
      </c>
      <c r="V218" s="23" t="s">
        <v>5729</v>
      </c>
      <c r="W218" s="23" t="s">
        <v>5730</v>
      </c>
      <c r="X218" s="23" t="s">
        <v>5731</v>
      </c>
      <c r="Y218" s="23" t="s">
        <v>5732</v>
      </c>
      <c r="Z218" s="31" t="s">
        <v>5733</v>
      </c>
      <c r="AA218" s="23" t="s">
        <v>5734</v>
      </c>
      <c r="AB218" s="23" t="s">
        <v>5735</v>
      </c>
      <c r="AC218" s="26" t="s">
        <v>5736</v>
      </c>
    </row>
    <row r="219">
      <c r="A219" s="22" t="s">
        <v>5738</v>
      </c>
      <c r="B219" s="23" t="s">
        <v>5739</v>
      </c>
      <c r="C219" s="23" t="s">
        <v>5765</v>
      </c>
      <c r="D219" s="24" t="s">
        <v>5740</v>
      </c>
      <c r="E219" s="23" t="s">
        <v>5741</v>
      </c>
      <c r="F219" s="23" t="s">
        <v>5742</v>
      </c>
      <c r="G219" s="23" t="s">
        <v>5743</v>
      </c>
      <c r="H219" s="23" t="s">
        <v>5744</v>
      </c>
      <c r="I219" s="23" t="s">
        <v>5745</v>
      </c>
      <c r="J219" s="23" t="s">
        <v>5746</v>
      </c>
      <c r="K219" s="23" t="s">
        <v>5747</v>
      </c>
      <c r="L219" s="23" t="s">
        <v>5748</v>
      </c>
      <c r="M219" s="23" t="s">
        <v>5749</v>
      </c>
      <c r="N219" s="23" t="s">
        <v>5750</v>
      </c>
      <c r="O219" s="23" t="s">
        <v>5751</v>
      </c>
      <c r="P219" s="27" t="s">
        <v>5752</v>
      </c>
      <c r="Q219" s="28" t="s">
        <v>5753</v>
      </c>
      <c r="R219" s="23" t="s">
        <v>5754</v>
      </c>
      <c r="S219" s="30" t="s">
        <v>5755</v>
      </c>
      <c r="T219" s="23" t="s">
        <v>5756</v>
      </c>
      <c r="U219" s="23" t="s">
        <v>5749</v>
      </c>
      <c r="V219" s="23" t="s">
        <v>5757</v>
      </c>
      <c r="W219" s="23" t="s">
        <v>5758</v>
      </c>
      <c r="X219" s="23" t="s">
        <v>5759</v>
      </c>
      <c r="Y219" s="23" t="s">
        <v>5760</v>
      </c>
      <c r="Z219" s="31" t="s">
        <v>5761</v>
      </c>
      <c r="AA219" s="23" t="s">
        <v>5762</v>
      </c>
      <c r="AB219" s="23" t="s">
        <v>5763</v>
      </c>
      <c r="AC219" s="26" t="s">
        <v>5764</v>
      </c>
    </row>
    <row r="220">
      <c r="A220" s="22" t="s">
        <v>5766</v>
      </c>
      <c r="B220" s="23" t="s">
        <v>5766</v>
      </c>
      <c r="C220" s="23" t="s">
        <v>5792</v>
      </c>
      <c r="D220" s="24" t="s">
        <v>5767</v>
      </c>
      <c r="E220" s="23" t="s">
        <v>5768</v>
      </c>
      <c r="F220" s="23" t="s">
        <v>5769</v>
      </c>
      <c r="G220" s="23" t="s">
        <v>5770</v>
      </c>
      <c r="H220" s="23" t="s">
        <v>5771</v>
      </c>
      <c r="I220" s="23" t="s">
        <v>5772</v>
      </c>
      <c r="J220" s="23" t="s">
        <v>5773</v>
      </c>
      <c r="K220" s="23" t="s">
        <v>5774</v>
      </c>
      <c r="L220" s="25" t="s">
        <v>5775</v>
      </c>
      <c r="M220" s="23" t="s">
        <v>5776</v>
      </c>
      <c r="N220" s="23" t="s">
        <v>5777</v>
      </c>
      <c r="O220" s="26" t="s">
        <v>5778</v>
      </c>
      <c r="P220" s="27" t="s">
        <v>5779</v>
      </c>
      <c r="Q220" s="28" t="s">
        <v>5780</v>
      </c>
      <c r="R220" s="29" t="s">
        <v>5781</v>
      </c>
      <c r="S220" s="30" t="s">
        <v>5782</v>
      </c>
      <c r="T220" s="23" t="s">
        <v>5783</v>
      </c>
      <c r="U220" s="23" t="s">
        <v>5784</v>
      </c>
      <c r="V220" s="23" t="s">
        <v>5785</v>
      </c>
      <c r="W220" s="23" t="s">
        <v>5786</v>
      </c>
      <c r="X220" s="23" t="s">
        <v>5787</v>
      </c>
      <c r="Y220" s="23" t="s">
        <v>5788</v>
      </c>
      <c r="Z220" s="31" t="s">
        <v>5789</v>
      </c>
      <c r="AA220" s="23" t="s">
        <v>5790</v>
      </c>
      <c r="AB220" s="23" t="s">
        <v>5791</v>
      </c>
      <c r="AC220" s="26" t="s">
        <v>5778</v>
      </c>
    </row>
    <row r="221">
      <c r="A221" s="22" t="s">
        <v>5793</v>
      </c>
      <c r="B221" s="23" t="s">
        <v>5794</v>
      </c>
      <c r="C221" s="23" t="s">
        <v>5821</v>
      </c>
      <c r="D221" s="24" t="s">
        <v>5795</v>
      </c>
      <c r="E221" s="23" t="s">
        <v>5796</v>
      </c>
      <c r="F221" s="23" t="s">
        <v>5797</v>
      </c>
      <c r="G221" s="23" t="s">
        <v>5798</v>
      </c>
      <c r="H221" s="23" t="s">
        <v>5799</v>
      </c>
      <c r="I221" s="23" t="s">
        <v>5800</v>
      </c>
      <c r="J221" s="23" t="s">
        <v>5801</v>
      </c>
      <c r="K221" s="23" t="s">
        <v>5802</v>
      </c>
      <c r="L221" s="25" t="s">
        <v>5803</v>
      </c>
      <c r="M221" s="23" t="s">
        <v>5804</v>
      </c>
      <c r="N221" s="23" t="s">
        <v>5805</v>
      </c>
      <c r="O221" s="26" t="s">
        <v>5806</v>
      </c>
      <c r="P221" s="27" t="s">
        <v>5807</v>
      </c>
      <c r="Q221" s="28" t="s">
        <v>5808</v>
      </c>
      <c r="R221" s="29" t="s">
        <v>5809</v>
      </c>
      <c r="S221" s="30" t="s">
        <v>5810</v>
      </c>
      <c r="T221" s="23" t="s">
        <v>5811</v>
      </c>
      <c r="U221" s="23" t="s">
        <v>5812</v>
      </c>
      <c r="V221" s="23" t="s">
        <v>5813</v>
      </c>
      <c r="W221" s="23" t="s">
        <v>5814</v>
      </c>
      <c r="X221" s="23" t="s">
        <v>5815</v>
      </c>
      <c r="Y221" s="23" t="s">
        <v>5816</v>
      </c>
      <c r="Z221" s="31" t="s">
        <v>5817</v>
      </c>
      <c r="AA221" s="23" t="s">
        <v>5818</v>
      </c>
      <c r="AB221" s="23" t="s">
        <v>5819</v>
      </c>
      <c r="AC221" s="26" t="s">
        <v>5820</v>
      </c>
    </row>
    <row r="222">
      <c r="A222" s="22" t="s">
        <v>5822</v>
      </c>
      <c r="B222" s="23" t="s">
        <v>5823</v>
      </c>
      <c r="C222" s="23" t="s">
        <v>5850</v>
      </c>
      <c r="D222" s="24" t="s">
        <v>5824</v>
      </c>
      <c r="E222" s="23" t="s">
        <v>5825</v>
      </c>
      <c r="F222" s="23" t="s">
        <v>5826</v>
      </c>
      <c r="G222" s="23" t="s">
        <v>5827</v>
      </c>
      <c r="H222" s="23" t="s">
        <v>5828</v>
      </c>
      <c r="I222" s="23" t="s">
        <v>5829</v>
      </c>
      <c r="J222" s="23" t="s">
        <v>5830</v>
      </c>
      <c r="K222" s="23" t="s">
        <v>5831</v>
      </c>
      <c r="L222" s="25" t="s">
        <v>5832</v>
      </c>
      <c r="M222" s="23" t="s">
        <v>5833</v>
      </c>
      <c r="N222" s="23" t="s">
        <v>5834</v>
      </c>
      <c r="O222" s="26" t="s">
        <v>5835</v>
      </c>
      <c r="P222" s="27" t="s">
        <v>5836</v>
      </c>
      <c r="Q222" s="28" t="s">
        <v>5837</v>
      </c>
      <c r="R222" s="29" t="s">
        <v>5838</v>
      </c>
      <c r="S222" s="30" t="s">
        <v>5839</v>
      </c>
      <c r="T222" s="23" t="s">
        <v>5840</v>
      </c>
      <c r="U222" s="23" t="s">
        <v>5841</v>
      </c>
      <c r="V222" s="23" t="s">
        <v>5842</v>
      </c>
      <c r="W222" s="23" t="s">
        <v>5843</v>
      </c>
      <c r="X222" s="23" t="s">
        <v>5844</v>
      </c>
      <c r="Y222" s="23" t="s">
        <v>5845</v>
      </c>
      <c r="Z222" s="31" t="s">
        <v>5846</v>
      </c>
      <c r="AA222" s="23" t="s">
        <v>5847</v>
      </c>
      <c r="AB222" s="23" t="s">
        <v>5848</v>
      </c>
      <c r="AC222" s="26" t="s">
        <v>5849</v>
      </c>
    </row>
    <row r="223">
      <c r="A223" s="22" t="s">
        <v>5851</v>
      </c>
      <c r="B223" s="23" t="s">
        <v>5852</v>
      </c>
      <c r="C223" s="23" t="s">
        <v>5879</v>
      </c>
      <c r="D223" s="24" t="s">
        <v>5853</v>
      </c>
      <c r="E223" s="23" t="s">
        <v>5854</v>
      </c>
      <c r="F223" s="23" t="s">
        <v>5855</v>
      </c>
      <c r="G223" s="23" t="s">
        <v>5856</v>
      </c>
      <c r="H223" s="23" t="s">
        <v>5857</v>
      </c>
      <c r="I223" s="23" t="s">
        <v>5858</v>
      </c>
      <c r="J223" s="23" t="s">
        <v>5859</v>
      </c>
      <c r="K223" s="23" t="s">
        <v>5860</v>
      </c>
      <c r="L223" s="25" t="s">
        <v>5861</v>
      </c>
      <c r="M223" s="23" t="s">
        <v>5862</v>
      </c>
      <c r="N223" s="23" t="s">
        <v>5863</v>
      </c>
      <c r="O223" s="26" t="s">
        <v>5864</v>
      </c>
      <c r="P223" s="27" t="s">
        <v>5865</v>
      </c>
      <c r="Q223" s="28" t="s">
        <v>5866</v>
      </c>
      <c r="R223" s="29" t="s">
        <v>5867</v>
      </c>
      <c r="S223" s="30" t="s">
        <v>5868</v>
      </c>
      <c r="T223" s="23" t="s">
        <v>5869</v>
      </c>
      <c r="U223" s="23" t="s">
        <v>5870</v>
      </c>
      <c r="V223" s="23" t="s">
        <v>5871</v>
      </c>
      <c r="W223" s="23" t="s">
        <v>5872</v>
      </c>
      <c r="X223" s="23" t="s">
        <v>5873</v>
      </c>
      <c r="Y223" s="23" t="s">
        <v>5874</v>
      </c>
      <c r="Z223" s="31" t="s">
        <v>5875</v>
      </c>
      <c r="AA223" s="23" t="s">
        <v>5876</v>
      </c>
      <c r="AB223" s="23" t="s">
        <v>5877</v>
      </c>
      <c r="AC223" s="26" t="s">
        <v>5878</v>
      </c>
    </row>
    <row r="224">
      <c r="A224" s="22" t="s">
        <v>5880</v>
      </c>
      <c r="B224" s="23" t="s">
        <v>5881</v>
      </c>
      <c r="C224" s="23" t="s">
        <v>5908</v>
      </c>
      <c r="D224" s="24" t="s">
        <v>5882</v>
      </c>
      <c r="E224" s="23" t="s">
        <v>5883</v>
      </c>
      <c r="F224" s="23" t="s">
        <v>5884</v>
      </c>
      <c r="G224" s="23" t="s">
        <v>5885</v>
      </c>
      <c r="H224" s="23" t="s">
        <v>5886</v>
      </c>
      <c r="I224" s="23" t="s">
        <v>5887</v>
      </c>
      <c r="J224" s="23" t="s">
        <v>5888</v>
      </c>
      <c r="K224" s="23" t="s">
        <v>5889</v>
      </c>
      <c r="L224" s="25" t="s">
        <v>5890</v>
      </c>
      <c r="M224" s="23" t="s">
        <v>5891</v>
      </c>
      <c r="N224" s="23" t="s">
        <v>5892</v>
      </c>
      <c r="O224" s="26" t="s">
        <v>5893</v>
      </c>
      <c r="P224" s="27" t="s">
        <v>5894</v>
      </c>
      <c r="Q224" s="28" t="s">
        <v>5895</v>
      </c>
      <c r="R224" s="29" t="s">
        <v>5896</v>
      </c>
      <c r="S224" s="30" t="s">
        <v>5897</v>
      </c>
      <c r="T224" s="23" t="s">
        <v>5898</v>
      </c>
      <c r="U224" s="23" t="s">
        <v>5899</v>
      </c>
      <c r="V224" s="23" t="s">
        <v>5900</v>
      </c>
      <c r="W224" s="23" t="s">
        <v>5901</v>
      </c>
      <c r="X224" s="23" t="s">
        <v>5902</v>
      </c>
      <c r="Y224" s="23" t="s">
        <v>5903</v>
      </c>
      <c r="Z224" s="31" t="s">
        <v>5904</v>
      </c>
      <c r="AA224" s="23" t="s">
        <v>5905</v>
      </c>
      <c r="AB224" s="23" t="s">
        <v>5906</v>
      </c>
      <c r="AC224" s="26" t="s">
        <v>5907</v>
      </c>
    </row>
    <row r="225">
      <c r="A225" s="22" t="s">
        <v>5909</v>
      </c>
      <c r="B225" s="23" t="s">
        <v>5910</v>
      </c>
      <c r="C225" s="23" t="s">
        <v>5937</v>
      </c>
      <c r="D225" s="24" t="s">
        <v>5911</v>
      </c>
      <c r="E225" s="23" t="s">
        <v>5912</v>
      </c>
      <c r="F225" s="23" t="s">
        <v>5913</v>
      </c>
      <c r="G225" s="23" t="s">
        <v>5914</v>
      </c>
      <c r="H225" s="23" t="s">
        <v>5915</v>
      </c>
      <c r="I225" s="23" t="s">
        <v>5916</v>
      </c>
      <c r="J225" s="23" t="s">
        <v>5917</v>
      </c>
      <c r="K225" s="23" t="s">
        <v>5918</v>
      </c>
      <c r="L225" s="25" t="s">
        <v>5919</v>
      </c>
      <c r="M225" s="23" t="s">
        <v>5920</v>
      </c>
      <c r="N225" s="23" t="s">
        <v>5921</v>
      </c>
      <c r="O225" s="26" t="s">
        <v>5922</v>
      </c>
      <c r="P225" s="27" t="s">
        <v>5923</v>
      </c>
      <c r="Q225" s="28" t="s">
        <v>5924</v>
      </c>
      <c r="R225" s="29" t="s">
        <v>5925</v>
      </c>
      <c r="S225" s="30" t="s">
        <v>5926</v>
      </c>
      <c r="T225" s="23" t="s">
        <v>5927</v>
      </c>
      <c r="U225" s="23" t="s">
        <v>5928</v>
      </c>
      <c r="V225" s="23" t="s">
        <v>5929</v>
      </c>
      <c r="W225" s="23" t="s">
        <v>5930</v>
      </c>
      <c r="X225" s="23" t="s">
        <v>5931</v>
      </c>
      <c r="Y225" s="23" t="s">
        <v>5932</v>
      </c>
      <c r="Z225" s="31" t="s">
        <v>5933</v>
      </c>
      <c r="AA225" s="23" t="s">
        <v>5934</v>
      </c>
      <c r="AB225" s="23" t="s">
        <v>5935</v>
      </c>
      <c r="AC225" s="26" t="s">
        <v>5936</v>
      </c>
    </row>
    <row r="226">
      <c r="A226" s="22" t="s">
        <v>5938</v>
      </c>
      <c r="B226" s="23" t="s">
        <v>5939</v>
      </c>
      <c r="C226" s="23" t="s">
        <v>5966</v>
      </c>
      <c r="D226" s="24" t="s">
        <v>5940</v>
      </c>
      <c r="E226" s="23" t="s">
        <v>5941</v>
      </c>
      <c r="F226" s="23" t="s">
        <v>5942</v>
      </c>
      <c r="G226" s="23" t="s">
        <v>5943</v>
      </c>
      <c r="H226" s="23" t="s">
        <v>5944</v>
      </c>
      <c r="I226" s="23" t="s">
        <v>5945</v>
      </c>
      <c r="J226" s="23" t="s">
        <v>5946</v>
      </c>
      <c r="K226" s="23" t="s">
        <v>5947</v>
      </c>
      <c r="L226" s="25" t="s">
        <v>5948</v>
      </c>
      <c r="M226" s="23" t="s">
        <v>5949</v>
      </c>
      <c r="N226" s="23" t="s">
        <v>5950</v>
      </c>
      <c r="O226" s="26" t="s">
        <v>5951</v>
      </c>
      <c r="P226" s="27" t="s">
        <v>5952</v>
      </c>
      <c r="Q226" s="28" t="s">
        <v>5953</v>
      </c>
      <c r="R226" s="29" t="s">
        <v>5954</v>
      </c>
      <c r="S226" s="30" t="s">
        <v>5955</v>
      </c>
      <c r="T226" s="23" t="s">
        <v>5956</v>
      </c>
      <c r="U226" s="23" t="s">
        <v>5957</v>
      </c>
      <c r="V226" s="23" t="s">
        <v>5958</v>
      </c>
      <c r="W226" s="23" t="s">
        <v>5959</v>
      </c>
      <c r="X226" s="23" t="s">
        <v>5960</v>
      </c>
      <c r="Y226" s="23" t="s">
        <v>5961</v>
      </c>
      <c r="Z226" s="31" t="s">
        <v>5962</v>
      </c>
      <c r="AA226" s="23" t="s">
        <v>5963</v>
      </c>
      <c r="AB226" s="23" t="s">
        <v>5964</v>
      </c>
      <c r="AC226" s="26" t="s">
        <v>5965</v>
      </c>
    </row>
    <row r="227">
      <c r="A227" s="22" t="s">
        <v>5967</v>
      </c>
      <c r="B227" s="23" t="s">
        <v>5967</v>
      </c>
      <c r="C227" s="23" t="s">
        <v>5993</v>
      </c>
      <c r="D227" s="24" t="s">
        <v>5968</v>
      </c>
      <c r="E227" s="23" t="s">
        <v>5969</v>
      </c>
      <c r="F227" s="23" t="s">
        <v>5970</v>
      </c>
      <c r="G227" s="23" t="s">
        <v>5971</v>
      </c>
      <c r="H227" s="23" t="s">
        <v>5972</v>
      </c>
      <c r="I227" s="23" t="s">
        <v>5973</v>
      </c>
      <c r="J227" s="23" t="s">
        <v>5974</v>
      </c>
      <c r="K227" s="23" t="s">
        <v>5975</v>
      </c>
      <c r="L227" s="25" t="s">
        <v>5976</v>
      </c>
      <c r="M227" s="23" t="s">
        <v>5977</v>
      </c>
      <c r="N227" s="23" t="s">
        <v>5978</v>
      </c>
      <c r="O227" s="26" t="s">
        <v>5979</v>
      </c>
      <c r="P227" s="27" t="s">
        <v>5980</v>
      </c>
      <c r="Q227" s="28" t="s">
        <v>5981</v>
      </c>
      <c r="R227" s="29" t="s">
        <v>5982</v>
      </c>
      <c r="S227" s="30" t="s">
        <v>5983</v>
      </c>
      <c r="T227" s="23" t="s">
        <v>5984</v>
      </c>
      <c r="U227" s="23" t="s">
        <v>5985</v>
      </c>
      <c r="V227" s="23" t="s">
        <v>5967</v>
      </c>
      <c r="W227" s="23" t="s">
        <v>5986</v>
      </c>
      <c r="X227" s="23" t="s">
        <v>5987</v>
      </c>
      <c r="Y227" s="23" t="s">
        <v>5988</v>
      </c>
      <c r="Z227" s="31" t="s">
        <v>5989</v>
      </c>
      <c r="AA227" s="23" t="s">
        <v>5990</v>
      </c>
      <c r="AB227" s="23" t="s">
        <v>5991</v>
      </c>
      <c r="AC227" s="26" t="s">
        <v>5992</v>
      </c>
    </row>
    <row r="228">
      <c r="A228" s="22" t="s">
        <v>5994</v>
      </c>
      <c r="B228" s="23" t="s">
        <v>5994</v>
      </c>
      <c r="C228" s="23" t="s">
        <v>6020</v>
      </c>
      <c r="D228" s="24" t="s">
        <v>5995</v>
      </c>
      <c r="E228" s="23" t="s">
        <v>5996</v>
      </c>
      <c r="F228" s="23" t="s">
        <v>5997</v>
      </c>
      <c r="G228" s="23" t="s">
        <v>5998</v>
      </c>
      <c r="H228" s="23" t="s">
        <v>5999</v>
      </c>
      <c r="I228" s="23" t="s">
        <v>6000</v>
      </c>
      <c r="J228" s="23" t="s">
        <v>6001</v>
      </c>
      <c r="K228" s="23" t="s">
        <v>6002</v>
      </c>
      <c r="L228" s="25" t="s">
        <v>6003</v>
      </c>
      <c r="M228" s="23" t="s">
        <v>6004</v>
      </c>
      <c r="N228" s="23" t="s">
        <v>6005</v>
      </c>
      <c r="O228" s="26" t="s">
        <v>6006</v>
      </c>
      <c r="P228" s="27" t="s">
        <v>6007</v>
      </c>
      <c r="Q228" s="28" t="s">
        <v>6008</v>
      </c>
      <c r="R228" s="29" t="s">
        <v>6009</v>
      </c>
      <c r="S228" s="30" t="s">
        <v>6010</v>
      </c>
      <c r="T228" s="23" t="s">
        <v>6011</v>
      </c>
      <c r="U228" s="23" t="s">
        <v>6012</v>
      </c>
      <c r="V228" s="23" t="s">
        <v>6013</v>
      </c>
      <c r="W228" s="23" t="s">
        <v>6014</v>
      </c>
      <c r="X228" s="23" t="s">
        <v>6005</v>
      </c>
      <c r="Y228" s="23" t="s">
        <v>6015</v>
      </c>
      <c r="Z228" s="31" t="s">
        <v>6016</v>
      </c>
      <c r="AA228" s="23" t="s">
        <v>6017</v>
      </c>
      <c r="AB228" s="23" t="s">
        <v>6018</v>
      </c>
      <c r="AC228" s="26" t="s">
        <v>6019</v>
      </c>
    </row>
    <row r="229">
      <c r="A229" s="22" t="s">
        <v>6021</v>
      </c>
      <c r="B229" s="23" t="s">
        <v>6021</v>
      </c>
      <c r="C229" s="23" t="s">
        <v>6048</v>
      </c>
      <c r="D229" s="24" t="s">
        <v>6022</v>
      </c>
      <c r="E229" s="23" t="s">
        <v>6023</v>
      </c>
      <c r="F229" s="23" t="s">
        <v>6024</v>
      </c>
      <c r="G229" s="23" t="s">
        <v>6025</v>
      </c>
      <c r="H229" s="23" t="s">
        <v>6026</v>
      </c>
      <c r="I229" s="23" t="s">
        <v>6027</v>
      </c>
      <c r="J229" s="23" t="s">
        <v>6028</v>
      </c>
      <c r="K229" s="23" t="s">
        <v>6029</v>
      </c>
      <c r="L229" s="25" t="s">
        <v>6030</v>
      </c>
      <c r="M229" s="23" t="s">
        <v>6031</v>
      </c>
      <c r="N229" s="23" t="s">
        <v>6032</v>
      </c>
      <c r="O229" s="26" t="s">
        <v>6033</v>
      </c>
      <c r="P229" s="27" t="s">
        <v>6034</v>
      </c>
      <c r="Q229" s="28" t="s">
        <v>6035</v>
      </c>
      <c r="R229" s="29" t="s">
        <v>6036</v>
      </c>
      <c r="S229" s="30" t="s">
        <v>6037</v>
      </c>
      <c r="T229" s="23" t="s">
        <v>6038</v>
      </c>
      <c r="U229" s="23" t="s">
        <v>6039</v>
      </c>
      <c r="V229" s="23" t="s">
        <v>6040</v>
      </c>
      <c r="W229" s="23" t="s">
        <v>6041</v>
      </c>
      <c r="X229" s="23" t="s">
        <v>6042</v>
      </c>
      <c r="Y229" s="23" t="s">
        <v>6043</v>
      </c>
      <c r="Z229" s="31" t="s">
        <v>6044</v>
      </c>
      <c r="AA229" s="23" t="s">
        <v>6045</v>
      </c>
      <c r="AB229" s="23" t="s">
        <v>6046</v>
      </c>
      <c r="AC229" s="26" t="s">
        <v>6047</v>
      </c>
    </row>
    <row r="230">
      <c r="A230" s="22" t="s">
        <v>6049</v>
      </c>
      <c r="B230" s="23" t="s">
        <v>6049</v>
      </c>
      <c r="C230" s="23" t="s">
        <v>6073</v>
      </c>
      <c r="D230" s="24" t="s">
        <v>6050</v>
      </c>
      <c r="E230" s="23" t="s">
        <v>6051</v>
      </c>
      <c r="F230" s="23" t="s">
        <v>6052</v>
      </c>
      <c r="G230" s="23" t="s">
        <v>6053</v>
      </c>
      <c r="H230" s="23" t="s">
        <v>6054</v>
      </c>
      <c r="I230" s="23" t="s">
        <v>6055</v>
      </c>
      <c r="J230" s="23" t="s">
        <v>6056</v>
      </c>
      <c r="K230" s="23" t="s">
        <v>6057</v>
      </c>
      <c r="L230" s="25" t="s">
        <v>6058</v>
      </c>
      <c r="M230" s="23" t="s">
        <v>6059</v>
      </c>
      <c r="N230" s="23" t="s">
        <v>6060</v>
      </c>
      <c r="O230" s="26" t="s">
        <v>6061</v>
      </c>
      <c r="P230" s="27" t="s">
        <v>2862</v>
      </c>
      <c r="Q230" s="28" t="s">
        <v>6062</v>
      </c>
      <c r="R230" s="29" t="s">
        <v>6063</v>
      </c>
      <c r="S230" s="30" t="s">
        <v>6064</v>
      </c>
      <c r="T230" s="23" t="s">
        <v>6065</v>
      </c>
      <c r="U230" s="23" t="s">
        <v>6066</v>
      </c>
      <c r="V230" s="23" t="s">
        <v>3097</v>
      </c>
      <c r="W230" s="23" t="s">
        <v>6067</v>
      </c>
      <c r="X230" s="23" t="s">
        <v>6054</v>
      </c>
      <c r="Y230" s="23" t="s">
        <v>6068</v>
      </c>
      <c r="Z230" s="31" t="s">
        <v>6069</v>
      </c>
      <c r="AA230" s="23" t="s">
        <v>6070</v>
      </c>
      <c r="AB230" s="23" t="s">
        <v>6071</v>
      </c>
      <c r="AC230" s="26" t="s">
        <v>6072</v>
      </c>
    </row>
    <row r="231">
      <c r="A231" s="22" t="s">
        <v>6074</v>
      </c>
      <c r="B231" s="23" t="s">
        <v>6075</v>
      </c>
      <c r="C231" s="23" t="s">
        <v>6101</v>
      </c>
      <c r="D231" s="24" t="s">
        <v>6076</v>
      </c>
      <c r="E231" s="23" t="s">
        <v>6077</v>
      </c>
      <c r="F231" s="23" t="s">
        <v>6078</v>
      </c>
      <c r="G231" s="23" t="s">
        <v>6079</v>
      </c>
      <c r="H231" s="23" t="s">
        <v>6080</v>
      </c>
      <c r="I231" s="23" t="s">
        <v>6081</v>
      </c>
      <c r="J231" s="23" t="s">
        <v>6082</v>
      </c>
      <c r="K231" s="23" t="s">
        <v>6083</v>
      </c>
      <c r="L231" s="25" t="s">
        <v>6084</v>
      </c>
      <c r="M231" s="23" t="s">
        <v>6085</v>
      </c>
      <c r="N231" s="23" t="s">
        <v>6086</v>
      </c>
      <c r="O231" s="26" t="s">
        <v>6087</v>
      </c>
      <c r="P231" s="27" t="s">
        <v>6088</v>
      </c>
      <c r="Q231" s="28" t="s">
        <v>6089</v>
      </c>
      <c r="R231" s="29" t="s">
        <v>6090</v>
      </c>
      <c r="S231" s="30" t="s">
        <v>6091</v>
      </c>
      <c r="T231" s="23" t="s">
        <v>6092</v>
      </c>
      <c r="U231" s="23" t="s">
        <v>6085</v>
      </c>
      <c r="V231" s="23" t="s">
        <v>6093</v>
      </c>
      <c r="W231" s="23" t="s">
        <v>6094</v>
      </c>
      <c r="X231" s="23" t="s">
        <v>6095</v>
      </c>
      <c r="Y231" s="23" t="s">
        <v>6096</v>
      </c>
      <c r="Z231" s="31" t="s">
        <v>6097</v>
      </c>
      <c r="AA231" s="23" t="s">
        <v>6098</v>
      </c>
      <c r="AB231" s="23" t="s">
        <v>6099</v>
      </c>
      <c r="AC231" s="26" t="s">
        <v>6100</v>
      </c>
    </row>
    <row r="232">
      <c r="A232" s="22" t="s">
        <v>6102</v>
      </c>
      <c r="B232" s="23" t="s">
        <v>6102</v>
      </c>
      <c r="C232" s="23" t="s">
        <v>6124</v>
      </c>
      <c r="D232" s="24" t="s">
        <v>6103</v>
      </c>
      <c r="E232" s="23" t="s">
        <v>6104</v>
      </c>
      <c r="F232" s="23" t="s">
        <v>6105</v>
      </c>
      <c r="G232" s="23" t="s">
        <v>6106</v>
      </c>
      <c r="H232" s="23" t="s">
        <v>4577</v>
      </c>
      <c r="I232" s="23" t="s">
        <v>6107</v>
      </c>
      <c r="J232" s="23" t="s">
        <v>6102</v>
      </c>
      <c r="K232" s="23" t="s">
        <v>6108</v>
      </c>
      <c r="L232" s="25" t="s">
        <v>6109</v>
      </c>
      <c r="M232" s="23" t="s">
        <v>6110</v>
      </c>
      <c r="N232" s="23" t="s">
        <v>6111</v>
      </c>
      <c r="O232" s="26" t="s">
        <v>6112</v>
      </c>
      <c r="P232" s="27" t="s">
        <v>6113</v>
      </c>
      <c r="Q232" s="28" t="s">
        <v>6114</v>
      </c>
      <c r="R232" s="23" t="s">
        <v>6115</v>
      </c>
      <c r="S232" s="30" t="s">
        <v>6116</v>
      </c>
      <c r="T232" s="23" t="s">
        <v>6117</v>
      </c>
      <c r="U232" s="23" t="s">
        <v>6110</v>
      </c>
      <c r="V232" s="23" t="s">
        <v>6118</v>
      </c>
      <c r="W232" s="23" t="s">
        <v>6119</v>
      </c>
      <c r="X232" s="23" t="s">
        <v>6120</v>
      </c>
      <c r="Y232" s="23" t="s">
        <v>4592</v>
      </c>
      <c r="Z232" s="31" t="s">
        <v>6121</v>
      </c>
      <c r="AA232" s="23" t="s">
        <v>6122</v>
      </c>
      <c r="AB232" s="23" t="s">
        <v>4592</v>
      </c>
      <c r="AC232" s="26" t="s">
        <v>6123</v>
      </c>
    </row>
    <row r="233">
      <c r="A233" s="22" t="s">
        <v>6125</v>
      </c>
      <c r="B233" s="23" t="s">
        <v>6126</v>
      </c>
      <c r="C233" s="23" t="s">
        <v>6153</v>
      </c>
      <c r="D233" s="24" t="s">
        <v>6127</v>
      </c>
      <c r="E233" s="23" t="s">
        <v>6128</v>
      </c>
      <c r="F233" s="23" t="s">
        <v>6129</v>
      </c>
      <c r="G233" s="23" t="s">
        <v>6130</v>
      </c>
      <c r="H233" s="23" t="s">
        <v>6131</v>
      </c>
      <c r="I233" s="23" t="s">
        <v>6132</v>
      </c>
      <c r="J233" s="23" t="s">
        <v>6133</v>
      </c>
      <c r="K233" s="23" t="s">
        <v>6134</v>
      </c>
      <c r="L233" s="25" t="s">
        <v>6135</v>
      </c>
      <c r="M233" s="23" t="s">
        <v>6136</v>
      </c>
      <c r="N233" s="23" t="s">
        <v>6137</v>
      </c>
      <c r="O233" s="26" t="s">
        <v>6138</v>
      </c>
      <c r="P233" s="27" t="s">
        <v>6139</v>
      </c>
      <c r="Q233" s="28" t="s">
        <v>6140</v>
      </c>
      <c r="R233" s="29" t="s">
        <v>6141</v>
      </c>
      <c r="S233" s="30" t="s">
        <v>6142</v>
      </c>
      <c r="T233" s="23" t="s">
        <v>6143</v>
      </c>
      <c r="U233" s="23" t="s">
        <v>6144</v>
      </c>
      <c r="V233" s="23" t="s">
        <v>6145</v>
      </c>
      <c r="W233" s="23" t="s">
        <v>6146</v>
      </c>
      <c r="X233" s="23" t="s">
        <v>6147</v>
      </c>
      <c r="Y233" s="23" t="s">
        <v>6148</v>
      </c>
      <c r="Z233" s="31" t="s">
        <v>6149</v>
      </c>
      <c r="AA233" s="23" t="s">
        <v>6150</v>
      </c>
      <c r="AB233" s="23" t="s">
        <v>6151</v>
      </c>
      <c r="AC233" s="26" t="s">
        <v>6152</v>
      </c>
    </row>
    <row r="234">
      <c r="A234" s="22" t="s">
        <v>6154</v>
      </c>
      <c r="B234" s="23" t="s">
        <v>6155</v>
      </c>
      <c r="C234" s="23" t="s">
        <v>6182</v>
      </c>
      <c r="D234" s="24" t="s">
        <v>6156</v>
      </c>
      <c r="E234" s="23" t="s">
        <v>6157</v>
      </c>
      <c r="F234" s="23" t="s">
        <v>6158</v>
      </c>
      <c r="G234" s="23" t="s">
        <v>6159</v>
      </c>
      <c r="H234" s="23" t="s">
        <v>6160</v>
      </c>
      <c r="I234" s="23" t="s">
        <v>6161</v>
      </c>
      <c r="J234" s="23" t="s">
        <v>6162</v>
      </c>
      <c r="K234" s="23" t="s">
        <v>6163</v>
      </c>
      <c r="L234" s="25" t="s">
        <v>6164</v>
      </c>
      <c r="M234" s="23" t="s">
        <v>6165</v>
      </c>
      <c r="N234" s="23" t="s">
        <v>6166</v>
      </c>
      <c r="O234" s="26" t="s">
        <v>6167</v>
      </c>
      <c r="P234" s="27" t="s">
        <v>6168</v>
      </c>
      <c r="Q234" s="28" t="s">
        <v>6169</v>
      </c>
      <c r="R234" s="29" t="s">
        <v>6170</v>
      </c>
      <c r="S234" s="30" t="s">
        <v>6171</v>
      </c>
      <c r="T234" s="23" t="s">
        <v>6172</v>
      </c>
      <c r="U234" s="23" t="s">
        <v>6173</v>
      </c>
      <c r="V234" s="23" t="s">
        <v>6174</v>
      </c>
      <c r="W234" s="23" t="s">
        <v>6175</v>
      </c>
      <c r="X234" s="23" t="s">
        <v>6176</v>
      </c>
      <c r="Y234" s="23" t="s">
        <v>6177</v>
      </c>
      <c r="Z234" s="31" t="s">
        <v>6178</v>
      </c>
      <c r="AA234" s="23" t="s">
        <v>6179</v>
      </c>
      <c r="AB234" s="23" t="s">
        <v>6180</v>
      </c>
      <c r="AC234" s="26" t="s">
        <v>6181</v>
      </c>
    </row>
    <row r="235">
      <c r="A235" s="22" t="s">
        <v>6183</v>
      </c>
      <c r="B235" s="23" t="s">
        <v>6184</v>
      </c>
      <c r="C235" s="23" t="s">
        <v>6211</v>
      </c>
      <c r="D235" s="24" t="s">
        <v>6185</v>
      </c>
      <c r="E235" s="23" t="s">
        <v>6186</v>
      </c>
      <c r="F235" s="23" t="s">
        <v>6187</v>
      </c>
      <c r="G235" s="23" t="s">
        <v>6188</v>
      </c>
      <c r="H235" s="23" t="s">
        <v>6189</v>
      </c>
      <c r="I235" s="23" t="s">
        <v>6190</v>
      </c>
      <c r="J235" s="23" t="s">
        <v>6191</v>
      </c>
      <c r="K235" s="23" t="s">
        <v>6192</v>
      </c>
      <c r="L235" s="25" t="s">
        <v>6193</v>
      </c>
      <c r="M235" s="23" t="s">
        <v>6194</v>
      </c>
      <c r="N235" s="23" t="s">
        <v>6195</v>
      </c>
      <c r="O235" s="26" t="s">
        <v>6196</v>
      </c>
      <c r="P235" s="27" t="s">
        <v>6197</v>
      </c>
      <c r="Q235" s="28" t="s">
        <v>6198</v>
      </c>
      <c r="R235" s="29" t="s">
        <v>6199</v>
      </c>
      <c r="S235" s="30" t="s">
        <v>6200</v>
      </c>
      <c r="T235" s="23" t="s">
        <v>6201</v>
      </c>
      <c r="U235" s="23" t="s">
        <v>6202</v>
      </c>
      <c r="V235" s="23" t="s">
        <v>6203</v>
      </c>
      <c r="W235" s="23" t="s">
        <v>6204</v>
      </c>
      <c r="X235" s="23" t="s">
        <v>6205</v>
      </c>
      <c r="Y235" s="23" t="s">
        <v>6206</v>
      </c>
      <c r="Z235" s="31" t="s">
        <v>6207</v>
      </c>
      <c r="AA235" s="23" t="s">
        <v>6208</v>
      </c>
      <c r="AB235" s="23" t="s">
        <v>6209</v>
      </c>
      <c r="AC235" s="26" t="s">
        <v>6210</v>
      </c>
    </row>
    <row r="236">
      <c r="A236" s="22" t="s">
        <v>6212</v>
      </c>
      <c r="B236" s="23" t="s">
        <v>6213</v>
      </c>
      <c r="C236" s="23" t="s">
        <v>6240</v>
      </c>
      <c r="D236" s="24" t="s">
        <v>6214</v>
      </c>
      <c r="E236" s="23" t="s">
        <v>6215</v>
      </c>
      <c r="F236" s="23" t="s">
        <v>6216</v>
      </c>
      <c r="G236" s="23" t="s">
        <v>6217</v>
      </c>
      <c r="H236" s="23" t="s">
        <v>6218</v>
      </c>
      <c r="I236" s="23" t="s">
        <v>6219</v>
      </c>
      <c r="J236" s="23" t="s">
        <v>6220</v>
      </c>
      <c r="K236" s="23" t="s">
        <v>6221</v>
      </c>
      <c r="L236" s="25" t="s">
        <v>6222</v>
      </c>
      <c r="M236" s="23" t="s">
        <v>6223</v>
      </c>
      <c r="N236" s="23" t="s">
        <v>6224</v>
      </c>
      <c r="O236" s="26" t="s">
        <v>6225</v>
      </c>
      <c r="P236" s="27" t="s">
        <v>6226</v>
      </c>
      <c r="Q236" s="28" t="s">
        <v>6227</v>
      </c>
      <c r="R236" s="29" t="s">
        <v>6228</v>
      </c>
      <c r="S236" s="30" t="s">
        <v>6229</v>
      </c>
      <c r="T236" s="23" t="s">
        <v>6230</v>
      </c>
      <c r="U236" s="23" t="s">
        <v>6231</v>
      </c>
      <c r="V236" s="23" t="s">
        <v>6232</v>
      </c>
      <c r="W236" s="23" t="s">
        <v>6233</v>
      </c>
      <c r="X236" s="23" t="s">
        <v>6234</v>
      </c>
      <c r="Y236" s="23" t="s">
        <v>6235</v>
      </c>
      <c r="Z236" s="31" t="s">
        <v>6236</v>
      </c>
      <c r="AA236" s="23" t="s">
        <v>6237</v>
      </c>
      <c r="AB236" s="23" t="s">
        <v>6238</v>
      </c>
      <c r="AC236" s="26" t="s">
        <v>6239</v>
      </c>
    </row>
    <row r="237">
      <c r="A237" s="22" t="s">
        <v>6241</v>
      </c>
      <c r="B237" s="23" t="s">
        <v>6242</v>
      </c>
      <c r="C237" s="23" t="s">
        <v>6269</v>
      </c>
      <c r="D237" s="24" t="s">
        <v>6243</v>
      </c>
      <c r="E237" s="23" t="s">
        <v>6244</v>
      </c>
      <c r="F237" s="23" t="s">
        <v>6245</v>
      </c>
      <c r="G237" s="23" t="s">
        <v>6246</v>
      </c>
      <c r="H237" s="23" t="s">
        <v>6247</v>
      </c>
      <c r="I237" s="23" t="s">
        <v>6248</v>
      </c>
      <c r="J237" s="23" t="s">
        <v>6249</v>
      </c>
      <c r="K237" s="23" t="s">
        <v>6250</v>
      </c>
      <c r="L237" s="25" t="s">
        <v>6251</v>
      </c>
      <c r="M237" s="23" t="s">
        <v>6252</v>
      </c>
      <c r="N237" s="23" t="s">
        <v>6253</v>
      </c>
      <c r="O237" s="26" t="s">
        <v>6254</v>
      </c>
      <c r="P237" s="27" t="s">
        <v>6255</v>
      </c>
      <c r="Q237" s="28" t="s">
        <v>6256</v>
      </c>
      <c r="R237" s="29" t="s">
        <v>6257</v>
      </c>
      <c r="S237" s="30" t="s">
        <v>6258</v>
      </c>
      <c r="T237" s="23" t="s">
        <v>6259</v>
      </c>
      <c r="U237" s="23" t="s">
        <v>6260</v>
      </c>
      <c r="V237" s="23" t="s">
        <v>6261</v>
      </c>
      <c r="W237" s="23" t="s">
        <v>6262</v>
      </c>
      <c r="X237" s="23" t="s">
        <v>6263</v>
      </c>
      <c r="Y237" s="23" t="s">
        <v>6264</v>
      </c>
      <c r="Z237" s="31" t="s">
        <v>6265</v>
      </c>
      <c r="AA237" s="23" t="s">
        <v>6266</v>
      </c>
      <c r="AB237" s="23" t="s">
        <v>6267</v>
      </c>
      <c r="AC237" s="26" t="s">
        <v>6268</v>
      </c>
    </row>
    <row r="238">
      <c r="A238" s="22" t="s">
        <v>6270</v>
      </c>
      <c r="B238" s="23" t="s">
        <v>6271</v>
      </c>
      <c r="C238" s="23" t="s">
        <v>6298</v>
      </c>
      <c r="D238" s="24" t="s">
        <v>6272</v>
      </c>
      <c r="E238" s="23" t="s">
        <v>6273</v>
      </c>
      <c r="F238" s="23" t="s">
        <v>6274</v>
      </c>
      <c r="G238" s="23" t="s">
        <v>6275</v>
      </c>
      <c r="H238" s="23" t="s">
        <v>6276</v>
      </c>
      <c r="I238" s="23" t="s">
        <v>6277</v>
      </c>
      <c r="J238" s="23" t="s">
        <v>6278</v>
      </c>
      <c r="K238" s="23" t="s">
        <v>6279</v>
      </c>
      <c r="L238" s="25" t="s">
        <v>6280</v>
      </c>
      <c r="M238" s="23" t="s">
        <v>6281</v>
      </c>
      <c r="N238" s="23" t="s">
        <v>6282</v>
      </c>
      <c r="O238" s="26" t="s">
        <v>6283</v>
      </c>
      <c r="P238" s="27" t="s">
        <v>6284</v>
      </c>
      <c r="Q238" s="28" t="s">
        <v>6285</v>
      </c>
      <c r="R238" s="29" t="s">
        <v>6286</v>
      </c>
      <c r="S238" s="30" t="s">
        <v>6287</v>
      </c>
      <c r="T238" s="23" t="s">
        <v>6288</v>
      </c>
      <c r="U238" s="23" t="s">
        <v>6289</v>
      </c>
      <c r="V238" s="23" t="s">
        <v>6290</v>
      </c>
      <c r="W238" s="23" t="s">
        <v>6291</v>
      </c>
      <c r="X238" s="23" t="s">
        <v>6292</v>
      </c>
      <c r="Y238" s="23" t="s">
        <v>6293</v>
      </c>
      <c r="Z238" s="31" t="s">
        <v>6294</v>
      </c>
      <c r="AA238" s="23" t="s">
        <v>6295</v>
      </c>
      <c r="AB238" s="23" t="s">
        <v>6296</v>
      </c>
      <c r="AC238" s="26" t="s">
        <v>6297</v>
      </c>
    </row>
    <row r="239">
      <c r="A239" s="22" t="s">
        <v>6299</v>
      </c>
      <c r="B239" s="23" t="s">
        <v>6300</v>
      </c>
      <c r="C239" s="23" t="s">
        <v>6327</v>
      </c>
      <c r="D239" s="24" t="s">
        <v>6301</v>
      </c>
      <c r="E239" s="23" t="s">
        <v>6302</v>
      </c>
      <c r="F239" s="23" t="s">
        <v>6303</v>
      </c>
      <c r="G239" s="23" t="s">
        <v>6304</v>
      </c>
      <c r="H239" s="23" t="s">
        <v>6305</v>
      </c>
      <c r="I239" s="23" t="s">
        <v>6306</v>
      </c>
      <c r="J239" s="23" t="s">
        <v>6307</v>
      </c>
      <c r="K239" s="23" t="s">
        <v>6308</v>
      </c>
      <c r="L239" s="25" t="s">
        <v>6309</v>
      </c>
      <c r="M239" s="23" t="s">
        <v>6310</v>
      </c>
      <c r="N239" s="23" t="s">
        <v>6311</v>
      </c>
      <c r="O239" s="26" t="s">
        <v>6312</v>
      </c>
      <c r="P239" s="27" t="s">
        <v>6313</v>
      </c>
      <c r="Q239" s="28" t="s">
        <v>6314</v>
      </c>
      <c r="R239" s="29" t="s">
        <v>6315</v>
      </c>
      <c r="S239" s="30" t="s">
        <v>6316</v>
      </c>
      <c r="T239" s="23" t="s">
        <v>6317</v>
      </c>
      <c r="U239" s="23" t="s">
        <v>6318</v>
      </c>
      <c r="V239" s="23" t="s">
        <v>6319</v>
      </c>
      <c r="W239" s="23" t="s">
        <v>6320</v>
      </c>
      <c r="X239" s="23" t="s">
        <v>6321</v>
      </c>
      <c r="Y239" s="23" t="s">
        <v>6322</v>
      </c>
      <c r="Z239" s="31" t="s">
        <v>6323</v>
      </c>
      <c r="AA239" s="23" t="s">
        <v>6324</v>
      </c>
      <c r="AB239" s="23" t="s">
        <v>6325</v>
      </c>
      <c r="AC239" s="26" t="s">
        <v>6326</v>
      </c>
    </row>
    <row r="240">
      <c r="A240" s="22" t="s">
        <v>6328</v>
      </c>
      <c r="B240" s="23" t="s">
        <v>6329</v>
      </c>
      <c r="C240" s="23" t="s">
        <v>2617</v>
      </c>
      <c r="D240" s="24" t="s">
        <v>6330</v>
      </c>
      <c r="E240" s="23" t="s">
        <v>6331</v>
      </c>
      <c r="F240" s="23" t="s">
        <v>6332</v>
      </c>
      <c r="G240" s="23" t="s">
        <v>6333</v>
      </c>
      <c r="H240" s="23" t="s">
        <v>6334</v>
      </c>
      <c r="I240" s="23" t="s">
        <v>6335</v>
      </c>
      <c r="J240" s="23" t="s">
        <v>6336</v>
      </c>
      <c r="K240" s="23" t="s">
        <v>6337</v>
      </c>
      <c r="L240" s="25" t="s">
        <v>6338</v>
      </c>
      <c r="M240" s="23" t="s">
        <v>6339</v>
      </c>
      <c r="N240" s="23" t="s">
        <v>6340</v>
      </c>
      <c r="O240" s="26" t="s">
        <v>6341</v>
      </c>
      <c r="P240" s="27" t="s">
        <v>6342</v>
      </c>
      <c r="Q240" s="28" t="s">
        <v>6343</v>
      </c>
      <c r="R240" s="29" t="s">
        <v>6344</v>
      </c>
      <c r="S240" s="30" t="s">
        <v>6345</v>
      </c>
      <c r="T240" s="23" t="s">
        <v>6346</v>
      </c>
      <c r="U240" s="23" t="s">
        <v>6347</v>
      </c>
      <c r="V240" s="23" t="s">
        <v>6348</v>
      </c>
      <c r="W240" s="23" t="s">
        <v>6349</v>
      </c>
      <c r="X240" s="23" t="s">
        <v>6350</v>
      </c>
      <c r="Y240" s="23" t="s">
        <v>2612</v>
      </c>
      <c r="Z240" s="31" t="s">
        <v>664</v>
      </c>
      <c r="AA240" s="23" t="s">
        <v>6351</v>
      </c>
      <c r="AB240" s="23" t="s">
        <v>6352</v>
      </c>
      <c r="AC240" s="26" t="s">
        <v>6353</v>
      </c>
    </row>
    <row r="241">
      <c r="A241" s="22" t="s">
        <v>6354</v>
      </c>
      <c r="B241" s="23" t="s">
        <v>6355</v>
      </c>
      <c r="C241" s="23" t="s">
        <v>6382</v>
      </c>
      <c r="D241" s="24" t="s">
        <v>6356</v>
      </c>
      <c r="E241" s="23" t="s">
        <v>6357</v>
      </c>
      <c r="F241" s="23" t="s">
        <v>6358</v>
      </c>
      <c r="G241" s="23" t="s">
        <v>6359</v>
      </c>
      <c r="H241" s="23" t="s">
        <v>6360</v>
      </c>
      <c r="I241" s="23" t="s">
        <v>6361</v>
      </c>
      <c r="J241" s="23" t="s">
        <v>6362</v>
      </c>
      <c r="K241" s="23" t="s">
        <v>6363</v>
      </c>
      <c r="L241" s="25" t="s">
        <v>6364</v>
      </c>
      <c r="M241" s="23" t="s">
        <v>6365</v>
      </c>
      <c r="N241" s="23" t="s">
        <v>6366</v>
      </c>
      <c r="O241" s="26" t="s">
        <v>6367</v>
      </c>
      <c r="P241" s="27" t="s">
        <v>6368</v>
      </c>
      <c r="Q241" s="28" t="s">
        <v>6369</v>
      </c>
      <c r="R241" s="29" t="s">
        <v>6370</v>
      </c>
      <c r="S241" s="30" t="s">
        <v>6371</v>
      </c>
      <c r="T241" s="23" t="s">
        <v>6372</v>
      </c>
      <c r="U241" s="23" t="s">
        <v>6373</v>
      </c>
      <c r="V241" s="23" t="s">
        <v>6374</v>
      </c>
      <c r="W241" s="23" t="s">
        <v>6375</v>
      </c>
      <c r="X241" s="23" t="s">
        <v>6376</v>
      </c>
      <c r="Y241" s="23" t="s">
        <v>6377</v>
      </c>
      <c r="Z241" s="31" t="s">
        <v>6378</v>
      </c>
      <c r="AA241" s="23" t="s">
        <v>6379</v>
      </c>
      <c r="AB241" s="23" t="s">
        <v>6380</v>
      </c>
      <c r="AC241" s="26" t="s">
        <v>6381</v>
      </c>
    </row>
    <row r="242">
      <c r="A242" s="22" t="s">
        <v>6383</v>
      </c>
      <c r="B242" s="23" t="s">
        <v>6384</v>
      </c>
      <c r="C242" s="23" t="s">
        <v>775</v>
      </c>
      <c r="D242" s="24" t="s">
        <v>6385</v>
      </c>
      <c r="E242" s="23" t="s">
        <v>750</v>
      </c>
      <c r="F242" s="23" t="s">
        <v>751</v>
      </c>
      <c r="G242" s="23" t="s">
        <v>6386</v>
      </c>
      <c r="H242" s="23" t="s">
        <v>753</v>
      </c>
      <c r="I242" s="23" t="s">
        <v>6387</v>
      </c>
      <c r="J242" s="23" t="s">
        <v>755</v>
      </c>
      <c r="K242" s="23" t="s">
        <v>6388</v>
      </c>
      <c r="L242" s="25" t="s">
        <v>6389</v>
      </c>
      <c r="M242" s="23" t="s">
        <v>758</v>
      </c>
      <c r="N242" s="23" t="s">
        <v>759</v>
      </c>
      <c r="O242" s="26" t="s">
        <v>760</v>
      </c>
      <c r="P242" s="27" t="s">
        <v>6390</v>
      </c>
      <c r="Q242" s="28" t="s">
        <v>762</v>
      </c>
      <c r="R242" s="29" t="s">
        <v>6391</v>
      </c>
      <c r="S242" s="30" t="s">
        <v>764</v>
      </c>
      <c r="T242" s="23" t="s">
        <v>765</v>
      </c>
      <c r="U242" s="23" t="s">
        <v>766</v>
      </c>
      <c r="V242" s="23" t="s">
        <v>751</v>
      </c>
      <c r="W242" s="23" t="s">
        <v>6392</v>
      </c>
      <c r="X242" s="23" t="s">
        <v>6393</v>
      </c>
      <c r="Y242" s="23" t="s">
        <v>6394</v>
      </c>
      <c r="Z242" s="31" t="s">
        <v>771</v>
      </c>
      <c r="AA242" s="23" t="s">
        <v>6395</v>
      </c>
      <c r="AB242" s="23" t="s">
        <v>6396</v>
      </c>
      <c r="AC242" s="26" t="s">
        <v>6397</v>
      </c>
    </row>
    <row r="243">
      <c r="A243" s="22" t="s">
        <v>6398</v>
      </c>
      <c r="B243" s="23" t="s">
        <v>6399</v>
      </c>
      <c r="C243" s="23" t="s">
        <v>6426</v>
      </c>
      <c r="D243" s="24" t="s">
        <v>6400</v>
      </c>
      <c r="E243" s="23" t="s">
        <v>6401</v>
      </c>
      <c r="F243" s="23" t="s">
        <v>6402</v>
      </c>
      <c r="G243" s="23" t="s">
        <v>6403</v>
      </c>
      <c r="H243" s="23" t="s">
        <v>6404</v>
      </c>
      <c r="I243" s="23" t="s">
        <v>6405</v>
      </c>
      <c r="J243" s="23" t="s">
        <v>6406</v>
      </c>
      <c r="K243" s="23" t="s">
        <v>6407</v>
      </c>
      <c r="L243" s="25" t="s">
        <v>6408</v>
      </c>
      <c r="M243" s="23" t="s">
        <v>6409</v>
      </c>
      <c r="N243" s="23" t="s">
        <v>6410</v>
      </c>
      <c r="O243" s="26" t="s">
        <v>6411</v>
      </c>
      <c r="P243" s="27" t="s">
        <v>6412</v>
      </c>
      <c r="Q243" s="28" t="s">
        <v>6413</v>
      </c>
      <c r="R243" s="29" t="s">
        <v>6414</v>
      </c>
      <c r="S243" s="30" t="s">
        <v>6415</v>
      </c>
      <c r="T243" s="23" t="s">
        <v>6416</v>
      </c>
      <c r="U243" s="23" t="s">
        <v>6417</v>
      </c>
      <c r="V243" s="23" t="s">
        <v>6418</v>
      </c>
      <c r="W243" s="23" t="s">
        <v>6419</v>
      </c>
      <c r="X243" s="23" t="s">
        <v>6420</v>
      </c>
      <c r="Y243" s="23" t="s">
        <v>6421</v>
      </c>
      <c r="Z243" s="31" t="s">
        <v>6422</v>
      </c>
      <c r="AA243" s="23" t="s">
        <v>6423</v>
      </c>
      <c r="AB243" s="23" t="s">
        <v>6424</v>
      </c>
      <c r="AC243" s="26" t="s">
        <v>6425</v>
      </c>
    </row>
    <row r="244">
      <c r="A244" s="22" t="s">
        <v>6427</v>
      </c>
      <c r="B244" s="23" t="s">
        <v>6428</v>
      </c>
      <c r="C244" s="23" t="s">
        <v>6432</v>
      </c>
      <c r="D244" s="23" t="s">
        <v>6428</v>
      </c>
      <c r="E244" s="23" t="s">
        <v>6428</v>
      </c>
      <c r="F244" s="23" t="s">
        <v>6428</v>
      </c>
      <c r="G244" s="23" t="s">
        <v>6428</v>
      </c>
      <c r="H244" s="23" t="s">
        <v>6429</v>
      </c>
      <c r="I244" s="23" t="s">
        <v>6428</v>
      </c>
      <c r="J244" s="23" t="s">
        <v>6428</v>
      </c>
      <c r="K244" s="23" t="s">
        <v>6428</v>
      </c>
      <c r="L244" s="23" t="s">
        <v>6428</v>
      </c>
      <c r="M244" s="23" t="s">
        <v>6428</v>
      </c>
      <c r="N244" s="23" t="s">
        <v>6428</v>
      </c>
      <c r="O244" s="23" t="s">
        <v>6428</v>
      </c>
      <c r="P244" s="27" t="s">
        <v>6430</v>
      </c>
      <c r="Q244" s="23" t="s">
        <v>6428</v>
      </c>
      <c r="R244" s="23" t="s">
        <v>6428</v>
      </c>
      <c r="S244" s="23" t="s">
        <v>6428</v>
      </c>
      <c r="T244" s="23" t="s">
        <v>6431</v>
      </c>
      <c r="U244" s="23" t="s">
        <v>6428</v>
      </c>
      <c r="V244" s="23" t="s">
        <v>6428</v>
      </c>
      <c r="W244" s="23" t="s">
        <v>6428</v>
      </c>
      <c r="X244" s="23" t="s">
        <v>6428</v>
      </c>
      <c r="Y244" s="23" t="s">
        <v>6428</v>
      </c>
      <c r="Z244" s="23" t="s">
        <v>6428</v>
      </c>
      <c r="AA244" s="23" t="s">
        <v>6428</v>
      </c>
      <c r="AB244" s="23" t="s">
        <v>6428</v>
      </c>
      <c r="AC244" s="23" t="s">
        <v>6428</v>
      </c>
    </row>
    <row r="245">
      <c r="A245" s="22" t="s">
        <v>6433</v>
      </c>
      <c r="B245" s="23" t="s">
        <v>6434</v>
      </c>
      <c r="C245" s="23" t="s">
        <v>6459</v>
      </c>
      <c r="D245" s="24" t="s">
        <v>6435</v>
      </c>
      <c r="E245" s="23" t="s">
        <v>6436</v>
      </c>
      <c r="F245" s="23" t="s">
        <v>6437</v>
      </c>
      <c r="G245" s="23" t="s">
        <v>6438</v>
      </c>
      <c r="H245" s="23" t="s">
        <v>6439</v>
      </c>
      <c r="I245" s="23" t="s">
        <v>6440</v>
      </c>
      <c r="J245" s="23" t="s">
        <v>6441</v>
      </c>
      <c r="K245" s="23" t="s">
        <v>6442</v>
      </c>
      <c r="L245" s="25" t="s">
        <v>6443</v>
      </c>
      <c r="M245" s="23" t="s">
        <v>6444</v>
      </c>
      <c r="N245" s="23" t="s">
        <v>6445</v>
      </c>
      <c r="O245" s="26" t="s">
        <v>6446</v>
      </c>
      <c r="P245" s="27" t="s">
        <v>6447</v>
      </c>
      <c r="Q245" s="28" t="s">
        <v>807</v>
      </c>
      <c r="R245" s="29" t="s">
        <v>6448</v>
      </c>
      <c r="S245" s="30" t="s">
        <v>6449</v>
      </c>
      <c r="T245" s="23" t="s">
        <v>6450</v>
      </c>
      <c r="U245" s="23" t="s">
        <v>6444</v>
      </c>
      <c r="V245" s="23" t="s">
        <v>6451</v>
      </c>
      <c r="W245" s="23" t="s">
        <v>6452</v>
      </c>
      <c r="X245" s="23" t="s">
        <v>6453</v>
      </c>
      <c r="Y245" s="23" t="s">
        <v>6454</v>
      </c>
      <c r="Z245" s="31" t="s">
        <v>6455</v>
      </c>
      <c r="AA245" s="23" t="s">
        <v>6456</v>
      </c>
      <c r="AB245" s="23" t="s">
        <v>6457</v>
      </c>
      <c r="AC245" s="26" t="s">
        <v>6458</v>
      </c>
    </row>
    <row r="246">
      <c r="A246" s="22" t="s">
        <v>6460</v>
      </c>
      <c r="B246" s="23" t="s">
        <v>6461</v>
      </c>
      <c r="C246" s="23" t="s">
        <v>6486</v>
      </c>
      <c r="D246" s="24" t="s">
        <v>6462</v>
      </c>
      <c r="E246" s="23" t="s">
        <v>6463</v>
      </c>
      <c r="F246" s="23" t="s">
        <v>6464</v>
      </c>
      <c r="G246" s="23" t="s">
        <v>6465</v>
      </c>
      <c r="H246" s="23" t="s">
        <v>6466</v>
      </c>
      <c r="I246" s="23" t="s">
        <v>6467</v>
      </c>
      <c r="J246" s="23" t="s">
        <v>6468</v>
      </c>
      <c r="K246" s="23" t="s">
        <v>6469</v>
      </c>
      <c r="L246" s="25" t="s">
        <v>6470</v>
      </c>
      <c r="M246" s="23" t="s">
        <v>6471</v>
      </c>
      <c r="N246" s="23" t="s">
        <v>6472</v>
      </c>
      <c r="O246" s="26" t="s">
        <v>6473</v>
      </c>
      <c r="P246" s="27" t="s">
        <v>6474</v>
      </c>
      <c r="Q246" s="28" t="s">
        <v>6475</v>
      </c>
      <c r="R246" s="29" t="s">
        <v>6476</v>
      </c>
      <c r="S246" s="30" t="s">
        <v>6477</v>
      </c>
      <c r="T246" s="23" t="s">
        <v>6478</v>
      </c>
      <c r="U246" s="23" t="s">
        <v>6471</v>
      </c>
      <c r="V246" s="23" t="s">
        <v>6451</v>
      </c>
      <c r="W246" s="23" t="s">
        <v>6479</v>
      </c>
      <c r="X246" s="23" t="s">
        <v>6480</v>
      </c>
      <c r="Y246" s="23" t="s">
        <v>6481</v>
      </c>
      <c r="Z246" s="31" t="s">
        <v>6482</v>
      </c>
      <c r="AA246" s="23" t="s">
        <v>6483</v>
      </c>
      <c r="AB246" s="23" t="s">
        <v>6484</v>
      </c>
      <c r="AC246" s="26" t="s">
        <v>6485</v>
      </c>
    </row>
    <row r="247">
      <c r="A247" s="22" t="s">
        <v>6487</v>
      </c>
      <c r="B247" s="23" t="s">
        <v>6488</v>
      </c>
      <c r="C247" s="23" t="s">
        <v>6514</v>
      </c>
      <c r="D247" s="24" t="s">
        <v>6489</v>
      </c>
      <c r="E247" s="23" t="s">
        <v>6490</v>
      </c>
      <c r="F247" s="23" t="s">
        <v>6491</v>
      </c>
      <c r="G247" s="23" t="s">
        <v>6492</v>
      </c>
      <c r="H247" s="23" t="s">
        <v>6488</v>
      </c>
      <c r="I247" s="23" t="s">
        <v>6493</v>
      </c>
      <c r="J247" s="23" t="s">
        <v>6494</v>
      </c>
      <c r="K247" s="23" t="s">
        <v>6495</v>
      </c>
      <c r="L247" s="25" t="s">
        <v>6496</v>
      </c>
      <c r="M247" s="23" t="s">
        <v>6497</v>
      </c>
      <c r="N247" s="23" t="s">
        <v>6498</v>
      </c>
      <c r="O247" s="26" t="s">
        <v>6499</v>
      </c>
      <c r="P247" s="27" t="s">
        <v>6500</v>
      </c>
      <c r="Q247" s="28" t="s">
        <v>6501</v>
      </c>
      <c r="R247" s="29" t="s">
        <v>6502</v>
      </c>
      <c r="S247" s="30" t="s">
        <v>6503</v>
      </c>
      <c r="T247" s="23" t="s">
        <v>6504</v>
      </c>
      <c r="U247" s="23" t="s">
        <v>6505</v>
      </c>
      <c r="V247" s="23" t="s">
        <v>6506</v>
      </c>
      <c r="W247" s="23" t="s">
        <v>6507</v>
      </c>
      <c r="X247" s="23" t="s">
        <v>6508</v>
      </c>
      <c r="Y247" s="23" t="s">
        <v>6509</v>
      </c>
      <c r="Z247" s="31" t="s">
        <v>6510</v>
      </c>
      <c r="AA247" s="23" t="s">
        <v>6511</v>
      </c>
      <c r="AB247" s="23" t="s">
        <v>6512</v>
      </c>
      <c r="AC247" s="26" t="s">
        <v>6513</v>
      </c>
    </row>
    <row r="248">
      <c r="A248" s="22" t="s">
        <v>6515</v>
      </c>
      <c r="B248" s="23" t="s">
        <v>6516</v>
      </c>
      <c r="C248" s="23" t="s">
        <v>6543</v>
      </c>
      <c r="D248" s="24" t="s">
        <v>6517</v>
      </c>
      <c r="E248" s="23" t="s">
        <v>6518</v>
      </c>
      <c r="F248" s="23" t="s">
        <v>6519</v>
      </c>
      <c r="G248" s="23" t="s">
        <v>6520</v>
      </c>
      <c r="H248" s="23" t="s">
        <v>6521</v>
      </c>
      <c r="I248" s="23" t="s">
        <v>6522</v>
      </c>
      <c r="J248" s="23" t="s">
        <v>6523</v>
      </c>
      <c r="K248" s="23" t="s">
        <v>6524</v>
      </c>
      <c r="L248" s="25" t="s">
        <v>6525</v>
      </c>
      <c r="M248" s="23" t="s">
        <v>6526</v>
      </c>
      <c r="N248" s="23" t="s">
        <v>6527</v>
      </c>
      <c r="O248" s="26" t="s">
        <v>6528</v>
      </c>
      <c r="P248" s="27" t="s">
        <v>6529</v>
      </c>
      <c r="Q248" s="28" t="s">
        <v>6530</v>
      </c>
      <c r="R248" s="29" t="s">
        <v>6531</v>
      </c>
      <c r="S248" s="30" t="s">
        <v>6532</v>
      </c>
      <c r="T248" s="23" t="s">
        <v>6533</v>
      </c>
      <c r="U248" s="23" t="s">
        <v>6534</v>
      </c>
      <c r="V248" s="23" t="s">
        <v>6535</v>
      </c>
      <c r="W248" s="23" t="s">
        <v>6536</v>
      </c>
      <c r="X248" s="23" t="s">
        <v>6537</v>
      </c>
      <c r="Y248" s="23" t="s">
        <v>6538</v>
      </c>
      <c r="Z248" s="31" t="s">
        <v>6539</v>
      </c>
      <c r="AA248" s="23" t="s">
        <v>6540</v>
      </c>
      <c r="AB248" s="23" t="s">
        <v>6541</v>
      </c>
      <c r="AC248" s="26" t="s">
        <v>6542</v>
      </c>
    </row>
    <row r="249">
      <c r="A249" s="22" t="s">
        <v>6544</v>
      </c>
      <c r="B249" s="23" t="s">
        <v>6545</v>
      </c>
      <c r="C249" s="23" t="s">
        <v>6572</v>
      </c>
      <c r="D249" s="24" t="s">
        <v>6546</v>
      </c>
      <c r="E249" s="23" t="s">
        <v>6547</v>
      </c>
      <c r="F249" s="23" t="s">
        <v>6548</v>
      </c>
      <c r="G249" s="23" t="s">
        <v>6549</v>
      </c>
      <c r="H249" s="23" t="s">
        <v>6550</v>
      </c>
      <c r="I249" s="23" t="s">
        <v>6551</v>
      </c>
      <c r="J249" s="23" t="s">
        <v>6552</v>
      </c>
      <c r="K249" s="23" t="s">
        <v>6553</v>
      </c>
      <c r="L249" s="25" t="s">
        <v>6554</v>
      </c>
      <c r="M249" s="23" t="s">
        <v>6555</v>
      </c>
      <c r="N249" s="23" t="s">
        <v>6556</v>
      </c>
      <c r="O249" s="26" t="s">
        <v>6557</v>
      </c>
      <c r="P249" s="27" t="s">
        <v>6558</v>
      </c>
      <c r="Q249" s="28" t="s">
        <v>6559</v>
      </c>
      <c r="R249" s="29" t="s">
        <v>6560</v>
      </c>
      <c r="S249" s="30" t="s">
        <v>6561</v>
      </c>
      <c r="T249" s="23" t="s">
        <v>6562</v>
      </c>
      <c r="U249" s="23" t="s">
        <v>6563</v>
      </c>
      <c r="V249" s="23" t="s">
        <v>6564</v>
      </c>
      <c r="W249" s="23" t="s">
        <v>6565</v>
      </c>
      <c r="X249" s="23" t="s">
        <v>6566</v>
      </c>
      <c r="Y249" s="23" t="s">
        <v>6567</v>
      </c>
      <c r="Z249" s="31" t="s">
        <v>6568</v>
      </c>
      <c r="AA249" s="23" t="s">
        <v>6569</v>
      </c>
      <c r="AB249" s="23" t="s">
        <v>6570</v>
      </c>
      <c r="AC249" s="26" t="s">
        <v>6571</v>
      </c>
    </row>
    <row r="250">
      <c r="A250" s="22" t="s">
        <v>6573</v>
      </c>
      <c r="B250" s="23" t="s">
        <v>6574</v>
      </c>
      <c r="C250" s="23" t="s">
        <v>6601</v>
      </c>
      <c r="D250" s="24" t="s">
        <v>6575</v>
      </c>
      <c r="E250" s="23" t="s">
        <v>6576</v>
      </c>
      <c r="F250" s="23" t="s">
        <v>6577</v>
      </c>
      <c r="G250" s="23" t="s">
        <v>6578</v>
      </c>
      <c r="H250" s="23" t="s">
        <v>6579</v>
      </c>
      <c r="I250" s="23" t="s">
        <v>6580</v>
      </c>
      <c r="J250" s="23" t="s">
        <v>6581</v>
      </c>
      <c r="K250" s="23" t="s">
        <v>6582</v>
      </c>
      <c r="L250" s="25" t="s">
        <v>6583</v>
      </c>
      <c r="M250" s="23" t="s">
        <v>6584</v>
      </c>
      <c r="N250" s="23" t="s">
        <v>6585</v>
      </c>
      <c r="O250" s="23" t="s">
        <v>6586</v>
      </c>
      <c r="P250" s="27" t="s">
        <v>6587</v>
      </c>
      <c r="Q250" s="28" t="s">
        <v>6588</v>
      </c>
      <c r="R250" s="29" t="s">
        <v>6589</v>
      </c>
      <c r="S250" s="30" t="s">
        <v>6590</v>
      </c>
      <c r="T250" s="23" t="s">
        <v>6591</v>
      </c>
      <c r="U250" s="23" t="s">
        <v>6592</v>
      </c>
      <c r="V250" s="23" t="s">
        <v>6593</v>
      </c>
      <c r="W250" s="23" t="s">
        <v>6594</v>
      </c>
      <c r="X250" s="23" t="s">
        <v>6595</v>
      </c>
      <c r="Y250" s="23" t="s">
        <v>6596</v>
      </c>
      <c r="Z250" s="31" t="s">
        <v>6597</v>
      </c>
      <c r="AA250" s="23" t="s">
        <v>6598</v>
      </c>
      <c r="AB250" s="23" t="s">
        <v>6599</v>
      </c>
      <c r="AC250" s="26" t="s">
        <v>6600</v>
      </c>
    </row>
    <row r="251">
      <c r="A251" s="22" t="s">
        <v>6602</v>
      </c>
      <c r="B251" s="23" t="s">
        <v>6603</v>
      </c>
      <c r="C251" s="23" t="s">
        <v>6630</v>
      </c>
      <c r="D251" s="24" t="s">
        <v>6604</v>
      </c>
      <c r="E251" s="23" t="s">
        <v>6605</v>
      </c>
      <c r="F251" s="23" t="s">
        <v>6606</v>
      </c>
      <c r="G251" s="23" t="s">
        <v>6607</v>
      </c>
      <c r="H251" s="23" t="s">
        <v>6608</v>
      </c>
      <c r="I251" s="23" t="s">
        <v>6609</v>
      </c>
      <c r="J251" s="23" t="s">
        <v>6610</v>
      </c>
      <c r="K251" s="23" t="s">
        <v>6611</v>
      </c>
      <c r="L251" s="25" t="s">
        <v>6612</v>
      </c>
      <c r="M251" s="23" t="s">
        <v>6613</v>
      </c>
      <c r="N251" s="23" t="s">
        <v>6614</v>
      </c>
      <c r="O251" s="26" t="s">
        <v>6615</v>
      </c>
      <c r="P251" s="27" t="s">
        <v>6616</v>
      </c>
      <c r="Q251" s="28" t="s">
        <v>6617</v>
      </c>
      <c r="R251" s="29" t="s">
        <v>6618</v>
      </c>
      <c r="S251" s="30" t="s">
        <v>6619</v>
      </c>
      <c r="T251" s="23" t="s">
        <v>6620</v>
      </c>
      <c r="U251" s="23" t="s">
        <v>6621</v>
      </c>
      <c r="V251" s="23" t="s">
        <v>6622</v>
      </c>
      <c r="W251" s="23" t="s">
        <v>6623</v>
      </c>
      <c r="X251" s="23" t="s">
        <v>6624</v>
      </c>
      <c r="Y251" s="23" t="s">
        <v>6625</v>
      </c>
      <c r="Z251" s="31" t="s">
        <v>6626</v>
      </c>
      <c r="AA251" s="23" t="s">
        <v>6627</v>
      </c>
      <c r="AB251" s="23" t="s">
        <v>6628</v>
      </c>
      <c r="AC251" s="26" t="s">
        <v>6629</v>
      </c>
    </row>
    <row r="252">
      <c r="A252" s="22" t="s">
        <v>6631</v>
      </c>
      <c r="B252" s="23" t="s">
        <v>1072</v>
      </c>
      <c r="C252" s="23" t="s">
        <v>1099</v>
      </c>
      <c r="D252" s="24" t="s">
        <v>1073</v>
      </c>
      <c r="E252" s="23" t="s">
        <v>1074</v>
      </c>
      <c r="F252" s="23" t="s">
        <v>6632</v>
      </c>
      <c r="G252" s="23" t="s">
        <v>1076</v>
      </c>
      <c r="H252" s="23" t="s">
        <v>1077</v>
      </c>
      <c r="I252" s="23" t="s">
        <v>6633</v>
      </c>
      <c r="J252" s="23" t="s">
        <v>1079</v>
      </c>
      <c r="K252" s="23" t="s">
        <v>1080</v>
      </c>
      <c r="L252" s="25" t="s">
        <v>1081</v>
      </c>
      <c r="M252" s="23" t="s">
        <v>1082</v>
      </c>
      <c r="N252" s="23" t="s">
        <v>1083</v>
      </c>
      <c r="O252" s="26" t="s">
        <v>1084</v>
      </c>
      <c r="P252" s="27" t="s">
        <v>1085</v>
      </c>
      <c r="Q252" s="28" t="s">
        <v>1086</v>
      </c>
      <c r="R252" s="29" t="s">
        <v>6634</v>
      </c>
      <c r="S252" s="30" t="s">
        <v>1088</v>
      </c>
      <c r="T252" s="23" t="s">
        <v>1089</v>
      </c>
      <c r="U252" s="23" t="s">
        <v>1090</v>
      </c>
      <c r="V252" s="23" t="s">
        <v>1091</v>
      </c>
      <c r="W252" s="23" t="s">
        <v>1092</v>
      </c>
      <c r="X252" s="23" t="s">
        <v>1093</v>
      </c>
      <c r="Y252" s="23" t="s">
        <v>1094</v>
      </c>
      <c r="Z252" s="31" t="s">
        <v>1095</v>
      </c>
      <c r="AA252" s="23" t="s">
        <v>1096</v>
      </c>
      <c r="AB252" s="23" t="s">
        <v>1097</v>
      </c>
      <c r="AC252" s="26" t="s">
        <v>1098</v>
      </c>
    </row>
    <row r="253">
      <c r="A253" s="22" t="s">
        <v>6635</v>
      </c>
      <c r="B253" s="23" t="s">
        <v>6636</v>
      </c>
      <c r="C253" s="23" t="s">
        <v>6662</v>
      </c>
      <c r="D253" s="24" t="s">
        <v>6637</v>
      </c>
      <c r="E253" s="23" t="s">
        <v>6638</v>
      </c>
      <c r="F253" s="23" t="s">
        <v>6639</v>
      </c>
      <c r="G253" s="23" t="s">
        <v>6640</v>
      </c>
      <c r="H253" s="23" t="s">
        <v>6641</v>
      </c>
      <c r="I253" s="23" t="s">
        <v>6642</v>
      </c>
      <c r="J253" s="23" t="s">
        <v>6643</v>
      </c>
      <c r="K253" s="23" t="s">
        <v>6636</v>
      </c>
      <c r="L253" s="25" t="s">
        <v>6644</v>
      </c>
      <c r="M253" s="23" t="s">
        <v>6645</v>
      </c>
      <c r="N253" s="23" t="s">
        <v>6646</v>
      </c>
      <c r="O253" s="26" t="s">
        <v>6647</v>
      </c>
      <c r="P253" s="27" t="s">
        <v>6648</v>
      </c>
      <c r="Q253" s="28" t="s">
        <v>6649</v>
      </c>
      <c r="R253" s="29" t="s">
        <v>6650</v>
      </c>
      <c r="S253" s="30" t="s">
        <v>6651</v>
      </c>
      <c r="T253" s="23" t="s">
        <v>6652</v>
      </c>
      <c r="U253" s="23" t="s">
        <v>6653</v>
      </c>
      <c r="V253" s="23" t="s">
        <v>6654</v>
      </c>
      <c r="W253" s="23" t="s">
        <v>6655</v>
      </c>
      <c r="X253" s="23" t="s">
        <v>6656</v>
      </c>
      <c r="Y253" s="23" t="s">
        <v>6657</v>
      </c>
      <c r="Z253" s="31" t="s">
        <v>6658</v>
      </c>
      <c r="AA253" s="23" t="s">
        <v>6659</v>
      </c>
      <c r="AB253" s="23" t="s">
        <v>6660</v>
      </c>
      <c r="AC253" s="26" t="s">
        <v>6661</v>
      </c>
    </row>
    <row r="254">
      <c r="A254" s="22" t="s">
        <v>6663</v>
      </c>
      <c r="B254" s="23" t="s">
        <v>6664</v>
      </c>
      <c r="C254" s="23" t="s">
        <v>6691</v>
      </c>
      <c r="D254" s="24" t="s">
        <v>6665</v>
      </c>
      <c r="E254" s="23" t="s">
        <v>6666</v>
      </c>
      <c r="F254" s="23" t="s">
        <v>6667</v>
      </c>
      <c r="G254" s="23" t="s">
        <v>6668</v>
      </c>
      <c r="H254" s="23" t="s">
        <v>6669</v>
      </c>
      <c r="I254" s="23" t="s">
        <v>6670</v>
      </c>
      <c r="J254" s="23" t="s">
        <v>6671</v>
      </c>
      <c r="K254" s="23" t="s">
        <v>6672</v>
      </c>
      <c r="L254" s="25" t="s">
        <v>6673</v>
      </c>
      <c r="M254" s="23" t="s">
        <v>6674</v>
      </c>
      <c r="N254" s="23" t="s">
        <v>6675</v>
      </c>
      <c r="O254" s="26" t="s">
        <v>6676</v>
      </c>
      <c r="P254" s="27" t="s">
        <v>6677</v>
      </c>
      <c r="Q254" s="28" t="s">
        <v>6678</v>
      </c>
      <c r="R254" s="29" t="s">
        <v>6679</v>
      </c>
      <c r="S254" s="30" t="s">
        <v>6680</v>
      </c>
      <c r="T254" s="23" t="s">
        <v>6681</v>
      </c>
      <c r="U254" s="23" t="s">
        <v>6682</v>
      </c>
      <c r="V254" s="23" t="s">
        <v>6683</v>
      </c>
      <c r="W254" s="23" t="s">
        <v>6684</v>
      </c>
      <c r="X254" s="23" t="s">
        <v>6685</v>
      </c>
      <c r="Y254" s="23" t="s">
        <v>6686</v>
      </c>
      <c r="Z254" s="31" t="s">
        <v>6687</v>
      </c>
      <c r="AA254" s="23" t="s">
        <v>6688</v>
      </c>
      <c r="AB254" s="23" t="s">
        <v>6689</v>
      </c>
      <c r="AC254" s="26" t="s">
        <v>6690</v>
      </c>
    </row>
    <row r="255">
      <c r="A255" s="22" t="s">
        <v>6692</v>
      </c>
      <c r="B255" s="23" t="s">
        <v>6693</v>
      </c>
      <c r="C255" s="23" t="s">
        <v>6718</v>
      </c>
      <c r="D255" s="24" t="s">
        <v>6694</v>
      </c>
      <c r="E255" s="23" t="s">
        <v>6695</v>
      </c>
      <c r="F255" s="23" t="s">
        <v>6696</v>
      </c>
      <c r="G255" s="23" t="s">
        <v>6697</v>
      </c>
      <c r="H255" s="23" t="s">
        <v>6698</v>
      </c>
      <c r="I255" s="23" t="s">
        <v>6699</v>
      </c>
      <c r="J255" s="23" t="s">
        <v>6700</v>
      </c>
      <c r="K255" s="23" t="s">
        <v>6701</v>
      </c>
      <c r="L255" s="25" t="s">
        <v>6702</v>
      </c>
      <c r="M255" s="23" t="s">
        <v>6703</v>
      </c>
      <c r="N255" s="23" t="s">
        <v>6704</v>
      </c>
      <c r="O255" s="26" t="s">
        <v>6705</v>
      </c>
      <c r="P255" s="27" t="s">
        <v>6706</v>
      </c>
      <c r="Q255" s="28" t="s">
        <v>6707</v>
      </c>
      <c r="R255" s="29" t="s">
        <v>6708</v>
      </c>
      <c r="S255" s="30" t="s">
        <v>6709</v>
      </c>
      <c r="T255" s="23" t="s">
        <v>6699</v>
      </c>
      <c r="U255" s="23" t="s">
        <v>6703</v>
      </c>
      <c r="V255" s="23" t="s">
        <v>6710</v>
      </c>
      <c r="W255" s="23" t="s">
        <v>6711</v>
      </c>
      <c r="X255" s="23" t="s">
        <v>6712</v>
      </c>
      <c r="Y255" s="23" t="s">
        <v>6713</v>
      </c>
      <c r="Z255" s="31" t="s">
        <v>6714</v>
      </c>
      <c r="AA255" s="23" t="s">
        <v>6715</v>
      </c>
      <c r="AB255" s="23" t="s">
        <v>6716</v>
      </c>
      <c r="AC255" s="26" t="s">
        <v>6717</v>
      </c>
    </row>
    <row r="256">
      <c r="A256" s="22" t="s">
        <v>6719</v>
      </c>
      <c r="B256" s="23" t="s">
        <v>6720</v>
      </c>
      <c r="C256" s="23" t="s">
        <v>6747</v>
      </c>
      <c r="D256" s="24" t="s">
        <v>6721</v>
      </c>
      <c r="E256" s="23" t="s">
        <v>6722</v>
      </c>
      <c r="F256" s="23" t="s">
        <v>6723</v>
      </c>
      <c r="G256" s="23" t="s">
        <v>6724</v>
      </c>
      <c r="H256" s="23" t="s">
        <v>6725</v>
      </c>
      <c r="I256" s="23" t="s">
        <v>6726</v>
      </c>
      <c r="J256" s="23" t="s">
        <v>6727</v>
      </c>
      <c r="K256" s="23" t="s">
        <v>6728</v>
      </c>
      <c r="L256" s="25" t="s">
        <v>6729</v>
      </c>
      <c r="M256" s="23" t="s">
        <v>6730</v>
      </c>
      <c r="N256" s="23" t="s">
        <v>6731</v>
      </c>
      <c r="O256" s="26" t="s">
        <v>6732</v>
      </c>
      <c r="P256" s="27" t="s">
        <v>6733</v>
      </c>
      <c r="Q256" s="28" t="s">
        <v>6734</v>
      </c>
      <c r="R256" s="29" t="s">
        <v>6735</v>
      </c>
      <c r="S256" s="30" t="s">
        <v>6736</v>
      </c>
      <c r="T256" s="23" t="s">
        <v>6737</v>
      </c>
      <c r="U256" s="23" t="s">
        <v>6738</v>
      </c>
      <c r="V256" s="23" t="s">
        <v>6739</v>
      </c>
      <c r="W256" s="23" t="s">
        <v>6740</v>
      </c>
      <c r="X256" s="23" t="s">
        <v>6741</v>
      </c>
      <c r="Y256" s="23" t="s">
        <v>6742</v>
      </c>
      <c r="Z256" s="31" t="s">
        <v>6743</v>
      </c>
      <c r="AA256" s="23" t="s">
        <v>6744</v>
      </c>
      <c r="AB256" s="23" t="s">
        <v>6745</v>
      </c>
      <c r="AC256" s="26" t="s">
        <v>6746</v>
      </c>
    </row>
    <row r="257">
      <c r="A257" s="22" t="s">
        <v>6748</v>
      </c>
      <c r="B257" s="23" t="s">
        <v>6749</v>
      </c>
      <c r="C257" s="23" t="s">
        <v>6776</v>
      </c>
      <c r="D257" s="24" t="s">
        <v>6750</v>
      </c>
      <c r="E257" s="23" t="s">
        <v>6751</v>
      </c>
      <c r="F257" s="23" t="s">
        <v>6752</v>
      </c>
      <c r="G257" s="23" t="s">
        <v>6753</v>
      </c>
      <c r="H257" s="23" t="s">
        <v>6754</v>
      </c>
      <c r="I257" s="23" t="s">
        <v>6755</v>
      </c>
      <c r="J257" s="23" t="s">
        <v>6756</v>
      </c>
      <c r="K257" s="23" t="s">
        <v>6757</v>
      </c>
      <c r="L257" s="25" t="s">
        <v>6758</v>
      </c>
      <c r="M257" s="23" t="s">
        <v>6759</v>
      </c>
      <c r="N257" s="23" t="s">
        <v>6760</v>
      </c>
      <c r="O257" s="26" t="s">
        <v>6761</v>
      </c>
      <c r="P257" s="27" t="s">
        <v>6762</v>
      </c>
      <c r="Q257" s="28" t="s">
        <v>6763</v>
      </c>
      <c r="R257" s="29" t="s">
        <v>6764</v>
      </c>
      <c r="S257" s="30" t="s">
        <v>6765</v>
      </c>
      <c r="T257" s="23" t="s">
        <v>6766</v>
      </c>
      <c r="U257" s="23" t="s">
        <v>6767</v>
      </c>
      <c r="V257" s="23" t="s">
        <v>6768</v>
      </c>
      <c r="W257" s="23" t="s">
        <v>6769</v>
      </c>
      <c r="X257" s="23" t="s">
        <v>6770</v>
      </c>
      <c r="Y257" s="23" t="s">
        <v>6771</v>
      </c>
      <c r="Z257" s="31" t="s">
        <v>6772</v>
      </c>
      <c r="AA257" s="23" t="s">
        <v>6773</v>
      </c>
      <c r="AB257" s="23" t="s">
        <v>6774</v>
      </c>
      <c r="AC257" s="26" t="s">
        <v>6775</v>
      </c>
    </row>
    <row r="258">
      <c r="A258" s="22" t="s">
        <v>6777</v>
      </c>
      <c r="B258" s="23" t="s">
        <v>6749</v>
      </c>
      <c r="C258" s="23" t="s">
        <v>6776</v>
      </c>
      <c r="D258" s="24" t="s">
        <v>6750</v>
      </c>
      <c r="E258" s="23" t="s">
        <v>6751</v>
      </c>
      <c r="F258" s="23" t="s">
        <v>6752</v>
      </c>
      <c r="G258" s="23" t="s">
        <v>6753</v>
      </c>
      <c r="H258" s="23" t="s">
        <v>6754</v>
      </c>
      <c r="I258" s="23" t="s">
        <v>6755</v>
      </c>
      <c r="J258" s="23" t="s">
        <v>6756</v>
      </c>
      <c r="K258" s="23" t="s">
        <v>6757</v>
      </c>
      <c r="L258" s="25" t="s">
        <v>6758</v>
      </c>
      <c r="M258" s="23" t="s">
        <v>6759</v>
      </c>
      <c r="N258" s="23" t="s">
        <v>6760</v>
      </c>
      <c r="O258" s="26" t="s">
        <v>6761</v>
      </c>
      <c r="P258" s="27" t="s">
        <v>6762</v>
      </c>
      <c r="Q258" s="28" t="s">
        <v>6763</v>
      </c>
      <c r="R258" s="29" t="s">
        <v>6764</v>
      </c>
      <c r="S258" s="30" t="s">
        <v>6765</v>
      </c>
      <c r="T258" s="23" t="s">
        <v>6766</v>
      </c>
      <c r="U258" s="23" t="s">
        <v>6767</v>
      </c>
      <c r="V258" s="23" t="s">
        <v>6768</v>
      </c>
      <c r="W258" s="23" t="s">
        <v>6769</v>
      </c>
      <c r="X258" s="23" t="s">
        <v>6770</v>
      </c>
      <c r="Y258" s="23" t="s">
        <v>6771</v>
      </c>
      <c r="Z258" s="31" t="s">
        <v>6772</v>
      </c>
      <c r="AA258" s="23" t="s">
        <v>6773</v>
      </c>
      <c r="AB258" s="23" t="s">
        <v>6774</v>
      </c>
      <c r="AC258" s="26" t="s">
        <v>6775</v>
      </c>
    </row>
    <row r="259">
      <c r="A259" s="22" t="s">
        <v>6778</v>
      </c>
      <c r="B259" s="23" t="s">
        <v>6779</v>
      </c>
      <c r="C259" s="23" t="s">
        <v>6806</v>
      </c>
      <c r="D259" s="24" t="s">
        <v>6780</v>
      </c>
      <c r="E259" s="23" t="s">
        <v>6781</v>
      </c>
      <c r="F259" s="23" t="s">
        <v>6782</v>
      </c>
      <c r="G259" s="23" t="s">
        <v>6783</v>
      </c>
      <c r="H259" s="23" t="s">
        <v>6784</v>
      </c>
      <c r="I259" s="23" t="s">
        <v>6785</v>
      </c>
      <c r="J259" s="23" t="s">
        <v>6786</v>
      </c>
      <c r="K259" s="23" t="s">
        <v>6787</v>
      </c>
      <c r="L259" s="25" t="s">
        <v>6788</v>
      </c>
      <c r="M259" s="23" t="s">
        <v>6789</v>
      </c>
      <c r="N259" s="23" t="s">
        <v>6790</v>
      </c>
      <c r="O259" s="26" t="s">
        <v>6791</v>
      </c>
      <c r="P259" s="27" t="s">
        <v>6792</v>
      </c>
      <c r="Q259" s="28" t="s">
        <v>6793</v>
      </c>
      <c r="R259" s="29" t="s">
        <v>6794</v>
      </c>
      <c r="S259" s="30" t="s">
        <v>6795</v>
      </c>
      <c r="T259" s="23" t="s">
        <v>6796</v>
      </c>
      <c r="U259" s="23" t="s">
        <v>6797</v>
      </c>
      <c r="V259" s="23" t="s">
        <v>6798</v>
      </c>
      <c r="W259" s="23" t="s">
        <v>6799</v>
      </c>
      <c r="X259" s="23" t="s">
        <v>6800</v>
      </c>
      <c r="Y259" s="23" t="s">
        <v>6801</v>
      </c>
      <c r="Z259" s="31" t="s">
        <v>6802</v>
      </c>
      <c r="AA259" s="23" t="s">
        <v>6803</v>
      </c>
      <c r="AB259" s="23" t="s">
        <v>6804</v>
      </c>
      <c r="AC259" s="26" t="s">
        <v>6805</v>
      </c>
    </row>
    <row r="260">
      <c r="A260" s="22" t="s">
        <v>6807</v>
      </c>
      <c r="B260" s="23" t="s">
        <v>6808</v>
      </c>
      <c r="C260" s="23" t="s">
        <v>6835</v>
      </c>
      <c r="D260" s="24" t="s">
        <v>6809</v>
      </c>
      <c r="E260" s="23" t="s">
        <v>6810</v>
      </c>
      <c r="F260" s="23" t="s">
        <v>6811</v>
      </c>
      <c r="G260" s="23" t="s">
        <v>6812</v>
      </c>
      <c r="H260" s="23" t="s">
        <v>6813</v>
      </c>
      <c r="I260" s="23" t="s">
        <v>6814</v>
      </c>
      <c r="J260" s="23" t="s">
        <v>6815</v>
      </c>
      <c r="K260" s="23" t="s">
        <v>6816</v>
      </c>
      <c r="L260" s="25" t="s">
        <v>6817</v>
      </c>
      <c r="M260" s="23" t="s">
        <v>6818</v>
      </c>
      <c r="N260" s="23" t="s">
        <v>6819</v>
      </c>
      <c r="O260" s="26" t="s">
        <v>6820</v>
      </c>
      <c r="P260" s="27" t="s">
        <v>6821</v>
      </c>
      <c r="Q260" s="28" t="s">
        <v>6822</v>
      </c>
      <c r="R260" s="29" t="s">
        <v>6823</v>
      </c>
      <c r="S260" s="30" t="s">
        <v>6824</v>
      </c>
      <c r="T260" s="23" t="s">
        <v>6825</v>
      </c>
      <c r="U260" s="23" t="s">
        <v>6826</v>
      </c>
      <c r="V260" s="23" t="s">
        <v>6827</v>
      </c>
      <c r="W260" s="23" t="s">
        <v>6828</v>
      </c>
      <c r="X260" s="23" t="s">
        <v>6829</v>
      </c>
      <c r="Y260" s="23" t="s">
        <v>6830</v>
      </c>
      <c r="Z260" s="31" t="s">
        <v>6831</v>
      </c>
      <c r="AA260" s="23" t="s">
        <v>6832</v>
      </c>
      <c r="AB260" s="23" t="s">
        <v>6833</v>
      </c>
      <c r="AC260" s="26" t="s">
        <v>6834</v>
      </c>
    </row>
    <row r="261">
      <c r="A261" s="22" t="s">
        <v>6836</v>
      </c>
      <c r="B261" s="23" t="s">
        <v>6837</v>
      </c>
      <c r="C261" s="23" t="s">
        <v>6864</v>
      </c>
      <c r="D261" s="24" t="s">
        <v>6838</v>
      </c>
      <c r="E261" s="23" t="s">
        <v>6839</v>
      </c>
      <c r="F261" s="23" t="s">
        <v>6840</v>
      </c>
      <c r="G261" s="23" t="s">
        <v>6841</v>
      </c>
      <c r="H261" s="23" t="s">
        <v>6842</v>
      </c>
      <c r="I261" s="23" t="s">
        <v>6843</v>
      </c>
      <c r="J261" s="23" t="s">
        <v>6844</v>
      </c>
      <c r="K261" s="23" t="s">
        <v>6845</v>
      </c>
      <c r="L261" s="25" t="s">
        <v>6846</v>
      </c>
      <c r="M261" s="23" t="s">
        <v>6847</v>
      </c>
      <c r="N261" s="23" t="s">
        <v>6848</v>
      </c>
      <c r="O261" s="26" t="s">
        <v>6849</v>
      </c>
      <c r="P261" s="27" t="s">
        <v>6850</v>
      </c>
      <c r="Q261" s="28" t="s">
        <v>6851</v>
      </c>
      <c r="R261" s="29" t="s">
        <v>6852</v>
      </c>
      <c r="S261" s="30" t="s">
        <v>6853</v>
      </c>
      <c r="T261" s="23" t="s">
        <v>6854</v>
      </c>
      <c r="U261" s="23" t="s">
        <v>6855</v>
      </c>
      <c r="V261" s="23" t="s">
        <v>6856</v>
      </c>
      <c r="W261" s="23" t="s">
        <v>6857</v>
      </c>
      <c r="X261" s="23" t="s">
        <v>6858</v>
      </c>
      <c r="Y261" s="23" t="s">
        <v>6859</v>
      </c>
      <c r="Z261" s="31" t="s">
        <v>6860</v>
      </c>
      <c r="AA261" s="23" t="s">
        <v>6861</v>
      </c>
      <c r="AB261" s="23" t="s">
        <v>6862</v>
      </c>
      <c r="AC261" s="26" t="s">
        <v>6863</v>
      </c>
    </row>
    <row r="262">
      <c r="A262" s="22" t="s">
        <v>6865</v>
      </c>
      <c r="B262" s="23" t="s">
        <v>6866</v>
      </c>
      <c r="C262" s="23" t="s">
        <v>6890</v>
      </c>
      <c r="D262" s="24" t="s">
        <v>6867</v>
      </c>
      <c r="E262" s="23" t="s">
        <v>6868</v>
      </c>
      <c r="F262" s="23" t="s">
        <v>6869</v>
      </c>
      <c r="G262" s="23" t="s">
        <v>6870</v>
      </c>
      <c r="H262" s="23" t="s">
        <v>6871</v>
      </c>
      <c r="I262" s="23" t="s">
        <v>6872</v>
      </c>
      <c r="J262" s="23" t="s">
        <v>6873</v>
      </c>
      <c r="K262" s="23" t="s">
        <v>6874</v>
      </c>
      <c r="L262" s="25" t="s">
        <v>6875</v>
      </c>
      <c r="M262" s="23" t="s">
        <v>6876</v>
      </c>
      <c r="N262" s="23" t="s">
        <v>6877</v>
      </c>
      <c r="O262" s="26" t="s">
        <v>6878</v>
      </c>
      <c r="P262" s="27" t="s">
        <v>6879</v>
      </c>
      <c r="Q262" s="28" t="s">
        <v>6880</v>
      </c>
      <c r="R262" s="29" t="s">
        <v>6881</v>
      </c>
      <c r="S262" s="30" t="s">
        <v>6882</v>
      </c>
      <c r="T262" s="23" t="s">
        <v>6883</v>
      </c>
      <c r="U262" s="23" t="s">
        <v>6876</v>
      </c>
      <c r="V262" s="23" t="s">
        <v>6869</v>
      </c>
      <c r="W262" s="23" t="s">
        <v>6884</v>
      </c>
      <c r="X262" s="23" t="s">
        <v>6885</v>
      </c>
      <c r="Y262" s="23" t="s">
        <v>6886</v>
      </c>
      <c r="Z262" s="31" t="s">
        <v>6887</v>
      </c>
      <c r="AA262" s="23" t="s">
        <v>6888</v>
      </c>
      <c r="AB262" s="23" t="s">
        <v>6886</v>
      </c>
      <c r="AC262" s="26" t="s">
        <v>6889</v>
      </c>
    </row>
    <row r="263">
      <c r="A263" s="22" t="s">
        <v>6891</v>
      </c>
      <c r="B263" s="23" t="s">
        <v>6892</v>
      </c>
      <c r="C263" s="23" t="s">
        <v>6919</v>
      </c>
      <c r="D263" s="24" t="s">
        <v>6893</v>
      </c>
      <c r="E263" s="23" t="s">
        <v>6894</v>
      </c>
      <c r="F263" s="23" t="s">
        <v>6895</v>
      </c>
      <c r="G263" s="23" t="s">
        <v>6896</v>
      </c>
      <c r="H263" s="23" t="s">
        <v>6897</v>
      </c>
      <c r="I263" s="23" t="s">
        <v>6898</v>
      </c>
      <c r="J263" s="23" t="s">
        <v>6899</v>
      </c>
      <c r="K263" s="23" t="s">
        <v>6900</v>
      </c>
      <c r="L263" s="25" t="s">
        <v>6901</v>
      </c>
      <c r="M263" s="23" t="s">
        <v>6902</v>
      </c>
      <c r="N263" s="23" t="s">
        <v>6903</v>
      </c>
      <c r="O263" s="26" t="s">
        <v>6904</v>
      </c>
      <c r="P263" s="27" t="s">
        <v>6905</v>
      </c>
      <c r="Q263" s="28" t="s">
        <v>6906</v>
      </c>
      <c r="R263" s="29" t="s">
        <v>6907</v>
      </c>
      <c r="S263" s="30" t="s">
        <v>6908</v>
      </c>
      <c r="T263" s="23" t="s">
        <v>6909</v>
      </c>
      <c r="U263" s="23" t="s">
        <v>6910</v>
      </c>
      <c r="V263" s="23" t="s">
        <v>6911</v>
      </c>
      <c r="W263" s="23" t="s">
        <v>6912</v>
      </c>
      <c r="X263" s="23" t="s">
        <v>6913</v>
      </c>
      <c r="Y263" s="23" t="s">
        <v>6914</v>
      </c>
      <c r="Z263" s="31" t="s">
        <v>6915</v>
      </c>
      <c r="AA263" s="23" t="s">
        <v>6916</v>
      </c>
      <c r="AB263" s="23" t="s">
        <v>6917</v>
      </c>
      <c r="AC263" s="26" t="s">
        <v>6918</v>
      </c>
    </row>
    <row r="264">
      <c r="A264" s="22" t="s">
        <v>6920</v>
      </c>
      <c r="B264" s="23" t="s">
        <v>6921</v>
      </c>
      <c r="C264" s="23" t="s">
        <v>6948</v>
      </c>
      <c r="D264" s="24" t="s">
        <v>6922</v>
      </c>
      <c r="E264" s="23" t="s">
        <v>6923</v>
      </c>
      <c r="F264" s="23" t="s">
        <v>6924</v>
      </c>
      <c r="G264" s="23" t="s">
        <v>6925</v>
      </c>
      <c r="H264" s="23" t="s">
        <v>6926</v>
      </c>
      <c r="I264" s="23" t="s">
        <v>6927</v>
      </c>
      <c r="J264" s="23" t="s">
        <v>6928</v>
      </c>
      <c r="K264" s="23" t="s">
        <v>6929</v>
      </c>
      <c r="L264" s="25" t="s">
        <v>6930</v>
      </c>
      <c r="M264" s="23" t="s">
        <v>6931</v>
      </c>
      <c r="N264" s="23" t="s">
        <v>6932</v>
      </c>
      <c r="O264" s="26" t="s">
        <v>6933</v>
      </c>
      <c r="P264" s="27" t="s">
        <v>6934</v>
      </c>
      <c r="Q264" s="28" t="s">
        <v>6935</v>
      </c>
      <c r="R264" s="29" t="s">
        <v>6936</v>
      </c>
      <c r="S264" s="30" t="s">
        <v>6937</v>
      </c>
      <c r="T264" s="23" t="s">
        <v>6938</v>
      </c>
      <c r="U264" s="23" t="s">
        <v>6939</v>
      </c>
      <c r="V264" s="23" t="s">
        <v>6940</v>
      </c>
      <c r="W264" s="23" t="s">
        <v>6941</v>
      </c>
      <c r="X264" s="23" t="s">
        <v>6942</v>
      </c>
      <c r="Y264" s="23" t="s">
        <v>6943</v>
      </c>
      <c r="Z264" s="31" t="s">
        <v>6944</v>
      </c>
      <c r="AA264" s="23" t="s">
        <v>6945</v>
      </c>
      <c r="AB264" s="23" t="s">
        <v>6946</v>
      </c>
      <c r="AC264" s="26" t="s">
        <v>6947</v>
      </c>
    </row>
    <row r="265">
      <c r="A265" s="22" t="s">
        <v>6949</v>
      </c>
      <c r="B265" s="23" t="s">
        <v>6950</v>
      </c>
      <c r="C265" s="23" t="s">
        <v>6976</v>
      </c>
      <c r="D265" s="24" t="s">
        <v>6951</v>
      </c>
      <c r="E265" s="23" t="s">
        <v>6952</v>
      </c>
      <c r="F265" s="23" t="s">
        <v>6953</v>
      </c>
      <c r="G265" s="23" t="s">
        <v>6954</v>
      </c>
      <c r="H265" s="23" t="s">
        <v>6955</v>
      </c>
      <c r="I265" s="23" t="s">
        <v>6956</v>
      </c>
      <c r="J265" s="23" t="s">
        <v>6957</v>
      </c>
      <c r="K265" s="23" t="s">
        <v>6958</v>
      </c>
      <c r="L265" s="25" t="s">
        <v>6959</v>
      </c>
      <c r="M265" s="23" t="s">
        <v>6960</v>
      </c>
      <c r="N265" s="23" t="s">
        <v>6961</v>
      </c>
      <c r="O265" s="26" t="s">
        <v>6962</v>
      </c>
      <c r="P265" s="27" t="s">
        <v>6963</v>
      </c>
      <c r="Q265" s="28" t="s">
        <v>6964</v>
      </c>
      <c r="R265" s="29" t="s">
        <v>6965</v>
      </c>
      <c r="S265" s="30" t="s">
        <v>6966</v>
      </c>
      <c r="T265" s="23" t="s">
        <v>6967</v>
      </c>
      <c r="U265" s="23" t="s">
        <v>6960</v>
      </c>
      <c r="V265" s="23" t="s">
        <v>6968</v>
      </c>
      <c r="W265" s="23" t="s">
        <v>6969</v>
      </c>
      <c r="X265" s="23" t="s">
        <v>6970</v>
      </c>
      <c r="Y265" s="23" t="s">
        <v>6971</v>
      </c>
      <c r="Z265" s="31" t="s">
        <v>6972</v>
      </c>
      <c r="AA265" s="23" t="s">
        <v>6973</v>
      </c>
      <c r="AB265" s="23" t="s">
        <v>6974</v>
      </c>
      <c r="AC265" s="26" t="s">
        <v>6975</v>
      </c>
    </row>
    <row r="266">
      <c r="A266" s="22" t="s">
        <v>6977</v>
      </c>
      <c r="B266" s="23" t="s">
        <v>6978</v>
      </c>
      <c r="C266" s="23" t="s">
        <v>7005</v>
      </c>
      <c r="D266" s="24" t="s">
        <v>6979</v>
      </c>
      <c r="E266" s="23" t="s">
        <v>6980</v>
      </c>
      <c r="F266" s="23" t="s">
        <v>6981</v>
      </c>
      <c r="G266" s="23" t="s">
        <v>6982</v>
      </c>
      <c r="H266" s="23" t="s">
        <v>6983</v>
      </c>
      <c r="I266" s="23" t="s">
        <v>6984</v>
      </c>
      <c r="J266" s="23" t="s">
        <v>6985</v>
      </c>
      <c r="K266" s="23" t="s">
        <v>6986</v>
      </c>
      <c r="L266" s="25" t="s">
        <v>6987</v>
      </c>
      <c r="M266" s="23" t="s">
        <v>6988</v>
      </c>
      <c r="N266" s="23" t="s">
        <v>6989</v>
      </c>
      <c r="O266" s="26" t="s">
        <v>6990</v>
      </c>
      <c r="P266" s="27" t="s">
        <v>6991</v>
      </c>
      <c r="Q266" s="28" t="s">
        <v>6992</v>
      </c>
      <c r="R266" s="29" t="s">
        <v>6993</v>
      </c>
      <c r="S266" s="30" t="s">
        <v>6994</v>
      </c>
      <c r="T266" s="23" t="s">
        <v>6995</v>
      </c>
      <c r="U266" s="23" t="s">
        <v>6996</v>
      </c>
      <c r="V266" s="23" t="s">
        <v>6997</v>
      </c>
      <c r="W266" s="23" t="s">
        <v>6998</v>
      </c>
      <c r="X266" s="23" t="s">
        <v>6999</v>
      </c>
      <c r="Y266" s="23" t="s">
        <v>7000</v>
      </c>
      <c r="Z266" s="31" t="s">
        <v>7001</v>
      </c>
      <c r="AA266" s="23" t="s">
        <v>7002</v>
      </c>
      <c r="AB266" s="23" t="s">
        <v>7003</v>
      </c>
      <c r="AC266" s="26" t="s">
        <v>7004</v>
      </c>
    </row>
    <row r="267">
      <c r="A267" s="22" t="s">
        <v>7006</v>
      </c>
      <c r="B267" s="23" t="s">
        <v>7007</v>
      </c>
      <c r="C267" s="23" t="s">
        <v>7033</v>
      </c>
      <c r="D267" s="24" t="s">
        <v>7008</v>
      </c>
      <c r="E267" s="23" t="s">
        <v>7009</v>
      </c>
      <c r="F267" s="23" t="s">
        <v>7010</v>
      </c>
      <c r="G267" s="23" t="s">
        <v>7011</v>
      </c>
      <c r="H267" s="23" t="s">
        <v>7012</v>
      </c>
      <c r="I267" s="23" t="s">
        <v>7013</v>
      </c>
      <c r="J267" s="23" t="s">
        <v>7014</v>
      </c>
      <c r="K267" s="23" t="s">
        <v>7015</v>
      </c>
      <c r="L267" s="25" t="s">
        <v>7016</v>
      </c>
      <c r="M267" s="23" t="s">
        <v>7017</v>
      </c>
      <c r="N267" s="23" t="s">
        <v>7018</v>
      </c>
      <c r="O267" s="26" t="s">
        <v>7019</v>
      </c>
      <c r="P267" s="27" t="s">
        <v>7020</v>
      </c>
      <c r="Q267" s="28" t="s">
        <v>7021</v>
      </c>
      <c r="R267" s="29" t="s">
        <v>7022</v>
      </c>
      <c r="S267" s="30" t="s">
        <v>7023</v>
      </c>
      <c r="T267" s="23" t="s">
        <v>7024</v>
      </c>
      <c r="U267" s="23" t="s">
        <v>7017</v>
      </c>
      <c r="V267" s="23" t="s">
        <v>7025</v>
      </c>
      <c r="W267" s="23" t="s">
        <v>7026</v>
      </c>
      <c r="X267" s="23" t="s">
        <v>7027</v>
      </c>
      <c r="Y267" s="23" t="s">
        <v>7028</v>
      </c>
      <c r="Z267" s="31" t="s">
        <v>7029</v>
      </c>
      <c r="AA267" s="23" t="s">
        <v>7030</v>
      </c>
      <c r="AB267" s="23" t="s">
        <v>7031</v>
      </c>
      <c r="AC267" s="26" t="s">
        <v>7032</v>
      </c>
    </row>
    <row r="268">
      <c r="A268" s="22" t="s">
        <v>7034</v>
      </c>
      <c r="B268" s="23" t="s">
        <v>7035</v>
      </c>
      <c r="C268" s="23" t="s">
        <v>7061</v>
      </c>
      <c r="D268" s="24" t="s">
        <v>7036</v>
      </c>
      <c r="E268" s="23" t="s">
        <v>7037</v>
      </c>
      <c r="F268" s="23" t="s">
        <v>7038</v>
      </c>
      <c r="G268" s="23" t="s">
        <v>7039</v>
      </c>
      <c r="H268" s="23" t="s">
        <v>7040</v>
      </c>
      <c r="I268" s="23" t="s">
        <v>7041</v>
      </c>
      <c r="J268" s="23" t="s">
        <v>7042</v>
      </c>
      <c r="K268" s="23" t="s">
        <v>7043</v>
      </c>
      <c r="L268" s="25" t="s">
        <v>7044</v>
      </c>
      <c r="M268" s="23" t="s">
        <v>7045</v>
      </c>
      <c r="N268" s="23" t="s">
        <v>7046</v>
      </c>
      <c r="O268" s="26" t="s">
        <v>7047</v>
      </c>
      <c r="P268" s="27" t="s">
        <v>7048</v>
      </c>
      <c r="Q268" s="28" t="s">
        <v>7049</v>
      </c>
      <c r="R268" s="29" t="s">
        <v>7050</v>
      </c>
      <c r="S268" s="30" t="s">
        <v>7051</v>
      </c>
      <c r="T268" s="23" t="s">
        <v>7052</v>
      </c>
      <c r="U268" s="23" t="s">
        <v>7053</v>
      </c>
      <c r="V268" s="23" t="s">
        <v>7054</v>
      </c>
      <c r="W268" s="23" t="s">
        <v>7055</v>
      </c>
      <c r="X268" s="23" t="s">
        <v>7035</v>
      </c>
      <c r="Y268" s="23" t="s">
        <v>7056</v>
      </c>
      <c r="Z268" s="31" t="s">
        <v>7057</v>
      </c>
      <c r="AA268" s="23" t="s">
        <v>7058</v>
      </c>
      <c r="AB268" s="23" t="s">
        <v>7059</v>
      </c>
      <c r="AC268" s="26" t="s">
        <v>7060</v>
      </c>
    </row>
    <row r="269">
      <c r="A269" s="22" t="s">
        <v>7062</v>
      </c>
      <c r="B269" s="23" t="s">
        <v>7063</v>
      </c>
      <c r="C269" s="23" t="s">
        <v>7090</v>
      </c>
      <c r="D269" s="24" t="s">
        <v>7064</v>
      </c>
      <c r="E269" s="23" t="s">
        <v>7065</v>
      </c>
      <c r="F269" s="23" t="s">
        <v>7066</v>
      </c>
      <c r="G269" s="23" t="s">
        <v>7067</v>
      </c>
      <c r="H269" s="23" t="s">
        <v>7068</v>
      </c>
      <c r="I269" s="23" t="s">
        <v>7069</v>
      </c>
      <c r="J269" s="23" t="s">
        <v>7070</v>
      </c>
      <c r="K269" s="23" t="s">
        <v>7071</v>
      </c>
      <c r="L269" s="25" t="s">
        <v>7072</v>
      </c>
      <c r="M269" s="23" t="s">
        <v>7073</v>
      </c>
      <c r="N269" s="23" t="s">
        <v>7074</v>
      </c>
      <c r="O269" s="26" t="s">
        <v>7075</v>
      </c>
      <c r="P269" s="27" t="s">
        <v>7076</v>
      </c>
      <c r="Q269" s="28" t="s">
        <v>7077</v>
      </c>
      <c r="R269" s="29" t="s">
        <v>7078</v>
      </c>
      <c r="S269" s="30" t="s">
        <v>7079</v>
      </c>
      <c r="T269" s="23" t="s">
        <v>7080</v>
      </c>
      <c r="U269" s="23" t="s">
        <v>7081</v>
      </c>
      <c r="V269" s="23" t="s">
        <v>7082</v>
      </c>
      <c r="W269" s="23" t="s">
        <v>7083</v>
      </c>
      <c r="X269" s="23" t="s">
        <v>7084</v>
      </c>
      <c r="Y269" s="23" t="s">
        <v>7085</v>
      </c>
      <c r="Z269" s="31" t="s">
        <v>7086</v>
      </c>
      <c r="AA269" s="23" t="s">
        <v>7087</v>
      </c>
      <c r="AB269" s="23" t="s">
        <v>7088</v>
      </c>
      <c r="AC269" s="26" t="s">
        <v>7089</v>
      </c>
    </row>
    <row r="270">
      <c r="A270" s="22" t="s">
        <v>7091</v>
      </c>
      <c r="B270" s="23" t="s">
        <v>7092</v>
      </c>
      <c r="C270" s="23" t="s">
        <v>7118</v>
      </c>
      <c r="D270" s="24" t="s">
        <v>7093</v>
      </c>
      <c r="E270" s="23" t="s">
        <v>7094</v>
      </c>
      <c r="F270" s="23" t="s">
        <v>7095</v>
      </c>
      <c r="G270" s="23" t="s">
        <v>7096</v>
      </c>
      <c r="H270" s="23" t="s">
        <v>7097</v>
      </c>
      <c r="I270" s="23" t="s">
        <v>7098</v>
      </c>
      <c r="J270" s="23" t="s">
        <v>7099</v>
      </c>
      <c r="K270" s="23" t="s">
        <v>7100</v>
      </c>
      <c r="L270" s="25" t="s">
        <v>7101</v>
      </c>
      <c r="M270" s="23" t="s">
        <v>7102</v>
      </c>
      <c r="N270" s="23" t="s">
        <v>7103</v>
      </c>
      <c r="O270" s="26" t="s">
        <v>7104</v>
      </c>
      <c r="P270" s="27" t="s">
        <v>7105</v>
      </c>
      <c r="Q270" s="28" t="s">
        <v>7106</v>
      </c>
      <c r="R270" s="29" t="s">
        <v>7107</v>
      </c>
      <c r="S270" s="30" t="s">
        <v>7108</v>
      </c>
      <c r="T270" s="23" t="s">
        <v>7109</v>
      </c>
      <c r="U270" s="23" t="s">
        <v>7102</v>
      </c>
      <c r="V270" s="23" t="s">
        <v>7110</v>
      </c>
      <c r="W270" s="23" t="s">
        <v>7111</v>
      </c>
      <c r="X270" s="23" t="s">
        <v>7112</v>
      </c>
      <c r="Y270" s="23" t="s">
        <v>7113</v>
      </c>
      <c r="Z270" s="31" t="s">
        <v>7114</v>
      </c>
      <c r="AA270" s="23" t="s">
        <v>7115</v>
      </c>
      <c r="AB270" s="23" t="s">
        <v>7116</v>
      </c>
      <c r="AC270" s="26" t="s">
        <v>7117</v>
      </c>
    </row>
    <row r="271">
      <c r="A271" s="22" t="s">
        <v>7119</v>
      </c>
      <c r="B271" s="23" t="s">
        <v>7120</v>
      </c>
      <c r="C271" s="23" t="s">
        <v>7147</v>
      </c>
      <c r="D271" s="24" t="s">
        <v>7121</v>
      </c>
      <c r="E271" s="23" t="s">
        <v>7122</v>
      </c>
      <c r="F271" s="23" t="s">
        <v>7123</v>
      </c>
      <c r="G271" s="23" t="s">
        <v>7124</v>
      </c>
      <c r="H271" s="23" t="s">
        <v>7125</v>
      </c>
      <c r="I271" s="23" t="s">
        <v>7126</v>
      </c>
      <c r="J271" s="23" t="s">
        <v>7127</v>
      </c>
      <c r="K271" s="23" t="s">
        <v>7128</v>
      </c>
      <c r="L271" s="25" t="s">
        <v>7129</v>
      </c>
      <c r="M271" s="23" t="s">
        <v>7130</v>
      </c>
      <c r="N271" s="23" t="s">
        <v>7131</v>
      </c>
      <c r="O271" s="26" t="s">
        <v>7132</v>
      </c>
      <c r="P271" s="27" t="s">
        <v>7133</v>
      </c>
      <c r="Q271" s="28" t="s">
        <v>7134</v>
      </c>
      <c r="R271" s="29" t="s">
        <v>7135</v>
      </c>
      <c r="S271" s="30" t="s">
        <v>7136</v>
      </c>
      <c r="T271" s="23" t="s">
        <v>7137</v>
      </c>
      <c r="U271" s="23" t="s">
        <v>7138</v>
      </c>
      <c r="V271" s="23" t="s">
        <v>7139</v>
      </c>
      <c r="W271" s="23" t="s">
        <v>7140</v>
      </c>
      <c r="X271" s="23" t="s">
        <v>7141</v>
      </c>
      <c r="Y271" s="23" t="s">
        <v>7142</v>
      </c>
      <c r="Z271" s="31" t="s">
        <v>7143</v>
      </c>
      <c r="AA271" s="23" t="s">
        <v>7144</v>
      </c>
      <c r="AB271" s="23" t="s">
        <v>7145</v>
      </c>
      <c r="AC271" s="26" t="s">
        <v>7146</v>
      </c>
    </row>
    <row r="272">
      <c r="A272" s="22" t="s">
        <v>7148</v>
      </c>
      <c r="B272" s="23" t="s">
        <v>7149</v>
      </c>
      <c r="C272" s="23" t="s">
        <v>7176</v>
      </c>
      <c r="D272" s="24" t="s">
        <v>7150</v>
      </c>
      <c r="E272" s="23" t="s">
        <v>7151</v>
      </c>
      <c r="F272" s="23" t="s">
        <v>7152</v>
      </c>
      <c r="G272" s="23" t="s">
        <v>7153</v>
      </c>
      <c r="H272" s="23" t="s">
        <v>7154</v>
      </c>
      <c r="I272" s="23" t="s">
        <v>7155</v>
      </c>
      <c r="J272" s="23" t="s">
        <v>7156</v>
      </c>
      <c r="K272" s="23" t="s">
        <v>7157</v>
      </c>
      <c r="L272" s="25" t="s">
        <v>7158</v>
      </c>
      <c r="M272" s="23" t="s">
        <v>7159</v>
      </c>
      <c r="N272" s="23" t="s">
        <v>7160</v>
      </c>
      <c r="O272" s="26" t="s">
        <v>7161</v>
      </c>
      <c r="P272" s="27" t="s">
        <v>7162</v>
      </c>
      <c r="Q272" s="28" t="s">
        <v>7163</v>
      </c>
      <c r="R272" s="29" t="s">
        <v>7164</v>
      </c>
      <c r="S272" s="30" t="s">
        <v>7165</v>
      </c>
      <c r="T272" s="23" t="s">
        <v>7166</v>
      </c>
      <c r="U272" s="23" t="s">
        <v>7167</v>
      </c>
      <c r="V272" s="23" t="s">
        <v>7168</v>
      </c>
      <c r="W272" s="23" t="s">
        <v>7169</v>
      </c>
      <c r="X272" s="23" t="s">
        <v>7170</v>
      </c>
      <c r="Y272" s="23" t="s">
        <v>7171</v>
      </c>
      <c r="Z272" s="31" t="s">
        <v>7172</v>
      </c>
      <c r="AA272" s="23" t="s">
        <v>7173</v>
      </c>
      <c r="AB272" s="23" t="s">
        <v>7174</v>
      </c>
      <c r="AC272" s="26" t="s">
        <v>7175</v>
      </c>
    </row>
    <row r="273">
      <c r="A273" s="22" t="s">
        <v>7177</v>
      </c>
      <c r="B273" s="23" t="s">
        <v>7178</v>
      </c>
      <c r="C273" s="23" t="s">
        <v>7204</v>
      </c>
      <c r="D273" s="24" t="s">
        <v>7179</v>
      </c>
      <c r="E273" s="23" t="s">
        <v>7180</v>
      </c>
      <c r="F273" s="23" t="s">
        <v>7181</v>
      </c>
      <c r="G273" s="23" t="s">
        <v>7182</v>
      </c>
      <c r="H273" s="23" t="s">
        <v>7183</v>
      </c>
      <c r="I273" s="23" t="s">
        <v>7184</v>
      </c>
      <c r="J273" s="23" t="s">
        <v>7185</v>
      </c>
      <c r="K273" s="23" t="s">
        <v>7186</v>
      </c>
      <c r="L273" s="25" t="s">
        <v>7187</v>
      </c>
      <c r="M273" s="23" t="s">
        <v>7188</v>
      </c>
      <c r="N273" s="23" t="s">
        <v>7189</v>
      </c>
      <c r="O273" s="26" t="s">
        <v>7190</v>
      </c>
      <c r="P273" s="27" t="s">
        <v>7191</v>
      </c>
      <c r="Q273" s="28" t="s">
        <v>7192</v>
      </c>
      <c r="R273" s="29" t="s">
        <v>7193</v>
      </c>
      <c r="S273" s="30" t="s">
        <v>7194</v>
      </c>
      <c r="T273" s="23" t="s">
        <v>7195</v>
      </c>
      <c r="U273" s="23" t="s">
        <v>7196</v>
      </c>
      <c r="V273" s="23" t="s">
        <v>7197</v>
      </c>
      <c r="W273" s="23" t="s">
        <v>7198</v>
      </c>
      <c r="X273" s="23" t="s">
        <v>7199</v>
      </c>
      <c r="Y273" s="23" t="s">
        <v>7200</v>
      </c>
      <c r="Z273" s="31" t="s">
        <v>7201</v>
      </c>
      <c r="AA273" s="23" t="s">
        <v>7202</v>
      </c>
      <c r="AB273" s="23" t="s">
        <v>7203</v>
      </c>
      <c r="AC273" s="26" t="s">
        <v>7190</v>
      </c>
    </row>
    <row r="274">
      <c r="A274" s="22" t="s">
        <v>7205</v>
      </c>
      <c r="B274" s="23" t="s">
        <v>7206</v>
      </c>
      <c r="C274" s="23" t="s">
        <v>7233</v>
      </c>
      <c r="D274" s="24" t="s">
        <v>7207</v>
      </c>
      <c r="E274" s="23" t="s">
        <v>7208</v>
      </c>
      <c r="F274" s="23" t="s">
        <v>7209</v>
      </c>
      <c r="G274" s="23" t="s">
        <v>7210</v>
      </c>
      <c r="H274" s="23" t="s">
        <v>7211</v>
      </c>
      <c r="I274" s="23" t="s">
        <v>7212</v>
      </c>
      <c r="J274" s="23" t="s">
        <v>7213</v>
      </c>
      <c r="K274" s="23" t="s">
        <v>7214</v>
      </c>
      <c r="L274" s="25" t="s">
        <v>7215</v>
      </c>
      <c r="M274" s="23" t="s">
        <v>7216</v>
      </c>
      <c r="N274" s="23" t="s">
        <v>7217</v>
      </c>
      <c r="O274" s="26" t="s">
        <v>7218</v>
      </c>
      <c r="P274" s="27" t="s">
        <v>7219</v>
      </c>
      <c r="Q274" s="28" t="s">
        <v>7220</v>
      </c>
      <c r="R274" s="29" t="s">
        <v>7221</v>
      </c>
      <c r="S274" s="30" t="s">
        <v>7222</v>
      </c>
      <c r="T274" s="23" t="s">
        <v>7223</v>
      </c>
      <c r="U274" s="23" t="s">
        <v>7224</v>
      </c>
      <c r="V274" s="23" t="s">
        <v>7225</v>
      </c>
      <c r="W274" s="23" t="s">
        <v>7226</v>
      </c>
      <c r="X274" s="23" t="s">
        <v>7227</v>
      </c>
      <c r="Y274" s="23" t="s">
        <v>7228</v>
      </c>
      <c r="Z274" s="31" t="s">
        <v>7229</v>
      </c>
      <c r="AA274" s="23" t="s">
        <v>7230</v>
      </c>
      <c r="AB274" s="23" t="s">
        <v>7231</v>
      </c>
      <c r="AC274" s="26" t="s">
        <v>7232</v>
      </c>
    </row>
    <row r="275">
      <c r="A275" s="22" t="s">
        <v>7234</v>
      </c>
      <c r="B275" s="23" t="s">
        <v>7235</v>
      </c>
      <c r="C275" s="23" t="s">
        <v>7262</v>
      </c>
      <c r="D275" s="24" t="s">
        <v>7236</v>
      </c>
      <c r="E275" s="23" t="s">
        <v>7237</v>
      </c>
      <c r="F275" s="23" t="s">
        <v>7238</v>
      </c>
      <c r="G275" s="23" t="s">
        <v>7239</v>
      </c>
      <c r="H275" s="23" t="s">
        <v>7240</v>
      </c>
      <c r="I275" s="23" t="s">
        <v>7241</v>
      </c>
      <c r="J275" s="23" t="s">
        <v>7242</v>
      </c>
      <c r="K275" s="23" t="s">
        <v>7243</v>
      </c>
      <c r="L275" s="25" t="s">
        <v>7244</v>
      </c>
      <c r="M275" s="23" t="s">
        <v>7245</v>
      </c>
      <c r="N275" s="23" t="s">
        <v>7246</v>
      </c>
      <c r="O275" s="26" t="s">
        <v>7247</v>
      </c>
      <c r="P275" s="27" t="s">
        <v>7248</v>
      </c>
      <c r="Q275" s="28" t="s">
        <v>7249</v>
      </c>
      <c r="R275" s="29" t="s">
        <v>7250</v>
      </c>
      <c r="S275" s="30" t="s">
        <v>7251</v>
      </c>
      <c r="T275" s="23" t="s">
        <v>7252</v>
      </c>
      <c r="U275" s="23" t="s">
        <v>7253</v>
      </c>
      <c r="V275" s="23" t="s">
        <v>7254</v>
      </c>
      <c r="W275" s="23" t="s">
        <v>7255</v>
      </c>
      <c r="X275" s="23" t="s">
        <v>7256</v>
      </c>
      <c r="Y275" s="23" t="s">
        <v>7257</v>
      </c>
      <c r="Z275" s="31" t="s">
        <v>7258</v>
      </c>
      <c r="AA275" s="23" t="s">
        <v>7259</v>
      </c>
      <c r="AB275" s="23" t="s">
        <v>7260</v>
      </c>
      <c r="AC275" s="26" t="s">
        <v>7261</v>
      </c>
    </row>
    <row r="276">
      <c r="A276" s="22" t="s">
        <v>7263</v>
      </c>
      <c r="B276" s="23" t="s">
        <v>7264</v>
      </c>
      <c r="C276" s="23" t="s">
        <v>7291</v>
      </c>
      <c r="D276" s="24" t="s">
        <v>7265</v>
      </c>
      <c r="E276" s="23" t="s">
        <v>7266</v>
      </c>
      <c r="F276" s="23" t="s">
        <v>7267</v>
      </c>
      <c r="G276" s="23" t="s">
        <v>7268</v>
      </c>
      <c r="H276" s="23" t="s">
        <v>7269</v>
      </c>
      <c r="I276" s="23" t="s">
        <v>7270</v>
      </c>
      <c r="J276" s="23" t="s">
        <v>7271</v>
      </c>
      <c r="K276" s="23" t="s">
        <v>7272</v>
      </c>
      <c r="L276" s="25" t="s">
        <v>7273</v>
      </c>
      <c r="M276" s="23" t="s">
        <v>7274</v>
      </c>
      <c r="N276" s="23" t="s">
        <v>7275</v>
      </c>
      <c r="O276" s="26" t="s">
        <v>7276</v>
      </c>
      <c r="P276" s="27" t="s">
        <v>7277</v>
      </c>
      <c r="Q276" s="28" t="s">
        <v>7278</v>
      </c>
      <c r="R276" s="29" t="s">
        <v>7279</v>
      </c>
      <c r="S276" s="30" t="s">
        <v>7280</v>
      </c>
      <c r="T276" s="23" t="s">
        <v>7281</v>
      </c>
      <c r="U276" s="23" t="s">
        <v>7282</v>
      </c>
      <c r="V276" s="23" t="s">
        <v>7283</v>
      </c>
      <c r="W276" s="23" t="s">
        <v>7284</v>
      </c>
      <c r="X276" s="23" t="s">
        <v>7285</v>
      </c>
      <c r="Y276" s="23" t="s">
        <v>7286</v>
      </c>
      <c r="Z276" s="31" t="s">
        <v>7287</v>
      </c>
      <c r="AA276" s="23" t="s">
        <v>7288</v>
      </c>
      <c r="AB276" s="23" t="s">
        <v>7289</v>
      </c>
      <c r="AC276" s="26" t="s">
        <v>7290</v>
      </c>
    </row>
    <row r="277">
      <c r="A277" s="22" t="s">
        <v>7292</v>
      </c>
      <c r="B277" s="23" t="s">
        <v>7293</v>
      </c>
      <c r="C277" s="23" t="s">
        <v>7320</v>
      </c>
      <c r="D277" s="24" t="s">
        <v>7294</v>
      </c>
      <c r="E277" s="23" t="s">
        <v>7295</v>
      </c>
      <c r="F277" s="23" t="s">
        <v>7296</v>
      </c>
      <c r="G277" s="23" t="s">
        <v>7297</v>
      </c>
      <c r="H277" s="23" t="s">
        <v>7298</v>
      </c>
      <c r="I277" s="23" t="s">
        <v>7299</v>
      </c>
      <c r="J277" s="23" t="s">
        <v>7300</v>
      </c>
      <c r="K277" s="23" t="s">
        <v>7301</v>
      </c>
      <c r="L277" s="25" t="s">
        <v>7302</v>
      </c>
      <c r="M277" s="23" t="s">
        <v>7303</v>
      </c>
      <c r="N277" s="23" t="s">
        <v>7304</v>
      </c>
      <c r="O277" s="23" t="s">
        <v>7305</v>
      </c>
      <c r="P277" s="27" t="s">
        <v>7306</v>
      </c>
      <c r="Q277" s="28" t="s">
        <v>7307</v>
      </c>
      <c r="R277" s="29" t="s">
        <v>7308</v>
      </c>
      <c r="S277" s="30" t="s">
        <v>7309</v>
      </c>
      <c r="T277" s="23" t="s">
        <v>7310</v>
      </c>
      <c r="U277" s="23" t="s">
        <v>7311</v>
      </c>
      <c r="V277" s="23" t="s">
        <v>7312</v>
      </c>
      <c r="W277" s="23" t="s">
        <v>7313</v>
      </c>
      <c r="X277" s="23" t="s">
        <v>7314</v>
      </c>
      <c r="Y277" s="23" t="s">
        <v>7315</v>
      </c>
      <c r="Z277" s="31" t="s">
        <v>7316</v>
      </c>
      <c r="AA277" s="23" t="s">
        <v>7317</v>
      </c>
      <c r="AB277" s="23" t="s">
        <v>7318</v>
      </c>
      <c r="AC277" s="26" t="s">
        <v>7319</v>
      </c>
    </row>
    <row r="278">
      <c r="A278" s="22" t="s">
        <v>7321</v>
      </c>
      <c r="B278" s="23" t="s">
        <v>7322</v>
      </c>
      <c r="C278" s="23" t="s">
        <v>7348</v>
      </c>
      <c r="D278" s="24" t="s">
        <v>7323</v>
      </c>
      <c r="E278" s="23" t="s">
        <v>7324</v>
      </c>
      <c r="F278" s="23" t="s">
        <v>7325</v>
      </c>
      <c r="G278" s="23" t="s">
        <v>7326</v>
      </c>
      <c r="H278" s="23" t="s">
        <v>7327</v>
      </c>
      <c r="I278" s="23" t="s">
        <v>7328</v>
      </c>
      <c r="J278" s="23" t="s">
        <v>7329</v>
      </c>
      <c r="K278" s="23" t="s">
        <v>7330</v>
      </c>
      <c r="L278" s="25" t="s">
        <v>7331</v>
      </c>
      <c r="M278" s="23" t="s">
        <v>7332</v>
      </c>
      <c r="N278" s="23" t="s">
        <v>7333</v>
      </c>
      <c r="O278" s="26" t="s">
        <v>7334</v>
      </c>
      <c r="P278" s="27" t="s">
        <v>7335</v>
      </c>
      <c r="Q278" s="28" t="s">
        <v>7336</v>
      </c>
      <c r="R278" s="29" t="s">
        <v>7337</v>
      </c>
      <c r="S278" s="30" t="s">
        <v>7338</v>
      </c>
      <c r="T278" s="23" t="s">
        <v>7339</v>
      </c>
      <c r="U278" s="23" t="s">
        <v>7332</v>
      </c>
      <c r="V278" s="23" t="s">
        <v>7340</v>
      </c>
      <c r="W278" s="23" t="s">
        <v>7341</v>
      </c>
      <c r="X278" s="23" t="s">
        <v>7342</v>
      </c>
      <c r="Y278" s="23" t="s">
        <v>7343</v>
      </c>
      <c r="Z278" s="31" t="s">
        <v>7344</v>
      </c>
      <c r="AA278" s="23" t="s">
        <v>7345</v>
      </c>
      <c r="AB278" s="23" t="s">
        <v>7346</v>
      </c>
      <c r="AC278" s="26" t="s">
        <v>7347</v>
      </c>
    </row>
    <row r="279">
      <c r="A279" s="22" t="s">
        <v>7349</v>
      </c>
      <c r="B279" s="23" t="s">
        <v>7350</v>
      </c>
      <c r="C279" s="23" t="s">
        <v>7376</v>
      </c>
      <c r="D279" s="24" t="s">
        <v>7351</v>
      </c>
      <c r="E279" s="23" t="s">
        <v>7352</v>
      </c>
      <c r="F279" s="23" t="s">
        <v>7353</v>
      </c>
      <c r="G279" s="23" t="s">
        <v>7354</v>
      </c>
      <c r="H279" s="23" t="s">
        <v>7355</v>
      </c>
      <c r="I279" s="23" t="s">
        <v>7356</v>
      </c>
      <c r="J279" s="23" t="s">
        <v>7357</v>
      </c>
      <c r="K279" s="23" t="s">
        <v>7358</v>
      </c>
      <c r="L279" s="25" t="s">
        <v>7359</v>
      </c>
      <c r="M279" s="23" t="s">
        <v>7360</v>
      </c>
      <c r="N279" s="23" t="s">
        <v>7361</v>
      </c>
      <c r="O279" s="26" t="s">
        <v>7362</v>
      </c>
      <c r="P279" s="27" t="s">
        <v>7363</v>
      </c>
      <c r="Q279" s="28" t="s">
        <v>7364</v>
      </c>
      <c r="R279" s="29" t="s">
        <v>7365</v>
      </c>
      <c r="S279" s="30" t="s">
        <v>7366</v>
      </c>
      <c r="T279" s="23" t="s">
        <v>7367</v>
      </c>
      <c r="U279" s="23" t="s">
        <v>7368</v>
      </c>
      <c r="V279" s="23" t="s">
        <v>7369</v>
      </c>
      <c r="W279" s="23" t="s">
        <v>7370</v>
      </c>
      <c r="X279" s="23" t="s">
        <v>7371</v>
      </c>
      <c r="Y279" s="23" t="s">
        <v>7372</v>
      </c>
      <c r="Z279" s="31" t="s">
        <v>7373</v>
      </c>
      <c r="AA279" s="23" t="s">
        <v>7374</v>
      </c>
      <c r="AB279" s="23" t="s">
        <v>7375</v>
      </c>
      <c r="AC279" s="26" t="s">
        <v>7362</v>
      </c>
    </row>
    <row r="280">
      <c r="A280" s="22" t="s">
        <v>7377</v>
      </c>
      <c r="B280" s="23" t="s">
        <v>7378</v>
      </c>
      <c r="C280" s="23" t="s">
        <v>7403</v>
      </c>
      <c r="D280" s="24" t="s">
        <v>7379</v>
      </c>
      <c r="E280" s="23" t="s">
        <v>7380</v>
      </c>
      <c r="F280" s="23" t="s">
        <v>7381</v>
      </c>
      <c r="G280" s="23" t="s">
        <v>7382</v>
      </c>
      <c r="H280" s="23" t="s">
        <v>7383</v>
      </c>
      <c r="I280" s="23" t="s">
        <v>7384</v>
      </c>
      <c r="J280" s="23" t="s">
        <v>7385</v>
      </c>
      <c r="K280" s="23" t="s">
        <v>7386</v>
      </c>
      <c r="L280" s="25" t="s">
        <v>7387</v>
      </c>
      <c r="M280" s="23" t="s">
        <v>7388</v>
      </c>
      <c r="N280" s="23" t="s">
        <v>7389</v>
      </c>
      <c r="O280" s="26" t="s">
        <v>7390</v>
      </c>
      <c r="P280" s="27" t="s">
        <v>7391</v>
      </c>
      <c r="Q280" s="28" t="s">
        <v>7392</v>
      </c>
      <c r="R280" s="29" t="s">
        <v>7393</v>
      </c>
      <c r="S280" s="30" t="s">
        <v>7394</v>
      </c>
      <c r="T280" s="23" t="s">
        <v>7395</v>
      </c>
      <c r="U280" s="23" t="s">
        <v>7388</v>
      </c>
      <c r="V280" s="23" t="s">
        <v>7381</v>
      </c>
      <c r="W280" s="23" t="s">
        <v>7396</v>
      </c>
      <c r="X280" s="23" t="s">
        <v>7397</v>
      </c>
      <c r="Y280" s="23" t="s">
        <v>7398</v>
      </c>
      <c r="Z280" s="31" t="s">
        <v>7399</v>
      </c>
      <c r="AA280" s="23" t="s">
        <v>7400</v>
      </c>
      <c r="AB280" s="23" t="s">
        <v>7401</v>
      </c>
      <c r="AC280" s="26" t="s">
        <v>7402</v>
      </c>
    </row>
    <row r="281">
      <c r="A281" s="22" t="s">
        <v>7404</v>
      </c>
      <c r="B281" s="23" t="s">
        <v>7405</v>
      </c>
      <c r="C281" s="23" t="s">
        <v>7432</v>
      </c>
      <c r="D281" s="24" t="s">
        <v>7406</v>
      </c>
      <c r="E281" s="23" t="s">
        <v>7407</v>
      </c>
      <c r="F281" s="23" t="s">
        <v>7408</v>
      </c>
      <c r="G281" s="23" t="s">
        <v>7409</v>
      </c>
      <c r="H281" s="23" t="s">
        <v>7410</v>
      </c>
      <c r="I281" s="23" t="s">
        <v>7411</v>
      </c>
      <c r="J281" s="23" t="s">
        <v>7412</v>
      </c>
      <c r="K281" s="23" t="s">
        <v>7413</v>
      </c>
      <c r="L281" s="25" t="s">
        <v>7414</v>
      </c>
      <c r="M281" s="23" t="s">
        <v>7415</v>
      </c>
      <c r="N281" s="23" t="s">
        <v>7416</v>
      </c>
      <c r="O281" s="26" t="s">
        <v>7417</v>
      </c>
      <c r="P281" s="27" t="s">
        <v>7418</v>
      </c>
      <c r="Q281" s="28" t="s">
        <v>7419</v>
      </c>
      <c r="R281" s="29" t="s">
        <v>7420</v>
      </c>
      <c r="S281" s="30" t="s">
        <v>7421</v>
      </c>
      <c r="T281" s="23" t="s">
        <v>7422</v>
      </c>
      <c r="U281" s="23" t="s">
        <v>7423</v>
      </c>
      <c r="V281" s="23" t="s">
        <v>7424</v>
      </c>
      <c r="W281" s="23" t="s">
        <v>7425</v>
      </c>
      <c r="X281" s="23" t="s">
        <v>7426</v>
      </c>
      <c r="Y281" s="23" t="s">
        <v>7427</v>
      </c>
      <c r="Z281" s="31" t="s">
        <v>7428</v>
      </c>
      <c r="AA281" s="23" t="s">
        <v>7429</v>
      </c>
      <c r="AB281" s="23" t="s">
        <v>7430</v>
      </c>
      <c r="AC281" s="26" t="s">
        <v>7431</v>
      </c>
    </row>
    <row r="282">
      <c r="A282" s="22" t="s">
        <v>7433</v>
      </c>
      <c r="B282" s="23" t="s">
        <v>7434</v>
      </c>
      <c r="C282" s="23" t="s">
        <v>7459</v>
      </c>
      <c r="D282" s="24" t="s">
        <v>7435</v>
      </c>
      <c r="E282" s="23" t="s">
        <v>7436</v>
      </c>
      <c r="F282" s="23" t="s">
        <v>7437</v>
      </c>
      <c r="G282" s="23" t="s">
        <v>7438</v>
      </c>
      <c r="H282" s="23" t="s">
        <v>7439</v>
      </c>
      <c r="I282" s="23" t="s">
        <v>7440</v>
      </c>
      <c r="J282" s="23" t="s">
        <v>7441</v>
      </c>
      <c r="K282" s="23" t="s">
        <v>7442</v>
      </c>
      <c r="L282" s="25" t="s">
        <v>7443</v>
      </c>
      <c r="M282" s="23" t="s">
        <v>7444</v>
      </c>
      <c r="N282" s="23" t="s">
        <v>7445</v>
      </c>
      <c r="O282" s="26" t="s">
        <v>7446</v>
      </c>
      <c r="P282" s="27" t="s">
        <v>7447</v>
      </c>
      <c r="Q282" s="28" t="s">
        <v>7448</v>
      </c>
      <c r="R282" s="29" t="s">
        <v>7449</v>
      </c>
      <c r="S282" s="30" t="s">
        <v>7450</v>
      </c>
      <c r="T282" s="23" t="s">
        <v>7451</v>
      </c>
      <c r="U282" s="23" t="s">
        <v>7444</v>
      </c>
      <c r="V282" s="23" t="s">
        <v>7452</v>
      </c>
      <c r="W282" s="23" t="s">
        <v>7453</v>
      </c>
      <c r="X282" s="23" t="s">
        <v>7439</v>
      </c>
      <c r="Y282" s="23" t="s">
        <v>7454</v>
      </c>
      <c r="Z282" s="31" t="s">
        <v>7455</v>
      </c>
      <c r="AA282" s="23" t="s">
        <v>7456</v>
      </c>
      <c r="AB282" s="23" t="s">
        <v>7457</v>
      </c>
      <c r="AC282" s="26" t="s">
        <v>7458</v>
      </c>
    </row>
    <row r="283">
      <c r="A283" s="22" t="s">
        <v>7460</v>
      </c>
      <c r="B283" s="23" t="s">
        <v>7461</v>
      </c>
      <c r="C283" s="23" t="s">
        <v>7484</v>
      </c>
      <c r="D283" s="24" t="s">
        <v>7462</v>
      </c>
      <c r="E283" s="23" t="s">
        <v>7461</v>
      </c>
      <c r="F283" s="23" t="s">
        <v>7461</v>
      </c>
      <c r="G283" s="23" t="s">
        <v>7463</v>
      </c>
      <c r="H283" s="23" t="s">
        <v>7464</v>
      </c>
      <c r="I283" s="23" t="s">
        <v>7465</v>
      </c>
      <c r="J283" s="23" t="s">
        <v>7466</v>
      </c>
      <c r="K283" s="23" t="s">
        <v>7467</v>
      </c>
      <c r="L283" s="25" t="s">
        <v>7468</v>
      </c>
      <c r="M283" s="23" t="s">
        <v>7461</v>
      </c>
      <c r="N283" s="23" t="s">
        <v>7469</v>
      </c>
      <c r="O283" s="26" t="s">
        <v>7470</v>
      </c>
      <c r="P283" s="27" t="s">
        <v>7471</v>
      </c>
      <c r="Q283" s="28" t="s">
        <v>7472</v>
      </c>
      <c r="R283" s="29" t="s">
        <v>7473</v>
      </c>
      <c r="S283" s="30" t="s">
        <v>7474</v>
      </c>
      <c r="T283" s="23" t="s">
        <v>7475</v>
      </c>
      <c r="U283" s="23" t="s">
        <v>7461</v>
      </c>
      <c r="V283" s="23" t="s">
        <v>7476</v>
      </c>
      <c r="W283" s="23" t="s">
        <v>7477</v>
      </c>
      <c r="X283" s="23" t="s">
        <v>7478</v>
      </c>
      <c r="Y283" s="23" t="s">
        <v>7479</v>
      </c>
      <c r="Z283" s="31" t="s">
        <v>7480</v>
      </c>
      <c r="AA283" s="23" t="s">
        <v>7481</v>
      </c>
      <c r="AB283" s="23" t="s">
        <v>7482</v>
      </c>
      <c r="AC283" s="26" t="s">
        <v>7483</v>
      </c>
    </row>
    <row r="284">
      <c r="A284" s="22" t="s">
        <v>7485</v>
      </c>
      <c r="B284" s="23" t="s">
        <v>7486</v>
      </c>
      <c r="C284" s="23" t="s">
        <v>7513</v>
      </c>
      <c r="D284" s="24" t="s">
        <v>7487</v>
      </c>
      <c r="E284" s="23" t="s">
        <v>7488</v>
      </c>
      <c r="F284" s="23" t="s">
        <v>7489</v>
      </c>
      <c r="G284" s="23" t="s">
        <v>7490</v>
      </c>
      <c r="H284" s="23" t="s">
        <v>7491</v>
      </c>
      <c r="I284" s="23" t="s">
        <v>7492</v>
      </c>
      <c r="J284" s="23" t="s">
        <v>7493</v>
      </c>
      <c r="K284" s="23" t="s">
        <v>7494</v>
      </c>
      <c r="L284" s="25" t="s">
        <v>7495</v>
      </c>
      <c r="M284" s="23" t="s">
        <v>7496</v>
      </c>
      <c r="N284" s="23" t="s">
        <v>7497</v>
      </c>
      <c r="O284" s="26" t="s">
        <v>7498</v>
      </c>
      <c r="P284" s="27" t="s">
        <v>7499</v>
      </c>
      <c r="Q284" s="28" t="s">
        <v>7500</v>
      </c>
      <c r="R284" s="29" t="s">
        <v>7501</v>
      </c>
      <c r="S284" s="30" t="s">
        <v>7502</v>
      </c>
      <c r="T284" s="23" t="s">
        <v>7503</v>
      </c>
      <c r="U284" s="23" t="s">
        <v>7504</v>
      </c>
      <c r="V284" s="23" t="s">
        <v>7505</v>
      </c>
      <c r="W284" s="23" t="s">
        <v>7506</v>
      </c>
      <c r="X284" s="23" t="s">
        <v>7507</v>
      </c>
      <c r="Y284" s="23" t="s">
        <v>7508</v>
      </c>
      <c r="Z284" s="31" t="s">
        <v>7509</v>
      </c>
      <c r="AA284" s="23" t="s">
        <v>7510</v>
      </c>
      <c r="AB284" s="23" t="s">
        <v>7511</v>
      </c>
      <c r="AC284" s="26" t="s">
        <v>7512</v>
      </c>
    </row>
    <row r="285">
      <c r="A285" s="22" t="s">
        <v>7514</v>
      </c>
      <c r="B285" s="23" t="s">
        <v>7515</v>
      </c>
      <c r="C285" s="23" t="s">
        <v>7539</v>
      </c>
      <c r="D285" s="24" t="s">
        <v>7516</v>
      </c>
      <c r="E285" s="23" t="s">
        <v>7517</v>
      </c>
      <c r="F285" s="23" t="s">
        <v>7518</v>
      </c>
      <c r="G285" s="23" t="s">
        <v>7519</v>
      </c>
      <c r="H285" s="23" t="s">
        <v>7520</v>
      </c>
      <c r="I285" s="23" t="s">
        <v>7521</v>
      </c>
      <c r="J285" s="23" t="s">
        <v>7522</v>
      </c>
      <c r="K285" s="23" t="s">
        <v>7523</v>
      </c>
      <c r="L285" s="25" t="s">
        <v>7524</v>
      </c>
      <c r="M285" s="23" t="s">
        <v>7525</v>
      </c>
      <c r="N285" s="23" t="s">
        <v>7526</v>
      </c>
      <c r="O285" s="26" t="s">
        <v>7527</v>
      </c>
      <c r="P285" s="27" t="s">
        <v>7528</v>
      </c>
      <c r="Q285" s="28" t="s">
        <v>7529</v>
      </c>
      <c r="R285" s="29" t="s">
        <v>7530</v>
      </c>
      <c r="S285" s="30" t="s">
        <v>7531</v>
      </c>
      <c r="T285" s="23" t="s">
        <v>7532</v>
      </c>
      <c r="U285" s="23" t="s">
        <v>7525</v>
      </c>
      <c r="V285" s="23" t="s">
        <v>7518</v>
      </c>
      <c r="W285" s="23" t="s">
        <v>7533</v>
      </c>
      <c r="X285" s="23" t="s">
        <v>7526</v>
      </c>
      <c r="Y285" s="23" t="s">
        <v>7534</v>
      </c>
      <c r="Z285" s="31" t="s">
        <v>7535</v>
      </c>
      <c r="AA285" s="23" t="s">
        <v>7536</v>
      </c>
      <c r="AB285" s="23" t="s">
        <v>7537</v>
      </c>
      <c r="AC285" s="26" t="s">
        <v>7538</v>
      </c>
    </row>
    <row r="286">
      <c r="A286" s="22" t="s">
        <v>7540</v>
      </c>
      <c r="B286" s="23" t="s">
        <v>7541</v>
      </c>
      <c r="C286" s="23" t="s">
        <v>7567</v>
      </c>
      <c r="D286" s="24" t="s">
        <v>7542</v>
      </c>
      <c r="E286" s="23" t="s">
        <v>7543</v>
      </c>
      <c r="F286" s="23" t="s">
        <v>7544</v>
      </c>
      <c r="G286" s="23" t="s">
        <v>7545</v>
      </c>
      <c r="H286" s="23" t="s">
        <v>7546</v>
      </c>
      <c r="I286" s="23" t="s">
        <v>7547</v>
      </c>
      <c r="J286" s="23" t="s">
        <v>7548</v>
      </c>
      <c r="K286" s="23" t="s">
        <v>7549</v>
      </c>
      <c r="L286" s="25" t="s">
        <v>7550</v>
      </c>
      <c r="M286" s="23" t="s">
        <v>7551</v>
      </c>
      <c r="N286" s="23" t="s">
        <v>7552</v>
      </c>
      <c r="O286" s="26" t="s">
        <v>7553</v>
      </c>
      <c r="P286" s="27" t="s">
        <v>7554</v>
      </c>
      <c r="Q286" s="28" t="s">
        <v>7555</v>
      </c>
      <c r="R286" s="29" t="s">
        <v>7556</v>
      </c>
      <c r="S286" s="30" t="s">
        <v>7557</v>
      </c>
      <c r="T286" s="23" t="s">
        <v>7558</v>
      </c>
      <c r="U286" s="23" t="s">
        <v>7551</v>
      </c>
      <c r="V286" s="23" t="s">
        <v>7559</v>
      </c>
      <c r="W286" s="23" t="s">
        <v>7560</v>
      </c>
      <c r="X286" s="23" t="s">
        <v>7561</v>
      </c>
      <c r="Y286" s="23" t="s">
        <v>7562</v>
      </c>
      <c r="Z286" s="31" t="s">
        <v>7563</v>
      </c>
      <c r="AA286" s="23" t="s">
        <v>7564</v>
      </c>
      <c r="AB286" s="23" t="s">
        <v>7565</v>
      </c>
      <c r="AC286" s="26" t="s">
        <v>7566</v>
      </c>
    </row>
    <row r="287">
      <c r="A287" s="22" t="s">
        <v>7568</v>
      </c>
      <c r="B287" s="23" t="s">
        <v>7569</v>
      </c>
      <c r="C287" s="23" t="s">
        <v>7596</v>
      </c>
      <c r="D287" s="24" t="s">
        <v>7570</v>
      </c>
      <c r="E287" s="23" t="s">
        <v>7571</v>
      </c>
      <c r="F287" s="23" t="s">
        <v>7572</v>
      </c>
      <c r="G287" s="23" t="s">
        <v>7573</v>
      </c>
      <c r="H287" s="23" t="s">
        <v>7574</v>
      </c>
      <c r="I287" s="23" t="s">
        <v>7575</v>
      </c>
      <c r="J287" s="23" t="s">
        <v>7576</v>
      </c>
      <c r="K287" s="23" t="s">
        <v>7577</v>
      </c>
      <c r="L287" s="25" t="s">
        <v>7578</v>
      </c>
      <c r="M287" s="23" t="s">
        <v>7579</v>
      </c>
      <c r="N287" s="23" t="s">
        <v>7580</v>
      </c>
      <c r="O287" s="26" t="s">
        <v>7581</v>
      </c>
      <c r="P287" s="27" t="s">
        <v>7582</v>
      </c>
      <c r="Q287" s="28" t="s">
        <v>7583</v>
      </c>
      <c r="R287" s="29" t="s">
        <v>7584</v>
      </c>
      <c r="S287" s="30" t="s">
        <v>7585</v>
      </c>
      <c r="T287" s="23" t="s">
        <v>7586</v>
      </c>
      <c r="U287" s="23" t="s">
        <v>7587</v>
      </c>
      <c r="V287" s="23" t="s">
        <v>7588</v>
      </c>
      <c r="W287" s="23" t="s">
        <v>7589</v>
      </c>
      <c r="X287" s="23" t="s">
        <v>7590</v>
      </c>
      <c r="Y287" s="23" t="s">
        <v>7591</v>
      </c>
      <c r="Z287" s="31" t="s">
        <v>7592</v>
      </c>
      <c r="AA287" s="23" t="s">
        <v>7593</v>
      </c>
      <c r="AB287" s="23" t="s">
        <v>7594</v>
      </c>
      <c r="AC287" s="26" t="s">
        <v>7595</v>
      </c>
    </row>
    <row r="288">
      <c r="A288" s="22" t="s">
        <v>7597</v>
      </c>
      <c r="B288" s="23" t="s">
        <v>7598</v>
      </c>
      <c r="C288" s="23" t="s">
        <v>7624</v>
      </c>
      <c r="D288" s="24" t="s">
        <v>7599</v>
      </c>
      <c r="E288" s="23" t="s">
        <v>7600</v>
      </c>
      <c r="F288" s="23" t="s">
        <v>7601</v>
      </c>
      <c r="G288" s="23" t="s">
        <v>7602</v>
      </c>
      <c r="H288" s="23" t="s">
        <v>7603</v>
      </c>
      <c r="I288" s="23" t="s">
        <v>7604</v>
      </c>
      <c r="J288" s="23" t="s">
        <v>7605</v>
      </c>
      <c r="K288" s="23" t="s">
        <v>7606</v>
      </c>
      <c r="L288" s="25" t="s">
        <v>7607</v>
      </c>
      <c r="M288" s="23" t="s">
        <v>7608</v>
      </c>
      <c r="N288" s="23" t="s">
        <v>7609</v>
      </c>
      <c r="O288" s="26" t="s">
        <v>7610</v>
      </c>
      <c r="P288" s="27" t="s">
        <v>7611</v>
      </c>
      <c r="Q288" s="28" t="s">
        <v>7612</v>
      </c>
      <c r="R288" s="29" t="s">
        <v>7613</v>
      </c>
      <c r="S288" s="30" t="s">
        <v>7614</v>
      </c>
      <c r="T288" s="23" t="s">
        <v>7615</v>
      </c>
      <c r="U288" s="23" t="s">
        <v>7598</v>
      </c>
      <c r="V288" s="23" t="s">
        <v>7616</v>
      </c>
      <c r="W288" s="23" t="s">
        <v>7617</v>
      </c>
      <c r="X288" s="23" t="s">
        <v>7618</v>
      </c>
      <c r="Y288" s="23" t="s">
        <v>7619</v>
      </c>
      <c r="Z288" s="31" t="s">
        <v>7620</v>
      </c>
      <c r="AA288" s="23" t="s">
        <v>7621</v>
      </c>
      <c r="AB288" s="23" t="s">
        <v>7622</v>
      </c>
      <c r="AC288" s="26" t="s">
        <v>7623</v>
      </c>
    </row>
    <row r="289">
      <c r="A289" s="22" t="s">
        <v>7625</v>
      </c>
      <c r="B289" s="23" t="s">
        <v>7626</v>
      </c>
      <c r="C289" s="23" t="s">
        <v>7640</v>
      </c>
      <c r="D289" s="24" t="s">
        <v>7627</v>
      </c>
      <c r="E289" s="23" t="s">
        <v>7626</v>
      </c>
      <c r="F289" s="23" t="s">
        <v>7626</v>
      </c>
      <c r="G289" s="23" t="s">
        <v>7628</v>
      </c>
      <c r="H289" s="23" t="s">
        <v>7626</v>
      </c>
      <c r="I289" s="23" t="s">
        <v>7626</v>
      </c>
      <c r="J289" s="23" t="s">
        <v>7626</v>
      </c>
      <c r="K289" s="23" t="s">
        <v>7626</v>
      </c>
      <c r="L289" s="25" t="s">
        <v>7629</v>
      </c>
      <c r="M289" s="23" t="s">
        <v>7626</v>
      </c>
      <c r="N289" s="23" t="s">
        <v>7626</v>
      </c>
      <c r="O289" s="26" t="s">
        <v>7630</v>
      </c>
      <c r="P289" s="27" t="s">
        <v>7631</v>
      </c>
      <c r="Q289" s="28" t="s">
        <v>7632</v>
      </c>
      <c r="R289" s="29" t="s">
        <v>7633</v>
      </c>
      <c r="S289" s="30" t="s">
        <v>7634</v>
      </c>
      <c r="T289" s="23" t="s">
        <v>7626</v>
      </c>
      <c r="U289" s="23" t="s">
        <v>7626</v>
      </c>
      <c r="V289" s="23" t="s">
        <v>7626</v>
      </c>
      <c r="W289" s="23" t="s">
        <v>7626</v>
      </c>
      <c r="X289" s="23" t="s">
        <v>7635</v>
      </c>
      <c r="Y289" s="23" t="s">
        <v>7636</v>
      </c>
      <c r="Z289" s="31" t="s">
        <v>7637</v>
      </c>
      <c r="AA289" s="23" t="s">
        <v>7626</v>
      </c>
      <c r="AB289" s="23" t="s">
        <v>7638</v>
      </c>
      <c r="AC289" s="26" t="s">
        <v>7639</v>
      </c>
    </row>
    <row r="290">
      <c r="A290" s="22" t="s">
        <v>7641</v>
      </c>
      <c r="B290" s="23" t="s">
        <v>7642</v>
      </c>
      <c r="C290" s="23" t="s">
        <v>7666</v>
      </c>
      <c r="D290" s="24" t="s">
        <v>7643</v>
      </c>
      <c r="E290" s="23" t="s">
        <v>7642</v>
      </c>
      <c r="F290" s="23" t="s">
        <v>7644</v>
      </c>
      <c r="G290" s="23" t="s">
        <v>7645</v>
      </c>
      <c r="H290" s="23" t="s">
        <v>7646</v>
      </c>
      <c r="I290" s="23" t="s">
        <v>7647</v>
      </c>
      <c r="J290" s="23" t="s">
        <v>7648</v>
      </c>
      <c r="K290" s="23" t="s">
        <v>7649</v>
      </c>
      <c r="L290" s="25" t="s">
        <v>7650</v>
      </c>
      <c r="M290" s="23" t="s">
        <v>7651</v>
      </c>
      <c r="N290" s="23" t="s">
        <v>7652</v>
      </c>
      <c r="O290" s="26" t="s">
        <v>7653</v>
      </c>
      <c r="P290" s="27" t="s">
        <v>7654</v>
      </c>
      <c r="Q290" s="28" t="s">
        <v>7655</v>
      </c>
      <c r="R290" s="29" t="s">
        <v>7656</v>
      </c>
      <c r="S290" s="30" t="s">
        <v>7657</v>
      </c>
      <c r="T290" s="23" t="s">
        <v>7658</v>
      </c>
      <c r="U290" s="23" t="s">
        <v>7651</v>
      </c>
      <c r="V290" s="23" t="s">
        <v>7659</v>
      </c>
      <c r="W290" s="23" t="s">
        <v>7660</v>
      </c>
      <c r="X290" s="23" t="s">
        <v>7661</v>
      </c>
      <c r="Y290" s="23" t="s">
        <v>7662</v>
      </c>
      <c r="Z290" s="31" t="s">
        <v>7663</v>
      </c>
      <c r="AA290" s="23" t="s">
        <v>7642</v>
      </c>
      <c r="AB290" s="23" t="s">
        <v>7664</v>
      </c>
      <c r="AC290" s="26" t="s">
        <v>7665</v>
      </c>
    </row>
    <row r="291">
      <c r="A291" s="22" t="s">
        <v>7667</v>
      </c>
      <c r="B291" s="23" t="s">
        <v>7668</v>
      </c>
      <c r="C291" s="23" t="s">
        <v>7691</v>
      </c>
      <c r="D291" s="24" t="s">
        <v>7669</v>
      </c>
      <c r="E291" s="23" t="s">
        <v>7670</v>
      </c>
      <c r="F291" s="23" t="s">
        <v>7671</v>
      </c>
      <c r="G291" s="23" t="s">
        <v>7672</v>
      </c>
      <c r="H291" s="23" t="s">
        <v>7673</v>
      </c>
      <c r="I291" s="23" t="s">
        <v>7674</v>
      </c>
      <c r="J291" s="23" t="s">
        <v>7675</v>
      </c>
      <c r="K291" s="23" t="s">
        <v>7676</v>
      </c>
      <c r="L291" s="25" t="s">
        <v>7677</v>
      </c>
      <c r="M291" s="23" t="s">
        <v>7674</v>
      </c>
      <c r="N291" s="23" t="s">
        <v>7673</v>
      </c>
      <c r="O291" s="26" t="s">
        <v>7678</v>
      </c>
      <c r="P291" s="27" t="s">
        <v>7679</v>
      </c>
      <c r="Q291" s="28" t="s">
        <v>7680</v>
      </c>
      <c r="R291" s="29" t="s">
        <v>7681</v>
      </c>
      <c r="S291" s="30" t="s">
        <v>7682</v>
      </c>
      <c r="T291" s="23" t="s">
        <v>7683</v>
      </c>
      <c r="U291" s="23" t="s">
        <v>7674</v>
      </c>
      <c r="V291" s="23" t="s">
        <v>7684</v>
      </c>
      <c r="W291" s="23" t="s">
        <v>7685</v>
      </c>
      <c r="X291" s="23" t="s">
        <v>7673</v>
      </c>
      <c r="Y291" s="23" t="s">
        <v>7686</v>
      </c>
      <c r="Z291" s="31" t="s">
        <v>7687</v>
      </c>
      <c r="AA291" s="23" t="s">
        <v>7688</v>
      </c>
      <c r="AB291" s="23" t="s">
        <v>7689</v>
      </c>
      <c r="AC291" s="26" t="s">
        <v>7690</v>
      </c>
    </row>
    <row r="292">
      <c r="A292" s="22" t="s">
        <v>7692</v>
      </c>
      <c r="B292" s="23" t="s">
        <v>7693</v>
      </c>
      <c r="C292" s="23" t="s">
        <v>7708</v>
      </c>
      <c r="D292" s="24" t="s">
        <v>7694</v>
      </c>
      <c r="E292" s="23" t="s">
        <v>7693</v>
      </c>
      <c r="F292" s="23" t="s">
        <v>7693</v>
      </c>
      <c r="G292" s="23" t="s">
        <v>7695</v>
      </c>
      <c r="H292" s="23" t="s">
        <v>7696</v>
      </c>
      <c r="I292" s="23" t="s">
        <v>7697</v>
      </c>
      <c r="J292" s="23" t="s">
        <v>7693</v>
      </c>
      <c r="K292" s="23" t="s">
        <v>7693</v>
      </c>
      <c r="L292" s="25" t="s">
        <v>7698</v>
      </c>
      <c r="M292" s="23" t="s">
        <v>7693</v>
      </c>
      <c r="N292" s="23" t="s">
        <v>7693</v>
      </c>
      <c r="O292" s="26" t="s">
        <v>7699</v>
      </c>
      <c r="P292" s="27" t="s">
        <v>7700</v>
      </c>
      <c r="Q292" s="28" t="s">
        <v>7701</v>
      </c>
      <c r="R292" s="29" t="s">
        <v>7702</v>
      </c>
      <c r="S292" s="30" t="s">
        <v>7703</v>
      </c>
      <c r="T292" s="23" t="s">
        <v>7704</v>
      </c>
      <c r="U292" s="23" t="s">
        <v>7693</v>
      </c>
      <c r="V292" s="23" t="s">
        <v>7693</v>
      </c>
      <c r="W292" s="23" t="s">
        <v>7693</v>
      </c>
      <c r="X292" s="23" t="s">
        <v>7693</v>
      </c>
      <c r="Y292" s="23" t="s">
        <v>7705</v>
      </c>
      <c r="Z292" s="31" t="s">
        <v>7706</v>
      </c>
      <c r="AA292" s="23" t="s">
        <v>7693</v>
      </c>
      <c r="AB292" s="23" t="s">
        <v>7705</v>
      </c>
      <c r="AC292" s="26" t="s">
        <v>7707</v>
      </c>
    </row>
    <row r="293">
      <c r="A293" s="22" t="s">
        <v>7709</v>
      </c>
      <c r="B293" s="23" t="s">
        <v>7710</v>
      </c>
      <c r="C293" s="23" t="s">
        <v>7722</v>
      </c>
      <c r="D293" s="24" t="s">
        <v>7711</v>
      </c>
      <c r="E293" s="23" t="s">
        <v>7710</v>
      </c>
      <c r="F293" s="23" t="s">
        <v>7710</v>
      </c>
      <c r="G293" s="23" t="s">
        <v>7712</v>
      </c>
      <c r="H293" s="23" t="s">
        <v>7710</v>
      </c>
      <c r="I293" s="23" t="s">
        <v>7710</v>
      </c>
      <c r="J293" s="23" t="s">
        <v>7710</v>
      </c>
      <c r="K293" s="23" t="s">
        <v>7710</v>
      </c>
      <c r="L293" s="25" t="s">
        <v>7713</v>
      </c>
      <c r="M293" s="23" t="s">
        <v>7710</v>
      </c>
      <c r="N293" s="23" t="s">
        <v>7710</v>
      </c>
      <c r="O293" s="26" t="s">
        <v>7714</v>
      </c>
      <c r="P293" s="23" t="s">
        <v>7710</v>
      </c>
      <c r="Q293" s="28" t="s">
        <v>7715</v>
      </c>
      <c r="R293" s="29" t="s">
        <v>7716</v>
      </c>
      <c r="S293" s="23" t="s">
        <v>7710</v>
      </c>
      <c r="T293" s="23" t="s">
        <v>7717</v>
      </c>
      <c r="U293" s="23" t="s">
        <v>7710</v>
      </c>
      <c r="V293" s="23" t="s">
        <v>7710</v>
      </c>
      <c r="W293" s="23" t="s">
        <v>7710</v>
      </c>
      <c r="X293" s="23" t="s">
        <v>7710</v>
      </c>
      <c r="Y293" s="23" t="s">
        <v>7718</v>
      </c>
      <c r="Z293" s="31" t="s">
        <v>7719</v>
      </c>
      <c r="AA293" s="23" t="s">
        <v>7710</v>
      </c>
      <c r="AB293" s="23" t="s">
        <v>7720</v>
      </c>
      <c r="AC293" s="26" t="s">
        <v>7721</v>
      </c>
    </row>
    <row r="294">
      <c r="A294" s="22" t="s">
        <v>7723</v>
      </c>
      <c r="B294" s="23" t="s">
        <v>7724</v>
      </c>
      <c r="C294" s="23" t="s">
        <v>7751</v>
      </c>
      <c r="D294" s="24" t="s">
        <v>7725</v>
      </c>
      <c r="E294" s="23" t="s">
        <v>7726</v>
      </c>
      <c r="F294" s="23" t="s">
        <v>7727</v>
      </c>
      <c r="G294" s="23" t="s">
        <v>7728</v>
      </c>
      <c r="H294" s="23" t="s">
        <v>7729</v>
      </c>
      <c r="I294" s="23" t="s">
        <v>7730</v>
      </c>
      <c r="J294" s="23" t="s">
        <v>7731</v>
      </c>
      <c r="K294" s="23" t="s">
        <v>7732</v>
      </c>
      <c r="L294" s="25" t="s">
        <v>7733</v>
      </c>
      <c r="M294" s="23" t="s">
        <v>7734</v>
      </c>
      <c r="N294" s="23" t="s">
        <v>7735</v>
      </c>
      <c r="O294" s="26" t="s">
        <v>7736</v>
      </c>
      <c r="P294" s="27" t="s">
        <v>7737</v>
      </c>
      <c r="Q294" s="28" t="s">
        <v>7738</v>
      </c>
      <c r="R294" s="29" t="s">
        <v>7739</v>
      </c>
      <c r="S294" s="30" t="s">
        <v>7740</v>
      </c>
      <c r="T294" s="23" t="s">
        <v>7741</v>
      </c>
      <c r="U294" s="23" t="s">
        <v>7742</v>
      </c>
      <c r="V294" s="23" t="s">
        <v>7743</v>
      </c>
      <c r="W294" s="23" t="s">
        <v>7744</v>
      </c>
      <c r="X294" s="23" t="s">
        <v>7745</v>
      </c>
      <c r="Y294" s="23" t="s">
        <v>7746</v>
      </c>
      <c r="Z294" s="31" t="s">
        <v>7747</v>
      </c>
      <c r="AA294" s="23" t="s">
        <v>7748</v>
      </c>
      <c r="AB294" s="23" t="s">
        <v>7749</v>
      </c>
      <c r="AC294" s="26" t="s">
        <v>7750</v>
      </c>
    </row>
    <row r="295">
      <c r="A295" s="22" t="s">
        <v>7752</v>
      </c>
      <c r="B295" s="23" t="s">
        <v>7753</v>
      </c>
      <c r="C295" s="23" t="s">
        <v>7779</v>
      </c>
      <c r="D295" s="24" t="s">
        <v>7754</v>
      </c>
      <c r="E295" s="23" t="s">
        <v>7755</v>
      </c>
      <c r="F295" s="23" t="s">
        <v>7756</v>
      </c>
      <c r="G295" s="23" t="s">
        <v>7757</v>
      </c>
      <c r="H295" s="23" t="s">
        <v>7758</v>
      </c>
      <c r="I295" s="23" t="s">
        <v>7759</v>
      </c>
      <c r="J295" s="23" t="s">
        <v>7760</v>
      </c>
      <c r="K295" s="23" t="s">
        <v>7761</v>
      </c>
      <c r="L295" s="25" t="s">
        <v>7762</v>
      </c>
      <c r="M295" s="23" t="s">
        <v>7763</v>
      </c>
      <c r="N295" s="23" t="s">
        <v>7764</v>
      </c>
      <c r="O295" s="26" t="s">
        <v>7765</v>
      </c>
      <c r="P295" s="27" t="s">
        <v>7766</v>
      </c>
      <c r="Q295" s="28" t="s">
        <v>7767</v>
      </c>
      <c r="R295" s="29" t="s">
        <v>7768</v>
      </c>
      <c r="S295" s="30" t="s">
        <v>7769</v>
      </c>
      <c r="T295" s="23" t="s">
        <v>7770</v>
      </c>
      <c r="U295" s="23" t="s">
        <v>7771</v>
      </c>
      <c r="V295" s="23" t="s">
        <v>7772</v>
      </c>
      <c r="W295" s="23" t="s">
        <v>7773</v>
      </c>
      <c r="X295" s="23" t="s">
        <v>7758</v>
      </c>
      <c r="Y295" s="23" t="s">
        <v>7774</v>
      </c>
      <c r="Z295" s="31" t="s">
        <v>7775</v>
      </c>
      <c r="AA295" s="23" t="s">
        <v>7776</v>
      </c>
      <c r="AB295" s="23" t="s">
        <v>7777</v>
      </c>
      <c r="AC295" s="26" t="s">
        <v>7778</v>
      </c>
    </row>
    <row r="296">
      <c r="A296" s="22" t="s">
        <v>7780</v>
      </c>
      <c r="B296" s="23" t="s">
        <v>7781</v>
      </c>
      <c r="C296" s="23" t="s">
        <v>7807</v>
      </c>
      <c r="D296" s="24" t="s">
        <v>7782</v>
      </c>
      <c r="E296" s="23" t="s">
        <v>7783</v>
      </c>
      <c r="F296" s="23" t="s">
        <v>7784</v>
      </c>
      <c r="G296" s="23" t="s">
        <v>7785</v>
      </c>
      <c r="H296" s="23" t="s">
        <v>7786</v>
      </c>
      <c r="I296" s="23" t="s">
        <v>7787</v>
      </c>
      <c r="J296" s="23" t="s">
        <v>7788</v>
      </c>
      <c r="K296" s="23" t="s">
        <v>7789</v>
      </c>
      <c r="L296" s="25" t="s">
        <v>7790</v>
      </c>
      <c r="M296" s="23" t="s">
        <v>7791</v>
      </c>
      <c r="N296" s="23" t="s">
        <v>7792</v>
      </c>
      <c r="O296" s="26" t="s">
        <v>7793</v>
      </c>
      <c r="P296" s="27" t="s">
        <v>7794</v>
      </c>
      <c r="Q296" s="28" t="s">
        <v>7795</v>
      </c>
      <c r="R296" s="29" t="s">
        <v>7796</v>
      </c>
      <c r="S296" s="30" t="s">
        <v>7797</v>
      </c>
      <c r="T296" s="23" t="s">
        <v>7798</v>
      </c>
      <c r="U296" s="23" t="s">
        <v>7799</v>
      </c>
      <c r="V296" s="23" t="s">
        <v>7784</v>
      </c>
      <c r="W296" s="23" t="s">
        <v>7800</v>
      </c>
      <c r="X296" s="23" t="s">
        <v>7801</v>
      </c>
      <c r="Y296" s="23" t="s">
        <v>7802</v>
      </c>
      <c r="Z296" s="31" t="s">
        <v>7803</v>
      </c>
      <c r="AA296" s="23" t="s">
        <v>7804</v>
      </c>
      <c r="AB296" s="23" t="s">
        <v>7805</v>
      </c>
      <c r="AC296" s="26" t="s">
        <v>7806</v>
      </c>
    </row>
    <row r="297">
      <c r="A297" s="22" t="s">
        <v>7808</v>
      </c>
      <c r="B297" s="23" t="s">
        <v>7809</v>
      </c>
      <c r="C297" s="23" t="s">
        <v>7827</v>
      </c>
      <c r="D297" s="24" t="s">
        <v>7810</v>
      </c>
      <c r="E297" s="23" t="s">
        <v>7811</v>
      </c>
      <c r="F297" s="23" t="s">
        <v>7809</v>
      </c>
      <c r="G297" s="23" t="s">
        <v>7812</v>
      </c>
      <c r="H297" s="23" t="s">
        <v>7808</v>
      </c>
      <c r="I297" s="23" t="s">
        <v>7813</v>
      </c>
      <c r="J297" s="23" t="s">
        <v>7809</v>
      </c>
      <c r="K297" s="23" t="s">
        <v>7808</v>
      </c>
      <c r="L297" s="25" t="s">
        <v>7814</v>
      </c>
      <c r="M297" s="23" t="s">
        <v>7809</v>
      </c>
      <c r="N297" s="23" t="s">
        <v>7808</v>
      </c>
      <c r="O297" s="26" t="s">
        <v>7815</v>
      </c>
      <c r="P297" s="27" t="s">
        <v>7816</v>
      </c>
      <c r="Q297" s="28" t="s">
        <v>7817</v>
      </c>
      <c r="R297" s="29" t="s">
        <v>7818</v>
      </c>
      <c r="S297" s="30" t="s">
        <v>7819</v>
      </c>
      <c r="T297" s="23" t="s">
        <v>7820</v>
      </c>
      <c r="U297" s="23" t="s">
        <v>7809</v>
      </c>
      <c r="V297" s="23" t="s">
        <v>7809</v>
      </c>
      <c r="W297" s="23" t="s">
        <v>7821</v>
      </c>
      <c r="X297" s="23" t="s">
        <v>7808</v>
      </c>
      <c r="Y297" s="23" t="s">
        <v>7822</v>
      </c>
      <c r="Z297" s="31" t="s">
        <v>7823</v>
      </c>
      <c r="AA297" s="23" t="s">
        <v>7824</v>
      </c>
      <c r="AB297" s="23" t="s">
        <v>7825</v>
      </c>
      <c r="AC297" s="26" t="s">
        <v>7826</v>
      </c>
    </row>
    <row r="298">
      <c r="A298" s="22" t="s">
        <v>7828</v>
      </c>
      <c r="B298" s="23" t="s">
        <v>7829</v>
      </c>
      <c r="C298" s="23" t="s">
        <v>7855</v>
      </c>
      <c r="D298" s="24" t="s">
        <v>7830</v>
      </c>
      <c r="E298" s="23" t="s">
        <v>7831</v>
      </c>
      <c r="F298" s="23" t="s">
        <v>7832</v>
      </c>
      <c r="G298" s="23" t="s">
        <v>7833</v>
      </c>
      <c r="H298" s="23" t="s">
        <v>7834</v>
      </c>
      <c r="I298" s="23" t="s">
        <v>7835</v>
      </c>
      <c r="J298" s="23" t="s">
        <v>7836</v>
      </c>
      <c r="K298" s="23" t="s">
        <v>7837</v>
      </c>
      <c r="L298" s="25" t="s">
        <v>7838</v>
      </c>
      <c r="M298" s="23" t="s">
        <v>7839</v>
      </c>
      <c r="N298" s="23" t="s">
        <v>7840</v>
      </c>
      <c r="O298" s="26" t="s">
        <v>7841</v>
      </c>
      <c r="P298" s="27" t="s">
        <v>7842</v>
      </c>
      <c r="Q298" s="28" t="s">
        <v>7843</v>
      </c>
      <c r="R298" s="29" t="s">
        <v>7844</v>
      </c>
      <c r="S298" s="30" t="s">
        <v>7845</v>
      </c>
      <c r="T298" s="23" t="s">
        <v>7846</v>
      </c>
      <c r="U298" s="23" t="s">
        <v>7829</v>
      </c>
      <c r="V298" s="23" t="s">
        <v>7847</v>
      </c>
      <c r="W298" s="23" t="s">
        <v>7848</v>
      </c>
      <c r="X298" s="23" t="s">
        <v>7849</v>
      </c>
      <c r="Y298" s="23" t="s">
        <v>7850</v>
      </c>
      <c r="Z298" s="31" t="s">
        <v>7851</v>
      </c>
      <c r="AA298" s="23" t="s">
        <v>7852</v>
      </c>
      <c r="AB298" s="23" t="s">
        <v>7853</v>
      </c>
      <c r="AC298" s="26" t="s">
        <v>7854</v>
      </c>
    </row>
    <row r="299">
      <c r="A299" s="22" t="s">
        <v>7856</v>
      </c>
      <c r="B299" s="23" t="s">
        <v>7857</v>
      </c>
      <c r="C299" s="23" t="s">
        <v>7883</v>
      </c>
      <c r="D299" s="24" t="s">
        <v>7858</v>
      </c>
      <c r="E299" s="23" t="s">
        <v>7859</v>
      </c>
      <c r="F299" s="23" t="s">
        <v>7860</v>
      </c>
      <c r="G299" s="23" t="s">
        <v>7861</v>
      </c>
      <c r="H299" s="23" t="s">
        <v>7862</v>
      </c>
      <c r="I299" s="23" t="s">
        <v>7863</v>
      </c>
      <c r="J299" s="23" t="s">
        <v>7864</v>
      </c>
      <c r="K299" s="23" t="s">
        <v>7865</v>
      </c>
      <c r="L299" s="25" t="s">
        <v>7866</v>
      </c>
      <c r="M299" s="23" t="s">
        <v>7867</v>
      </c>
      <c r="N299" s="23" t="s">
        <v>7868</v>
      </c>
      <c r="O299" s="26" t="s">
        <v>7869</v>
      </c>
      <c r="P299" s="27" t="s">
        <v>7870</v>
      </c>
      <c r="Q299" s="28" t="s">
        <v>7871</v>
      </c>
      <c r="R299" s="29" t="s">
        <v>7872</v>
      </c>
      <c r="S299" s="30" t="s">
        <v>7873</v>
      </c>
      <c r="T299" s="23" t="s">
        <v>7874</v>
      </c>
      <c r="U299" s="23" t="s">
        <v>7867</v>
      </c>
      <c r="V299" s="23" t="s">
        <v>7875</v>
      </c>
      <c r="W299" s="23" t="s">
        <v>7876</v>
      </c>
      <c r="X299" s="23" t="s">
        <v>7877</v>
      </c>
      <c r="Y299" s="23" t="s">
        <v>7878</v>
      </c>
      <c r="Z299" s="31" t="s">
        <v>7879</v>
      </c>
      <c r="AA299" s="23" t="s">
        <v>7880</v>
      </c>
      <c r="AB299" s="23" t="s">
        <v>7881</v>
      </c>
      <c r="AC299" s="26" t="s">
        <v>7882</v>
      </c>
    </row>
    <row r="300">
      <c r="A300" s="22" t="s">
        <v>7884</v>
      </c>
      <c r="B300" s="23" t="s">
        <v>7885</v>
      </c>
      <c r="C300" s="23" t="s">
        <v>7911</v>
      </c>
      <c r="D300" s="24" t="s">
        <v>7886</v>
      </c>
      <c r="E300" s="23" t="s">
        <v>7887</v>
      </c>
      <c r="F300" s="23" t="s">
        <v>7888</v>
      </c>
      <c r="G300" s="23" t="s">
        <v>7889</v>
      </c>
      <c r="H300" s="23" t="s">
        <v>7890</v>
      </c>
      <c r="I300" s="23" t="s">
        <v>7891</v>
      </c>
      <c r="J300" s="23" t="s">
        <v>7892</v>
      </c>
      <c r="K300" s="23" t="s">
        <v>7893</v>
      </c>
      <c r="L300" s="25" t="s">
        <v>7894</v>
      </c>
      <c r="M300" s="23" t="s">
        <v>7895</v>
      </c>
      <c r="N300" s="23" t="s">
        <v>7896</v>
      </c>
      <c r="O300" s="26" t="s">
        <v>7897</v>
      </c>
      <c r="P300" s="27" t="s">
        <v>7898</v>
      </c>
      <c r="Q300" s="28" t="s">
        <v>7899</v>
      </c>
      <c r="R300" s="29" t="s">
        <v>7900</v>
      </c>
      <c r="S300" s="30" t="s">
        <v>7901</v>
      </c>
      <c r="T300" s="23" t="s">
        <v>7902</v>
      </c>
      <c r="U300" s="23" t="s">
        <v>7895</v>
      </c>
      <c r="V300" s="23" t="s">
        <v>7903</v>
      </c>
      <c r="W300" s="23" t="s">
        <v>7904</v>
      </c>
      <c r="X300" s="23" t="s">
        <v>7905</v>
      </c>
      <c r="Y300" s="23" t="s">
        <v>7906</v>
      </c>
      <c r="Z300" s="31" t="s">
        <v>7907</v>
      </c>
      <c r="AA300" s="23" t="s">
        <v>7908</v>
      </c>
      <c r="AB300" s="23" t="s">
        <v>7909</v>
      </c>
      <c r="AC300" s="26" t="s">
        <v>7910</v>
      </c>
    </row>
    <row r="301">
      <c r="A301" s="22" t="s">
        <v>7912</v>
      </c>
      <c r="B301" s="23" t="s">
        <v>7913</v>
      </c>
      <c r="C301" s="23" t="s">
        <v>7940</v>
      </c>
      <c r="D301" s="24" t="s">
        <v>7914</v>
      </c>
      <c r="E301" s="23" t="s">
        <v>7915</v>
      </c>
      <c r="F301" s="23" t="s">
        <v>7916</v>
      </c>
      <c r="G301" s="23" t="s">
        <v>7917</v>
      </c>
      <c r="H301" s="23" t="s">
        <v>7918</v>
      </c>
      <c r="I301" s="23" t="s">
        <v>7919</v>
      </c>
      <c r="J301" s="23" t="s">
        <v>7920</v>
      </c>
      <c r="K301" s="23" t="s">
        <v>7921</v>
      </c>
      <c r="L301" s="25" t="s">
        <v>7922</v>
      </c>
      <c r="M301" s="23" t="s">
        <v>7923</v>
      </c>
      <c r="N301" s="23" t="s">
        <v>7924</v>
      </c>
      <c r="O301" s="26" t="s">
        <v>7925</v>
      </c>
      <c r="P301" s="27" t="s">
        <v>7926</v>
      </c>
      <c r="Q301" s="28" t="s">
        <v>7927</v>
      </c>
      <c r="R301" s="29" t="s">
        <v>7928</v>
      </c>
      <c r="S301" s="30" t="s">
        <v>7929</v>
      </c>
      <c r="T301" s="23" t="s">
        <v>7930</v>
      </c>
      <c r="U301" s="23" t="s">
        <v>7931</v>
      </c>
      <c r="V301" s="23" t="s">
        <v>7932</v>
      </c>
      <c r="W301" s="23" t="s">
        <v>7933</v>
      </c>
      <c r="X301" s="23" t="s">
        <v>7934</v>
      </c>
      <c r="Y301" s="23" t="s">
        <v>7935</v>
      </c>
      <c r="Z301" s="31" t="s">
        <v>7936</v>
      </c>
      <c r="AA301" s="23" t="s">
        <v>7937</v>
      </c>
      <c r="AB301" s="23" t="s">
        <v>7938</v>
      </c>
      <c r="AC301" s="26" t="s">
        <v>7939</v>
      </c>
    </row>
    <row r="302">
      <c r="A302" s="22" t="s">
        <v>7941</v>
      </c>
      <c r="B302" s="23" t="s">
        <v>7942</v>
      </c>
      <c r="C302" s="23" t="s">
        <v>7967</v>
      </c>
      <c r="D302" s="24" t="s">
        <v>7943</v>
      </c>
      <c r="E302" s="23" t="s">
        <v>7944</v>
      </c>
      <c r="F302" s="23" t="s">
        <v>7945</v>
      </c>
      <c r="G302" s="23" t="s">
        <v>7946</v>
      </c>
      <c r="H302" s="23" t="s">
        <v>7947</v>
      </c>
      <c r="I302" s="23" t="s">
        <v>7948</v>
      </c>
      <c r="J302" s="23" t="s">
        <v>7949</v>
      </c>
      <c r="K302" s="23" t="s">
        <v>7950</v>
      </c>
      <c r="L302" s="25" t="s">
        <v>7951</v>
      </c>
      <c r="M302" s="23" t="s">
        <v>7952</v>
      </c>
      <c r="N302" s="23" t="s">
        <v>7953</v>
      </c>
      <c r="O302" s="26" t="s">
        <v>7954</v>
      </c>
      <c r="P302" s="27" t="s">
        <v>7955</v>
      </c>
      <c r="Q302" s="28" t="s">
        <v>7956</v>
      </c>
      <c r="R302" s="29" t="s">
        <v>7957</v>
      </c>
      <c r="S302" s="23" t="s">
        <v>7941</v>
      </c>
      <c r="T302" s="23" t="s">
        <v>7958</v>
      </c>
      <c r="U302" s="23" t="s">
        <v>7952</v>
      </c>
      <c r="V302" s="23" t="s">
        <v>7959</v>
      </c>
      <c r="W302" s="23" t="s">
        <v>7960</v>
      </c>
      <c r="X302" s="23" t="s">
        <v>7961</v>
      </c>
      <c r="Y302" s="23" t="s">
        <v>7962</v>
      </c>
      <c r="Z302" s="31" t="s">
        <v>7963</v>
      </c>
      <c r="AA302" s="23" t="s">
        <v>7964</v>
      </c>
      <c r="AB302" s="23" t="s">
        <v>7965</v>
      </c>
      <c r="AC302" s="26" t="s">
        <v>7966</v>
      </c>
    </row>
    <row r="303">
      <c r="A303" s="22" t="s">
        <v>7968</v>
      </c>
      <c r="B303" s="23" t="s">
        <v>7969</v>
      </c>
      <c r="C303" s="23" t="s">
        <v>7995</v>
      </c>
      <c r="D303" s="24" t="s">
        <v>7970</v>
      </c>
      <c r="E303" s="23" t="s">
        <v>7971</v>
      </c>
      <c r="F303" s="23" t="s">
        <v>7972</v>
      </c>
      <c r="G303" s="23" t="s">
        <v>7973</v>
      </c>
      <c r="H303" s="23" t="s">
        <v>7974</v>
      </c>
      <c r="I303" s="23" t="s">
        <v>7975</v>
      </c>
      <c r="J303" s="23" t="s">
        <v>7976</v>
      </c>
      <c r="K303" s="23" t="s">
        <v>7977</v>
      </c>
      <c r="L303" s="25" t="s">
        <v>7978</v>
      </c>
      <c r="M303" s="23" t="s">
        <v>7979</v>
      </c>
      <c r="N303" s="23" t="s">
        <v>7980</v>
      </c>
      <c r="O303" s="26" t="s">
        <v>7981</v>
      </c>
      <c r="P303" s="27" t="s">
        <v>7982</v>
      </c>
      <c r="Q303" s="28" t="s">
        <v>7983</v>
      </c>
      <c r="R303" s="29" t="s">
        <v>7984</v>
      </c>
      <c r="S303" s="30" t="s">
        <v>7985</v>
      </c>
      <c r="T303" s="23" t="s">
        <v>7986</v>
      </c>
      <c r="U303" s="23" t="s">
        <v>7979</v>
      </c>
      <c r="V303" s="23" t="s">
        <v>7987</v>
      </c>
      <c r="W303" s="23" t="s">
        <v>7988</v>
      </c>
      <c r="X303" s="23" t="s">
        <v>7989</v>
      </c>
      <c r="Y303" s="23" t="s">
        <v>7990</v>
      </c>
      <c r="Z303" s="31" t="s">
        <v>7991</v>
      </c>
      <c r="AA303" s="23" t="s">
        <v>7992</v>
      </c>
      <c r="AB303" s="23" t="s">
        <v>7993</v>
      </c>
      <c r="AC303" s="26" t="s">
        <v>7994</v>
      </c>
    </row>
    <row r="304">
      <c r="A304" s="22" t="s">
        <v>7996</v>
      </c>
      <c r="B304" s="23" t="s">
        <v>7997</v>
      </c>
      <c r="C304" s="23" t="s">
        <v>8022</v>
      </c>
      <c r="D304" s="24" t="s">
        <v>7998</v>
      </c>
      <c r="E304" s="23" t="s">
        <v>7999</v>
      </c>
      <c r="F304" s="23" t="s">
        <v>8000</v>
      </c>
      <c r="G304" s="23" t="s">
        <v>8001</v>
      </c>
      <c r="H304" s="23" t="s">
        <v>8002</v>
      </c>
      <c r="I304" s="23" t="s">
        <v>8003</v>
      </c>
      <c r="J304" s="23" t="s">
        <v>8004</v>
      </c>
      <c r="K304" s="23" t="s">
        <v>8005</v>
      </c>
      <c r="L304" s="25" t="s">
        <v>8006</v>
      </c>
      <c r="M304" s="23" t="s">
        <v>8007</v>
      </c>
      <c r="N304" s="23" t="s">
        <v>8008</v>
      </c>
      <c r="O304" s="26" t="s">
        <v>8009</v>
      </c>
      <c r="P304" s="27" t="s">
        <v>8010</v>
      </c>
      <c r="Q304" s="28" t="s">
        <v>8011</v>
      </c>
      <c r="R304" s="29" t="s">
        <v>8012</v>
      </c>
      <c r="S304" s="30" t="s">
        <v>8013</v>
      </c>
      <c r="T304" s="23" t="s">
        <v>8014</v>
      </c>
      <c r="U304" s="23" t="s">
        <v>7997</v>
      </c>
      <c r="V304" s="23" t="s">
        <v>8015</v>
      </c>
      <c r="W304" s="23" t="s">
        <v>7997</v>
      </c>
      <c r="X304" s="23" t="s">
        <v>8016</v>
      </c>
      <c r="Y304" s="23" t="s">
        <v>8017</v>
      </c>
      <c r="Z304" s="31" t="s">
        <v>8018</v>
      </c>
      <c r="AA304" s="23" t="s">
        <v>8019</v>
      </c>
      <c r="AB304" s="23" t="s">
        <v>8020</v>
      </c>
      <c r="AC304" s="26" t="s">
        <v>8021</v>
      </c>
    </row>
    <row r="305">
      <c r="A305" s="22" t="s">
        <v>8023</v>
      </c>
      <c r="B305" s="23" t="s">
        <v>8024</v>
      </c>
      <c r="C305" s="23" t="s">
        <v>8049</v>
      </c>
      <c r="D305" s="24" t="s">
        <v>8025</v>
      </c>
      <c r="E305" s="23" t="s">
        <v>8026</v>
      </c>
      <c r="F305" s="23" t="s">
        <v>8027</v>
      </c>
      <c r="G305" s="23" t="s">
        <v>8028</v>
      </c>
      <c r="H305" s="23" t="s">
        <v>8029</v>
      </c>
      <c r="I305" s="23" t="s">
        <v>8030</v>
      </c>
      <c r="J305" s="23" t="s">
        <v>8031</v>
      </c>
      <c r="K305" s="23" t="s">
        <v>8032</v>
      </c>
      <c r="L305" s="25" t="s">
        <v>8033</v>
      </c>
      <c r="M305" s="23" t="s">
        <v>8034</v>
      </c>
      <c r="N305" s="23" t="s">
        <v>8035</v>
      </c>
      <c r="O305" s="26" t="s">
        <v>8036</v>
      </c>
      <c r="P305" s="27" t="s">
        <v>8037</v>
      </c>
      <c r="Q305" s="28" t="s">
        <v>8038</v>
      </c>
      <c r="R305" s="29" t="s">
        <v>8039</v>
      </c>
      <c r="S305" s="30" t="s">
        <v>8040</v>
      </c>
      <c r="T305" s="23" t="s">
        <v>8041</v>
      </c>
      <c r="U305" s="23" t="s">
        <v>8034</v>
      </c>
      <c r="V305" s="23" t="s">
        <v>8024</v>
      </c>
      <c r="W305" s="23" t="s">
        <v>8042</v>
      </c>
      <c r="X305" s="23" t="s">
        <v>8043</v>
      </c>
      <c r="Y305" s="23" t="s">
        <v>8044</v>
      </c>
      <c r="Z305" s="31" t="s">
        <v>8045</v>
      </c>
      <c r="AA305" s="23" t="s">
        <v>8046</v>
      </c>
      <c r="AB305" s="23" t="s">
        <v>8047</v>
      </c>
      <c r="AC305" s="26" t="s">
        <v>8048</v>
      </c>
    </row>
    <row r="306">
      <c r="A306" s="22" t="s">
        <v>8050</v>
      </c>
      <c r="B306" s="23" t="s">
        <v>8051</v>
      </c>
      <c r="C306" s="23" t="s">
        <v>8078</v>
      </c>
      <c r="D306" s="24" t="s">
        <v>8052</v>
      </c>
      <c r="E306" s="23" t="s">
        <v>8053</v>
      </c>
      <c r="F306" s="23" t="s">
        <v>8054</v>
      </c>
      <c r="G306" s="23" t="s">
        <v>8055</v>
      </c>
      <c r="H306" s="23" t="s">
        <v>8056</v>
      </c>
      <c r="I306" s="23" t="s">
        <v>8057</v>
      </c>
      <c r="J306" s="23" t="s">
        <v>8058</v>
      </c>
      <c r="K306" s="23" t="s">
        <v>8059</v>
      </c>
      <c r="L306" s="25" t="s">
        <v>8060</v>
      </c>
      <c r="M306" s="23" t="s">
        <v>8061</v>
      </c>
      <c r="N306" s="23" t="s">
        <v>8062</v>
      </c>
      <c r="O306" s="26" t="s">
        <v>8063</v>
      </c>
      <c r="P306" s="27" t="s">
        <v>8064</v>
      </c>
      <c r="Q306" s="28" t="s">
        <v>8065</v>
      </c>
      <c r="R306" s="29" t="s">
        <v>8066</v>
      </c>
      <c r="S306" s="30" t="s">
        <v>8067</v>
      </c>
      <c r="T306" s="23" t="s">
        <v>8068</v>
      </c>
      <c r="U306" s="23" t="s">
        <v>8069</v>
      </c>
      <c r="V306" s="23" t="s">
        <v>8070</v>
      </c>
      <c r="W306" s="23" t="s">
        <v>8071</v>
      </c>
      <c r="X306" s="23" t="s">
        <v>8072</v>
      </c>
      <c r="Y306" s="23" t="s">
        <v>8073</v>
      </c>
      <c r="Z306" s="31" t="s">
        <v>8074</v>
      </c>
      <c r="AA306" s="23" t="s">
        <v>8075</v>
      </c>
      <c r="AB306" s="23" t="s">
        <v>8076</v>
      </c>
      <c r="AC306" s="26" t="s">
        <v>8077</v>
      </c>
    </row>
    <row r="307">
      <c r="A307" s="22" t="s">
        <v>8079</v>
      </c>
      <c r="B307" s="23" t="s">
        <v>8080</v>
      </c>
      <c r="C307" s="23" t="s">
        <v>8107</v>
      </c>
      <c r="D307" s="24" t="s">
        <v>8081</v>
      </c>
      <c r="E307" s="23" t="s">
        <v>8082</v>
      </c>
      <c r="F307" s="23" t="s">
        <v>8083</v>
      </c>
      <c r="G307" s="23" t="s">
        <v>8084</v>
      </c>
      <c r="H307" s="23" t="s">
        <v>8085</v>
      </c>
      <c r="I307" s="23" t="s">
        <v>8086</v>
      </c>
      <c r="J307" s="23" t="s">
        <v>8087</v>
      </c>
      <c r="K307" s="23" t="s">
        <v>8088</v>
      </c>
      <c r="L307" s="25" t="s">
        <v>8089</v>
      </c>
      <c r="M307" s="23" t="s">
        <v>8090</v>
      </c>
      <c r="N307" s="23" t="s">
        <v>8091</v>
      </c>
      <c r="O307" s="26" t="s">
        <v>8092</v>
      </c>
      <c r="P307" s="27" t="s">
        <v>8093</v>
      </c>
      <c r="Q307" s="28" t="s">
        <v>8094</v>
      </c>
      <c r="R307" s="29" t="s">
        <v>8095</v>
      </c>
      <c r="S307" s="30" t="s">
        <v>8096</v>
      </c>
      <c r="T307" s="23" t="s">
        <v>8097</v>
      </c>
      <c r="U307" s="23" t="s">
        <v>8098</v>
      </c>
      <c r="V307" s="23" t="s">
        <v>8099</v>
      </c>
      <c r="W307" s="23" t="s">
        <v>8100</v>
      </c>
      <c r="X307" s="23" t="s">
        <v>8101</v>
      </c>
      <c r="Y307" s="23" t="s">
        <v>8102</v>
      </c>
      <c r="Z307" s="31" t="s">
        <v>8103</v>
      </c>
      <c r="AA307" s="23" t="s">
        <v>8104</v>
      </c>
      <c r="AB307" s="23" t="s">
        <v>8105</v>
      </c>
      <c r="AC307" s="26" t="s">
        <v>8106</v>
      </c>
    </row>
    <row r="308">
      <c r="A308" s="22" t="s">
        <v>8108</v>
      </c>
      <c r="B308" s="23" t="s">
        <v>8109</v>
      </c>
      <c r="C308" s="23" t="s">
        <v>8136</v>
      </c>
      <c r="D308" s="24" t="s">
        <v>8110</v>
      </c>
      <c r="E308" s="23" t="s">
        <v>8111</v>
      </c>
      <c r="F308" s="23" t="s">
        <v>8112</v>
      </c>
      <c r="G308" s="23" t="s">
        <v>8113</v>
      </c>
      <c r="H308" s="23" t="s">
        <v>8114</v>
      </c>
      <c r="I308" s="23" t="s">
        <v>8115</v>
      </c>
      <c r="J308" s="23" t="s">
        <v>8116</v>
      </c>
      <c r="K308" s="23" t="s">
        <v>8117</v>
      </c>
      <c r="L308" s="25" t="s">
        <v>8118</v>
      </c>
      <c r="M308" s="23" t="s">
        <v>8119</v>
      </c>
      <c r="N308" s="23" t="s">
        <v>8120</v>
      </c>
      <c r="O308" s="26" t="s">
        <v>8121</v>
      </c>
      <c r="P308" s="27" t="s">
        <v>8122</v>
      </c>
      <c r="Q308" s="28" t="s">
        <v>8123</v>
      </c>
      <c r="R308" s="29" t="s">
        <v>8124</v>
      </c>
      <c r="S308" s="30" t="s">
        <v>8125</v>
      </c>
      <c r="T308" s="23" t="s">
        <v>8126</v>
      </c>
      <c r="U308" s="23" t="s">
        <v>8127</v>
      </c>
      <c r="V308" s="23" t="s">
        <v>8128</v>
      </c>
      <c r="W308" s="23" t="s">
        <v>8129</v>
      </c>
      <c r="X308" s="23" t="s">
        <v>8130</v>
      </c>
      <c r="Y308" s="23" t="s">
        <v>8131</v>
      </c>
      <c r="Z308" s="31" t="s">
        <v>8132</v>
      </c>
      <c r="AA308" s="23" t="s">
        <v>8133</v>
      </c>
      <c r="AB308" s="23" t="s">
        <v>8134</v>
      </c>
      <c r="AC308" s="26" t="s">
        <v>8135</v>
      </c>
    </row>
    <row r="309">
      <c r="A309" s="22" t="s">
        <v>8137</v>
      </c>
      <c r="B309" s="23" t="s">
        <v>8138</v>
      </c>
      <c r="C309" s="23" t="s">
        <v>8164</v>
      </c>
      <c r="D309" s="24" t="s">
        <v>8139</v>
      </c>
      <c r="E309" s="23" t="s">
        <v>8140</v>
      </c>
      <c r="F309" s="23" t="s">
        <v>8141</v>
      </c>
      <c r="G309" s="23" t="s">
        <v>8142</v>
      </c>
      <c r="H309" s="23" t="s">
        <v>8143</v>
      </c>
      <c r="I309" s="23" t="s">
        <v>8144</v>
      </c>
      <c r="J309" s="23" t="s">
        <v>8145</v>
      </c>
      <c r="K309" s="23" t="s">
        <v>8146</v>
      </c>
      <c r="L309" s="25" t="s">
        <v>8147</v>
      </c>
      <c r="M309" s="23" t="s">
        <v>8148</v>
      </c>
      <c r="N309" s="23" t="s">
        <v>8149</v>
      </c>
      <c r="O309" s="26" t="s">
        <v>8150</v>
      </c>
      <c r="P309" s="27" t="s">
        <v>8151</v>
      </c>
      <c r="Q309" s="28" t="s">
        <v>8152</v>
      </c>
      <c r="R309" s="29" t="s">
        <v>8153</v>
      </c>
      <c r="S309" s="30" t="s">
        <v>8154</v>
      </c>
      <c r="T309" s="23" t="s">
        <v>8155</v>
      </c>
      <c r="U309" s="23" t="s">
        <v>8148</v>
      </c>
      <c r="V309" s="23" t="s">
        <v>8156</v>
      </c>
      <c r="W309" s="23" t="s">
        <v>8157</v>
      </c>
      <c r="X309" s="23" t="s">
        <v>8158</v>
      </c>
      <c r="Y309" s="23" t="s">
        <v>8159</v>
      </c>
      <c r="Z309" s="31" t="s">
        <v>8160</v>
      </c>
      <c r="AA309" s="23" t="s">
        <v>8161</v>
      </c>
      <c r="AB309" s="23" t="s">
        <v>8162</v>
      </c>
      <c r="AC309" s="26" t="s">
        <v>8163</v>
      </c>
    </row>
    <row r="310">
      <c r="A310" s="22" t="s">
        <v>8165</v>
      </c>
      <c r="B310" s="23" t="s">
        <v>8166</v>
      </c>
      <c r="C310" s="23" t="s">
        <v>8193</v>
      </c>
      <c r="D310" s="24" t="s">
        <v>8167</v>
      </c>
      <c r="E310" s="23" t="s">
        <v>8168</v>
      </c>
      <c r="F310" s="23" t="s">
        <v>8169</v>
      </c>
      <c r="G310" s="23" t="s">
        <v>8170</v>
      </c>
      <c r="H310" s="23" t="s">
        <v>8171</v>
      </c>
      <c r="I310" s="23" t="s">
        <v>8172</v>
      </c>
      <c r="J310" s="23" t="s">
        <v>8173</v>
      </c>
      <c r="K310" s="23" t="s">
        <v>8174</v>
      </c>
      <c r="L310" s="25" t="s">
        <v>8175</v>
      </c>
      <c r="M310" s="23" t="s">
        <v>8176</v>
      </c>
      <c r="N310" s="23" t="s">
        <v>8177</v>
      </c>
      <c r="O310" s="23" t="s">
        <v>8178</v>
      </c>
      <c r="P310" s="27" t="s">
        <v>8179</v>
      </c>
      <c r="Q310" s="28" t="s">
        <v>8180</v>
      </c>
      <c r="R310" s="23" t="s">
        <v>8181</v>
      </c>
      <c r="S310" s="30" t="s">
        <v>8182</v>
      </c>
      <c r="T310" s="23" t="s">
        <v>8183</v>
      </c>
      <c r="U310" s="23" t="s">
        <v>8184</v>
      </c>
      <c r="V310" s="23" t="s">
        <v>8185</v>
      </c>
      <c r="W310" s="23" t="s">
        <v>8186</v>
      </c>
      <c r="X310" s="23" t="s">
        <v>8187</v>
      </c>
      <c r="Y310" s="23" t="s">
        <v>8188</v>
      </c>
      <c r="Z310" s="31" t="s">
        <v>8189</v>
      </c>
      <c r="AA310" s="23" t="s">
        <v>8190</v>
      </c>
      <c r="AB310" s="23" t="s">
        <v>8191</v>
      </c>
      <c r="AC310" s="26" t="s">
        <v>8192</v>
      </c>
    </row>
    <row r="311">
      <c r="A311" s="22" t="s">
        <v>8194</v>
      </c>
      <c r="B311" s="23" t="s">
        <v>8195</v>
      </c>
      <c r="C311" s="23" t="s">
        <v>8221</v>
      </c>
      <c r="D311" s="24" t="s">
        <v>8196</v>
      </c>
      <c r="E311" s="23" t="s">
        <v>8197</v>
      </c>
      <c r="F311" s="23" t="s">
        <v>8195</v>
      </c>
      <c r="G311" s="23" t="s">
        <v>8198</v>
      </c>
      <c r="H311" s="23" t="s">
        <v>8199</v>
      </c>
      <c r="I311" s="23" t="s">
        <v>8200</v>
      </c>
      <c r="J311" s="23" t="s">
        <v>8201</v>
      </c>
      <c r="K311" s="23" t="s">
        <v>8202</v>
      </c>
      <c r="L311" s="25" t="s">
        <v>8203</v>
      </c>
      <c r="M311" s="23" t="s">
        <v>8204</v>
      </c>
      <c r="N311" s="23" t="s">
        <v>8205</v>
      </c>
      <c r="O311" s="26" t="s">
        <v>8206</v>
      </c>
      <c r="P311" s="27" t="s">
        <v>8207</v>
      </c>
      <c r="Q311" s="28" t="s">
        <v>8208</v>
      </c>
      <c r="R311" s="29" t="s">
        <v>8209</v>
      </c>
      <c r="S311" s="30" t="s">
        <v>8210</v>
      </c>
      <c r="T311" s="23" t="s">
        <v>8211</v>
      </c>
      <c r="U311" s="23" t="s">
        <v>8212</v>
      </c>
      <c r="V311" s="23" t="s">
        <v>8213</v>
      </c>
      <c r="W311" s="23" t="s">
        <v>8214</v>
      </c>
      <c r="X311" s="23" t="s">
        <v>8215</v>
      </c>
      <c r="Y311" s="23" t="s">
        <v>8216</v>
      </c>
      <c r="Z311" s="31" t="s">
        <v>8217</v>
      </c>
      <c r="AA311" s="23" t="s">
        <v>8218</v>
      </c>
      <c r="AB311" s="23" t="s">
        <v>8219</v>
      </c>
      <c r="AC311" s="26" t="s">
        <v>8220</v>
      </c>
    </row>
    <row r="312">
      <c r="A312" s="22" t="s">
        <v>8222</v>
      </c>
      <c r="B312" s="23" t="s">
        <v>8223</v>
      </c>
      <c r="C312" s="23" t="s">
        <v>8249</v>
      </c>
      <c r="D312" s="24" t="s">
        <v>8224</v>
      </c>
      <c r="E312" s="23" t="s">
        <v>8225</v>
      </c>
      <c r="F312" s="23" t="s">
        <v>8226</v>
      </c>
      <c r="G312" s="23" t="s">
        <v>8227</v>
      </c>
      <c r="H312" s="23" t="s">
        <v>8228</v>
      </c>
      <c r="I312" s="23" t="s">
        <v>8229</v>
      </c>
      <c r="J312" s="23" t="s">
        <v>8230</v>
      </c>
      <c r="K312" s="23" t="s">
        <v>8231</v>
      </c>
      <c r="L312" s="25" t="s">
        <v>8232</v>
      </c>
      <c r="M312" s="23" t="s">
        <v>8233</v>
      </c>
      <c r="N312" s="23" t="s">
        <v>8234</v>
      </c>
      <c r="O312" s="23" t="s">
        <v>8235</v>
      </c>
      <c r="P312" s="27" t="s">
        <v>8236</v>
      </c>
      <c r="Q312" s="28" t="s">
        <v>8237</v>
      </c>
      <c r="R312" s="29" t="s">
        <v>8238</v>
      </c>
      <c r="S312" s="30" t="s">
        <v>8239</v>
      </c>
      <c r="T312" s="23" t="s">
        <v>8240</v>
      </c>
      <c r="U312" s="23" t="s">
        <v>8233</v>
      </c>
      <c r="V312" s="23" t="s">
        <v>8241</v>
      </c>
      <c r="W312" s="23" t="s">
        <v>8242</v>
      </c>
      <c r="X312" s="23" t="s">
        <v>8243</v>
      </c>
      <c r="Y312" s="23" t="s">
        <v>8244</v>
      </c>
      <c r="Z312" s="31" t="s">
        <v>8245</v>
      </c>
      <c r="AA312" s="23" t="s">
        <v>8246</v>
      </c>
      <c r="AB312" s="23" t="s">
        <v>8247</v>
      </c>
      <c r="AC312" s="26" t="s">
        <v>8248</v>
      </c>
    </row>
    <row r="313">
      <c r="A313" s="22" t="s">
        <v>8250</v>
      </c>
      <c r="B313" s="23" t="s">
        <v>8251</v>
      </c>
      <c r="C313" s="23" t="s">
        <v>8278</v>
      </c>
      <c r="D313" s="24" t="s">
        <v>8252</v>
      </c>
      <c r="E313" s="23" t="s">
        <v>8253</v>
      </c>
      <c r="F313" s="23" t="s">
        <v>8254</v>
      </c>
      <c r="G313" s="23" t="s">
        <v>8255</v>
      </c>
      <c r="H313" s="23" t="s">
        <v>8256</v>
      </c>
      <c r="I313" s="23" t="s">
        <v>8257</v>
      </c>
      <c r="J313" s="23" t="s">
        <v>8258</v>
      </c>
      <c r="K313" s="23" t="s">
        <v>8259</v>
      </c>
      <c r="L313" s="25" t="s">
        <v>8260</v>
      </c>
      <c r="M313" s="23" t="s">
        <v>8261</v>
      </c>
      <c r="N313" s="23" t="s">
        <v>8262</v>
      </c>
      <c r="O313" s="26" t="s">
        <v>8263</v>
      </c>
      <c r="P313" s="27" t="s">
        <v>8264</v>
      </c>
      <c r="Q313" s="28" t="s">
        <v>8265</v>
      </c>
      <c r="R313" s="29" t="s">
        <v>8266</v>
      </c>
      <c r="S313" s="30" t="s">
        <v>8267</v>
      </c>
      <c r="T313" s="23" t="s">
        <v>8268</v>
      </c>
      <c r="U313" s="23" t="s">
        <v>8269</v>
      </c>
      <c r="V313" s="23" t="s">
        <v>8270</v>
      </c>
      <c r="W313" s="23" t="s">
        <v>8271</v>
      </c>
      <c r="X313" s="23" t="s">
        <v>8272</v>
      </c>
      <c r="Y313" s="23" t="s">
        <v>8273</v>
      </c>
      <c r="Z313" s="31" t="s">
        <v>8274</v>
      </c>
      <c r="AA313" s="23" t="s">
        <v>8275</v>
      </c>
      <c r="AB313" s="23" t="s">
        <v>8276</v>
      </c>
      <c r="AC313" s="26" t="s">
        <v>8277</v>
      </c>
    </row>
    <row r="314">
      <c r="A314" s="22" t="s">
        <v>8279</v>
      </c>
      <c r="B314" s="23" t="s">
        <v>8280</v>
      </c>
      <c r="C314" s="23" t="s">
        <v>8307</v>
      </c>
      <c r="D314" s="24" t="s">
        <v>8281</v>
      </c>
      <c r="E314" s="23" t="s">
        <v>8282</v>
      </c>
      <c r="F314" s="23" t="s">
        <v>8283</v>
      </c>
      <c r="G314" s="23" t="s">
        <v>8284</v>
      </c>
      <c r="H314" s="23" t="s">
        <v>8285</v>
      </c>
      <c r="I314" s="23" t="s">
        <v>8286</v>
      </c>
      <c r="J314" s="23" t="s">
        <v>8287</v>
      </c>
      <c r="K314" s="23" t="s">
        <v>8288</v>
      </c>
      <c r="L314" s="25" t="s">
        <v>8289</v>
      </c>
      <c r="M314" s="23" t="s">
        <v>8290</v>
      </c>
      <c r="N314" s="23" t="s">
        <v>8291</v>
      </c>
      <c r="O314" s="26" t="s">
        <v>8292</v>
      </c>
      <c r="P314" s="27" t="s">
        <v>8293</v>
      </c>
      <c r="Q314" s="28" t="s">
        <v>8294</v>
      </c>
      <c r="R314" s="29" t="s">
        <v>8295</v>
      </c>
      <c r="S314" s="30" t="s">
        <v>8296</v>
      </c>
      <c r="T314" s="23" t="s">
        <v>8297</v>
      </c>
      <c r="U314" s="23" t="s">
        <v>8298</v>
      </c>
      <c r="V314" s="23" t="s">
        <v>8299</v>
      </c>
      <c r="W314" s="23" t="s">
        <v>8300</v>
      </c>
      <c r="X314" s="23" t="s">
        <v>8301</v>
      </c>
      <c r="Y314" s="23" t="s">
        <v>8302</v>
      </c>
      <c r="Z314" s="31" t="s">
        <v>8303</v>
      </c>
      <c r="AA314" s="23" t="s">
        <v>8304</v>
      </c>
      <c r="AB314" s="23" t="s">
        <v>8305</v>
      </c>
      <c r="AC314" s="26" t="s">
        <v>8306</v>
      </c>
    </row>
    <row r="315">
      <c r="A315" s="22" t="s">
        <v>8308</v>
      </c>
      <c r="B315" s="23" t="s">
        <v>8309</v>
      </c>
      <c r="C315" s="23" t="s">
        <v>8336</v>
      </c>
      <c r="D315" s="24" t="s">
        <v>8310</v>
      </c>
      <c r="E315" s="23" t="s">
        <v>8311</v>
      </c>
      <c r="F315" s="23" t="s">
        <v>8312</v>
      </c>
      <c r="G315" s="23" t="s">
        <v>8313</v>
      </c>
      <c r="H315" s="23" t="s">
        <v>8314</v>
      </c>
      <c r="I315" s="23" t="s">
        <v>8315</v>
      </c>
      <c r="J315" s="23" t="s">
        <v>8316</v>
      </c>
      <c r="K315" s="23" t="s">
        <v>8317</v>
      </c>
      <c r="L315" s="25" t="s">
        <v>8318</v>
      </c>
      <c r="M315" s="23" t="s">
        <v>8319</v>
      </c>
      <c r="N315" s="23" t="s">
        <v>8320</v>
      </c>
      <c r="O315" s="26" t="s">
        <v>8321</v>
      </c>
      <c r="P315" s="27" t="s">
        <v>8322</v>
      </c>
      <c r="Q315" s="28" t="s">
        <v>8323</v>
      </c>
      <c r="R315" s="29" t="s">
        <v>8324</v>
      </c>
      <c r="S315" s="30" t="s">
        <v>8325</v>
      </c>
      <c r="T315" s="23" t="s">
        <v>8326</v>
      </c>
      <c r="U315" s="23" t="s">
        <v>8327</v>
      </c>
      <c r="V315" s="23" t="s">
        <v>8328</v>
      </c>
      <c r="W315" s="23" t="s">
        <v>8329</v>
      </c>
      <c r="X315" s="23" t="s">
        <v>8330</v>
      </c>
      <c r="Y315" s="23" t="s">
        <v>8331</v>
      </c>
      <c r="Z315" s="31" t="s">
        <v>8332</v>
      </c>
      <c r="AA315" s="23" t="s">
        <v>8333</v>
      </c>
      <c r="AB315" s="23" t="s">
        <v>8334</v>
      </c>
      <c r="AC315" s="26" t="s">
        <v>8335</v>
      </c>
    </row>
    <row r="316">
      <c r="A316" s="22" t="s">
        <v>8337</v>
      </c>
      <c r="B316" s="23" t="s">
        <v>8338</v>
      </c>
      <c r="C316" s="23" t="s">
        <v>8365</v>
      </c>
      <c r="D316" s="24" t="s">
        <v>8339</v>
      </c>
      <c r="E316" s="23" t="s">
        <v>8340</v>
      </c>
      <c r="F316" s="23" t="s">
        <v>8341</v>
      </c>
      <c r="G316" s="23" t="s">
        <v>8342</v>
      </c>
      <c r="H316" s="23" t="s">
        <v>8343</v>
      </c>
      <c r="I316" s="23" t="s">
        <v>8344</v>
      </c>
      <c r="J316" s="23" t="s">
        <v>8345</v>
      </c>
      <c r="K316" s="23" t="s">
        <v>8346</v>
      </c>
      <c r="L316" s="25" t="s">
        <v>8347</v>
      </c>
      <c r="M316" s="23" t="s">
        <v>8348</v>
      </c>
      <c r="N316" s="23" t="s">
        <v>8349</v>
      </c>
      <c r="O316" s="26" t="s">
        <v>8350</v>
      </c>
      <c r="P316" s="27" t="s">
        <v>8351</v>
      </c>
      <c r="Q316" s="28" t="s">
        <v>8352</v>
      </c>
      <c r="R316" s="29" t="s">
        <v>8353</v>
      </c>
      <c r="S316" s="30" t="s">
        <v>8354</v>
      </c>
      <c r="T316" s="23" t="s">
        <v>8355</v>
      </c>
      <c r="U316" s="23" t="s">
        <v>8356</v>
      </c>
      <c r="V316" s="23" t="s">
        <v>8357</v>
      </c>
      <c r="W316" s="23" t="s">
        <v>8358</v>
      </c>
      <c r="X316" s="23" t="s">
        <v>8359</v>
      </c>
      <c r="Y316" s="23" t="s">
        <v>8360</v>
      </c>
      <c r="Z316" s="31" t="s">
        <v>8361</v>
      </c>
      <c r="AA316" s="23" t="s">
        <v>8362</v>
      </c>
      <c r="AB316" s="23" t="s">
        <v>8363</v>
      </c>
      <c r="AC316" s="26" t="s">
        <v>8364</v>
      </c>
    </row>
    <row r="317">
      <c r="A317" s="22" t="s">
        <v>8366</v>
      </c>
      <c r="B317" s="23" t="s">
        <v>8367</v>
      </c>
      <c r="C317" s="23" t="s">
        <v>8393</v>
      </c>
      <c r="D317" s="24" t="s">
        <v>8368</v>
      </c>
      <c r="E317" s="23" t="s">
        <v>8369</v>
      </c>
      <c r="F317" s="23" t="s">
        <v>8370</v>
      </c>
      <c r="G317" s="23" t="s">
        <v>8371</v>
      </c>
      <c r="H317" s="23" t="s">
        <v>8372</v>
      </c>
      <c r="I317" s="23" t="s">
        <v>8373</v>
      </c>
      <c r="J317" s="23" t="s">
        <v>8374</v>
      </c>
      <c r="K317" s="23" t="s">
        <v>8375</v>
      </c>
      <c r="L317" s="25" t="s">
        <v>8376</v>
      </c>
      <c r="M317" s="23" t="s">
        <v>8377</v>
      </c>
      <c r="N317" s="23" t="s">
        <v>8378</v>
      </c>
      <c r="O317" s="26" t="s">
        <v>8379</v>
      </c>
      <c r="P317" s="27" t="s">
        <v>8380</v>
      </c>
      <c r="Q317" s="28" t="s">
        <v>8381</v>
      </c>
      <c r="R317" s="29" t="s">
        <v>8382</v>
      </c>
      <c r="S317" s="30" t="s">
        <v>8383</v>
      </c>
      <c r="T317" s="23" t="s">
        <v>8384</v>
      </c>
      <c r="U317" s="23" t="s">
        <v>8377</v>
      </c>
      <c r="V317" s="23" t="s">
        <v>8385</v>
      </c>
      <c r="W317" s="23" t="s">
        <v>8386</v>
      </c>
      <c r="X317" s="23" t="s">
        <v>8387</v>
      </c>
      <c r="Y317" s="23" t="s">
        <v>8388</v>
      </c>
      <c r="Z317" s="31" t="s">
        <v>8389</v>
      </c>
      <c r="AA317" s="23" t="s">
        <v>8390</v>
      </c>
      <c r="AB317" s="23" t="s">
        <v>8391</v>
      </c>
      <c r="AC317" s="26" t="s">
        <v>8392</v>
      </c>
    </row>
    <row r="318">
      <c r="A318" s="22" t="s">
        <v>8394</v>
      </c>
      <c r="B318" s="23" t="s">
        <v>8395</v>
      </c>
      <c r="C318" s="23" t="s">
        <v>8422</v>
      </c>
      <c r="D318" s="24" t="s">
        <v>8396</v>
      </c>
      <c r="E318" s="23" t="s">
        <v>8397</v>
      </c>
      <c r="F318" s="23" t="s">
        <v>8398</v>
      </c>
      <c r="G318" s="23" t="s">
        <v>8399</v>
      </c>
      <c r="H318" s="23" t="s">
        <v>8400</v>
      </c>
      <c r="I318" s="23" t="s">
        <v>8401</v>
      </c>
      <c r="J318" s="23" t="s">
        <v>8402</v>
      </c>
      <c r="K318" s="23" t="s">
        <v>8403</v>
      </c>
      <c r="L318" s="25" t="s">
        <v>8404</v>
      </c>
      <c r="M318" s="23" t="s">
        <v>8405</v>
      </c>
      <c r="N318" s="23" t="s">
        <v>8406</v>
      </c>
      <c r="O318" s="26" t="s">
        <v>8407</v>
      </c>
      <c r="P318" s="27" t="s">
        <v>8408</v>
      </c>
      <c r="Q318" s="28" t="s">
        <v>8409</v>
      </c>
      <c r="R318" s="29" t="s">
        <v>8410</v>
      </c>
      <c r="S318" s="23" t="s">
        <v>8411</v>
      </c>
      <c r="T318" s="23" t="s">
        <v>8412</v>
      </c>
      <c r="U318" s="23" t="s">
        <v>8413</v>
      </c>
      <c r="V318" s="23" t="s">
        <v>8414</v>
      </c>
      <c r="W318" s="23" t="s">
        <v>8415</v>
      </c>
      <c r="X318" s="23" t="s">
        <v>8416</v>
      </c>
      <c r="Y318" s="23" t="s">
        <v>8417</v>
      </c>
      <c r="Z318" s="31" t="s">
        <v>8418</v>
      </c>
      <c r="AA318" s="23" t="s">
        <v>8419</v>
      </c>
      <c r="AB318" s="23" t="s">
        <v>8420</v>
      </c>
      <c r="AC318" s="26" t="s">
        <v>8421</v>
      </c>
    </row>
    <row r="319">
      <c r="A319" s="22" t="s">
        <v>8423</v>
      </c>
      <c r="B319" s="23" t="s">
        <v>8424</v>
      </c>
      <c r="C319" s="23" t="s">
        <v>8450</v>
      </c>
      <c r="D319" s="24" t="s">
        <v>8425</v>
      </c>
      <c r="E319" s="23" t="s">
        <v>8426</v>
      </c>
      <c r="F319" s="23" t="s">
        <v>8427</v>
      </c>
      <c r="G319" s="23" t="s">
        <v>8428</v>
      </c>
      <c r="H319" s="23" t="s">
        <v>8429</v>
      </c>
      <c r="I319" s="23" t="s">
        <v>8430</v>
      </c>
      <c r="J319" s="23" t="s">
        <v>8431</v>
      </c>
      <c r="K319" s="23" t="s">
        <v>8432</v>
      </c>
      <c r="L319" s="25" t="s">
        <v>8433</v>
      </c>
      <c r="M319" s="23" t="s">
        <v>8434</v>
      </c>
      <c r="N319" s="23" t="s">
        <v>8435</v>
      </c>
      <c r="O319" s="26" t="s">
        <v>8436</v>
      </c>
      <c r="P319" s="27" t="s">
        <v>8437</v>
      </c>
      <c r="Q319" s="28" t="s">
        <v>8438</v>
      </c>
      <c r="R319" s="29" t="s">
        <v>8439</v>
      </c>
      <c r="S319" s="30" t="s">
        <v>8440</v>
      </c>
      <c r="T319" s="23" t="s">
        <v>8441</v>
      </c>
      <c r="U319" s="23" t="s">
        <v>8434</v>
      </c>
      <c r="V319" s="23" t="s">
        <v>8442</v>
      </c>
      <c r="W319" s="23" t="s">
        <v>8443</v>
      </c>
      <c r="X319" s="23" t="s">
        <v>8444</v>
      </c>
      <c r="Y319" s="23" t="s">
        <v>8445</v>
      </c>
      <c r="Z319" s="31" t="s">
        <v>8446</v>
      </c>
      <c r="AA319" s="23" t="s">
        <v>8447</v>
      </c>
      <c r="AB319" s="23" t="s">
        <v>8448</v>
      </c>
      <c r="AC319" s="26" t="s">
        <v>8449</v>
      </c>
    </row>
    <row r="320">
      <c r="A320" s="22" t="s">
        <v>8451</v>
      </c>
      <c r="B320" s="23" t="s">
        <v>8452</v>
      </c>
      <c r="C320" s="23" t="s">
        <v>8478</v>
      </c>
      <c r="D320" s="24" t="s">
        <v>8453</v>
      </c>
      <c r="E320" s="23" t="s">
        <v>8454</v>
      </c>
      <c r="F320" s="23" t="s">
        <v>8455</v>
      </c>
      <c r="G320" s="23" t="s">
        <v>8456</v>
      </c>
      <c r="H320" s="23" t="s">
        <v>8457</v>
      </c>
      <c r="I320" s="23" t="s">
        <v>8458</v>
      </c>
      <c r="J320" s="23" t="s">
        <v>8459</v>
      </c>
      <c r="K320" s="23" t="s">
        <v>8460</v>
      </c>
      <c r="L320" s="25" t="s">
        <v>8461</v>
      </c>
      <c r="M320" s="23" t="s">
        <v>8462</v>
      </c>
      <c r="N320" s="23" t="s">
        <v>8463</v>
      </c>
      <c r="O320" s="26" t="s">
        <v>8464</v>
      </c>
      <c r="P320" s="27" t="s">
        <v>8465</v>
      </c>
      <c r="Q320" s="28" t="s">
        <v>8438</v>
      </c>
      <c r="R320" s="29" t="s">
        <v>8466</v>
      </c>
      <c r="S320" s="30" t="s">
        <v>8467</v>
      </c>
      <c r="T320" s="23" t="s">
        <v>8468</v>
      </c>
      <c r="U320" s="23" t="s">
        <v>8469</v>
      </c>
      <c r="V320" s="23" t="s">
        <v>8470</v>
      </c>
      <c r="W320" s="23" t="s">
        <v>8471</v>
      </c>
      <c r="X320" s="23" t="s">
        <v>8472</v>
      </c>
      <c r="Y320" s="23" t="s">
        <v>8473</v>
      </c>
      <c r="Z320" s="31" t="s">
        <v>8474</v>
      </c>
      <c r="AA320" s="23" t="s">
        <v>8475</v>
      </c>
      <c r="AB320" s="23" t="s">
        <v>8476</v>
      </c>
      <c r="AC320" s="26" t="s">
        <v>8477</v>
      </c>
    </row>
    <row r="321">
      <c r="A321" s="37" t="s">
        <v>8479</v>
      </c>
      <c r="B321" s="38" t="s">
        <v>8480</v>
      </c>
      <c r="C321" s="38" t="s">
        <v>8507</v>
      </c>
      <c r="D321" s="39" t="s">
        <v>8481</v>
      </c>
      <c r="E321" s="38" t="s">
        <v>8482</v>
      </c>
      <c r="F321" s="38" t="s">
        <v>8483</v>
      </c>
      <c r="G321" s="38" t="s">
        <v>8484</v>
      </c>
      <c r="H321" s="38" t="s">
        <v>8485</v>
      </c>
      <c r="I321" s="38" t="s">
        <v>8486</v>
      </c>
      <c r="J321" s="38" t="s">
        <v>8487</v>
      </c>
      <c r="K321" s="38" t="s">
        <v>8488</v>
      </c>
      <c r="L321" s="40" t="s">
        <v>8489</v>
      </c>
      <c r="M321" s="38" t="s">
        <v>8490</v>
      </c>
      <c r="N321" s="38" t="s">
        <v>8491</v>
      </c>
      <c r="O321" s="41" t="s">
        <v>8492</v>
      </c>
      <c r="P321" s="42" t="s">
        <v>8493</v>
      </c>
      <c r="Q321" s="43" t="s">
        <v>8494</v>
      </c>
      <c r="R321" s="44" t="s">
        <v>8495</v>
      </c>
      <c r="S321" s="45" t="s">
        <v>8496</v>
      </c>
      <c r="T321" s="38" t="s">
        <v>8497</v>
      </c>
      <c r="U321" s="38" t="s">
        <v>8498</v>
      </c>
      <c r="V321" s="38" t="s">
        <v>8499</v>
      </c>
      <c r="W321" s="38" t="s">
        <v>8500</v>
      </c>
      <c r="X321" s="38" t="s">
        <v>8501</v>
      </c>
      <c r="Y321" s="38" t="s">
        <v>8502</v>
      </c>
      <c r="Z321" s="46" t="s">
        <v>8503</v>
      </c>
      <c r="AA321" s="38" t="s">
        <v>8504</v>
      </c>
      <c r="AB321" s="38" t="s">
        <v>8505</v>
      </c>
      <c r="AC321" s="41" t="s">
        <v>8506</v>
      </c>
    </row>
    <row r="322">
      <c r="A322" s="37" t="s">
        <v>8508</v>
      </c>
      <c r="B322" s="38" t="s">
        <v>8509</v>
      </c>
      <c r="C322" s="38" t="s">
        <v>8536</v>
      </c>
      <c r="D322" s="39" t="s">
        <v>8510</v>
      </c>
      <c r="E322" s="38" t="s">
        <v>8511</v>
      </c>
      <c r="F322" s="38" t="s">
        <v>8512</v>
      </c>
      <c r="G322" s="38" t="s">
        <v>8513</v>
      </c>
      <c r="H322" s="38" t="s">
        <v>8514</v>
      </c>
      <c r="I322" s="38" t="s">
        <v>8515</v>
      </c>
      <c r="J322" s="38" t="s">
        <v>8516</v>
      </c>
      <c r="K322" s="38" t="s">
        <v>8517</v>
      </c>
      <c r="L322" s="40" t="s">
        <v>8518</v>
      </c>
      <c r="M322" s="38" t="s">
        <v>8519</v>
      </c>
      <c r="N322" s="38" t="s">
        <v>8520</v>
      </c>
      <c r="O322" s="41" t="s">
        <v>8521</v>
      </c>
      <c r="P322" s="42" t="s">
        <v>8522</v>
      </c>
      <c r="Q322" s="43" t="s">
        <v>8523</v>
      </c>
      <c r="R322" s="44" t="s">
        <v>8524</v>
      </c>
      <c r="S322" s="45" t="s">
        <v>8525</v>
      </c>
      <c r="T322" s="38" t="s">
        <v>8526</v>
      </c>
      <c r="U322" s="38" t="s">
        <v>8527</v>
      </c>
      <c r="V322" s="38" t="s">
        <v>8528</v>
      </c>
      <c r="W322" s="38" t="s">
        <v>8529</v>
      </c>
      <c r="X322" s="38" t="s">
        <v>8530</v>
      </c>
      <c r="Y322" s="38" t="s">
        <v>8531</v>
      </c>
      <c r="Z322" s="46" t="s">
        <v>8532</v>
      </c>
      <c r="AA322" s="38" t="s">
        <v>8533</v>
      </c>
      <c r="AB322" s="38" t="s">
        <v>8534</v>
      </c>
      <c r="AC322" s="41" t="s">
        <v>8535</v>
      </c>
    </row>
    <row r="323">
      <c r="A323" s="37" t="s">
        <v>8537</v>
      </c>
      <c r="B323" s="38" t="s">
        <v>8538</v>
      </c>
      <c r="C323" s="38" t="s">
        <v>8565</v>
      </c>
      <c r="D323" s="39" t="s">
        <v>8539</v>
      </c>
      <c r="E323" s="38" t="s">
        <v>8540</v>
      </c>
      <c r="F323" s="38" t="s">
        <v>8541</v>
      </c>
      <c r="G323" s="38" t="s">
        <v>8542</v>
      </c>
      <c r="H323" s="38" t="s">
        <v>8543</v>
      </c>
      <c r="I323" s="38" t="s">
        <v>8544</v>
      </c>
      <c r="J323" s="38" t="s">
        <v>8545</v>
      </c>
      <c r="K323" s="38" t="s">
        <v>8546</v>
      </c>
      <c r="L323" s="40" t="s">
        <v>8547</v>
      </c>
      <c r="M323" s="38" t="s">
        <v>8548</v>
      </c>
      <c r="N323" s="38" t="s">
        <v>8549</v>
      </c>
      <c r="O323" s="41" t="s">
        <v>8550</v>
      </c>
      <c r="P323" s="42" t="s">
        <v>8551</v>
      </c>
      <c r="Q323" s="43" t="s">
        <v>8552</v>
      </c>
      <c r="R323" s="44" t="s">
        <v>8553</v>
      </c>
      <c r="S323" s="45" t="s">
        <v>8554</v>
      </c>
      <c r="T323" s="38" t="s">
        <v>8555</v>
      </c>
      <c r="U323" s="38" t="s">
        <v>8556</v>
      </c>
      <c r="V323" s="38" t="s">
        <v>8557</v>
      </c>
      <c r="W323" s="38" t="s">
        <v>8558</v>
      </c>
      <c r="X323" s="38" t="s">
        <v>8559</v>
      </c>
      <c r="Y323" s="38" t="s">
        <v>8560</v>
      </c>
      <c r="Z323" s="46" t="s">
        <v>8561</v>
      </c>
      <c r="AA323" s="38" t="s">
        <v>8562</v>
      </c>
      <c r="AB323" s="38" t="s">
        <v>8563</v>
      </c>
      <c r="AC323" s="41" t="s">
        <v>8564</v>
      </c>
    </row>
    <row r="324">
      <c r="A324" s="37" t="s">
        <v>8566</v>
      </c>
      <c r="B324" s="38" t="s">
        <v>8567</v>
      </c>
      <c r="C324" s="38" t="s">
        <v>8594</v>
      </c>
      <c r="D324" s="39" t="s">
        <v>8568</v>
      </c>
      <c r="E324" s="38" t="s">
        <v>8569</v>
      </c>
      <c r="F324" s="38" t="s">
        <v>8570</v>
      </c>
      <c r="G324" s="38" t="s">
        <v>8571</v>
      </c>
      <c r="H324" s="38" t="s">
        <v>8572</v>
      </c>
      <c r="I324" s="38" t="s">
        <v>8573</v>
      </c>
      <c r="J324" s="38" t="s">
        <v>8574</v>
      </c>
      <c r="K324" s="38" t="s">
        <v>8575</v>
      </c>
      <c r="L324" s="40" t="s">
        <v>8576</v>
      </c>
      <c r="M324" s="38" t="s">
        <v>8577</v>
      </c>
      <c r="N324" s="38" t="s">
        <v>8578</v>
      </c>
      <c r="O324" s="41" t="s">
        <v>8579</v>
      </c>
      <c r="P324" s="42" t="s">
        <v>8580</v>
      </c>
      <c r="Q324" s="43" t="s">
        <v>8581</v>
      </c>
      <c r="R324" s="44" t="s">
        <v>8582</v>
      </c>
      <c r="S324" s="45" t="s">
        <v>8583</v>
      </c>
      <c r="T324" s="38" t="s">
        <v>8584</v>
      </c>
      <c r="U324" s="38" t="s">
        <v>8585</v>
      </c>
      <c r="V324" s="38" t="s">
        <v>8586</v>
      </c>
      <c r="W324" s="38" t="s">
        <v>8587</v>
      </c>
      <c r="X324" s="38" t="s">
        <v>8588</v>
      </c>
      <c r="Y324" s="38" t="s">
        <v>8589</v>
      </c>
      <c r="Z324" s="46" t="s">
        <v>8590</v>
      </c>
      <c r="AA324" s="38" t="s">
        <v>8591</v>
      </c>
      <c r="AB324" s="38" t="s">
        <v>8592</v>
      </c>
      <c r="AC324" s="41" t="s">
        <v>8593</v>
      </c>
    </row>
    <row r="325">
      <c r="A325" s="37" t="s">
        <v>8595</v>
      </c>
      <c r="B325" s="38" t="s">
        <v>8596</v>
      </c>
      <c r="C325" s="38" t="s">
        <v>8623</v>
      </c>
      <c r="D325" s="39" t="s">
        <v>8597</v>
      </c>
      <c r="E325" s="38" t="s">
        <v>8598</v>
      </c>
      <c r="F325" s="38" t="s">
        <v>8599</v>
      </c>
      <c r="G325" s="38" t="s">
        <v>8600</v>
      </c>
      <c r="H325" s="38" t="s">
        <v>8601</v>
      </c>
      <c r="I325" s="38" t="s">
        <v>8602</v>
      </c>
      <c r="J325" s="38" t="s">
        <v>8603</v>
      </c>
      <c r="K325" s="38" t="s">
        <v>8604</v>
      </c>
      <c r="L325" s="40" t="s">
        <v>8605</v>
      </c>
      <c r="M325" s="38" t="s">
        <v>8606</v>
      </c>
      <c r="N325" s="38" t="s">
        <v>8607</v>
      </c>
      <c r="O325" s="41" t="s">
        <v>8608</v>
      </c>
      <c r="P325" s="42" t="s">
        <v>8609</v>
      </c>
      <c r="Q325" s="43" t="s">
        <v>8610</v>
      </c>
      <c r="R325" s="44" t="s">
        <v>8611</v>
      </c>
      <c r="S325" s="45" t="s">
        <v>8612</v>
      </c>
      <c r="T325" s="38" t="s">
        <v>8613</v>
      </c>
      <c r="U325" s="38" t="s">
        <v>8614</v>
      </c>
      <c r="V325" s="38" t="s">
        <v>8615</v>
      </c>
      <c r="W325" s="38" t="s">
        <v>8616</v>
      </c>
      <c r="X325" s="38" t="s">
        <v>8617</v>
      </c>
      <c r="Y325" s="38" t="s">
        <v>8618</v>
      </c>
      <c r="Z325" s="46" t="s">
        <v>8619</v>
      </c>
      <c r="AA325" s="38" t="s">
        <v>8620</v>
      </c>
      <c r="AB325" s="38" t="s">
        <v>8621</v>
      </c>
      <c r="AC325" s="41" t="s">
        <v>8622</v>
      </c>
    </row>
    <row r="326">
      <c r="A326" s="37" t="s">
        <v>8624</v>
      </c>
      <c r="B326" s="38" t="s">
        <v>8625</v>
      </c>
      <c r="C326" s="38" t="s">
        <v>8652</v>
      </c>
      <c r="D326" s="39" t="s">
        <v>8626</v>
      </c>
      <c r="E326" s="38" t="s">
        <v>8627</v>
      </c>
      <c r="F326" s="38" t="s">
        <v>8628</v>
      </c>
      <c r="G326" s="38" t="s">
        <v>8629</v>
      </c>
      <c r="H326" s="38" t="s">
        <v>8630</v>
      </c>
      <c r="I326" s="38" t="s">
        <v>8631</v>
      </c>
      <c r="J326" s="38" t="s">
        <v>8632</v>
      </c>
      <c r="K326" s="38" t="s">
        <v>8633</v>
      </c>
      <c r="L326" s="40" t="s">
        <v>8634</v>
      </c>
      <c r="M326" s="38" t="s">
        <v>8635</v>
      </c>
      <c r="N326" s="38" t="s">
        <v>8636</v>
      </c>
      <c r="O326" s="41" t="s">
        <v>8637</v>
      </c>
      <c r="P326" s="42" t="s">
        <v>8638</v>
      </c>
      <c r="Q326" s="43" t="s">
        <v>8639</v>
      </c>
      <c r="R326" s="44" t="s">
        <v>8640</v>
      </c>
      <c r="S326" s="45" t="s">
        <v>8641</v>
      </c>
      <c r="T326" s="38" t="s">
        <v>8642</v>
      </c>
      <c r="U326" s="38" t="s">
        <v>8643</v>
      </c>
      <c r="V326" s="38" t="s">
        <v>8644</v>
      </c>
      <c r="W326" s="38" t="s">
        <v>8645</v>
      </c>
      <c r="X326" s="38" t="s">
        <v>8646</v>
      </c>
      <c r="Y326" s="38" t="s">
        <v>8647</v>
      </c>
      <c r="Z326" s="46" t="s">
        <v>8648</v>
      </c>
      <c r="AA326" s="38" t="s">
        <v>8649</v>
      </c>
      <c r="AB326" s="38" t="s">
        <v>8650</v>
      </c>
      <c r="AC326" s="41" t="s">
        <v>8651</v>
      </c>
    </row>
    <row r="327">
      <c r="A327" s="47" t="s">
        <v>8653</v>
      </c>
      <c r="B327" s="48" t="s">
        <v>8654</v>
      </c>
      <c r="C327" s="48" t="s">
        <v>8681</v>
      </c>
      <c r="D327" s="49" t="s">
        <v>8655</v>
      </c>
      <c r="E327" s="48" t="s">
        <v>8656</v>
      </c>
      <c r="F327" s="48" t="s">
        <v>8657</v>
      </c>
      <c r="G327" s="48" t="s">
        <v>8658</v>
      </c>
      <c r="H327" s="48" t="s">
        <v>8659</v>
      </c>
      <c r="I327" s="48" t="s">
        <v>8660</v>
      </c>
      <c r="J327" s="48" t="s">
        <v>8661</v>
      </c>
      <c r="K327" s="48" t="s">
        <v>8662</v>
      </c>
      <c r="L327" s="48" t="s">
        <v>8663</v>
      </c>
      <c r="M327" s="48" t="s">
        <v>8664</v>
      </c>
      <c r="N327" s="48" t="s">
        <v>8665</v>
      </c>
      <c r="O327" s="48" t="s">
        <v>8666</v>
      </c>
      <c r="P327" s="50" t="s">
        <v>8667</v>
      </c>
      <c r="Q327" s="48" t="s">
        <v>8668</v>
      </c>
      <c r="R327" s="48" t="s">
        <v>8669</v>
      </c>
      <c r="S327" s="51" t="s">
        <v>8670</v>
      </c>
      <c r="T327" s="48" t="s">
        <v>8671</v>
      </c>
      <c r="U327" s="48" t="s">
        <v>8672</v>
      </c>
      <c r="V327" s="48" t="s">
        <v>8673</v>
      </c>
      <c r="W327" s="48" t="s">
        <v>8674</v>
      </c>
      <c r="X327" s="48" t="s">
        <v>8675</v>
      </c>
      <c r="Y327" s="48" t="s">
        <v>8676</v>
      </c>
      <c r="Z327" s="52" t="s">
        <v>8677</v>
      </c>
      <c r="AA327" s="48" t="s">
        <v>8678</v>
      </c>
      <c r="AB327" s="48" t="s">
        <v>8679</v>
      </c>
      <c r="AC327" s="53" t="s">
        <v>8680</v>
      </c>
    </row>
    <row r="328">
      <c r="A328" s="47" t="s">
        <v>8682</v>
      </c>
      <c r="B328" s="48" t="s">
        <v>8683</v>
      </c>
      <c r="C328" s="48" t="s">
        <v>8709</v>
      </c>
      <c r="D328" s="49" t="s">
        <v>8684</v>
      </c>
      <c r="E328" s="48" t="s">
        <v>8685</v>
      </c>
      <c r="F328" s="48" t="s">
        <v>8686</v>
      </c>
      <c r="G328" s="48" t="s">
        <v>8687</v>
      </c>
      <c r="H328" s="48" t="s">
        <v>8688</v>
      </c>
      <c r="I328" s="48" t="s">
        <v>8689</v>
      </c>
      <c r="J328" s="48" t="s">
        <v>8690</v>
      </c>
      <c r="K328" s="48" t="s">
        <v>8683</v>
      </c>
      <c r="L328" s="54" t="s">
        <v>8691</v>
      </c>
      <c r="M328" s="48" t="s">
        <v>8692</v>
      </c>
      <c r="N328" s="48" t="s">
        <v>8693</v>
      </c>
      <c r="O328" s="53" t="s">
        <v>8694</v>
      </c>
      <c r="P328" s="50" t="s">
        <v>8695</v>
      </c>
      <c r="Q328" s="55" t="s">
        <v>8696</v>
      </c>
      <c r="R328" s="56" t="s">
        <v>8697</v>
      </c>
      <c r="S328" s="51" t="s">
        <v>8698</v>
      </c>
      <c r="T328" s="48" t="s">
        <v>8699</v>
      </c>
      <c r="U328" s="48" t="s">
        <v>8700</v>
      </c>
      <c r="V328" s="48" t="s">
        <v>8701</v>
      </c>
      <c r="W328" s="48" t="s">
        <v>8702</v>
      </c>
      <c r="X328" s="48" t="s">
        <v>8703</v>
      </c>
      <c r="Y328" s="48" t="s">
        <v>8704</v>
      </c>
      <c r="Z328" s="52" t="s">
        <v>8705</v>
      </c>
      <c r="AA328" s="48" t="s">
        <v>8706</v>
      </c>
      <c r="AB328" s="48" t="s">
        <v>8707</v>
      </c>
      <c r="AC328" s="53" t="s">
        <v>8708</v>
      </c>
    </row>
    <row r="329">
      <c r="A329" s="47" t="s">
        <v>8710</v>
      </c>
      <c r="B329" s="48" t="s">
        <v>8711</v>
      </c>
      <c r="C329" s="48" t="s">
        <v>8738</v>
      </c>
      <c r="D329" s="49" t="s">
        <v>8712</v>
      </c>
      <c r="E329" s="48" t="s">
        <v>8713</v>
      </c>
      <c r="F329" s="48" t="s">
        <v>8714</v>
      </c>
      <c r="G329" s="48" t="s">
        <v>8715</v>
      </c>
      <c r="H329" s="48" t="s">
        <v>8716</v>
      </c>
      <c r="I329" s="48" t="s">
        <v>8717</v>
      </c>
      <c r="J329" s="48" t="s">
        <v>8718</v>
      </c>
      <c r="K329" s="48" t="s">
        <v>8719</v>
      </c>
      <c r="L329" s="48" t="s">
        <v>8720</v>
      </c>
      <c r="M329" s="48" t="s">
        <v>8721</v>
      </c>
      <c r="N329" s="48" t="s">
        <v>8722</v>
      </c>
      <c r="O329" s="48" t="s">
        <v>8723</v>
      </c>
      <c r="P329" s="50" t="s">
        <v>8724</v>
      </c>
      <c r="Q329" s="48" t="s">
        <v>8725</v>
      </c>
      <c r="R329" s="48" t="s">
        <v>8726</v>
      </c>
      <c r="S329" s="51" t="s">
        <v>8727</v>
      </c>
      <c r="T329" s="48" t="s">
        <v>8728</v>
      </c>
      <c r="U329" s="48" t="s">
        <v>8729</v>
      </c>
      <c r="V329" s="48" t="s">
        <v>8730</v>
      </c>
      <c r="W329" s="48" t="s">
        <v>8731</v>
      </c>
      <c r="X329" s="48" t="s">
        <v>8732</v>
      </c>
      <c r="Y329" s="48" t="s">
        <v>8733</v>
      </c>
      <c r="Z329" s="52" t="s">
        <v>8734</v>
      </c>
      <c r="AA329" s="48" t="s">
        <v>8735</v>
      </c>
      <c r="AB329" s="48" t="s">
        <v>8736</v>
      </c>
      <c r="AC329" s="53" t="s">
        <v>8737</v>
      </c>
    </row>
    <row r="330">
      <c r="A330" s="47" t="s">
        <v>8739</v>
      </c>
      <c r="B330" s="48" t="s">
        <v>8740</v>
      </c>
      <c r="C330" s="48" t="s">
        <v>8766</v>
      </c>
      <c r="D330" s="49" t="s">
        <v>8741</v>
      </c>
      <c r="E330" s="48" t="s">
        <v>8742</v>
      </c>
      <c r="F330" s="48" t="s">
        <v>8743</v>
      </c>
      <c r="G330" s="48" t="s">
        <v>8744</v>
      </c>
      <c r="H330" s="48" t="s">
        <v>8745</v>
      </c>
      <c r="I330" s="48" t="s">
        <v>8746</v>
      </c>
      <c r="J330" s="48" t="s">
        <v>8747</v>
      </c>
      <c r="K330" s="48" t="s">
        <v>8748</v>
      </c>
      <c r="L330" s="54" t="s">
        <v>8749</v>
      </c>
      <c r="M330" s="48" t="s">
        <v>8750</v>
      </c>
      <c r="N330" s="48" t="s">
        <v>8751</v>
      </c>
      <c r="O330" s="53" t="s">
        <v>8752</v>
      </c>
      <c r="P330" s="50" t="s">
        <v>8753</v>
      </c>
      <c r="Q330" s="55" t="s">
        <v>8754</v>
      </c>
      <c r="R330" s="56" t="s">
        <v>8755</v>
      </c>
      <c r="S330" s="51" t="s">
        <v>8756</v>
      </c>
      <c r="T330" s="48" t="s">
        <v>8757</v>
      </c>
      <c r="U330" s="48" t="s">
        <v>8758</v>
      </c>
      <c r="V330" s="48" t="s">
        <v>8759</v>
      </c>
      <c r="W330" s="48" t="s">
        <v>8760</v>
      </c>
      <c r="X330" s="48" t="s">
        <v>8745</v>
      </c>
      <c r="Y330" s="48" t="s">
        <v>8761</v>
      </c>
      <c r="Z330" s="52" t="s">
        <v>8762</v>
      </c>
      <c r="AA330" s="48" t="s">
        <v>8763</v>
      </c>
      <c r="AB330" s="48" t="s">
        <v>8764</v>
      </c>
      <c r="AC330" s="53" t="s">
        <v>8765</v>
      </c>
    </row>
    <row r="331">
      <c r="A331" s="47" t="s">
        <v>8767</v>
      </c>
      <c r="B331" s="48" t="s">
        <v>8768</v>
      </c>
      <c r="C331" s="48" t="s">
        <v>8794</v>
      </c>
      <c r="D331" s="49" t="s">
        <v>8769</v>
      </c>
      <c r="E331" s="48" t="s">
        <v>8770</v>
      </c>
      <c r="F331" s="48" t="s">
        <v>8771</v>
      </c>
      <c r="G331" s="48" t="s">
        <v>8772</v>
      </c>
      <c r="H331" s="48" t="s">
        <v>8773</v>
      </c>
      <c r="I331" s="48" t="s">
        <v>8774</v>
      </c>
      <c r="J331" s="48" t="s">
        <v>8775</v>
      </c>
      <c r="K331" s="48" t="s">
        <v>8776</v>
      </c>
      <c r="L331" s="54" t="s">
        <v>8777</v>
      </c>
      <c r="M331" s="48" t="s">
        <v>8778</v>
      </c>
      <c r="N331" s="48" t="s">
        <v>8779</v>
      </c>
      <c r="O331" s="53" t="s">
        <v>8780</v>
      </c>
      <c r="P331" s="50" t="s">
        <v>8781</v>
      </c>
      <c r="Q331" s="55" t="s">
        <v>8782</v>
      </c>
      <c r="R331" s="56" t="s">
        <v>8783</v>
      </c>
      <c r="S331" s="51" t="s">
        <v>8784</v>
      </c>
      <c r="T331" s="48" t="s">
        <v>8785</v>
      </c>
      <c r="U331" s="48" t="s">
        <v>8778</v>
      </c>
      <c r="V331" s="48" t="s">
        <v>8786</v>
      </c>
      <c r="W331" s="48" t="s">
        <v>8787</v>
      </c>
      <c r="X331" s="48" t="s">
        <v>8788</v>
      </c>
      <c r="Y331" s="48" t="s">
        <v>8789</v>
      </c>
      <c r="Z331" s="52" t="s">
        <v>8790</v>
      </c>
      <c r="AA331" s="48" t="s">
        <v>8791</v>
      </c>
      <c r="AB331" s="48" t="s">
        <v>8792</v>
      </c>
      <c r="AC331" s="53" t="s">
        <v>8793</v>
      </c>
    </row>
    <row r="332">
      <c r="A332" s="47" t="s">
        <v>8795</v>
      </c>
      <c r="B332" s="48" t="s">
        <v>8796</v>
      </c>
      <c r="C332" s="48" t="s">
        <v>8822</v>
      </c>
      <c r="D332" s="49" t="s">
        <v>8797</v>
      </c>
      <c r="E332" s="48" t="s">
        <v>8798</v>
      </c>
      <c r="F332" s="48" t="s">
        <v>8799</v>
      </c>
      <c r="G332" s="48" t="s">
        <v>8800</v>
      </c>
      <c r="H332" s="48" t="s">
        <v>8801</v>
      </c>
      <c r="I332" s="48" t="s">
        <v>8802</v>
      </c>
      <c r="J332" s="48" t="s">
        <v>8803</v>
      </c>
      <c r="K332" s="48" t="s">
        <v>8804</v>
      </c>
      <c r="L332" s="54" t="s">
        <v>8805</v>
      </c>
      <c r="M332" s="48" t="s">
        <v>8806</v>
      </c>
      <c r="N332" s="48" t="s">
        <v>8807</v>
      </c>
      <c r="O332" s="53" t="s">
        <v>8808</v>
      </c>
      <c r="P332" s="50" t="s">
        <v>8809</v>
      </c>
      <c r="Q332" s="55" t="s">
        <v>8810</v>
      </c>
      <c r="R332" s="56" t="s">
        <v>8811</v>
      </c>
      <c r="S332" s="51" t="s">
        <v>8812</v>
      </c>
      <c r="T332" s="48" t="s">
        <v>8813</v>
      </c>
      <c r="U332" s="48" t="s">
        <v>8814</v>
      </c>
      <c r="V332" s="48" t="s">
        <v>8815</v>
      </c>
      <c r="W332" s="48" t="s">
        <v>8816</v>
      </c>
      <c r="X332" s="48" t="s">
        <v>8801</v>
      </c>
      <c r="Y332" s="48" t="s">
        <v>8817</v>
      </c>
      <c r="Z332" s="52" t="s">
        <v>8818</v>
      </c>
      <c r="AA332" s="48" t="s">
        <v>8819</v>
      </c>
      <c r="AB332" s="48" t="s">
        <v>8820</v>
      </c>
      <c r="AC332" s="53" t="s">
        <v>8821</v>
      </c>
    </row>
    <row r="333">
      <c r="A333" s="47" t="s">
        <v>8823</v>
      </c>
      <c r="B333" s="48" t="s">
        <v>8824</v>
      </c>
      <c r="C333" s="48" t="s">
        <v>8851</v>
      </c>
      <c r="D333" s="49" t="s">
        <v>8825</v>
      </c>
      <c r="E333" s="48" t="s">
        <v>8826</v>
      </c>
      <c r="F333" s="48" t="s">
        <v>8827</v>
      </c>
      <c r="G333" s="48" t="s">
        <v>8828</v>
      </c>
      <c r="H333" s="48" t="s">
        <v>8829</v>
      </c>
      <c r="I333" s="48" t="s">
        <v>8830</v>
      </c>
      <c r="J333" s="48" t="s">
        <v>8831</v>
      </c>
      <c r="K333" s="48" t="s">
        <v>8832</v>
      </c>
      <c r="L333" s="54" t="s">
        <v>8833</v>
      </c>
      <c r="M333" s="48" t="s">
        <v>8834</v>
      </c>
      <c r="N333" s="48" t="s">
        <v>8835</v>
      </c>
      <c r="O333" s="53" t="s">
        <v>8836</v>
      </c>
      <c r="P333" s="50" t="s">
        <v>8837</v>
      </c>
      <c r="Q333" s="48" t="s">
        <v>8838</v>
      </c>
      <c r="R333" s="56" t="s">
        <v>8839</v>
      </c>
      <c r="S333" s="51" t="s">
        <v>8840</v>
      </c>
      <c r="T333" s="48" t="s">
        <v>8841</v>
      </c>
      <c r="U333" s="48" t="s">
        <v>8842</v>
      </c>
      <c r="V333" s="48" t="s">
        <v>8843</v>
      </c>
      <c r="W333" s="48" t="s">
        <v>8844</v>
      </c>
      <c r="X333" s="48" t="s">
        <v>8845</v>
      </c>
      <c r="Y333" s="48" t="s">
        <v>8846</v>
      </c>
      <c r="Z333" s="52" t="s">
        <v>8847</v>
      </c>
      <c r="AA333" s="48" t="s">
        <v>8848</v>
      </c>
      <c r="AB333" s="48" t="s">
        <v>8849</v>
      </c>
      <c r="AC333" s="53" t="s">
        <v>8850</v>
      </c>
    </row>
  </sheetData>
  <drawing r:id="rId1"/>
</worksheet>
</file>