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HMCalc" sheetId="1" r:id="rId4"/>
    <sheet state="visible" name="TIMECalc" sheetId="2" r:id="rId5"/>
    <sheet state="visible" name="KLIMACalc" sheetId="3" r:id="rId6"/>
    <sheet state="visible" name="GYROCalc" sheetId="4" r:id="rId7"/>
    <sheet state="visible" name="Totals" sheetId="5" r:id="rId8"/>
    <sheet state="visible" name="ContactDonate" sheetId="6" r:id="rId9"/>
  </sheets>
  <definedNames/>
  <calcPr/>
</workbook>
</file>

<file path=xl/sharedStrings.xml><?xml version="1.0" encoding="utf-8"?>
<sst xmlns="http://schemas.openxmlformats.org/spreadsheetml/2006/main" count="239" uniqueCount="120">
  <si>
    <r>
      <rPr>
        <rFont val="Arial"/>
        <b/>
        <color theme="1"/>
        <sz val="24.0"/>
      </rPr>
      <t xml:space="preserve">Note: </t>
    </r>
    <r>
      <rPr>
        <rFont val="Arial"/>
        <color theme="1"/>
        <sz val="24.0"/>
      </rPr>
      <t>this is "View-Only;" you have to make a copy in order to edit</t>
    </r>
  </si>
  <si>
    <t>Ω OlympusDao Calculator Ω</t>
  </si>
  <si>
    <t>Constants</t>
  </si>
  <si>
    <t>BLUE = INPUTS (EDIT THESE)</t>
  </si>
  <si>
    <t>GREEN = OUTPUTS (AUTOMATICALLY GENERATED)</t>
  </si>
  <si>
    <t>Rebase Constant</t>
  </si>
  <si>
    <t>Target-USD Staked</t>
  </si>
  <si>
    <t>USD Staked</t>
  </si>
  <si>
    <t>BASIC INPUTS</t>
  </si>
  <si>
    <t>WEEKS, MONTHS, YEARS CALCULATOR</t>
  </si>
  <si>
    <t>OHM Staked</t>
  </si>
  <si>
    <t>OHM Live Price</t>
  </si>
  <si>
    <t>OHM Manual Price</t>
  </si>
  <si>
    <t>Rebase Rate</t>
  </si>
  <si>
    <t>Date</t>
  </si>
  <si>
    <t>ROI</t>
  </si>
  <si>
    <t>Total</t>
  </si>
  <si>
    <t>ROI Place Holders</t>
  </si>
  <si>
    <t>Effective Price</t>
  </si>
  <si>
    <t>gOHM Held</t>
  </si>
  <si>
    <t>gOHM Live Price</t>
  </si>
  <si>
    <t>gOHM Manual Price</t>
  </si>
  <si>
    <t>Current Worth</t>
  </si>
  <si>
    <t>Week(s)</t>
  </si>
  <si>
    <t xml:space="preserve">Month(s) </t>
  </si>
  <si>
    <t>Use gOHM?</t>
  </si>
  <si>
    <t>Live Prices</t>
  </si>
  <si>
    <t>Year(s)</t>
  </si>
  <si>
    <t>https://www.coingecko.com/en/coins/olympus</t>
  </si>
  <si>
    <t>//*[contains(concat( " ", @class, " " ), concat( " ", "tw-text-3xl", " " ))]//*[contains(concat( " ", @class, " " ), concat( " ", "no-wrap", " " ))]</t>
  </si>
  <si>
    <t>Daily ROI</t>
  </si>
  <si>
    <t>Weekly ROI</t>
  </si>
  <si>
    <t>Monthly ROI</t>
  </si>
  <si>
    <t>Yearly ROI</t>
  </si>
  <si>
    <t>DATE TARGETER</t>
  </si>
  <si>
    <t>Earnings (USD)</t>
  </si>
  <si>
    <t>Total (USD)</t>
  </si>
  <si>
    <t>https://www.coingecko.com/en/coins/governance-ohm</t>
  </si>
  <si>
    <t>GOAL TARGETER</t>
  </si>
  <si>
    <t>Date Target</t>
  </si>
  <si>
    <t>USD Target</t>
  </si>
  <si>
    <t>Days Til</t>
  </si>
  <si>
    <t>INCOME TARGETER</t>
  </si>
  <si>
    <t>Required Initial</t>
  </si>
  <si>
    <t>Weekly Desired Income</t>
  </si>
  <si>
    <r>
      <rPr>
        <rFont val="Arial"/>
        <b/>
        <color theme="1"/>
        <sz val="24.0"/>
      </rPr>
      <t xml:space="preserve">Note: </t>
    </r>
    <r>
      <rPr>
        <rFont val="Arial"/>
        <color theme="1"/>
        <sz val="24.0"/>
      </rPr>
      <t xml:space="preserve">this is "View-Only;" you have to make a copy in order to edit
</t>
    </r>
  </si>
  <si>
    <r>
      <rPr>
        <rFont val="Arial"/>
        <b/>
        <color theme="1"/>
        <sz val="24.0"/>
      </rPr>
      <t xml:space="preserve">Note: </t>
    </r>
    <r>
      <rPr>
        <rFont val="Arial"/>
        <color theme="1"/>
        <sz val="24.0"/>
      </rPr>
      <t>this is "View-Only;" you have to make a copy in order to edit</t>
    </r>
  </si>
  <si>
    <t>🎩 Wonderland Calculator 🎩</t>
  </si>
  <si>
    <t>Blue = Inputs (Edit These)</t>
  </si>
  <si>
    <t>Green = Outputs (Generated Automatically)</t>
  </si>
  <si>
    <t>TIME Staked</t>
  </si>
  <si>
    <t>TIME Live Price</t>
  </si>
  <si>
    <t>TIME Manual Price</t>
  </si>
  <si>
    <t>TIME</t>
  </si>
  <si>
    <t>USD</t>
  </si>
  <si>
    <t>USE LIVE PRICES?</t>
  </si>
  <si>
    <t>BASIC OUTPUTS</t>
  </si>
  <si>
    <t>https://www.coingecko.com/en/coins/wonderland</t>
  </si>
  <si>
    <t>Earnings (TIME)</t>
  </si>
  <si>
    <t>Total (TIME)</t>
  </si>
  <si>
    <t>TIME Target</t>
  </si>
  <si>
    <t>Required TIME</t>
  </si>
  <si>
    <t>Days until TIME</t>
  </si>
  <si>
    <r>
      <rPr>
        <rFont val="Arial"/>
        <b/>
        <color theme="1"/>
        <sz val="24.0"/>
      </rPr>
      <t xml:space="preserve">Note: </t>
    </r>
    <r>
      <rPr>
        <rFont val="Arial"/>
        <color theme="1"/>
        <sz val="24.0"/>
      </rPr>
      <t xml:space="preserve">this is "View-Only;" you have to make a copy in order to edit
</t>
    </r>
  </si>
  <si>
    <t>wMEMO Calc</t>
  </si>
  <si>
    <t>Price Converter</t>
  </si>
  <si>
    <t>Amount Converter</t>
  </si>
  <si>
    <t>FORMULAS</t>
  </si>
  <si>
    <t>INDEX</t>
  </si>
  <si>
    <t>MEMO</t>
  </si>
  <si>
    <t>wMEMO</t>
  </si>
  <si>
    <t>wMEMO Price = 4.5 * INDEX * MEMO Price</t>
  </si>
  <si>
    <t>wMEMO Amt = MEMO Amt / Index / 4.5</t>
  </si>
  <si>
    <t>MEMO Price = wMEMO Price / 4.5 / INDEX</t>
  </si>
  <si>
    <t>MEMO Amt = wMEMO Amt * Index * 4.5</t>
  </si>
  <si>
    <r>
      <rPr>
        <rFont val="Arial"/>
        <b/>
        <color theme="1"/>
        <sz val="24.0"/>
      </rPr>
      <t xml:space="preserve">Note: </t>
    </r>
    <r>
      <rPr>
        <rFont val="Arial"/>
        <color theme="1"/>
        <sz val="24.0"/>
      </rPr>
      <t>this is "View-Only;" you have to make a copy in order to edit</t>
    </r>
  </si>
  <si>
    <t>🌳 KLIMADao Calculator 🌳</t>
  </si>
  <si>
    <t>KLIMA Staked</t>
  </si>
  <si>
    <t>KLIMA Live Price</t>
  </si>
  <si>
    <t>KLIMA Manual Price</t>
  </si>
  <si>
    <t>KLIMA</t>
  </si>
  <si>
    <t>https://www.coingecko.com/en/coins/klima-dao</t>
  </si>
  <si>
    <t>Earnings (KLIMA)</t>
  </si>
  <si>
    <t>Total (KLIMA)</t>
  </si>
  <si>
    <t>KLIMA Target</t>
  </si>
  <si>
    <t>Required KLIMA</t>
  </si>
  <si>
    <t>Days until KLIMA</t>
  </si>
  <si>
    <r>
      <rPr>
        <rFont val="Arial"/>
        <b/>
        <color theme="1"/>
        <sz val="24.0"/>
      </rPr>
      <t xml:space="preserve">Note: </t>
    </r>
    <r>
      <rPr>
        <rFont val="Arial"/>
        <color theme="1"/>
        <sz val="24.0"/>
      </rPr>
      <t xml:space="preserve">this is "View-Only;" you have to make a copy in order to edit
</t>
    </r>
  </si>
  <si>
    <r>
      <rPr>
        <rFont val="Arial"/>
        <b/>
        <color theme="1"/>
        <sz val="24.0"/>
      </rPr>
      <t xml:space="preserve">Note: </t>
    </r>
    <r>
      <rPr>
        <rFont val="Arial"/>
        <color theme="1"/>
        <sz val="24.0"/>
      </rPr>
      <t>this is "View-Only;" you have to make a copy in order to edit</t>
    </r>
  </si>
  <si>
    <t>⌀ GYRO Calculator ⌀</t>
  </si>
  <si>
    <t>GYRO Staked</t>
  </si>
  <si>
    <t>GYRO Live Price</t>
  </si>
  <si>
    <t>GYRO Manual Price</t>
  </si>
  <si>
    <t>GYRO</t>
  </si>
  <si>
    <t>https://www.coingecko.com/en/coins/gyro</t>
  </si>
  <si>
    <t>Earnings (GYRO)</t>
  </si>
  <si>
    <t>Total (GYRO)</t>
  </si>
  <si>
    <t>GYRO Target</t>
  </si>
  <si>
    <t>Required GYRO</t>
  </si>
  <si>
    <t>Days until GYRO</t>
  </si>
  <si>
    <r>
      <rPr>
        <rFont val="Arial"/>
        <b/>
        <color theme="1"/>
        <sz val="24.0"/>
      </rPr>
      <t xml:space="preserve">Note: </t>
    </r>
    <r>
      <rPr>
        <rFont val="Arial"/>
        <color theme="1"/>
        <sz val="24.0"/>
      </rPr>
      <t xml:space="preserve">this is "View-Only;" you have to make a copy in order to edit
</t>
    </r>
  </si>
  <si>
    <t>reBASE CAMP</t>
  </si>
  <si>
    <t>Ω OHM Ω</t>
  </si>
  <si>
    <t>🎩 TIME 🎩</t>
  </si>
  <si>
    <t>🌳 KLIMA  🌳</t>
  </si>
  <si>
    <t>⌀ GYRO ⌀</t>
  </si>
  <si>
    <t>Totals</t>
  </si>
  <si>
    <t>Amount</t>
  </si>
  <si>
    <t>Daily</t>
  </si>
  <si>
    <t>Weekly</t>
  </si>
  <si>
    <t>Monthly</t>
  </si>
  <si>
    <t>Yearly</t>
  </si>
  <si>
    <t>CONTACT</t>
  </si>
  <si>
    <t>TWITTER: @PHTEVENSTRONG</t>
  </si>
  <si>
    <t>TELEGRAM: @STEPHENSTRONG</t>
  </si>
  <si>
    <t>DONATE</t>
  </si>
  <si>
    <t>Metamask</t>
  </si>
  <si>
    <t>0xD360EcB91406717Ad13C4fae757b69B417E2Af6b</t>
  </si>
  <si>
    <t>Paypal</t>
  </si>
  <si>
    <t>williamhenkel@gmail.com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</si>
</sst>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#,##0.00[$ $]"/>
    <numFmt numFmtId="166" formatCode="M/d/yyyy"/>
  </numFmts>
  <fonts count="39">
    <font>
      <sz val="10.0"/>
      <color rgb="FF000000"/>
      <name val="Arial"/>
      <scheme val="minor"/>
    </font>
    <font>
      <sz val="24.0"/>
      <color theme="1"/>
      <name val="Arial"/>
      <scheme val="minor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b/>
      <sz val="12.0"/>
      <color theme="1"/>
      <name val="Montserrat"/>
    </font>
    <font>
      <b/>
      <sz val="12.0"/>
      <color rgb="FF000000"/>
      <name val="Montserrat"/>
    </font>
    <font>
      <b/>
      <sz val="12.0"/>
      <color rgb="FF000000"/>
      <name val="Arial"/>
      <scheme val="minor"/>
    </font>
    <font>
      <b/>
      <color theme="1"/>
      <name val="Montserrat"/>
    </font>
    <font>
      <b/>
      <sz val="11.0"/>
      <color theme="1"/>
      <name val="Nunito"/>
    </font>
    <font>
      <sz val="10.0"/>
      <color theme="1"/>
      <name val="Arial"/>
      <scheme val="minor"/>
    </font>
    <font>
      <color theme="1"/>
      <name val="Montserrat"/>
    </font>
    <font>
      <b/>
      <sz val="11.0"/>
      <color rgb="FF20124D"/>
      <name val="Nunito"/>
    </font>
    <font>
      <u/>
      <color rgb="FF1155CC"/>
      <name val="Arial"/>
    </font>
    <font>
      <color theme="1"/>
      <name val="Arial"/>
    </font>
    <font>
      <u/>
      <color rgb="FF1155CC"/>
      <name val="Arial"/>
    </font>
    <font>
      <sz val="11.0"/>
      <color rgb="FF000000"/>
      <name val="Inconsolata"/>
    </font>
    <font>
      <sz val="11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Comfortaa"/>
    </font>
    <font>
      <color rgb="FF20124D"/>
      <name val="Arial"/>
      <scheme val="minor"/>
    </font>
    <font>
      <u/>
      <color rgb="FF1155CC"/>
      <name val="Arial"/>
    </font>
    <font>
      <b/>
      <sz val="24.0"/>
      <color theme="1"/>
      <name val="Montserrat"/>
    </font>
    <font>
      <sz val="12.0"/>
      <color theme="1"/>
      <name val="Nunito"/>
    </font>
    <font>
      <b/>
      <color theme="1"/>
      <name val="Nunito"/>
    </font>
    <font>
      <color theme="1"/>
      <name val="Nunito"/>
    </font>
    <font>
      <u/>
      <color rgb="FF1155CC"/>
      <name val="Arial"/>
    </font>
    <font>
      <sz val="18.0"/>
      <color theme="1"/>
      <name val="Nunito"/>
    </font>
    <font>
      <b/>
      <sz val="18.0"/>
      <color theme="1"/>
      <name val="Nunito"/>
    </font>
    <font>
      <b/>
      <sz val="18.0"/>
      <color rgb="FF202124"/>
      <name val="Nunito"/>
    </font>
    <font>
      <sz val="18.0"/>
      <color rgb="FF000000"/>
      <name val="Nunito"/>
    </font>
    <font>
      <color theme="1"/>
      <name val="Comfortaa"/>
    </font>
    <font>
      <b/>
      <sz val="18.0"/>
      <color theme="1"/>
      <name val="Montserrat"/>
    </font>
    <font>
      <b/>
      <sz val="12.0"/>
      <color rgb="FFFFFFFF"/>
      <name val="Montserrat"/>
    </font>
    <font>
      <b/>
      <sz val="11.0"/>
      <color rgb="FF85200C"/>
      <name val="Comfortaa"/>
    </font>
    <font>
      <sz val="12.0"/>
      <color rgb="FF4D4D4D"/>
      <name val="Comfortaa"/>
    </font>
    <font>
      <b/>
      <sz val="11.0"/>
      <color rgb="FFFFFFFF"/>
      <name val="Comfortaa"/>
    </font>
    <font>
      <u/>
      <sz val="12.0"/>
      <color rgb="FFFFFFFF"/>
      <name val="Comfortaa"/>
    </font>
  </fonts>
  <fills count="2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11A9CC"/>
        <bgColor rgb="FF11A9CC"/>
      </patternFill>
    </fill>
    <fill>
      <patternFill patternType="solid">
        <fgColor rgb="FF0088CC"/>
        <bgColor rgb="FF0088CC"/>
      </patternFill>
    </fill>
    <fill>
      <patternFill patternType="solid">
        <fgColor rgb="FFFCE5CD"/>
        <bgColor rgb="FFFCE5CD"/>
      </patternFill>
    </fill>
    <fill>
      <patternFill patternType="solid">
        <fgColor rgb="FF00457C"/>
        <bgColor rgb="FF00457C"/>
      </patternFill>
    </fill>
    <fill>
      <patternFill patternType="solid">
        <fgColor rgb="FF0079C1"/>
        <bgColor rgb="FF0079C1"/>
      </patternFill>
    </fill>
  </fills>
  <borders count="70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double">
        <color rgb="FF000000"/>
      </left>
    </border>
    <border>
      <right style="double">
        <color rgb="FF000000"/>
      </right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dotted">
        <color rgb="FF000000"/>
      </left>
      <right style="medium">
        <color rgb="FF000000"/>
      </right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</border>
    <border>
      <right style="dotted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tted">
        <color rgb="FF000000"/>
      </lef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dotted">
        <color rgb="FF000000"/>
      </left>
      <bottom style="medium">
        <color rgb="FF000000"/>
      </bottom>
    </border>
    <border>
      <left style="dotted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dotted">
        <color rgb="FF000000"/>
      </bottom>
    </border>
    <border>
      <left style="medium">
        <color rgb="FF000000"/>
      </left>
    </border>
    <border>
      <left style="thick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uble">
        <color rgb="FF000000"/>
      </left>
      <right style="dotted">
        <color rgb="FF000000"/>
      </right>
      <top style="double">
        <color rgb="FF000000"/>
      </top>
    </border>
    <border>
      <top style="double">
        <color rgb="FF000000"/>
      </top>
      <bottom style="dotted">
        <color rgb="FF000000"/>
      </bottom>
    </border>
    <border>
      <right style="dotted">
        <color rgb="FF000000"/>
      </right>
      <top style="double">
        <color rgb="FF000000"/>
      </top>
      <bottom style="dotted">
        <color rgb="FF000000"/>
      </bottom>
    </border>
    <border>
      <left style="double">
        <color rgb="FF000000"/>
      </left>
      <right style="dotted">
        <color rgb="FF000000"/>
      </right>
    </border>
    <border>
      <top style="thin">
        <color rgb="FF000000"/>
      </top>
    </border>
    <border>
      <right style="dotted">
        <color rgb="FF000000"/>
      </right>
      <top style="thin">
        <color rgb="FF000000"/>
      </top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uble">
        <color rgb="FF000000"/>
      </left>
      <right style="dotted">
        <color rgb="FF000000"/>
      </right>
      <bottom style="double">
        <color rgb="FF000000"/>
      </bottom>
    </border>
    <border>
      <right style="dotted">
        <color rgb="FF000000"/>
      </right>
      <bottom style="double">
        <color rgb="FF000000"/>
      </bottom>
    </border>
    <border>
      <left style="hair">
        <color rgb="FF000000"/>
      </left>
      <right style="thick">
        <color rgb="FF000000"/>
      </right>
    </border>
    <border>
      <left style="thick">
        <color rgb="FF000000"/>
      </left>
      <top style="double">
        <color rgb="FF000000"/>
      </top>
      <bottom style="double">
        <color rgb="FF000000"/>
      </bottom>
    </border>
    <border>
      <left style="thick">
        <color rgb="FF000000"/>
      </left>
      <bottom style="dotted">
        <color rgb="FF000000"/>
      </bottom>
    </border>
    <border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top style="dotted">
        <color rgb="FF000000"/>
      </top>
      <bottom style="thick">
        <color rgb="FF000000"/>
      </bottom>
    </border>
    <border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top style="double">
        <color rgb="FF000000"/>
      </top>
    </border>
    <border>
      <right style="thick">
        <color rgb="FF000000"/>
      </right>
      <top style="double">
        <color rgb="FF000000"/>
      </top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horizontal="center" readingOrder="0" vertical="center"/>
    </xf>
    <xf borderId="0" fillId="3" fontId="3" numFmtId="0" xfId="0" applyFont="1"/>
    <xf borderId="0" fillId="0" fontId="3" numFmtId="9" xfId="0" applyAlignment="1" applyFont="1" applyNumberFormat="1">
      <alignment readingOrder="0"/>
    </xf>
    <xf borderId="4" fillId="4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0" fillId="3" fontId="5" numFmtId="0" xfId="0" applyAlignment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0" fillId="0" fontId="3" numFmtId="10" xfId="0" applyAlignment="1" applyFont="1" applyNumberFormat="1">
      <alignment readingOrder="0"/>
    </xf>
    <xf borderId="13" fillId="5" fontId="6" numFmtId="0" xfId="0" applyAlignment="1" applyBorder="1" applyFill="1" applyFont="1">
      <alignment horizontal="center" readingOrder="0" vertical="center"/>
    </xf>
    <xf borderId="0" fillId="6" fontId="7" numFmtId="0" xfId="0" applyAlignment="1" applyFill="1" applyFont="1">
      <alignment horizontal="center" readingOrder="0" vertical="center"/>
    </xf>
    <xf borderId="14" fillId="0" fontId="2" numFmtId="0" xfId="0" applyBorder="1" applyFont="1"/>
    <xf borderId="0" fillId="3" fontId="8" numFmtId="0" xfId="0" applyAlignment="1" applyFont="1">
      <alignment horizontal="center" readingOrder="0" vertical="center"/>
    </xf>
    <xf borderId="1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6" fillId="0" fontId="3" numFmtId="0" xfId="0" applyAlignment="1" applyBorder="1" applyFont="1">
      <alignment readingOrder="0"/>
    </xf>
    <xf borderId="17" fillId="7" fontId="9" numFmtId="0" xfId="0" applyAlignment="1" applyBorder="1" applyFill="1" applyFon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18" fillId="7" fontId="9" numFmtId="0" xfId="0" applyAlignment="1" applyBorder="1" applyFont="1">
      <alignment horizontal="center" readingOrder="0"/>
    </xf>
    <xf borderId="20" fillId="0" fontId="2" numFmtId="0" xfId="0" applyBorder="1" applyFont="1"/>
    <xf borderId="0" fillId="3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15" fillId="0" fontId="3" numFmtId="10" xfId="0" applyBorder="1" applyFont="1" applyNumberFormat="1"/>
    <xf borderId="0" fillId="0" fontId="3" numFmtId="164" xfId="0" applyFont="1" applyNumberFormat="1"/>
    <xf borderId="16" fillId="0" fontId="3" numFmtId="164" xfId="0" applyBorder="1" applyFont="1" applyNumberFormat="1"/>
    <xf borderId="13" fillId="8" fontId="10" numFmtId="0" xfId="0" applyAlignment="1" applyBorder="1" applyFill="1" applyFont="1">
      <alignment readingOrder="0"/>
    </xf>
    <xf borderId="0" fillId="9" fontId="10" numFmtId="0" xfId="0" applyAlignment="1" applyFill="1" applyFont="1">
      <alignment readingOrder="0"/>
    </xf>
    <xf borderId="0" fillId="8" fontId="10" numFmtId="0" xfId="0" applyAlignment="1" applyFont="1">
      <alignment readingOrder="0"/>
    </xf>
    <xf borderId="21" fillId="8" fontId="10" numFmtId="0" xfId="0" applyAlignment="1" applyBorder="1" applyFont="1">
      <alignment readingOrder="0"/>
    </xf>
    <xf borderId="22" fillId="10" fontId="3" numFmtId="0" xfId="0" applyAlignment="1" applyBorder="1" applyFill="1" applyFont="1">
      <alignment readingOrder="0"/>
    </xf>
    <xf borderId="23" fillId="0" fontId="2" numFmtId="0" xfId="0" applyBorder="1" applyFont="1"/>
    <xf borderId="0" fillId="11" fontId="10" numFmtId="0" xfId="0" applyAlignment="1" applyFill="1" applyFont="1">
      <alignment readingOrder="0"/>
    </xf>
    <xf borderId="24" fillId="6" fontId="10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16" fillId="0" fontId="3" numFmtId="0" xfId="0" applyBorder="1" applyFont="1"/>
    <xf borderId="13" fillId="0" fontId="3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21" fillId="0" fontId="3" numFmtId="10" xfId="0" applyAlignment="1" applyBorder="1" applyFont="1" applyNumberFormat="1">
      <alignment horizontal="center" readingOrder="0"/>
    </xf>
    <xf borderId="25" fillId="0" fontId="3" numFmtId="0" xfId="0" applyAlignment="1" applyBorder="1" applyFont="1">
      <alignment horizontal="center" readingOrder="0"/>
    </xf>
    <xf borderId="0" fillId="0" fontId="3" numFmtId="14" xfId="0" applyFont="1" applyNumberFormat="1"/>
    <xf borderId="0" fillId="0" fontId="3" numFmtId="10" xfId="0" applyAlignment="1" applyFont="1" applyNumberFormat="1">
      <alignment horizontal="center"/>
    </xf>
    <xf borderId="0" fillId="12" fontId="0" numFmtId="4" xfId="0" applyAlignment="1" applyFill="1" applyFont="1" applyNumberFormat="1">
      <alignment horizontal="center"/>
    </xf>
    <xf borderId="25" fillId="0" fontId="11" numFmtId="164" xfId="0" applyAlignment="1" applyBorder="1" applyFont="1" applyNumberFormat="1">
      <alignment horizontal="center"/>
    </xf>
    <xf borderId="14" fillId="0" fontId="11" numFmtId="164" xfId="0" applyAlignment="1" applyBorder="1" applyFont="1" applyNumberFormat="1">
      <alignment horizontal="center"/>
    </xf>
    <xf borderId="0" fillId="3" fontId="3" numFmtId="0" xfId="0" applyAlignment="1" applyFont="1">
      <alignment horizontal="center"/>
    </xf>
    <xf borderId="15" fillId="0" fontId="3" numFmtId="0" xfId="0" applyBorder="1" applyFont="1"/>
    <xf borderId="0" fillId="0" fontId="3" numFmtId="164" xfId="0" applyAlignment="1" applyFont="1" applyNumberFormat="1">
      <alignment readingOrder="0"/>
    </xf>
    <xf borderId="0" fillId="9" fontId="10" numFmtId="0" xfId="0" applyAlignment="1" applyFont="1">
      <alignment horizontal="center" readingOrder="0"/>
    </xf>
    <xf borderId="21" fillId="11" fontId="10" numFmtId="0" xfId="0" applyAlignment="1" applyBorder="1" applyFont="1">
      <alignment readingOrder="0"/>
    </xf>
    <xf borderId="25" fillId="0" fontId="11" numFmtId="0" xfId="0" applyAlignment="1" applyBorder="1" applyFont="1">
      <alignment horizontal="center" readingOrder="0"/>
    </xf>
    <xf borderId="0" fillId="12" fontId="11" numFmtId="14" xfId="0" applyAlignment="1" applyFont="1" applyNumberFormat="1">
      <alignment readingOrder="0"/>
    </xf>
    <xf borderId="0" fillId="0" fontId="11" numFmtId="10" xfId="0" applyAlignment="1" applyFont="1" applyNumberFormat="1">
      <alignment horizontal="center"/>
    </xf>
    <xf borderId="24" fillId="0" fontId="3" numFmtId="164" xfId="0" applyAlignment="1" applyBorder="1" applyFont="1" applyNumberFormat="1">
      <alignment horizontal="center"/>
    </xf>
    <xf borderId="15" fillId="12" fontId="0" numFmtId="10" xfId="0" applyAlignment="1" applyBorder="1" applyFont="1" applyNumberFormat="1">
      <alignment horizontal="center"/>
    </xf>
    <xf borderId="0" fillId="12" fontId="0" numFmtId="10" xfId="0" applyAlignment="1" applyFont="1" applyNumberFormat="1">
      <alignment horizontal="center"/>
    </xf>
    <xf borderId="0" fillId="3" fontId="12" numFmtId="164" xfId="0" applyAlignment="1" applyFont="1" applyNumberFormat="1">
      <alignment horizontal="center" readingOrder="0"/>
    </xf>
    <xf borderId="0" fillId="3" fontId="12" numFmtId="164" xfId="0" applyAlignment="1" applyFont="1" applyNumberFormat="1">
      <alignment horizontal="center" readingOrder="0"/>
    </xf>
    <xf borderId="21" fillId="0" fontId="3" numFmtId="164" xfId="0" applyAlignment="1" applyBorder="1" applyFont="1" applyNumberFormat="1">
      <alignment horizontal="center"/>
    </xf>
    <xf borderId="0" fillId="0" fontId="11" numFmtId="14" xfId="0" applyFont="1" applyNumberFormat="1"/>
    <xf borderId="26" fillId="13" fontId="10" numFmtId="0" xfId="0" applyAlignment="1" applyBorder="1" applyFill="1" applyFont="1">
      <alignment readingOrder="0"/>
    </xf>
    <xf borderId="27" fillId="14" fontId="10" numFmtId="0" xfId="0" applyAlignment="1" applyBorder="1" applyFill="1" applyFont="1">
      <alignment readingOrder="0"/>
    </xf>
    <xf borderId="27" fillId="15" fontId="10" numFmtId="0" xfId="0" applyAlignment="1" applyBorder="1" applyFill="1" applyFont="1">
      <alignment horizontal="center" readingOrder="0"/>
    </xf>
    <xf borderId="28" fillId="16" fontId="13" numFmtId="0" xfId="0" applyAlignment="1" applyBorder="1" applyFill="1" applyFont="1">
      <alignment readingOrder="0"/>
    </xf>
    <xf borderId="15" fillId="0" fontId="14" numFmtId="0" xfId="0" applyAlignment="1" applyBorder="1" applyFont="1">
      <alignment readingOrder="0" vertical="bottom"/>
    </xf>
    <xf borderId="0" fillId="0" fontId="15" numFmtId="0" xfId="0" applyAlignment="1" applyFont="1">
      <alignment shrinkToFit="0" vertical="bottom" wrapText="0"/>
    </xf>
    <xf borderId="13" fillId="11" fontId="10" numFmtId="0" xfId="0" applyAlignment="1" applyBorder="1" applyFont="1">
      <alignment readingOrder="0"/>
    </xf>
    <xf borderId="29" fillId="11" fontId="10" numFmtId="0" xfId="0" applyAlignment="1" applyBorder="1" applyFont="1">
      <alignment readingOrder="0"/>
    </xf>
    <xf borderId="0" fillId="0" fontId="15" numFmtId="165" xfId="0" applyAlignment="1" applyFont="1" applyNumberFormat="1">
      <alignment horizontal="right" vertical="bottom"/>
    </xf>
    <xf borderId="30" fillId="0" fontId="3" numFmtId="10" xfId="0" applyAlignment="1" applyBorder="1" applyFont="1" applyNumberFormat="1">
      <alignment horizontal="center"/>
    </xf>
    <xf borderId="31" fillId="0" fontId="3" numFmtId="10" xfId="0" applyAlignment="1" applyBorder="1" applyFont="1" applyNumberFormat="1">
      <alignment horizontal="center"/>
    </xf>
    <xf borderId="32" fillId="0" fontId="3" numFmtId="10" xfId="0" applyAlignment="1" applyBorder="1" applyFont="1" applyNumberFormat="1">
      <alignment horizontal="center"/>
    </xf>
    <xf borderId="22" fillId="10" fontId="3" numFmtId="0" xfId="0" applyBorder="1" applyFont="1"/>
    <xf borderId="33" fillId="6" fontId="10" numFmtId="0" xfId="0" applyAlignment="1" applyBorder="1" applyFont="1">
      <alignment readingOrder="0"/>
    </xf>
    <xf borderId="14" fillId="6" fontId="10" numFmtId="0" xfId="0" applyAlignment="1" applyBorder="1" applyFont="1">
      <alignment readingOrder="0"/>
    </xf>
    <xf borderId="0" fillId="3" fontId="11" numFmtId="164" xfId="0" applyAlignment="1" applyFont="1" applyNumberFormat="1">
      <alignment horizontal="center"/>
    </xf>
    <xf borderId="34" fillId="0" fontId="16" numFmtId="0" xfId="0" applyAlignment="1" applyBorder="1" applyFont="1">
      <alignment readingOrder="0" shrinkToFit="0" wrapText="0"/>
    </xf>
    <xf borderId="35" fillId="12" fontId="17" numFmtId="164" xfId="0" applyBorder="1" applyFont="1" applyNumberFormat="1"/>
    <xf borderId="36" fillId="0" fontId="3" numFmtId="0" xfId="0" applyBorder="1" applyFont="1"/>
    <xf borderId="13" fillId="7" fontId="9" numFmtId="0" xfId="0" applyAlignment="1" applyBorder="1" applyFont="1">
      <alignment horizontal="center" readingOrder="0"/>
    </xf>
    <xf borderId="37" fillId="8" fontId="10" numFmtId="0" xfId="0" applyAlignment="1" applyBorder="1" applyFont="1">
      <alignment readingOrder="0"/>
    </xf>
    <xf borderId="31" fillId="0" fontId="3" numFmtId="166" xfId="0" applyAlignment="1" applyBorder="1" applyFont="1" applyNumberFormat="1">
      <alignment horizontal="center" readingOrder="0"/>
    </xf>
    <xf borderId="38" fillId="0" fontId="3" numFmtId="10" xfId="0" applyBorder="1" applyFont="1" applyNumberFormat="1"/>
    <xf borderId="0" fillId="12" fontId="0" numFmtId="2" xfId="0" applyAlignment="1" applyFont="1" applyNumberFormat="1">
      <alignment horizontal="center" readingOrder="0"/>
    </xf>
    <xf borderId="0" fillId="0" fontId="11" numFmtId="164" xfId="0" applyAlignment="1" applyFont="1" applyNumberFormat="1">
      <alignment horizontal="center" readingOrder="0"/>
    </xf>
    <xf borderId="33" fillId="0" fontId="11" numFmtId="4" xfId="0" applyAlignment="1" applyBorder="1" applyFont="1" applyNumberFormat="1">
      <alignment horizontal="center"/>
    </xf>
    <xf borderId="0" fillId="3" fontId="11" numFmtId="0" xfId="0" applyAlignment="1" applyFont="1">
      <alignment horizontal="center"/>
    </xf>
    <xf borderId="33" fillId="8" fontId="10" numFmtId="0" xfId="0" applyAlignment="1" applyBorder="1" applyFont="1">
      <alignment readingOrder="0"/>
    </xf>
    <xf borderId="0" fillId="7" fontId="9" numFmtId="0" xfId="0" applyAlignment="1" applyFont="1">
      <alignment horizontal="center" readingOrder="0"/>
    </xf>
    <xf borderId="18" fillId="11" fontId="10" numFmtId="0" xfId="0" applyAlignment="1" applyBorder="1" applyFont="1">
      <alignment horizontal="center" readingOrder="0"/>
    </xf>
    <xf borderId="20" fillId="11" fontId="10" numFmtId="0" xfId="0" applyAlignment="1" applyBorder="1" applyFont="1">
      <alignment horizontal="center" readingOrder="0"/>
    </xf>
    <xf borderId="7" fillId="0" fontId="3" numFmtId="164" xfId="0" applyAlignment="1" applyBorder="1" applyFont="1" applyNumberFormat="1">
      <alignment horizontal="center" readingOrder="0"/>
    </xf>
    <xf borderId="8" fillId="12" fontId="3" numFmtId="1" xfId="0" applyAlignment="1" applyBorder="1" applyFont="1" applyNumberFormat="1">
      <alignment horizontal="center"/>
    </xf>
    <xf borderId="39" fillId="0" fontId="3" numFmtId="0" xfId="0" applyAlignment="1" applyBorder="1" applyFont="1">
      <alignment horizontal="center" readingOrder="0"/>
    </xf>
    <xf borderId="40" fillId="12" fontId="3" numFmtId="1" xfId="0" applyAlignment="1" applyBorder="1" applyFont="1" applyNumberFormat="1">
      <alignment horizontal="center"/>
    </xf>
    <xf borderId="8" fillId="8" fontId="10" numFmtId="0" xfId="0" applyAlignment="1" applyBorder="1" applyFont="1">
      <alignment readingOrder="0"/>
    </xf>
    <xf borderId="41" fillId="0" fontId="3" numFmtId="164" xfId="0" applyAlignment="1" applyBorder="1" applyFont="1" applyNumberFormat="1">
      <alignment horizontal="center" readingOrder="0"/>
    </xf>
    <xf borderId="8" fillId="0" fontId="3" numFmtId="2" xfId="0" applyAlignment="1" applyBorder="1" applyFont="1" applyNumberFormat="1">
      <alignment horizontal="center"/>
    </xf>
    <xf borderId="8" fillId="12" fontId="18" numFmtId="1" xfId="0" applyAlignment="1" applyBorder="1" applyFont="1" applyNumberFormat="1">
      <alignment readingOrder="0"/>
    </xf>
    <xf borderId="8" fillId="0" fontId="3" numFmtId="14" xfId="0" applyAlignment="1" applyBorder="1" applyFont="1" applyNumberFormat="1">
      <alignment horizontal="center"/>
    </xf>
    <xf borderId="9" fillId="0" fontId="3" numFmtId="164" xfId="0" applyAlignment="1" applyBorder="1" applyFont="1" applyNumberFormat="1">
      <alignment horizontal="center"/>
    </xf>
    <xf borderId="0" fillId="0" fontId="3" numFmtId="10" xfId="0" applyFont="1" applyNumberFormat="1"/>
    <xf borderId="0" fillId="0" fontId="3" numFmtId="1" xfId="0" applyAlignment="1" applyFont="1" applyNumberFormat="1">
      <alignment readingOrder="0"/>
    </xf>
    <xf borderId="4" fillId="17" fontId="5" numFmtId="0" xfId="0" applyAlignment="1" applyBorder="1" applyFill="1" applyFont="1">
      <alignment horizontal="center" readingOrder="0" vertical="center"/>
    </xf>
    <xf borderId="18" fillId="0" fontId="3" numFmtId="0" xfId="0" applyAlignment="1" applyBorder="1" applyFont="1">
      <alignment horizontal="center" readingOrder="0"/>
    </xf>
    <xf borderId="13" fillId="5" fontId="19" numFmtId="0" xfId="0" applyAlignment="1" applyBorder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29" fillId="0" fontId="3" numFmtId="0" xfId="0" applyAlignment="1" applyBorder="1" applyFont="1">
      <alignment readingOrder="0"/>
    </xf>
    <xf borderId="17" fillId="18" fontId="9" numFmtId="0" xfId="0" applyAlignment="1" applyBorder="1" applyFill="1" applyFont="1">
      <alignment horizontal="center" readingOrder="0"/>
    </xf>
    <xf borderId="42" fillId="7" fontId="9" numFmtId="0" xfId="0" applyAlignment="1" applyBorder="1" applyFont="1">
      <alignment horizontal="center" readingOrder="0"/>
    </xf>
    <xf borderId="31" fillId="0" fontId="3" numFmtId="10" xfId="0" applyBorder="1" applyFont="1" applyNumberFormat="1"/>
    <xf borderId="31" fillId="0" fontId="3" numFmtId="164" xfId="0" applyBorder="1" applyFont="1" applyNumberFormat="1"/>
    <xf borderId="32" fillId="0" fontId="3" numFmtId="164" xfId="0" applyBorder="1" applyFont="1" applyNumberFormat="1"/>
    <xf borderId="13" fillId="8" fontId="3" numFmtId="0" xfId="0" applyAlignment="1" applyBorder="1" applyFont="1">
      <alignment readingOrder="0"/>
    </xf>
    <xf borderId="0" fillId="9" fontId="3" numFmtId="0" xfId="0" applyAlignment="1" applyFont="1">
      <alignment readingOrder="0"/>
    </xf>
    <xf borderId="0" fillId="8" fontId="3" numFmtId="0" xfId="0" applyAlignment="1" applyFont="1">
      <alignment readingOrder="0"/>
    </xf>
    <xf borderId="43" fillId="10" fontId="3" numFmtId="0" xfId="0" applyAlignment="1" applyBorder="1" applyFont="1">
      <alignment readingOrder="0"/>
    </xf>
    <xf borderId="0" fillId="11" fontId="3" numFmtId="0" xfId="0" applyAlignment="1" applyFont="1">
      <alignment readingOrder="0"/>
    </xf>
    <xf borderId="24" fillId="6" fontId="3" numFmtId="0" xfId="0" applyAlignment="1" applyBorder="1" applyFont="1">
      <alignment readingOrder="0"/>
    </xf>
    <xf borderId="0" fillId="0" fontId="3" numFmtId="10" xfId="0" applyAlignment="1" applyFont="1" applyNumberFormat="1">
      <alignment horizontal="center" readingOrder="0"/>
    </xf>
    <xf borderId="44" fillId="8" fontId="3" numFmtId="0" xfId="0" applyAlignment="1" applyBorder="1" applyFont="1">
      <alignment readingOrder="0"/>
    </xf>
    <xf borderId="0" fillId="12" fontId="0" numFmtId="2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45" fillId="15" fontId="20" numFmtId="0" xfId="0" applyAlignment="1" applyBorder="1" applyFont="1">
      <alignment horizontal="center" readingOrder="0"/>
    </xf>
    <xf borderId="46" fillId="0" fontId="2" numFmtId="0" xfId="0" applyBorder="1" applyFont="1"/>
    <xf borderId="46" fillId="16" fontId="21" numFmtId="0" xfId="0" applyAlignment="1" applyBorder="1" applyFont="1">
      <alignment readingOrder="0"/>
    </xf>
    <xf borderId="0" fillId="0" fontId="11" numFmtId="2" xfId="0" applyAlignment="1" applyFont="1" applyNumberFormat="1">
      <alignment horizontal="center"/>
    </xf>
    <xf borderId="8" fillId="12" fontId="0" numFmtId="10" xfId="0" applyAlignment="1" applyBorder="1" applyFont="1" applyNumberFormat="1">
      <alignment horizontal="center"/>
    </xf>
    <xf borderId="13" fillId="19" fontId="9" numFmtId="0" xfId="0" applyAlignment="1" applyBorder="1" applyFill="1" applyFont="1">
      <alignment horizontal="center" readingOrder="0"/>
    </xf>
    <xf borderId="47" fillId="11" fontId="3" numFmtId="0" xfId="0" applyAlignment="1" applyBorder="1" applyFont="1">
      <alignment readingOrder="0"/>
    </xf>
    <xf borderId="48" fillId="0" fontId="2" numFmtId="0" xfId="0" applyBorder="1" applyFont="1"/>
    <xf borderId="48" fillId="0" fontId="3" numFmtId="164" xfId="0" applyAlignment="1" applyBorder="1" applyFont="1" applyNumberFormat="1">
      <alignment horizontal="center"/>
    </xf>
    <xf borderId="0" fillId="0" fontId="22" numFmtId="0" xfId="0" applyAlignment="1" applyFont="1">
      <alignment readingOrder="0" vertical="bottom"/>
    </xf>
    <xf borderId="13" fillId="11" fontId="3" numFmtId="0" xfId="0" applyAlignment="1" applyBorder="1" applyFont="1">
      <alignment readingOrder="0"/>
    </xf>
    <xf borderId="0" fillId="0" fontId="15" numFmtId="0" xfId="0" applyAlignment="1" applyFont="1">
      <alignment vertical="bottom"/>
    </xf>
    <xf borderId="13" fillId="0" fontId="3" numFmtId="10" xfId="0" applyAlignment="1" applyBorder="1" applyFont="1" applyNumberFormat="1">
      <alignment horizontal="center"/>
    </xf>
    <xf borderId="43" fillId="10" fontId="3" numFmtId="0" xfId="0" applyBorder="1" applyFont="1"/>
    <xf borderId="33" fillId="6" fontId="3" numFmtId="0" xfId="0" applyAlignment="1" applyBorder="1" applyFont="1">
      <alignment readingOrder="0"/>
    </xf>
    <xf borderId="14" fillId="6" fontId="3" numFmtId="0" xfId="0" applyAlignment="1" applyBorder="1" applyFont="1">
      <alignment readingOrder="0"/>
    </xf>
    <xf borderId="0" fillId="0" fontId="11" numFmtId="164" xfId="0" applyAlignment="1" applyFont="1" applyNumberFormat="1">
      <alignment horizontal="center"/>
    </xf>
    <xf borderId="37" fillId="8" fontId="3" numFmtId="0" xfId="0" applyAlignment="1" applyBorder="1" applyFont="1">
      <alignment readingOrder="0"/>
    </xf>
    <xf borderId="0" fillId="0" fontId="11" numFmtId="0" xfId="0" applyAlignment="1" applyFont="1">
      <alignment horizontal="center"/>
    </xf>
    <xf borderId="33" fillId="8" fontId="3" numFmtId="0" xfId="0" applyAlignment="1" applyBorder="1" applyFont="1">
      <alignment readingOrder="0"/>
    </xf>
    <xf borderId="29" fillId="11" fontId="3" numFmtId="0" xfId="0" applyAlignment="1" applyBorder="1" applyFont="1">
      <alignment readingOrder="0"/>
    </xf>
    <xf borderId="18" fillId="11" fontId="3" numFmtId="0" xfId="0" applyAlignment="1" applyBorder="1" applyFont="1">
      <alignment horizontal="center" readingOrder="0"/>
    </xf>
    <xf borderId="20" fillId="11" fontId="3" numFmtId="0" xfId="0" applyAlignment="1" applyBorder="1" applyFont="1">
      <alignment horizontal="center" readingOrder="0"/>
    </xf>
    <xf borderId="8" fillId="8" fontId="3" numFmtId="0" xfId="0" applyAlignment="1" applyBorder="1" applyFont="1">
      <alignment readingOrder="0"/>
    </xf>
    <xf borderId="8" fillId="0" fontId="3" numFmtId="1" xfId="0" applyAlignment="1" applyBorder="1" applyFont="1" applyNumberFormat="1">
      <alignment horizontal="center"/>
    </xf>
    <xf borderId="49" fillId="7" fontId="6" numFmtId="0" xfId="0" applyAlignment="1" applyBorder="1" applyFont="1">
      <alignment horizontal="center" readingOrder="0" vertical="center"/>
    </xf>
    <xf borderId="50" fillId="15" fontId="10" numFmtId="0" xfId="0" applyAlignment="1" applyBorder="1" applyFont="1">
      <alignment horizontal="center" vertical="bottom"/>
    </xf>
    <xf borderId="51" fillId="0" fontId="2" numFmtId="0" xfId="0" applyBorder="1" applyFont="1"/>
    <xf borderId="50" fillId="0" fontId="2" numFmtId="0" xfId="0" applyBorder="1" applyFont="1"/>
    <xf borderId="10" fillId="7" fontId="23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/>
    </xf>
    <xf borderId="52" fillId="0" fontId="2" numFmtId="0" xfId="0" applyBorder="1" applyFont="1"/>
    <xf borderId="0" fillId="20" fontId="25" numFmtId="0" xfId="0" applyAlignment="1" applyFill="1" applyFont="1">
      <alignment vertical="bottom"/>
    </xf>
    <xf borderId="25" fillId="0" fontId="26" numFmtId="0" xfId="0" applyAlignment="1" applyBorder="1" applyFont="1">
      <alignment horizontal="right" vertical="bottom"/>
    </xf>
    <xf borderId="0" fillId="0" fontId="26" numFmtId="0" xfId="0" applyAlignment="1" applyFont="1">
      <alignment horizontal="right" vertical="bottom"/>
    </xf>
    <xf borderId="15" fillId="0" fontId="2" numFmtId="0" xfId="0" applyBorder="1" applyFont="1"/>
    <xf borderId="16" fillId="0" fontId="2" numFmtId="0" xfId="0" applyBorder="1" applyFont="1"/>
    <xf borderId="53" fillId="20" fontId="25" numFmtId="0" xfId="0" applyAlignment="1" applyBorder="1" applyFont="1">
      <alignment vertical="bottom"/>
    </xf>
    <xf borderId="54" fillId="6" fontId="25" numFmtId="0" xfId="0" applyAlignment="1" applyBorder="1" applyFont="1">
      <alignment vertical="bottom"/>
    </xf>
    <xf borderId="53" fillId="6" fontId="25" numFmtId="0" xfId="0" applyAlignment="1" applyBorder="1" applyFont="1">
      <alignment vertical="bottom"/>
    </xf>
    <xf borderId="15" fillId="0" fontId="24" numFmtId="0" xfId="0" applyAlignment="1" applyBorder="1" applyFont="1">
      <alignment horizontal="left"/>
    </xf>
    <xf borderId="55" fillId="0" fontId="26" numFmtId="164" xfId="0" applyAlignment="1" applyBorder="1" applyFont="1" applyNumberFormat="1">
      <alignment horizontal="right" vertical="bottom"/>
    </xf>
    <xf borderId="56" fillId="0" fontId="26" numFmtId="164" xfId="0" applyAlignment="1" applyBorder="1" applyFont="1" applyNumberFormat="1">
      <alignment horizontal="right" vertical="bottom"/>
    </xf>
    <xf borderId="55" fillId="0" fontId="26" numFmtId="0" xfId="0" applyAlignment="1" applyBorder="1" applyFont="1">
      <alignment horizontal="right" vertical="bottom"/>
    </xf>
    <xf borderId="25" fillId="6" fontId="25" numFmtId="0" xfId="0" applyAlignment="1" applyBorder="1" applyFont="1">
      <alignment vertical="bottom"/>
    </xf>
    <xf borderId="0" fillId="6" fontId="25" numFmtId="0" xfId="0" applyAlignment="1" applyFont="1">
      <alignment vertical="bottom"/>
    </xf>
    <xf borderId="57" fillId="0" fontId="2" numFmtId="0" xfId="0" applyBorder="1" applyFont="1"/>
    <xf borderId="35" fillId="0" fontId="26" numFmtId="164" xfId="0" applyAlignment="1" applyBorder="1" applyFont="1" applyNumberFormat="1">
      <alignment horizontal="right" vertical="bottom"/>
    </xf>
    <xf borderId="58" fillId="0" fontId="26" numFmtId="164" xfId="0" applyAlignment="1" applyBorder="1" applyFont="1" applyNumberFormat="1">
      <alignment horizontal="right" vertical="bottom"/>
    </xf>
    <xf borderId="35" fillId="0" fontId="26" numFmtId="0" xfId="0" applyAlignment="1" applyBorder="1" applyFont="1">
      <alignment horizontal="right" vertical="bottom"/>
    </xf>
    <xf borderId="34" fillId="0" fontId="24" numFmtId="0" xfId="0" applyAlignment="1" applyBorder="1" applyFont="1">
      <alignment horizontal="left"/>
    </xf>
    <xf borderId="35" fillId="0" fontId="2" numFmtId="0" xfId="0" applyBorder="1" applyFont="1"/>
    <xf borderId="36" fillId="0" fontId="2" numFmtId="0" xfId="0" applyBorder="1" applyFont="1"/>
    <xf borderId="5" fillId="0" fontId="15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4" fillId="15" fontId="23" numFmtId="0" xfId="0" applyAlignment="1" applyBorder="1" applyFont="1">
      <alignment horizontal="center" readingOrder="0" vertical="center"/>
    </xf>
    <xf borderId="13" fillId="0" fontId="2" numFmtId="0" xfId="0" applyBorder="1" applyFont="1"/>
    <xf borderId="13" fillId="21" fontId="28" numFmtId="0" xfId="0" applyBorder="1" applyFill="1" applyFont="1"/>
    <xf borderId="0" fillId="0" fontId="29" numFmtId="0" xfId="0" applyAlignment="1" applyFont="1">
      <alignment horizontal="center" readingOrder="0"/>
    </xf>
    <xf borderId="0" fillId="12" fontId="30" numFmtId="0" xfId="0" applyAlignment="1" applyFont="1">
      <alignment horizontal="center" readingOrder="0"/>
    </xf>
    <xf borderId="59" fillId="9" fontId="29" numFmtId="0" xfId="0" applyAlignment="1" applyBorder="1" applyFont="1">
      <alignment horizontal="center" readingOrder="0" vertical="center"/>
    </xf>
    <xf borderId="60" fillId="6" fontId="28" numFmtId="0" xfId="0" applyAlignment="1" applyBorder="1" applyFont="1">
      <alignment readingOrder="0"/>
    </xf>
    <xf borderId="2" fillId="0" fontId="28" numFmtId="0" xfId="0" applyAlignment="1" applyBorder="1" applyFont="1">
      <alignment horizontal="center"/>
    </xf>
    <xf borderId="3" fillId="12" fontId="28" numFmtId="0" xfId="0" applyAlignment="1" applyBorder="1" applyFont="1">
      <alignment horizontal="center" vertical="center"/>
    </xf>
    <xf borderId="59" fillId="0" fontId="2" numFmtId="0" xfId="0" applyBorder="1" applyFont="1"/>
    <xf borderId="61" fillId="11" fontId="29" numFmtId="0" xfId="0" applyAlignment="1" applyBorder="1" applyFont="1">
      <alignment readingOrder="0"/>
    </xf>
    <xf borderId="62" fillId="0" fontId="28" numFmtId="164" xfId="0" applyAlignment="1" applyBorder="1" applyFont="1" applyNumberFormat="1">
      <alignment horizontal="right"/>
    </xf>
    <xf borderId="62" fillId="12" fontId="28" numFmtId="164" xfId="0" applyAlignment="1" applyBorder="1" applyFont="1" applyNumberFormat="1">
      <alignment horizontal="right"/>
    </xf>
    <xf borderId="62" fillId="12" fontId="31" numFmtId="164" xfId="0" applyAlignment="1" applyBorder="1" applyFont="1" applyNumberFormat="1">
      <alignment horizontal="right"/>
    </xf>
    <xf borderId="63" fillId="0" fontId="28" numFmtId="164" xfId="0" applyAlignment="1" applyBorder="1" applyFont="1" applyNumberFormat="1">
      <alignment horizontal="right"/>
    </xf>
    <xf borderId="47" fillId="11" fontId="29" numFmtId="0" xfId="0" applyAlignment="1" applyBorder="1" applyFont="1">
      <alignment readingOrder="0"/>
    </xf>
    <xf borderId="46" fillId="12" fontId="28" numFmtId="164" xfId="0" applyAlignment="1" applyBorder="1" applyFont="1" applyNumberFormat="1">
      <alignment horizontal="right"/>
    </xf>
    <xf borderId="46" fillId="12" fontId="31" numFmtId="164" xfId="0" applyAlignment="1" applyBorder="1" applyFont="1" applyNumberFormat="1">
      <alignment horizontal="right"/>
    </xf>
    <xf borderId="64" fillId="0" fontId="28" numFmtId="164" xfId="0" applyAlignment="1" applyBorder="1" applyFont="1" applyNumberFormat="1">
      <alignment horizontal="right"/>
    </xf>
    <xf borderId="65" fillId="11" fontId="29" numFmtId="0" xfId="0" applyAlignment="1" applyBorder="1" applyFont="1">
      <alignment readingOrder="0"/>
    </xf>
    <xf borderId="66" fillId="12" fontId="28" numFmtId="164" xfId="0" applyAlignment="1" applyBorder="1" applyFont="1" applyNumberFormat="1">
      <alignment horizontal="right"/>
    </xf>
    <xf borderId="67" fillId="0" fontId="28" numFmtId="164" xfId="0" applyAlignment="1" applyBorder="1" applyFont="1" applyNumberFormat="1">
      <alignment horizontal="right"/>
    </xf>
    <xf borderId="0" fillId="0" fontId="32" numFmtId="0" xfId="0" applyFont="1"/>
    <xf borderId="4" fillId="16" fontId="33" numFmtId="0" xfId="0" applyAlignment="1" applyBorder="1" applyFont="1">
      <alignment horizontal="center" readingOrder="0"/>
    </xf>
    <xf borderId="13" fillId="22" fontId="34" numFmtId="0" xfId="0" applyAlignment="1" applyBorder="1" applyFill="1" applyFont="1">
      <alignment horizontal="center" readingOrder="0"/>
    </xf>
    <xf borderId="13" fillId="23" fontId="34" numFmtId="0" xfId="0" applyAlignment="1" applyBorder="1" applyFill="1" applyFont="1">
      <alignment horizontal="center" readingOrder="0"/>
    </xf>
    <xf borderId="68" fillId="14" fontId="33" numFmtId="0" xfId="0" applyAlignment="1" applyBorder="1" applyFont="1">
      <alignment horizontal="center" readingOrder="0"/>
    </xf>
    <xf borderId="69" fillId="0" fontId="2" numFmtId="0" xfId="0" applyBorder="1" applyFont="1"/>
    <xf borderId="13" fillId="24" fontId="35" numFmtId="0" xfId="0" applyAlignment="1" applyBorder="1" applyFill="1" applyFont="1">
      <alignment horizontal="center" readingOrder="0" vertical="center"/>
    </xf>
    <xf borderId="14" fillId="0" fontId="36" numFmtId="0" xfId="0" applyAlignment="1" applyBorder="1" applyFont="1">
      <alignment horizontal="center" readingOrder="0"/>
    </xf>
    <xf borderId="7" fillId="25" fontId="37" numFmtId="0" xfId="0" applyAlignment="1" applyBorder="1" applyFill="1" applyFont="1">
      <alignment horizontal="center" readingOrder="0" vertical="center"/>
    </xf>
    <xf borderId="9" fillId="26" fontId="38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ingecko.com/en/coins/olympus" TargetMode="External"/><Relationship Id="rId2" Type="http://schemas.openxmlformats.org/officeDocument/2006/relationships/hyperlink" Target="https://www.coingecko.com/en/coins/governance-oh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ingecko.com/en/coins/wonderlan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ingecko.com/en/coins/klima-da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ingecko.com/en/coins/klima-dao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aypal.me/stephenhenkel123?locale.x=en_US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7.88"/>
    <col customWidth="1" min="4" max="4" width="21.5"/>
    <col customWidth="1" min="5" max="5" width="15.88"/>
    <col customWidth="1" min="6" max="6" width="16.75"/>
    <col customWidth="1" min="9" max="9" width="17.0"/>
    <col customWidth="1" min="10" max="10" width="27.63"/>
    <col customWidth="1" min="11" max="11" width="21.0"/>
    <col customWidth="1" min="12" max="12" width="17.13"/>
    <col customWidth="1" hidden="1" min="15" max="15" width="14.88"/>
    <col customWidth="1" hidden="1" min="16" max="16" width="17.75"/>
    <col hidden="1" min="17" max="17" width="12.63"/>
  </cols>
  <sheetData>
    <row r="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3"/>
      <c r="M3" s="4"/>
    </row>
    <row r="4">
      <c r="M4" s="5"/>
      <c r="S4" s="6"/>
    </row>
    <row r="5">
      <c r="B5" s="7" t="s">
        <v>1</v>
      </c>
      <c r="C5" s="8"/>
      <c r="D5" s="8"/>
      <c r="E5" s="8"/>
      <c r="F5" s="8"/>
      <c r="G5" s="8"/>
      <c r="H5" s="8"/>
      <c r="I5" s="8"/>
      <c r="J5" s="8"/>
      <c r="K5" s="8"/>
      <c r="L5" s="9"/>
      <c r="M5" s="10"/>
    </row>
    <row r="6">
      <c r="B6" s="11"/>
      <c r="C6" s="12"/>
      <c r="D6" s="12"/>
      <c r="E6" s="12"/>
      <c r="F6" s="12"/>
      <c r="G6" s="12"/>
      <c r="H6" s="12"/>
      <c r="I6" s="12"/>
      <c r="J6" s="12"/>
      <c r="K6" s="12"/>
      <c r="L6" s="13"/>
      <c r="M6" s="10"/>
      <c r="O6" s="14" t="s">
        <v>2</v>
      </c>
      <c r="P6" s="15"/>
      <c r="Q6" s="16"/>
      <c r="S6" s="17"/>
    </row>
    <row r="7">
      <c r="B7" s="18" t="s">
        <v>3</v>
      </c>
      <c r="F7" s="19" t="s">
        <v>4</v>
      </c>
      <c r="L7" s="20"/>
      <c r="M7" s="21"/>
      <c r="O7" s="22" t="s">
        <v>5</v>
      </c>
      <c r="P7" s="23" t="s">
        <v>6</v>
      </c>
      <c r="Q7" s="24" t="s">
        <v>7</v>
      </c>
    </row>
    <row r="8">
      <c r="B8" s="25" t="s">
        <v>8</v>
      </c>
      <c r="C8" s="26"/>
      <c r="D8" s="26"/>
      <c r="E8" s="27"/>
      <c r="F8" s="28" t="s">
        <v>9</v>
      </c>
      <c r="G8" s="26"/>
      <c r="H8" s="26"/>
      <c r="I8" s="26"/>
      <c r="J8" s="26"/>
      <c r="K8" s="26"/>
      <c r="L8" s="29"/>
      <c r="M8" s="30"/>
      <c r="N8" s="31"/>
      <c r="O8" s="32">
        <f>1+E10</f>
        <v>1.003545</v>
      </c>
      <c r="P8" s="33">
        <f>B18-(E12)</f>
        <v>13617.48</v>
      </c>
      <c r="Q8" s="34">
        <f>E12</f>
        <v>1382.52</v>
      </c>
    </row>
    <row r="9">
      <c r="B9" s="35" t="s">
        <v>10</v>
      </c>
      <c r="C9" s="36" t="s">
        <v>11</v>
      </c>
      <c r="D9" s="37" t="s">
        <v>12</v>
      </c>
      <c r="E9" s="38" t="s">
        <v>13</v>
      </c>
      <c r="F9" s="39"/>
      <c r="G9" s="40"/>
      <c r="H9" s="41" t="s">
        <v>14</v>
      </c>
      <c r="I9" s="41" t="s">
        <v>15</v>
      </c>
      <c r="J9" s="41" t="str">
        <f>switch(C13, true, "No gOHM Accumulated", false, "OHM Accumulated")</f>
        <v>No gOHM Accumulated</v>
      </c>
      <c r="K9" s="41" t="str">
        <f>switch(C13, true, "gOHM Price Increase", false, "USD Value")</f>
        <v>gOHM Price Increase</v>
      </c>
      <c r="L9" s="42" t="s">
        <v>16</v>
      </c>
      <c r="M9" s="43"/>
      <c r="O9" s="22" t="s">
        <v>17</v>
      </c>
      <c r="P9" s="23" t="s">
        <v>18</v>
      </c>
      <c r="Q9" s="44"/>
    </row>
    <row r="10">
      <c r="B10" s="45">
        <v>23.0</v>
      </c>
      <c r="C10" s="46">
        <f>P14</f>
        <v>10.4</v>
      </c>
      <c r="D10" s="46">
        <v>500.0</v>
      </c>
      <c r="E10" s="47">
        <v>0.003545</v>
      </c>
      <c r="F10" s="37" t="str">
        <f>"Day(s)"</f>
        <v>Day(s)</v>
      </c>
      <c r="G10" s="48">
        <v>1.0</v>
      </c>
      <c r="H10" s="49">
        <f>today() +G10</f>
        <v>45041</v>
      </c>
      <c r="I10" s="50">
        <f>(1+E10)^((G10)*3)-1</f>
        <v>0.01067274563</v>
      </c>
      <c r="J10" s="51" t="str">
        <f t="shared" ref="J10:J13" si="1">Switch($C$13, true, "N/A", false, I10*$B$10)</f>
        <v>N/A</v>
      </c>
      <c r="K10" s="52">
        <f t="shared" ref="K10:K13" si="2">Switch($C$13, true, ($B$12 *$P$10*(1+I10))-$E$12, false, (J10*$P$10))</f>
        <v>14.75528428</v>
      </c>
      <c r="L10" s="53">
        <f>E12+K10</f>
        <v>1397.275284</v>
      </c>
      <c r="M10" s="54"/>
      <c r="O10" s="55"/>
      <c r="P10" s="56">
        <f>switch(C13, true,switch(E13, true, C12, false, D12), false, switch(E13, true, C10, false, D10))</f>
        <v>2765.04</v>
      </c>
      <c r="Q10" s="44"/>
    </row>
    <row r="11">
      <c r="B11" s="35" t="s">
        <v>19</v>
      </c>
      <c r="C11" s="57" t="s">
        <v>20</v>
      </c>
      <c r="D11" s="37" t="s">
        <v>21</v>
      </c>
      <c r="E11" s="58" t="s">
        <v>22</v>
      </c>
      <c r="F11" s="37" t="s">
        <v>23</v>
      </c>
      <c r="G11" s="59">
        <v>1.0</v>
      </c>
      <c r="H11" s="60">
        <f>today()+7*G11</f>
        <v>45047</v>
      </c>
      <c r="I11" s="61">
        <f>(1+E10)^((7*G11)*3)-1</f>
        <v>0.0771442836</v>
      </c>
      <c r="J11" s="51" t="str">
        <f t="shared" si="1"/>
        <v>N/A</v>
      </c>
      <c r="K11" s="52">
        <f t="shared" si="2"/>
        <v>106.653515</v>
      </c>
      <c r="L11" s="62">
        <f t="shared" ref="L11:L13" si="3">$E$12+K11</f>
        <v>1489.173515</v>
      </c>
      <c r="M11" s="54"/>
      <c r="O11" s="63">
        <f>(1+E10)^((G16-today())*3)</f>
        <v>0.006253958338</v>
      </c>
      <c r="P11" s="64">
        <f>(1+E10)^(G10*3)</f>
        <v>1.010672746</v>
      </c>
      <c r="Q11" s="44"/>
    </row>
    <row r="12">
      <c r="B12" s="45">
        <v>0.5</v>
      </c>
      <c r="C12" s="65">
        <f>P15</f>
        <v>2765.04</v>
      </c>
      <c r="D12" s="66">
        <v>19123.0</v>
      </c>
      <c r="E12" s="67">
        <f>switch(C13, false, round(SWITCH(E13, true, C10*B10, false, D10*B10),2), true, round(SWITCH(E13, true, C12*B12, false, D12*B12),2))</f>
        <v>1382.52</v>
      </c>
      <c r="F12" s="37" t="s">
        <v>24</v>
      </c>
      <c r="G12" s="59">
        <v>1.0</v>
      </c>
      <c r="H12" s="68">
        <f>today()+30*G12</f>
        <v>45070</v>
      </c>
      <c r="I12" s="61">
        <f>(1+E10)^((30*G12)*3)-1</f>
        <v>0.3750441186</v>
      </c>
      <c r="J12" s="51" t="str">
        <f t="shared" si="1"/>
        <v>N/A</v>
      </c>
      <c r="K12" s="52">
        <f t="shared" si="2"/>
        <v>518.5059948</v>
      </c>
      <c r="L12" s="62">
        <f t="shared" si="3"/>
        <v>1901.025995</v>
      </c>
      <c r="M12" s="54"/>
      <c r="O12" s="55"/>
      <c r="Q12" s="44"/>
    </row>
    <row r="13">
      <c r="B13" s="69" t="s">
        <v>25</v>
      </c>
      <c r="C13" s="70" t="b">
        <v>1</v>
      </c>
      <c r="D13" s="71" t="s">
        <v>26</v>
      </c>
      <c r="E13" s="72" t="b">
        <v>1</v>
      </c>
      <c r="F13" s="37" t="s">
        <v>27</v>
      </c>
      <c r="G13" s="59">
        <v>1.0</v>
      </c>
      <c r="H13" s="68">
        <f>today()+365*G13</f>
        <v>45405</v>
      </c>
      <c r="I13" s="61">
        <f>(1+E10)^((365*G13)*3)-1</f>
        <v>47.17839921</v>
      </c>
      <c r="J13" s="51" t="str">
        <f t="shared" si="1"/>
        <v>N/A</v>
      </c>
      <c r="K13" s="52">
        <f t="shared" si="2"/>
        <v>65225.08048</v>
      </c>
      <c r="L13" s="62">
        <f t="shared" si="3"/>
        <v>66607.60048</v>
      </c>
      <c r="M13" s="30"/>
      <c r="O13" s="73" t="s">
        <v>28</v>
      </c>
      <c r="P13" s="74" t="s">
        <v>29</v>
      </c>
      <c r="Q13" s="44"/>
    </row>
    <row r="14">
      <c r="B14" s="75" t="s">
        <v>30</v>
      </c>
      <c r="C14" s="41" t="s">
        <v>31</v>
      </c>
      <c r="D14" s="41" t="s">
        <v>32</v>
      </c>
      <c r="E14" s="76" t="s">
        <v>33</v>
      </c>
      <c r="F14" s="28" t="s">
        <v>34</v>
      </c>
      <c r="G14" s="26"/>
      <c r="H14" s="26"/>
      <c r="I14" s="26"/>
      <c r="J14" s="26"/>
      <c r="K14" s="26"/>
      <c r="L14" s="29"/>
      <c r="M14" s="30"/>
      <c r="O14" s="22"/>
      <c r="P14" s="77">
        <f>IFERROR(__xludf.DUMMYFUNCTION("IMPORTXML(O13,P13)"),10.4)</f>
        <v>10.4</v>
      </c>
      <c r="Q14" s="44"/>
    </row>
    <row r="15">
      <c r="B15" s="78">
        <f>(1+E10)^(3)-1</f>
        <v>0.01067274563</v>
      </c>
      <c r="C15" s="79">
        <f>(1+E10)^((7)*3)-1</f>
        <v>0.0771442836</v>
      </c>
      <c r="D15" s="79">
        <f>(1+E10)^((30)*3)-1</f>
        <v>0.3750441186</v>
      </c>
      <c r="E15" s="80">
        <f>(1+E10)^((365)*3)-1</f>
        <v>47.17839921</v>
      </c>
      <c r="F15" s="81"/>
      <c r="G15" s="40"/>
      <c r="H15" s="41" t="s">
        <v>15</v>
      </c>
      <c r="I15" s="41" t="str">
        <f>switch(C13, true, "Earnings (gOHM)", false, "Earnings (OHM)")</f>
        <v>Earnings (gOHM)</v>
      </c>
      <c r="J15" s="41" t="s">
        <v>35</v>
      </c>
      <c r="K15" s="82" t="str">
        <f>switch(C13, true, "Total (gOHM)", false, "Total (OHM)")</f>
        <v>Total (gOHM)</v>
      </c>
      <c r="L15" s="83" t="s">
        <v>36</v>
      </c>
      <c r="M15" s="84"/>
      <c r="O15" s="85" t="s">
        <v>37</v>
      </c>
      <c r="P15" s="86">
        <f>IFERROR(__xludf.DUMMYFUNCTION("IMPORTXML(O15,P13)"),2765.04)</f>
        <v>2765.04</v>
      </c>
      <c r="Q15" s="87"/>
    </row>
    <row r="16">
      <c r="B16" s="88" t="s">
        <v>38</v>
      </c>
      <c r="F16" s="89" t="s">
        <v>39</v>
      </c>
      <c r="G16" s="90">
        <v>44562.0</v>
      </c>
      <c r="H16" s="91">
        <f>O11-1</f>
        <v>-0.9937460417</v>
      </c>
      <c r="I16" s="92" t="str">
        <f>switch(C13, true, "N/A", false, B10*H16)</f>
        <v>N/A</v>
      </c>
      <c r="J16" s="93">
        <f>H16* SWITCH(C13, true, B12* switch(E13, true, C12, false, D12), false,B10* SWITCH(E13, true,C10 , false,D10 ) )</f>
        <v>-1373.873778</v>
      </c>
      <c r="K16" s="94" t="str">
        <f>SWITCH(C13, false, I16+B10, true, "N/A")</f>
        <v>N/A</v>
      </c>
      <c r="L16" s="53">
        <f>E12+J16</f>
        <v>8.646222482</v>
      </c>
      <c r="M16" s="95"/>
    </row>
    <row r="17">
      <c r="B17" s="35" t="s">
        <v>40</v>
      </c>
      <c r="C17" s="41" t="s">
        <v>41</v>
      </c>
      <c r="D17" s="96" t="str">
        <f>switch(C13, true, "N/A", false, "OHM Target")</f>
        <v>N/A</v>
      </c>
      <c r="E17" s="76" t="s">
        <v>41</v>
      </c>
      <c r="F17" s="97" t="s">
        <v>42</v>
      </c>
      <c r="I17" s="98" t="str">
        <f>switch(C13, true, "Required gOHM", false, "Required OHM")</f>
        <v>Required gOHM</v>
      </c>
      <c r="J17" s="98" t="str">
        <f>switch(C13, true, "Days 'til gOHM Value Increase", false, "Days 'til OHM")</f>
        <v>Days 'til gOHM Value Increase</v>
      </c>
      <c r="K17" s="98" t="s">
        <v>14</v>
      </c>
      <c r="L17" s="99" t="s">
        <v>43</v>
      </c>
      <c r="M17" s="5"/>
    </row>
    <row r="18">
      <c r="B18" s="100">
        <v>15000.0</v>
      </c>
      <c r="C18" s="101">
        <f>log(((B18/(Q8))),O8)/3</f>
        <v>224.5759925</v>
      </c>
      <c r="D18" s="102">
        <v>30.0</v>
      </c>
      <c r="E18" s="103">
        <f>switch(C13, false, log(((D18/(B10))),O8)/3, true, log(((D18/(B12))),O8)/3)</f>
        <v>385.6697233</v>
      </c>
      <c r="F18" s="104" t="s">
        <v>44</v>
      </c>
      <c r="G18" s="12"/>
      <c r="H18" s="105">
        <v>5000.0</v>
      </c>
      <c r="I18" s="106">
        <f>SWITCH(C13,false, round(switch(E13, true, (H18/C15)/C10, false, (H18/C15)/D10),2), true, round(switch(E13, true, (H18/C15)/C12, false, (H18/C15)/D12),2))</f>
        <v>23.44</v>
      </c>
      <c r="J18" s="107">
        <f>switch(C13, false, log(((I18/(B10))),O8)/3, true, log(((I18/(B12))),O8)/3)</f>
        <v>362.4266082</v>
      </c>
      <c r="K18" s="108">
        <f>today()+J18</f>
        <v>45402.42661</v>
      </c>
      <c r="L18" s="109">
        <f>I18*(E12/B10)</f>
        <v>1408.968209</v>
      </c>
      <c r="M18" s="5"/>
    </row>
    <row r="19">
      <c r="M19" s="5"/>
    </row>
    <row r="20" ht="37.5" customHeight="1">
      <c r="B20" s="1" t="s">
        <v>45</v>
      </c>
      <c r="C20" s="2"/>
      <c r="D20" s="2"/>
      <c r="E20" s="2"/>
      <c r="F20" s="2"/>
      <c r="G20" s="2"/>
      <c r="H20" s="2"/>
      <c r="I20" s="2"/>
      <c r="J20" s="2"/>
      <c r="K20" s="2"/>
      <c r="L20" s="3"/>
      <c r="M20" s="4"/>
    </row>
    <row r="21">
      <c r="F21" s="110"/>
    </row>
    <row r="26">
      <c r="G26" s="111"/>
    </row>
  </sheetData>
  <mergeCells count="14">
    <mergeCell ref="F9:G9"/>
    <mergeCell ref="F14:L14"/>
    <mergeCell ref="F15:G15"/>
    <mergeCell ref="B16:E16"/>
    <mergeCell ref="F17:H17"/>
    <mergeCell ref="F18:G18"/>
    <mergeCell ref="B20:L20"/>
    <mergeCell ref="B3:L3"/>
    <mergeCell ref="B5:L6"/>
    <mergeCell ref="O6:Q6"/>
    <mergeCell ref="B7:E7"/>
    <mergeCell ref="F7:L7"/>
    <mergeCell ref="B8:E8"/>
    <mergeCell ref="F8:L8"/>
  </mergeCells>
  <hyperlinks>
    <hyperlink r:id="rId1" ref="O13"/>
    <hyperlink r:id="rId2" ref="O1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3.63"/>
    <col customWidth="1" min="4" max="4" width="16.63"/>
    <col customWidth="1" min="6" max="6" width="16.75"/>
    <col customWidth="1" min="9" max="9" width="17.0"/>
    <col customWidth="1" hidden="1" min="14" max="14" width="14.88"/>
    <col customWidth="1" hidden="1" min="15" max="15" width="17.75"/>
    <col hidden="1" min="16" max="16" width="12.63"/>
  </cols>
  <sheetData>
    <row r="3">
      <c r="B3" s="1" t="s">
        <v>46</v>
      </c>
      <c r="C3" s="2"/>
      <c r="D3" s="2"/>
      <c r="E3" s="2"/>
      <c r="F3" s="2"/>
      <c r="G3" s="2"/>
      <c r="H3" s="2"/>
      <c r="I3" s="2"/>
      <c r="J3" s="2"/>
      <c r="K3" s="2"/>
      <c r="L3" s="3"/>
    </row>
    <row r="4">
      <c r="R4" s="6"/>
    </row>
    <row r="5">
      <c r="B5" s="112" t="s">
        <v>47</v>
      </c>
      <c r="C5" s="8"/>
      <c r="D5" s="8"/>
      <c r="E5" s="8"/>
      <c r="F5" s="8"/>
      <c r="G5" s="8"/>
      <c r="H5" s="8"/>
      <c r="I5" s="8"/>
      <c r="J5" s="8"/>
      <c r="K5" s="8"/>
      <c r="L5" s="9"/>
    </row>
    <row r="6">
      <c r="B6" s="11"/>
      <c r="C6" s="12"/>
      <c r="D6" s="12"/>
      <c r="E6" s="12"/>
      <c r="F6" s="12"/>
      <c r="G6" s="12"/>
      <c r="H6" s="12"/>
      <c r="I6" s="12"/>
      <c r="J6" s="12"/>
      <c r="K6" s="12"/>
      <c r="L6" s="13"/>
      <c r="N6" s="113" t="s">
        <v>2</v>
      </c>
      <c r="O6" s="26"/>
      <c r="P6" s="27"/>
      <c r="R6" s="17"/>
    </row>
    <row r="7">
      <c r="B7" s="114" t="s">
        <v>48</v>
      </c>
      <c r="F7" s="115" t="s">
        <v>49</v>
      </c>
      <c r="L7" s="20"/>
      <c r="N7" s="23" t="s">
        <v>5</v>
      </c>
      <c r="O7" s="23" t="s">
        <v>6</v>
      </c>
      <c r="P7" s="116" t="s">
        <v>7</v>
      </c>
    </row>
    <row r="8">
      <c r="B8" s="117" t="s">
        <v>8</v>
      </c>
      <c r="C8" s="26"/>
      <c r="D8" s="26"/>
      <c r="E8" s="26"/>
      <c r="F8" s="118" t="s">
        <v>9</v>
      </c>
      <c r="G8" s="26"/>
      <c r="H8" s="26"/>
      <c r="I8" s="26"/>
      <c r="J8" s="26"/>
      <c r="K8" s="26"/>
      <c r="L8" s="29"/>
      <c r="M8" s="31"/>
      <c r="N8" s="119">
        <f>1+E10</f>
        <v>1.006006</v>
      </c>
      <c r="O8" s="120">
        <f>B18-(D13)</f>
        <v>29987.76</v>
      </c>
      <c r="P8" s="121">
        <f>D13</f>
        <v>12.24</v>
      </c>
    </row>
    <row r="9">
      <c r="B9" s="122" t="s">
        <v>50</v>
      </c>
      <c r="C9" s="123" t="s">
        <v>51</v>
      </c>
      <c r="D9" s="124" t="s">
        <v>52</v>
      </c>
      <c r="E9" s="124" t="s">
        <v>13</v>
      </c>
      <c r="F9" s="125"/>
      <c r="G9" s="40"/>
      <c r="H9" s="126" t="s">
        <v>14</v>
      </c>
      <c r="I9" s="126" t="s">
        <v>15</v>
      </c>
      <c r="J9" s="126" t="s">
        <v>53</v>
      </c>
      <c r="K9" s="126" t="s">
        <v>54</v>
      </c>
      <c r="L9" s="127" t="s">
        <v>16</v>
      </c>
      <c r="M9" s="23"/>
      <c r="N9" s="23" t="s">
        <v>17</v>
      </c>
    </row>
    <row r="10">
      <c r="B10" s="45">
        <v>1.0</v>
      </c>
      <c r="C10" s="46">
        <f>O14</f>
        <v>12.24</v>
      </c>
      <c r="D10" s="46">
        <v>8000.0</v>
      </c>
      <c r="E10" s="128">
        <v>0.006006</v>
      </c>
      <c r="F10" s="129" t="str">
        <f>"Day(s)"</f>
        <v>Day(s)</v>
      </c>
      <c r="G10" s="48">
        <v>1.0</v>
      </c>
      <c r="H10" s="49">
        <f>today() +G10</f>
        <v>45041</v>
      </c>
      <c r="I10" s="50">
        <f>(1+E10)^((G10)*3)-1</f>
        <v>0.01812643276</v>
      </c>
      <c r="J10" s="130">
        <f>I10*B10</f>
        <v>0.01812643276</v>
      </c>
      <c r="K10" s="52">
        <f t="shared" ref="K10:K13" si="1">round(SWITCH($D$11, true, J10*$C$10, false, J10*$D$10),2)</f>
        <v>0.22</v>
      </c>
      <c r="L10" s="53">
        <f>D13+K10</f>
        <v>12.46</v>
      </c>
      <c r="M10" s="131"/>
    </row>
    <row r="11">
      <c r="B11" s="132" t="s">
        <v>55</v>
      </c>
      <c r="C11" s="133"/>
      <c r="D11" s="134" t="b">
        <v>1</v>
      </c>
      <c r="E11" s="133"/>
      <c r="F11" s="129" t="s">
        <v>23</v>
      </c>
      <c r="G11" s="59">
        <v>1.0</v>
      </c>
      <c r="H11" s="60">
        <f>today()+7*G11</f>
        <v>45047</v>
      </c>
      <c r="I11" s="61">
        <f>(1+E10)^((7*G11)*3)-1</f>
        <v>0.1339972195</v>
      </c>
      <c r="J11" s="135">
        <f t="shared" ref="J11:J13" si="2">I11*$B$10</f>
        <v>0.1339972195</v>
      </c>
      <c r="K11" s="52">
        <f t="shared" si="1"/>
        <v>1.64</v>
      </c>
      <c r="L11" s="62">
        <f t="shared" ref="L11:L13" si="3">$D$13+K11</f>
        <v>13.88</v>
      </c>
      <c r="M11" s="131"/>
      <c r="N11" s="64">
        <f>(1+E10)^((G16-today())*3)</f>
        <v>0.0004921231183</v>
      </c>
      <c r="O11" s="136">
        <f>(1+E10)^(G10*3)</f>
        <v>1.018126433</v>
      </c>
    </row>
    <row r="12">
      <c r="B12" s="137" t="s">
        <v>56</v>
      </c>
      <c r="F12" s="129" t="s">
        <v>24</v>
      </c>
      <c r="G12" s="59">
        <v>1.0</v>
      </c>
      <c r="H12" s="68">
        <f>today()+30*G12</f>
        <v>45070</v>
      </c>
      <c r="I12" s="61">
        <f>(1+E10)^((30*G12)*3)-1</f>
        <v>0.7141601097</v>
      </c>
      <c r="J12" s="135">
        <f t="shared" si="2"/>
        <v>0.7141601097</v>
      </c>
      <c r="K12" s="52">
        <f t="shared" si="1"/>
        <v>8.74</v>
      </c>
      <c r="L12" s="62">
        <f t="shared" si="3"/>
        <v>20.98</v>
      </c>
      <c r="M12" s="131"/>
    </row>
    <row r="13">
      <c r="B13" s="138" t="s">
        <v>22</v>
      </c>
      <c r="C13" s="139"/>
      <c r="D13" s="140">
        <f>round(SWITCH(D11, true, C10*B10, false, D10*B10),2)</f>
        <v>12.24</v>
      </c>
      <c r="E13" s="139"/>
      <c r="F13" s="129" t="s">
        <v>27</v>
      </c>
      <c r="G13" s="59">
        <v>1.0</v>
      </c>
      <c r="H13" s="68">
        <f>today()+365*G13</f>
        <v>45405</v>
      </c>
      <c r="I13" s="61">
        <f>(1+E10)^((365*G13)*3)-1</f>
        <v>703.0851373</v>
      </c>
      <c r="J13" s="135">
        <f t="shared" si="2"/>
        <v>703.0851373</v>
      </c>
      <c r="K13" s="52">
        <f t="shared" si="1"/>
        <v>8605.76</v>
      </c>
      <c r="L13" s="62">
        <f t="shared" si="3"/>
        <v>8618</v>
      </c>
      <c r="M13" s="31"/>
      <c r="N13" s="141" t="s">
        <v>57</v>
      </c>
      <c r="O13" s="74" t="s">
        <v>29</v>
      </c>
    </row>
    <row r="14">
      <c r="B14" s="142" t="s">
        <v>30</v>
      </c>
      <c r="C14" s="126" t="s">
        <v>31</v>
      </c>
      <c r="D14" s="126" t="s">
        <v>32</v>
      </c>
      <c r="E14" s="126" t="s">
        <v>33</v>
      </c>
      <c r="F14" s="118" t="s">
        <v>34</v>
      </c>
      <c r="G14" s="26"/>
      <c r="H14" s="26"/>
      <c r="I14" s="26"/>
      <c r="J14" s="26"/>
      <c r="K14" s="26"/>
      <c r="L14" s="29"/>
      <c r="M14" s="23"/>
      <c r="N14" s="143"/>
      <c r="O14" s="77">
        <f>IFERROR(__xludf.DUMMYFUNCTION("IMPORTXML(N13,O13)"),12.24)</f>
        <v>12.24</v>
      </c>
    </row>
    <row r="15">
      <c r="B15" s="144">
        <f>(1+E10)^(3)-1</f>
        <v>0.01812643276</v>
      </c>
      <c r="C15" s="50">
        <f>(1+E10)^((7)*3)-1</f>
        <v>0.1339972195</v>
      </c>
      <c r="D15" s="50">
        <f>(1+E10)^((30)*3)-1</f>
        <v>0.7141601097</v>
      </c>
      <c r="E15" s="50">
        <f>(1+E10)^((365)*3)-1</f>
        <v>703.0851373</v>
      </c>
      <c r="F15" s="145"/>
      <c r="G15" s="40"/>
      <c r="H15" s="126" t="s">
        <v>15</v>
      </c>
      <c r="I15" s="126" t="s">
        <v>58</v>
      </c>
      <c r="J15" s="126" t="s">
        <v>35</v>
      </c>
      <c r="K15" s="146" t="s">
        <v>59</v>
      </c>
      <c r="L15" s="147" t="s">
        <v>36</v>
      </c>
      <c r="M15" s="148"/>
    </row>
    <row r="16">
      <c r="B16" s="25" t="s">
        <v>38</v>
      </c>
      <c r="C16" s="26"/>
      <c r="D16" s="26"/>
      <c r="E16" s="26"/>
      <c r="F16" s="149" t="s">
        <v>39</v>
      </c>
      <c r="G16" s="90">
        <v>44616.0</v>
      </c>
      <c r="H16" s="91">
        <f>N11-1</f>
        <v>-0.9995078769</v>
      </c>
      <c r="I16" s="92">
        <f>B10*H16</f>
        <v>-0.9995078769</v>
      </c>
      <c r="J16" s="148">
        <f>switch(D11, true, I16*C10, false, I16*D10)</f>
        <v>-12.23397641</v>
      </c>
      <c r="K16" s="94">
        <f>I16+B10</f>
        <v>0.0004921231183</v>
      </c>
      <c r="L16" s="53">
        <f>K16*(D13/B10)</f>
        <v>0.006023586968</v>
      </c>
      <c r="M16" s="150"/>
    </row>
    <row r="17">
      <c r="B17" s="122" t="s">
        <v>40</v>
      </c>
      <c r="C17" s="126" t="s">
        <v>41</v>
      </c>
      <c r="D17" s="151" t="s">
        <v>60</v>
      </c>
      <c r="E17" s="152" t="s">
        <v>41</v>
      </c>
      <c r="F17" s="97" t="s">
        <v>42</v>
      </c>
      <c r="I17" s="153" t="s">
        <v>61</v>
      </c>
      <c r="J17" s="153" t="s">
        <v>62</v>
      </c>
      <c r="K17" s="153" t="s">
        <v>14</v>
      </c>
      <c r="L17" s="154" t="s">
        <v>43</v>
      </c>
    </row>
    <row r="18">
      <c r="B18" s="100">
        <v>30000.0</v>
      </c>
      <c r="C18" s="101">
        <f>log(((B18/(P8))),N8)/3</f>
        <v>434.43535</v>
      </c>
      <c r="D18" s="102">
        <v>5.0</v>
      </c>
      <c r="E18" s="103">
        <f>log(((D18/(B10))),N8)/3</f>
        <v>89.59186541</v>
      </c>
      <c r="F18" s="155" t="s">
        <v>44</v>
      </c>
      <c r="G18" s="12"/>
      <c r="H18" s="105">
        <v>5000.0</v>
      </c>
      <c r="I18" s="106">
        <f>round(switch(D11, true, (H18/C15)/C10, false, (H18/C15)/D10),2)</f>
        <v>3048.55</v>
      </c>
      <c r="J18" s="156">
        <f>log(((I18/(B10))),N8)/3</f>
        <v>446.5805658</v>
      </c>
      <c r="K18" s="108">
        <f>today()+J18</f>
        <v>45486.58057</v>
      </c>
      <c r="L18" s="109">
        <f>I18*(D13/B10)</f>
        <v>37314.252</v>
      </c>
    </row>
    <row r="20" ht="37.5" customHeight="1">
      <c r="B20" s="1" t="s">
        <v>63</v>
      </c>
      <c r="C20" s="2"/>
      <c r="D20" s="2"/>
      <c r="E20" s="2"/>
      <c r="F20" s="2"/>
      <c r="G20" s="2"/>
      <c r="H20" s="2"/>
      <c r="I20" s="2"/>
      <c r="J20" s="2"/>
      <c r="K20" s="2"/>
      <c r="L20" s="3"/>
    </row>
    <row r="21">
      <c r="F21" s="110"/>
    </row>
    <row r="22">
      <c r="B22" s="157" t="s">
        <v>64</v>
      </c>
      <c r="C22" s="158" t="s">
        <v>65</v>
      </c>
      <c r="D22" s="159"/>
      <c r="E22" s="158" t="s">
        <v>66</v>
      </c>
      <c r="F22" s="160"/>
      <c r="G22" s="161" t="s">
        <v>67</v>
      </c>
      <c r="H22" s="15"/>
      <c r="I22" s="16"/>
      <c r="K22" s="162"/>
    </row>
    <row r="23">
      <c r="B23" s="163"/>
      <c r="C23" s="164" t="s">
        <v>68</v>
      </c>
      <c r="D23" s="165">
        <v>4.04</v>
      </c>
      <c r="E23" s="164" t="s">
        <v>68</v>
      </c>
      <c r="F23" s="166">
        <v>4.04</v>
      </c>
      <c r="G23" s="167"/>
      <c r="I23" s="168"/>
      <c r="K23" s="162"/>
    </row>
    <row r="24">
      <c r="B24" s="163"/>
      <c r="C24" s="169" t="s">
        <v>69</v>
      </c>
      <c r="D24" s="170" t="s">
        <v>70</v>
      </c>
      <c r="E24" s="169" t="s">
        <v>69</v>
      </c>
      <c r="F24" s="171" t="s">
        <v>70</v>
      </c>
      <c r="G24" s="172" t="s">
        <v>71</v>
      </c>
      <c r="I24" s="168"/>
      <c r="K24" s="162"/>
    </row>
    <row r="25">
      <c r="B25" s="163"/>
      <c r="C25" s="173">
        <v>8700.63</v>
      </c>
      <c r="D25" s="174">
        <f>4.5*D23*C25</f>
        <v>158177.4534</v>
      </c>
      <c r="E25" s="175">
        <v>10.0</v>
      </c>
      <c r="F25" s="175">
        <f>E25/F23/4.5</f>
        <v>0.5500550055</v>
      </c>
      <c r="G25" s="172" t="s">
        <v>72</v>
      </c>
      <c r="I25" s="168"/>
      <c r="K25" s="162"/>
    </row>
    <row r="26">
      <c r="B26" s="163"/>
      <c r="C26" s="164" t="s">
        <v>70</v>
      </c>
      <c r="D26" s="176" t="s">
        <v>69</v>
      </c>
      <c r="E26" s="164" t="s">
        <v>70</v>
      </c>
      <c r="F26" s="177" t="s">
        <v>69</v>
      </c>
      <c r="G26" s="172" t="s">
        <v>73</v>
      </c>
      <c r="I26" s="168"/>
      <c r="K26" s="162"/>
    </row>
    <row r="27">
      <c r="B27" s="178"/>
      <c r="C27" s="179">
        <v>160000.0</v>
      </c>
      <c r="D27" s="180">
        <f>C27/4.5/D23</f>
        <v>8800.880088</v>
      </c>
      <c r="E27" s="181">
        <v>1.0</v>
      </c>
      <c r="F27" s="181">
        <f>E27*F23*4.5</f>
        <v>18.18</v>
      </c>
      <c r="G27" s="182" t="s">
        <v>74</v>
      </c>
      <c r="H27" s="183"/>
      <c r="I27" s="184"/>
      <c r="K27" s="162"/>
    </row>
    <row r="28">
      <c r="D28" s="143"/>
      <c r="E28" s="143"/>
      <c r="F28" s="143"/>
      <c r="G28" s="143"/>
      <c r="J28" s="143"/>
      <c r="K28" s="162"/>
    </row>
    <row r="29">
      <c r="J29" s="143"/>
      <c r="K29" s="162"/>
    </row>
    <row r="30">
      <c r="J30" s="143"/>
    </row>
    <row r="31">
      <c r="J31" s="143"/>
    </row>
    <row r="32">
      <c r="J32" s="143"/>
    </row>
    <row r="33">
      <c r="J33" s="143"/>
    </row>
    <row r="34">
      <c r="J34" s="143"/>
    </row>
    <row r="35">
      <c r="H35" s="143"/>
      <c r="I35" s="143"/>
      <c r="J35" s="143"/>
    </row>
    <row r="36">
      <c r="E36" s="143"/>
    </row>
    <row r="37">
      <c r="E37" s="143"/>
    </row>
    <row r="38">
      <c r="E38" s="143"/>
    </row>
    <row r="39">
      <c r="E39" s="143"/>
    </row>
    <row r="40">
      <c r="E40" s="143"/>
    </row>
    <row r="41">
      <c r="E41" s="143"/>
      <c r="F41" s="143"/>
      <c r="G41" s="143"/>
    </row>
  </sheetData>
  <mergeCells count="27">
    <mergeCell ref="B3:L3"/>
    <mergeCell ref="B5:L6"/>
    <mergeCell ref="N6:P6"/>
    <mergeCell ref="B7:E7"/>
    <mergeCell ref="F7:L7"/>
    <mergeCell ref="F8:L8"/>
    <mergeCell ref="F9:G9"/>
    <mergeCell ref="B8:E8"/>
    <mergeCell ref="B11:C11"/>
    <mergeCell ref="D11:E11"/>
    <mergeCell ref="B12:E12"/>
    <mergeCell ref="B13:C13"/>
    <mergeCell ref="D13:E13"/>
    <mergeCell ref="F14:L14"/>
    <mergeCell ref="E22:F22"/>
    <mergeCell ref="G22:I23"/>
    <mergeCell ref="G24:I24"/>
    <mergeCell ref="G25:I25"/>
    <mergeCell ref="G26:I26"/>
    <mergeCell ref="G27:I27"/>
    <mergeCell ref="F15:G15"/>
    <mergeCell ref="B16:E16"/>
    <mergeCell ref="F17:H17"/>
    <mergeCell ref="F18:G18"/>
    <mergeCell ref="B20:L20"/>
    <mergeCell ref="B22:B27"/>
    <mergeCell ref="C22:D22"/>
  </mergeCells>
  <hyperlinks>
    <hyperlink r:id="rId1" ref="N1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3.63"/>
    <col customWidth="1" min="4" max="4" width="16.63"/>
    <col customWidth="1" min="6" max="6" width="16.75"/>
    <col customWidth="1" min="9" max="9" width="17.0"/>
    <col customWidth="1" hidden="1" min="14" max="14" width="14.88"/>
    <col customWidth="1" hidden="1" min="15" max="15" width="17.75"/>
    <col hidden="1" min="16" max="16" width="12.63"/>
  </cols>
  <sheetData>
    <row r="3">
      <c r="B3" s="1" t="s">
        <v>75</v>
      </c>
      <c r="C3" s="2"/>
      <c r="D3" s="2"/>
      <c r="E3" s="2"/>
      <c r="F3" s="2"/>
      <c r="G3" s="2"/>
      <c r="H3" s="2"/>
      <c r="I3" s="2"/>
      <c r="J3" s="2"/>
      <c r="K3" s="2"/>
      <c r="L3" s="3"/>
    </row>
    <row r="4">
      <c r="R4" s="6"/>
    </row>
    <row r="5">
      <c r="B5" s="112" t="s">
        <v>76</v>
      </c>
      <c r="C5" s="8"/>
      <c r="D5" s="8"/>
      <c r="E5" s="8"/>
      <c r="F5" s="8"/>
      <c r="G5" s="8"/>
      <c r="H5" s="8"/>
      <c r="I5" s="8"/>
      <c r="J5" s="8"/>
      <c r="K5" s="8"/>
      <c r="L5" s="9"/>
    </row>
    <row r="6">
      <c r="B6" s="11"/>
      <c r="C6" s="12"/>
      <c r="D6" s="12"/>
      <c r="E6" s="12"/>
      <c r="F6" s="12"/>
      <c r="G6" s="12"/>
      <c r="H6" s="12"/>
      <c r="I6" s="12"/>
      <c r="J6" s="12"/>
      <c r="K6" s="12"/>
      <c r="L6" s="13"/>
      <c r="N6" s="113" t="s">
        <v>2</v>
      </c>
      <c r="O6" s="26"/>
      <c r="P6" s="27"/>
      <c r="R6" s="17"/>
    </row>
    <row r="7">
      <c r="B7" s="114" t="s">
        <v>48</v>
      </c>
      <c r="F7" s="115" t="s">
        <v>49</v>
      </c>
      <c r="L7" s="20"/>
      <c r="N7" s="23" t="s">
        <v>5</v>
      </c>
      <c r="O7" s="23" t="s">
        <v>6</v>
      </c>
      <c r="P7" s="116" t="s">
        <v>7</v>
      </c>
    </row>
    <row r="8">
      <c r="B8" s="117" t="s">
        <v>8</v>
      </c>
      <c r="C8" s="26"/>
      <c r="D8" s="26"/>
      <c r="E8" s="26"/>
      <c r="F8" s="118" t="s">
        <v>9</v>
      </c>
      <c r="G8" s="26"/>
      <c r="H8" s="26"/>
      <c r="I8" s="26"/>
      <c r="J8" s="26"/>
      <c r="K8" s="26"/>
      <c r="L8" s="29"/>
      <c r="M8" s="31"/>
      <c r="N8" s="119">
        <f>1+E10</f>
        <v>1.0053</v>
      </c>
      <c r="O8" s="120">
        <f>B18-(D13)</f>
        <v>21600</v>
      </c>
      <c r="P8" s="121">
        <f>D13</f>
        <v>8400</v>
      </c>
    </row>
    <row r="9">
      <c r="B9" s="122" t="s">
        <v>77</v>
      </c>
      <c r="C9" s="123" t="s">
        <v>78</v>
      </c>
      <c r="D9" s="124" t="s">
        <v>79</v>
      </c>
      <c r="E9" s="124" t="s">
        <v>13</v>
      </c>
      <c r="F9" s="125"/>
      <c r="G9" s="40"/>
      <c r="H9" s="126" t="s">
        <v>14</v>
      </c>
      <c r="I9" s="126" t="s">
        <v>15</v>
      </c>
      <c r="J9" s="126" t="s">
        <v>80</v>
      </c>
      <c r="K9" s="126" t="s">
        <v>54</v>
      </c>
      <c r="L9" s="127" t="s">
        <v>16</v>
      </c>
      <c r="M9" s="23"/>
      <c r="N9" s="23" t="s">
        <v>17</v>
      </c>
    </row>
    <row r="10">
      <c r="B10" s="45">
        <v>3.0</v>
      </c>
      <c r="C10" s="46">
        <f>O14</f>
        <v>2.13</v>
      </c>
      <c r="D10" s="46">
        <v>2800.0</v>
      </c>
      <c r="E10" s="128">
        <v>0.0053</v>
      </c>
      <c r="F10" s="129" t="str">
        <f>"Day(s)"</f>
        <v>Day(s)</v>
      </c>
      <c r="G10" s="48">
        <v>1.0</v>
      </c>
      <c r="H10" s="49">
        <f>today() +G10</f>
        <v>45041</v>
      </c>
      <c r="I10" s="50">
        <f>(1+E10)^((G10)*3)-1</f>
        <v>0.01598441888</v>
      </c>
      <c r="J10" s="130">
        <f>I10*B10</f>
        <v>0.04795325663</v>
      </c>
      <c r="K10" s="52">
        <f t="shared" ref="K10:K13" si="1">round(SWITCH($D$11, true, J10*$C$10, false, J10*$D$10),2)</f>
        <v>134.27</v>
      </c>
      <c r="L10" s="53">
        <f>D13+K10</f>
        <v>8534.27</v>
      </c>
      <c r="M10" s="131"/>
    </row>
    <row r="11">
      <c r="B11" s="132" t="s">
        <v>55</v>
      </c>
      <c r="C11" s="133"/>
      <c r="D11" s="134" t="b">
        <v>0</v>
      </c>
      <c r="E11" s="133"/>
      <c r="F11" s="129" t="s">
        <v>23</v>
      </c>
      <c r="G11" s="59">
        <v>1.0</v>
      </c>
      <c r="H11" s="60">
        <f>today()+7*G11</f>
        <v>45047</v>
      </c>
      <c r="I11" s="61">
        <f>(1+E10)^((7*G11)*3)-1</f>
        <v>0.1174017152</v>
      </c>
      <c r="J11" s="135">
        <f t="shared" ref="J11:J13" si="2">I11*$B$10</f>
        <v>0.3522051455</v>
      </c>
      <c r="K11" s="52">
        <f t="shared" si="1"/>
        <v>986.17</v>
      </c>
      <c r="L11" s="62">
        <f t="shared" ref="L11:L13" si="3">$D$13+K11</f>
        <v>9386.17</v>
      </c>
      <c r="M11" s="131"/>
      <c r="N11" s="64">
        <f>(1+E10)^((G16-today())*3)</f>
        <v>0.0005104946749</v>
      </c>
      <c r="O11" s="136">
        <f>(1+E10)^(G10*3)</f>
        <v>1.015984419</v>
      </c>
    </row>
    <row r="12">
      <c r="B12" s="137" t="s">
        <v>56</v>
      </c>
      <c r="F12" s="129" t="s">
        <v>24</v>
      </c>
      <c r="G12" s="59">
        <v>1.0</v>
      </c>
      <c r="H12" s="68">
        <f>today()+30*G12</f>
        <v>45070</v>
      </c>
      <c r="I12" s="61">
        <f>(1+E10)^((30*G12)*3)-1</f>
        <v>0.6092052099</v>
      </c>
      <c r="J12" s="135">
        <f t="shared" si="2"/>
        <v>1.82761563</v>
      </c>
      <c r="K12" s="52">
        <f t="shared" si="1"/>
        <v>5117.32</v>
      </c>
      <c r="L12" s="62">
        <f t="shared" si="3"/>
        <v>13517.32</v>
      </c>
      <c r="M12" s="131"/>
    </row>
    <row r="13">
      <c r="B13" s="138" t="s">
        <v>22</v>
      </c>
      <c r="C13" s="139"/>
      <c r="D13" s="140">
        <f>round(SWITCH(D11, true, C10*B10, false, D10*B10),2)</f>
        <v>8400</v>
      </c>
      <c r="E13" s="139"/>
      <c r="F13" s="129" t="s">
        <v>27</v>
      </c>
      <c r="G13" s="59">
        <v>1.0</v>
      </c>
      <c r="H13" s="68">
        <f>today()+365*G13</f>
        <v>45405</v>
      </c>
      <c r="I13" s="61">
        <f>(1+E10)^((365*G13)*3)-1</f>
        <v>325.4167209</v>
      </c>
      <c r="J13" s="135">
        <f t="shared" si="2"/>
        <v>976.2501627</v>
      </c>
      <c r="K13" s="52">
        <f t="shared" si="1"/>
        <v>2733500.46</v>
      </c>
      <c r="L13" s="62">
        <f t="shared" si="3"/>
        <v>2741900.46</v>
      </c>
      <c r="M13" s="31"/>
      <c r="N13" s="141" t="s">
        <v>81</v>
      </c>
      <c r="O13" s="74" t="s">
        <v>29</v>
      </c>
    </row>
    <row r="14">
      <c r="B14" s="142" t="s">
        <v>30</v>
      </c>
      <c r="C14" s="126" t="s">
        <v>31</v>
      </c>
      <c r="D14" s="126" t="s">
        <v>32</v>
      </c>
      <c r="E14" s="126" t="s">
        <v>33</v>
      </c>
      <c r="F14" s="118" t="s">
        <v>34</v>
      </c>
      <c r="G14" s="26"/>
      <c r="H14" s="26"/>
      <c r="I14" s="26"/>
      <c r="J14" s="26"/>
      <c r="K14" s="26"/>
      <c r="L14" s="29"/>
      <c r="M14" s="23"/>
      <c r="N14" s="143"/>
      <c r="O14" s="77">
        <f>IFERROR(__xludf.DUMMYFUNCTION("IMPORTXML(N13,O13)"),2.13)</f>
        <v>2.13</v>
      </c>
    </row>
    <row r="15">
      <c r="B15" s="144">
        <f>(1+E10)^(3)-1</f>
        <v>0.01598441888</v>
      </c>
      <c r="C15" s="50">
        <f>(1+E10)^((7)*3)-1</f>
        <v>0.1174017152</v>
      </c>
      <c r="D15" s="50">
        <f>(1+E10)^((30)*3)-1</f>
        <v>0.6092052099</v>
      </c>
      <c r="E15" s="50">
        <f>(1+E10)^((365)*3)-1</f>
        <v>325.4167209</v>
      </c>
      <c r="F15" s="145"/>
      <c r="G15" s="40"/>
      <c r="H15" s="126" t="s">
        <v>15</v>
      </c>
      <c r="I15" s="126" t="s">
        <v>82</v>
      </c>
      <c r="J15" s="126" t="s">
        <v>35</v>
      </c>
      <c r="K15" s="146" t="s">
        <v>83</v>
      </c>
      <c r="L15" s="147" t="s">
        <v>36</v>
      </c>
      <c r="M15" s="148"/>
    </row>
    <row r="16">
      <c r="B16" s="25" t="s">
        <v>38</v>
      </c>
      <c r="C16" s="26"/>
      <c r="D16" s="26"/>
      <c r="E16" s="26"/>
      <c r="F16" s="149" t="s">
        <v>39</v>
      </c>
      <c r="G16" s="90">
        <v>44562.0</v>
      </c>
      <c r="H16" s="91">
        <f>N11-1</f>
        <v>-0.9994895053</v>
      </c>
      <c r="I16" s="92">
        <f>B10*H16</f>
        <v>-2.998468516</v>
      </c>
      <c r="J16" s="148">
        <f>switch(D11, true, I16*C10, false, I16*D10)</f>
        <v>-8395.711845</v>
      </c>
      <c r="K16" s="94">
        <f>I16+B10</f>
        <v>0.001531484025</v>
      </c>
      <c r="L16" s="53">
        <f>K16*(D13/B10)</f>
        <v>4.288155269</v>
      </c>
      <c r="M16" s="150"/>
    </row>
    <row r="17">
      <c r="B17" s="122" t="s">
        <v>40</v>
      </c>
      <c r="C17" s="126" t="s">
        <v>41</v>
      </c>
      <c r="D17" s="151" t="s">
        <v>84</v>
      </c>
      <c r="E17" s="152" t="s">
        <v>41</v>
      </c>
      <c r="F17" s="97" t="s">
        <v>42</v>
      </c>
      <c r="I17" s="153" t="s">
        <v>85</v>
      </c>
      <c r="J17" s="153" t="s">
        <v>86</v>
      </c>
      <c r="K17" s="153" t="s">
        <v>14</v>
      </c>
      <c r="L17" s="154" t="s">
        <v>43</v>
      </c>
    </row>
    <row r="18">
      <c r="B18" s="100">
        <v>30000.0</v>
      </c>
      <c r="C18" s="101">
        <f>log(((B18/(P8))),N8)/3</f>
        <v>80.27270836</v>
      </c>
      <c r="D18" s="102">
        <v>4.0</v>
      </c>
      <c r="E18" s="103">
        <f>log(((D18/(B10))),N8)/3</f>
        <v>18.14111687</v>
      </c>
      <c r="F18" s="155" t="s">
        <v>44</v>
      </c>
      <c r="G18" s="12"/>
      <c r="H18" s="105">
        <v>2000.0</v>
      </c>
      <c r="I18" s="106">
        <f>round(switch(D11, true, (H18/C15)/C10, false, (H18/C15)/D10),2)</f>
        <v>6.08</v>
      </c>
      <c r="J18" s="156">
        <f>log(((I18/(B10))),N8)/3</f>
        <v>44.54482377</v>
      </c>
      <c r="K18" s="108">
        <f>today()+J18</f>
        <v>45084.54482</v>
      </c>
      <c r="L18" s="109">
        <f>I18*(D13/B10)</f>
        <v>17024</v>
      </c>
    </row>
    <row r="20" ht="37.5" customHeight="1">
      <c r="B20" s="1" t="s">
        <v>87</v>
      </c>
      <c r="C20" s="2"/>
      <c r="D20" s="2"/>
      <c r="E20" s="2"/>
      <c r="F20" s="2"/>
      <c r="G20" s="2"/>
      <c r="H20" s="2"/>
      <c r="I20" s="2"/>
      <c r="J20" s="2"/>
      <c r="K20" s="2"/>
      <c r="L20" s="3"/>
    </row>
    <row r="21">
      <c r="F21" s="110"/>
    </row>
    <row r="28">
      <c r="G28" s="111"/>
    </row>
  </sheetData>
  <mergeCells count="19">
    <mergeCell ref="B3:L3"/>
    <mergeCell ref="B5:L6"/>
    <mergeCell ref="N6:P6"/>
    <mergeCell ref="B7:E7"/>
    <mergeCell ref="F7:L7"/>
    <mergeCell ref="F8:L8"/>
    <mergeCell ref="F9:G9"/>
    <mergeCell ref="F15:G15"/>
    <mergeCell ref="B16:E16"/>
    <mergeCell ref="F17:H17"/>
    <mergeCell ref="F18:G18"/>
    <mergeCell ref="B20:L20"/>
    <mergeCell ref="B8:E8"/>
    <mergeCell ref="B11:C11"/>
    <mergeCell ref="D11:E11"/>
    <mergeCell ref="B12:E12"/>
    <mergeCell ref="B13:C13"/>
    <mergeCell ref="D13:E13"/>
    <mergeCell ref="F14:L14"/>
  </mergeCells>
  <hyperlinks>
    <hyperlink r:id="rId1" ref="N1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3.63"/>
    <col customWidth="1" min="4" max="4" width="16.63"/>
    <col customWidth="1" min="6" max="6" width="16.75"/>
    <col customWidth="1" min="9" max="9" width="17.0"/>
    <col customWidth="1" hidden="1" min="14" max="14" width="14.88"/>
    <col customWidth="1" hidden="1" min="15" max="15" width="17.75"/>
    <col hidden="1" min="16" max="16" width="12.63"/>
  </cols>
  <sheetData>
    <row r="3">
      <c r="B3" s="1" t="s">
        <v>88</v>
      </c>
      <c r="C3" s="2"/>
      <c r="D3" s="2"/>
      <c r="E3" s="2"/>
      <c r="F3" s="2"/>
      <c r="G3" s="2"/>
      <c r="H3" s="2"/>
      <c r="I3" s="2"/>
      <c r="J3" s="2"/>
      <c r="K3" s="2"/>
      <c r="L3" s="3"/>
    </row>
    <row r="4">
      <c r="R4" s="6"/>
    </row>
    <row r="5">
      <c r="B5" s="112" t="s">
        <v>89</v>
      </c>
      <c r="C5" s="8"/>
      <c r="D5" s="8"/>
      <c r="E5" s="8"/>
      <c r="F5" s="8"/>
      <c r="G5" s="8"/>
      <c r="H5" s="8"/>
      <c r="I5" s="8"/>
      <c r="J5" s="8"/>
      <c r="K5" s="8"/>
      <c r="L5" s="9"/>
    </row>
    <row r="6">
      <c r="B6" s="11"/>
      <c r="C6" s="12"/>
      <c r="D6" s="12"/>
      <c r="E6" s="12"/>
      <c r="F6" s="12"/>
      <c r="G6" s="12"/>
      <c r="H6" s="12"/>
      <c r="I6" s="12"/>
      <c r="J6" s="12"/>
      <c r="K6" s="12"/>
      <c r="L6" s="13"/>
      <c r="N6" s="113" t="s">
        <v>2</v>
      </c>
      <c r="O6" s="26"/>
      <c r="P6" s="27"/>
      <c r="R6" s="17"/>
    </row>
    <row r="7">
      <c r="B7" s="114" t="s">
        <v>48</v>
      </c>
      <c r="F7" s="115" t="s">
        <v>49</v>
      </c>
      <c r="L7" s="20"/>
      <c r="N7" s="23" t="s">
        <v>5</v>
      </c>
      <c r="O7" s="23" t="s">
        <v>6</v>
      </c>
      <c r="P7" s="116" t="s">
        <v>7</v>
      </c>
    </row>
    <row r="8">
      <c r="B8" s="117" t="s">
        <v>8</v>
      </c>
      <c r="C8" s="26"/>
      <c r="D8" s="26"/>
      <c r="E8" s="26"/>
      <c r="F8" s="118" t="s">
        <v>9</v>
      </c>
      <c r="G8" s="26"/>
      <c r="H8" s="26"/>
      <c r="I8" s="26"/>
      <c r="J8" s="26"/>
      <c r="K8" s="26"/>
      <c r="L8" s="29"/>
      <c r="M8" s="31"/>
      <c r="N8" s="119">
        <f>1+E10</f>
        <v>1.004297</v>
      </c>
      <c r="O8" s="120">
        <f>B18-(D13)</f>
        <v>24000</v>
      </c>
      <c r="P8" s="121">
        <f>D13</f>
        <v>6000</v>
      </c>
    </row>
    <row r="9">
      <c r="B9" s="122" t="s">
        <v>90</v>
      </c>
      <c r="C9" s="123" t="s">
        <v>91</v>
      </c>
      <c r="D9" s="124" t="s">
        <v>92</v>
      </c>
      <c r="E9" s="124" t="s">
        <v>13</v>
      </c>
      <c r="F9" s="125"/>
      <c r="G9" s="40"/>
      <c r="H9" s="126" t="s">
        <v>14</v>
      </c>
      <c r="I9" s="126" t="s">
        <v>15</v>
      </c>
      <c r="J9" s="126" t="s">
        <v>93</v>
      </c>
      <c r="K9" s="126" t="s">
        <v>54</v>
      </c>
      <c r="L9" s="127" t="s">
        <v>16</v>
      </c>
      <c r="M9" s="23"/>
      <c r="N9" s="23" t="s">
        <v>17</v>
      </c>
    </row>
    <row r="10">
      <c r="B10" s="45">
        <v>3.0</v>
      </c>
      <c r="C10" s="46">
        <f>O14</f>
        <v>2.37</v>
      </c>
      <c r="D10" s="46">
        <v>2000.0</v>
      </c>
      <c r="E10" s="128">
        <v>0.004297</v>
      </c>
      <c r="F10" s="129" t="str">
        <f>"Day(s)"</f>
        <v>Day(s)</v>
      </c>
      <c r="G10" s="48">
        <v>1.0</v>
      </c>
      <c r="H10" s="49">
        <f>today() +G10</f>
        <v>45041</v>
      </c>
      <c r="I10" s="50">
        <f>(1+E10)^((G10)*3)-1</f>
        <v>0.01294647197</v>
      </c>
      <c r="J10" s="130">
        <f>I10*B10</f>
        <v>0.0388394159</v>
      </c>
      <c r="K10" s="52">
        <f t="shared" ref="K10:K13" si="1">round(SWITCH($D$11, true, J10*$C$10, false, J10*$D$10),2)</f>
        <v>77.68</v>
      </c>
      <c r="L10" s="53">
        <f>D13+K10</f>
        <v>6077.68</v>
      </c>
      <c r="M10" s="131"/>
    </row>
    <row r="11">
      <c r="B11" s="132" t="s">
        <v>55</v>
      </c>
      <c r="C11" s="133"/>
      <c r="D11" s="134" t="b">
        <v>0</v>
      </c>
      <c r="E11" s="133"/>
      <c r="F11" s="129" t="s">
        <v>23</v>
      </c>
      <c r="G11" s="59">
        <v>1.0</v>
      </c>
      <c r="H11" s="60">
        <f>today()+7*G11</f>
        <v>45047</v>
      </c>
      <c r="I11" s="61">
        <f>(1+E10)^((7*G11)*3)-1</f>
        <v>0.09422207763</v>
      </c>
      <c r="J11" s="135">
        <f t="shared" ref="J11:J13" si="2">I11*$B$10</f>
        <v>0.2826662329</v>
      </c>
      <c r="K11" s="52">
        <f t="shared" si="1"/>
        <v>565.33</v>
      </c>
      <c r="L11" s="62">
        <f t="shared" ref="L11:L13" si="3">$D$13+K11</f>
        <v>6565.33</v>
      </c>
      <c r="M11" s="131"/>
      <c r="N11" s="64">
        <f>(1+E10)^((G16-today())*3)</f>
        <v>0.002136263583</v>
      </c>
      <c r="O11" s="136">
        <f>(1+E10)^(G10*3)</f>
        <v>1.012946472</v>
      </c>
    </row>
    <row r="12">
      <c r="B12" s="137" t="s">
        <v>56</v>
      </c>
      <c r="F12" s="129" t="s">
        <v>24</v>
      </c>
      <c r="G12" s="59">
        <v>1.0</v>
      </c>
      <c r="H12" s="68">
        <f>today()+30*G12</f>
        <v>45070</v>
      </c>
      <c r="I12" s="61">
        <f>(1+E10)^((30*G12)*3)-1</f>
        <v>0.4709397514</v>
      </c>
      <c r="J12" s="135">
        <f t="shared" si="2"/>
        <v>1.412819254</v>
      </c>
      <c r="K12" s="52">
        <f t="shared" si="1"/>
        <v>2825.64</v>
      </c>
      <c r="L12" s="62">
        <f t="shared" si="3"/>
        <v>8825.64</v>
      </c>
      <c r="M12" s="131"/>
      <c r="N12" s="143"/>
      <c r="O12" s="185"/>
      <c r="P12" s="143"/>
    </row>
    <row r="13">
      <c r="B13" s="138" t="s">
        <v>22</v>
      </c>
      <c r="C13" s="139"/>
      <c r="D13" s="140">
        <f>round(SWITCH(D11, true, C10*B10, false, D10*B10),2)</f>
        <v>6000</v>
      </c>
      <c r="E13" s="139"/>
      <c r="F13" s="129" t="s">
        <v>27</v>
      </c>
      <c r="G13" s="59">
        <v>1.0</v>
      </c>
      <c r="H13" s="68">
        <f>today()+365*G13</f>
        <v>45405</v>
      </c>
      <c r="I13" s="61">
        <f>(1+E10)^((365*G13)*3)-1</f>
        <v>108.413547</v>
      </c>
      <c r="J13" s="135">
        <f t="shared" si="2"/>
        <v>325.2406409</v>
      </c>
      <c r="K13" s="52">
        <f t="shared" si="1"/>
        <v>650481.28</v>
      </c>
      <c r="L13" s="62">
        <f t="shared" si="3"/>
        <v>656481.28</v>
      </c>
      <c r="M13" s="31"/>
      <c r="N13" s="186" t="s">
        <v>94</v>
      </c>
      <c r="O13" s="74" t="s">
        <v>29</v>
      </c>
      <c r="P13" s="143"/>
    </row>
    <row r="14">
      <c r="B14" s="142" t="s">
        <v>30</v>
      </c>
      <c r="C14" s="126" t="s">
        <v>31</v>
      </c>
      <c r="D14" s="126" t="s">
        <v>32</v>
      </c>
      <c r="E14" s="126" t="s">
        <v>33</v>
      </c>
      <c r="F14" s="118" t="s">
        <v>34</v>
      </c>
      <c r="G14" s="26"/>
      <c r="H14" s="26"/>
      <c r="I14" s="26"/>
      <c r="J14" s="26"/>
      <c r="K14" s="26"/>
      <c r="L14" s="29"/>
      <c r="M14" s="23"/>
      <c r="N14" s="143"/>
      <c r="O14" s="77">
        <f>IFERROR(__xludf.DUMMYFUNCTION("IMPORTXML(N13,O13)"),2.37)</f>
        <v>2.37</v>
      </c>
      <c r="P14" s="143"/>
    </row>
    <row r="15">
      <c r="B15" s="144">
        <f>(1+E10)^(3)-1</f>
        <v>0.01294647197</v>
      </c>
      <c r="C15" s="50">
        <f>(1+E10)^((7)*3)-1</f>
        <v>0.09422207763</v>
      </c>
      <c r="D15" s="50">
        <f>(1+E10)^((30)*3)-1</f>
        <v>0.4709397514</v>
      </c>
      <c r="E15" s="50">
        <f>(1+E10)^((365)*3)-1</f>
        <v>108.413547</v>
      </c>
      <c r="F15" s="145"/>
      <c r="G15" s="40"/>
      <c r="H15" s="126" t="s">
        <v>15</v>
      </c>
      <c r="I15" s="126" t="s">
        <v>95</v>
      </c>
      <c r="J15" s="126" t="s">
        <v>35</v>
      </c>
      <c r="K15" s="146" t="s">
        <v>96</v>
      </c>
      <c r="L15" s="147" t="s">
        <v>36</v>
      </c>
      <c r="M15" s="148"/>
      <c r="N15" s="143"/>
      <c r="O15" s="143"/>
      <c r="P15" s="143"/>
    </row>
    <row r="16">
      <c r="B16" s="25" t="s">
        <v>38</v>
      </c>
      <c r="C16" s="26"/>
      <c r="D16" s="26"/>
      <c r="E16" s="26"/>
      <c r="F16" s="149" t="s">
        <v>39</v>
      </c>
      <c r="G16" s="90">
        <v>44562.0</v>
      </c>
      <c r="H16" s="91">
        <f>N11-1</f>
        <v>-0.9978637364</v>
      </c>
      <c r="I16" s="92">
        <f>B10*H16</f>
        <v>-2.993591209</v>
      </c>
      <c r="J16" s="148">
        <f>switch(D11, true, I16*C10, false, I16*D10)</f>
        <v>-5987.182419</v>
      </c>
      <c r="K16" s="94">
        <f>I16+B10</f>
        <v>0.006408790749</v>
      </c>
      <c r="L16" s="53">
        <f>K16*(D13/B10)</f>
        <v>12.8175815</v>
      </c>
      <c r="M16" s="150"/>
    </row>
    <row r="17">
      <c r="B17" s="122" t="s">
        <v>40</v>
      </c>
      <c r="C17" s="126" t="s">
        <v>41</v>
      </c>
      <c r="D17" s="151" t="s">
        <v>97</v>
      </c>
      <c r="E17" s="152" t="s">
        <v>41</v>
      </c>
      <c r="F17" s="97" t="s">
        <v>42</v>
      </c>
      <c r="I17" s="153" t="s">
        <v>98</v>
      </c>
      <c r="J17" s="153" t="s">
        <v>99</v>
      </c>
      <c r="K17" s="153" t="s">
        <v>14</v>
      </c>
      <c r="L17" s="154" t="s">
        <v>43</v>
      </c>
    </row>
    <row r="18">
      <c r="B18" s="100">
        <v>30000.0</v>
      </c>
      <c r="C18" s="101">
        <f>log(((B18/(P8))),N8)/3</f>
        <v>125.1177813</v>
      </c>
      <c r="D18" s="102">
        <v>4.0</v>
      </c>
      <c r="E18" s="103">
        <f>log(((D18/(B10))),N8)/3</f>
        <v>22.36441825</v>
      </c>
      <c r="F18" s="155" t="s">
        <v>44</v>
      </c>
      <c r="G18" s="12"/>
      <c r="H18" s="105">
        <v>2000.0</v>
      </c>
      <c r="I18" s="106">
        <f>round(switch(D11, true, (H18/C15)/C10, false, (H18/C15)/D10),2)</f>
        <v>10.61</v>
      </c>
      <c r="J18" s="156">
        <f>log(((I18/(B10))),N8)/3</f>
        <v>98.20003698</v>
      </c>
      <c r="K18" s="108">
        <f>today()+J18</f>
        <v>45138.20004</v>
      </c>
      <c r="L18" s="109">
        <f>I18*(D13/B10)</f>
        <v>21220</v>
      </c>
    </row>
    <row r="20" ht="37.5" customHeight="1">
      <c r="B20" s="1" t="s">
        <v>100</v>
      </c>
      <c r="C20" s="2"/>
      <c r="D20" s="2"/>
      <c r="E20" s="2"/>
      <c r="F20" s="2"/>
      <c r="G20" s="2"/>
      <c r="H20" s="2"/>
      <c r="I20" s="2"/>
      <c r="J20" s="2"/>
      <c r="K20" s="2"/>
      <c r="L20" s="3"/>
    </row>
    <row r="21">
      <c r="F21" s="110"/>
    </row>
    <row r="28">
      <c r="G28" s="111"/>
    </row>
  </sheetData>
  <mergeCells count="19">
    <mergeCell ref="B3:L3"/>
    <mergeCell ref="B5:L6"/>
    <mergeCell ref="N6:P6"/>
    <mergeCell ref="B7:E7"/>
    <mergeCell ref="F7:L7"/>
    <mergeCell ref="F8:L8"/>
    <mergeCell ref="F9:G9"/>
    <mergeCell ref="F15:G15"/>
    <mergeCell ref="B16:E16"/>
    <mergeCell ref="F17:H17"/>
    <mergeCell ref="F18:G18"/>
    <mergeCell ref="B20:L20"/>
    <mergeCell ref="B8:E8"/>
    <mergeCell ref="B11:C11"/>
    <mergeCell ref="D11:E11"/>
    <mergeCell ref="B12:E12"/>
    <mergeCell ref="B13:C13"/>
    <mergeCell ref="D13:E13"/>
    <mergeCell ref="F14:L14"/>
  </mergeCells>
  <hyperlinks>
    <hyperlink r:id="rId1" ref="N1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25.63"/>
    <col customWidth="1" min="4" max="4" width="28.63"/>
    <col customWidth="1" min="5" max="5" width="26.63"/>
    <col customWidth="1" min="6" max="6" width="25.13"/>
    <col customWidth="1" min="7" max="7" width="29.13"/>
  </cols>
  <sheetData>
    <row r="4">
      <c r="B4" s="187" t="s">
        <v>101</v>
      </c>
      <c r="C4" s="8"/>
      <c r="D4" s="8"/>
      <c r="E4" s="8"/>
      <c r="F4" s="8"/>
      <c r="G4" s="9"/>
    </row>
    <row r="5">
      <c r="B5" s="188"/>
      <c r="G5" s="20"/>
    </row>
    <row r="6">
      <c r="B6" s="189"/>
      <c r="C6" s="190" t="s">
        <v>102</v>
      </c>
      <c r="D6" s="190" t="s">
        <v>103</v>
      </c>
      <c r="E6" s="190" t="s">
        <v>104</v>
      </c>
      <c r="F6" s="191" t="s">
        <v>105</v>
      </c>
      <c r="G6" s="192" t="s">
        <v>106</v>
      </c>
    </row>
    <row r="7">
      <c r="B7" s="193" t="s">
        <v>107</v>
      </c>
      <c r="C7" s="194">
        <f>OHMCalc!B10</f>
        <v>23</v>
      </c>
      <c r="D7" s="194">
        <f>TIMECalc!B10</f>
        <v>1</v>
      </c>
      <c r="E7" s="194">
        <f>KLIMACalc!B10</f>
        <v>3</v>
      </c>
      <c r="F7" s="195">
        <f>GYROCalc!B10</f>
        <v>3</v>
      </c>
      <c r="G7" s="196"/>
    </row>
    <row r="8">
      <c r="B8" s="197" t="s">
        <v>108</v>
      </c>
      <c r="C8" s="198">
        <f>SWITCH(C7=0, true, "ngmi", false, OHMCalc!K10)</f>
        <v>14.75528428</v>
      </c>
      <c r="D8" s="199">
        <f>SWITCH(D7=0, true, "ngmi", false, TIMECalc!K10)</f>
        <v>0.22</v>
      </c>
      <c r="E8" s="199">
        <f>SWITCH(E7=0, true, "ngmi", false, KLIMACalc!K10)</f>
        <v>134.27</v>
      </c>
      <c r="F8" s="200">
        <f>SWITCH(F7=0, true, "ngmi", false, GYROCalc!K10)</f>
        <v>77.68</v>
      </c>
      <c r="G8" s="201">
        <f t="shared" ref="G8:G11" si="1">SUM(C8:F8)</f>
        <v>226.9252843</v>
      </c>
    </row>
    <row r="9">
      <c r="B9" s="202" t="s">
        <v>109</v>
      </c>
      <c r="C9" s="203">
        <f>SWITCH(C7=0, true, "ngmi", false, OHMCalc!K11)</f>
        <v>106.653515</v>
      </c>
      <c r="D9" s="203">
        <f>SWITCH(D7=0, true, "ngmi", false, TIMECalc!K11)</f>
        <v>1.64</v>
      </c>
      <c r="E9" s="203">
        <f>SWITCH(E7=0, true, "ngmi", false, KLIMACalc!K11)</f>
        <v>986.17</v>
      </c>
      <c r="F9" s="204">
        <f>SWITCH(F7=0, true, "ngmi", false, GYROCalc!K11)</f>
        <v>565.33</v>
      </c>
      <c r="G9" s="205">
        <f t="shared" si="1"/>
        <v>1659.793515</v>
      </c>
    </row>
    <row r="10">
      <c r="B10" s="202" t="s">
        <v>110</v>
      </c>
      <c r="C10" s="203">
        <f>SWITCH(C7=0, true, "ngmi", false, OHMCalc!K12)</f>
        <v>518.5059948</v>
      </c>
      <c r="D10" s="203">
        <f>SWITCH(D7=0, true, "ngmi", false, TIMECalc!K12)</f>
        <v>8.74</v>
      </c>
      <c r="E10" s="203">
        <f>SWITCH(E7=0, true, "ngmi", false, KLIMACalc!K12)</f>
        <v>5117.32</v>
      </c>
      <c r="F10" s="204">
        <f>SWITCH(F7=0, true, "ngmi", false, GYROCalc!K12)</f>
        <v>2825.64</v>
      </c>
      <c r="G10" s="205">
        <f t="shared" si="1"/>
        <v>8470.205995</v>
      </c>
    </row>
    <row r="11">
      <c r="B11" s="206" t="s">
        <v>111</v>
      </c>
      <c r="C11" s="207">
        <f>SWITCH(C7=0, true, "ngmi", false, OHMCalc!K13)</f>
        <v>65225.08048</v>
      </c>
      <c r="D11" s="207">
        <f>SWITCH(D7=0, true, "ngmi", false, TIMECalc!K13)</f>
        <v>8605.76</v>
      </c>
      <c r="E11" s="207">
        <f>SWITCH(E7=0, true, "ngmi", false, KLIMACalc!K13)</f>
        <v>2733500.46</v>
      </c>
      <c r="F11" s="207">
        <f>SWITCH(F7=0, true, "ngmi", false, GYROCalc!K13)</f>
        <v>650481.28</v>
      </c>
      <c r="G11" s="208">
        <f t="shared" si="1"/>
        <v>3457812.58</v>
      </c>
    </row>
  </sheetData>
  <mergeCells count="2">
    <mergeCell ref="B4:G5"/>
    <mergeCell ref="G6:G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2.38"/>
  </cols>
  <sheetData>
    <row r="4">
      <c r="C4" s="209"/>
      <c r="D4" s="209"/>
    </row>
    <row r="8">
      <c r="C8" s="210" t="s">
        <v>112</v>
      </c>
      <c r="D8" s="9"/>
    </row>
    <row r="9">
      <c r="C9" s="211" t="s">
        <v>113</v>
      </c>
      <c r="D9" s="20"/>
    </row>
    <row r="10">
      <c r="C10" s="212" t="s">
        <v>114</v>
      </c>
      <c r="D10" s="20"/>
    </row>
    <row r="11">
      <c r="C11" s="213" t="s">
        <v>115</v>
      </c>
      <c r="D11" s="214"/>
    </row>
    <row r="12">
      <c r="C12" s="215" t="s">
        <v>116</v>
      </c>
      <c r="D12" s="216" t="s">
        <v>117</v>
      </c>
    </row>
    <row r="13">
      <c r="C13" s="217" t="s">
        <v>118</v>
      </c>
      <c r="D13" s="218" t="s">
        <v>119</v>
      </c>
    </row>
  </sheetData>
  <mergeCells count="4">
    <mergeCell ref="C8:D8"/>
    <mergeCell ref="C9:D9"/>
    <mergeCell ref="C10:D10"/>
    <mergeCell ref="C11:D11"/>
  </mergeCells>
  <hyperlinks>
    <hyperlink r:id="rId1" ref="D13"/>
  </hyperlinks>
  <drawing r:id="rId2"/>
</worksheet>
</file>