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reversey\Desktop\Financial\"/>
    </mc:Choice>
  </mc:AlternateContent>
  <xr:revisionPtr revIDLastSave="0" documentId="13_ncr:1_{11E317B4-99E9-40D0-AA06-6CD1A971CADA}" xr6:coauthVersionLast="47" xr6:coauthVersionMax="47" xr10:uidLastSave="{00000000-0000-0000-0000-000000000000}"/>
  <bookViews>
    <workbookView xWindow="-120" yWindow="-120" windowWidth="29040" windowHeight="15720" activeTab="1" xr2:uid="{60BA7B9C-F08D-43D3-BBDD-5D9C0BEB7866}"/>
  </bookViews>
  <sheets>
    <sheet name="CCET" sheetId="1" r:id="rId1"/>
    <sheet name="SUS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J30" i="2"/>
  <c r="H11" i="2"/>
  <c r="I11" i="2"/>
  <c r="J11" i="2"/>
  <c r="K11" i="2"/>
  <c r="L11" i="2"/>
  <c r="M11" i="2"/>
  <c r="N11" i="2"/>
  <c r="D43" i="1"/>
  <c r="D44" i="1"/>
  <c r="D42" i="1"/>
  <c r="D34" i="2" l="1"/>
  <c r="D14" i="2" l="1"/>
  <c r="D10" i="2"/>
  <c r="D9" i="2"/>
  <c r="D8" i="2"/>
  <c r="D7" i="2"/>
  <c r="D6" i="2"/>
  <c r="D11" i="2" l="1"/>
  <c r="E11" i="2"/>
  <c r="F11" i="2"/>
  <c r="G11" i="2"/>
  <c r="K17" i="2" l="1"/>
  <c r="K22" i="2" s="1"/>
  <c r="L17" i="2"/>
  <c r="L22" i="2" s="1"/>
  <c r="M17" i="2"/>
  <c r="M22" i="2" s="1"/>
  <c r="N17" i="2"/>
  <c r="N22" i="2" s="1"/>
  <c r="D18" i="2"/>
  <c r="D23" i="2" s="1"/>
  <c r="E18" i="2"/>
  <c r="E23" i="2" s="1"/>
  <c r="F18" i="2"/>
  <c r="F23" i="2" s="1"/>
  <c r="G18" i="2"/>
  <c r="G23" i="2" s="1"/>
  <c r="H18" i="2"/>
  <c r="H23" i="2" s="1"/>
  <c r="I18" i="2"/>
  <c r="I23" i="2" s="1"/>
  <c r="J18" i="2"/>
  <c r="J23" i="2" s="1"/>
  <c r="K18" i="2"/>
  <c r="K23" i="2" s="1"/>
  <c r="L18" i="2"/>
  <c r="L23" i="2" s="1"/>
  <c r="D17" i="2"/>
  <c r="D22" i="2" s="1"/>
  <c r="E17" i="2"/>
  <c r="E22" i="2" s="1"/>
  <c r="F17" i="2"/>
  <c r="F22" i="2" s="1"/>
  <c r="G17" i="2"/>
  <c r="G22" i="2" s="1"/>
  <c r="H17" i="2"/>
  <c r="H22" i="2" s="1"/>
  <c r="I17" i="2"/>
  <c r="I22" i="2" s="1"/>
  <c r="J17" i="2"/>
  <c r="J22" i="2" s="1"/>
  <c r="D16" i="2"/>
  <c r="D21" i="2" s="1"/>
  <c r="E16" i="2"/>
  <c r="E21" i="2" s="1"/>
  <c r="F16" i="2"/>
  <c r="F21" i="2" s="1"/>
  <c r="G16" i="2"/>
  <c r="G21" i="2" s="1"/>
  <c r="H16" i="2"/>
  <c r="H21" i="2" s="1"/>
  <c r="I16" i="2"/>
  <c r="I21" i="2" s="1"/>
  <c r="J16" i="2"/>
  <c r="J21" i="2" s="1"/>
  <c r="K16" i="2"/>
  <c r="K21" i="2" s="1"/>
  <c r="L16" i="2"/>
  <c r="L21" i="2" s="1"/>
  <c r="J26" i="2" l="1"/>
  <c r="J27" i="2" s="1"/>
  <c r="F18" i="1"/>
  <c r="D18" i="1"/>
  <c r="E18" i="1"/>
  <c r="G18" i="1"/>
  <c r="N18" i="2"/>
  <c r="N23" i="2" s="1"/>
  <c r="M18" i="2"/>
  <c r="M23" i="2" s="1"/>
  <c r="N16" i="2"/>
  <c r="N21" i="2" s="1"/>
  <c r="M16" i="2"/>
  <c r="M21" i="2" s="1"/>
  <c r="K26" i="2" l="1"/>
  <c r="K27" i="2" s="1"/>
  <c r="K30" i="2" s="1"/>
  <c r="K32" i="2" s="1"/>
  <c r="J39" i="2" s="1"/>
  <c r="I26" i="2"/>
  <c r="I27" i="2" s="1"/>
  <c r="I30" i="2" s="1"/>
  <c r="I32" i="2" s="1"/>
  <c r="J37" i="2" s="1"/>
  <c r="J32" i="2"/>
  <c r="J38" i="2" s="1"/>
  <c r="D2" i="2"/>
  <c r="D17" i="1"/>
  <c r="D16" i="1"/>
  <c r="D28" i="1"/>
  <c r="D2" i="1"/>
  <c r="G16" i="1"/>
  <c r="F16" i="1"/>
  <c r="E16" i="1"/>
  <c r="H31" i="1"/>
  <c r="I38" i="2" l="1"/>
  <c r="H38" i="2" s="1"/>
  <c r="M38" i="2"/>
  <c r="L38" i="2" s="1"/>
  <c r="I37" i="2"/>
  <c r="H37" i="2" s="1"/>
  <c r="M37" i="2"/>
  <c r="L37" i="2" s="1"/>
  <c r="M39" i="2"/>
  <c r="L39" i="2" s="1"/>
  <c r="I39" i="2"/>
  <c r="H39" i="2" s="1"/>
  <c r="D24" i="1"/>
  <c r="D25" i="1"/>
  <c r="D29" i="1" s="1"/>
  <c r="G29" i="1" s="1"/>
  <c r="E25" i="1"/>
  <c r="E17" i="1"/>
  <c r="E24" i="1" s="1"/>
  <c r="D23" i="1"/>
  <c r="D27" i="1" s="1"/>
  <c r="E23" i="1"/>
  <c r="D11" i="1"/>
  <c r="E11" i="1"/>
  <c r="F11" i="1"/>
  <c r="D37" i="2" l="1"/>
  <c r="E37" i="2" s="1"/>
  <c r="D38" i="2"/>
  <c r="E38" i="2" s="1"/>
  <c r="D39" i="2"/>
  <c r="E39" i="2" s="1"/>
  <c r="G27" i="1"/>
  <c r="G28" i="1"/>
  <c r="G23" i="1"/>
  <c r="G25" i="1"/>
  <c r="G11" i="1"/>
  <c r="G17" i="1"/>
  <c r="G24" i="1" s="1"/>
  <c r="F17" i="1"/>
  <c r="F24" i="1" s="1"/>
  <c r="H24" i="1" s="1"/>
  <c r="F25" i="1" l="1"/>
  <c r="H25" i="1" s="1"/>
  <c r="D35" i="1" s="1"/>
  <c r="F23" i="1"/>
  <c r="H23" i="1" s="1"/>
  <c r="D33" i="1" s="1"/>
  <c r="G33" i="1" s="1"/>
  <c r="D38" i="1" s="1"/>
  <c r="D34" i="1"/>
  <c r="G34" i="1" s="1"/>
  <c r="D40" i="1" l="1"/>
  <c r="E40" i="1" s="1"/>
  <c r="F40" i="1" s="1"/>
  <c r="G35" i="1"/>
  <c r="E38" i="1"/>
  <c r="F38" i="1" s="1"/>
  <c r="D39" i="1"/>
  <c r="E39" i="1" l="1"/>
  <c r="F39" i="1" s="1"/>
</calcChain>
</file>

<file path=xl/sharedStrings.xml><?xml version="1.0" encoding="utf-8"?>
<sst xmlns="http://schemas.openxmlformats.org/spreadsheetml/2006/main" count="107" uniqueCount="76">
  <si>
    <t>Net borrowing</t>
  </si>
  <si>
    <t>FCFE</t>
  </si>
  <si>
    <t>บริษัท แคล-คอมพ์ อีเล็คโทรนิคส์ (ประเทศไทย) จำกัด (มหาชน) และบริษัทย่อย</t>
  </si>
  <si>
    <t>กำไรสุทธิ</t>
  </si>
  <si>
    <t>CapEx</t>
  </si>
  <si>
    <t>Working Capital(WC)</t>
  </si>
  <si>
    <t>FCFF</t>
  </si>
  <si>
    <t>EBITDA</t>
  </si>
  <si>
    <t xml:space="preserve">EBIT </t>
  </si>
  <si>
    <t>รายการ</t>
  </si>
  <si>
    <t>Tax-rate</t>
  </si>
  <si>
    <t>DCF Model</t>
  </si>
  <si>
    <t>FCF</t>
  </si>
  <si>
    <t>PV_FCFF</t>
  </si>
  <si>
    <t>PV_FCFE</t>
  </si>
  <si>
    <t>PV_FCF</t>
  </si>
  <si>
    <t>CFO</t>
  </si>
  <si>
    <t>PE</t>
  </si>
  <si>
    <t>ค่าเสื่อมราคา (D&amp;A)</t>
  </si>
  <si>
    <t>WACC = 10%</t>
  </si>
  <si>
    <t>g  = 2%</t>
  </si>
  <si>
    <t xml:space="preserve"> (งวด 9 เดือน 2567)</t>
  </si>
  <si>
    <t>Terminal Value (TV_FCFF)</t>
  </si>
  <si>
    <t>Terminal Value (TV_FCFE)</t>
  </si>
  <si>
    <t>Terminal Value (TV_FCF)</t>
  </si>
  <si>
    <t>PV_TV_FCFF</t>
  </si>
  <si>
    <t>PV_TV_FCF</t>
  </si>
  <si>
    <t>PV_TV_FCFE</t>
  </si>
  <si>
    <t>total liabilities</t>
  </si>
  <si>
    <t>TV_FCFE = FCFE_n+1/ r_e - g</t>
  </si>
  <si>
    <t>(Cost of Equity) r_e = 10%</t>
  </si>
  <si>
    <t>TV_FCFF = FCFF_n+1 /  WACC - g</t>
  </si>
  <si>
    <t>TV_FCF_n+1 / WACC - g</t>
  </si>
  <si>
    <t>Equity Value FCFF</t>
  </si>
  <si>
    <t>Equity Value FCFE</t>
  </si>
  <si>
    <t>Equity Value FCF</t>
  </si>
  <si>
    <t>Free Cash Flow to the firm</t>
  </si>
  <si>
    <t>Free cash Flow to Equity</t>
  </si>
  <si>
    <t>Free cash Flow</t>
  </si>
  <si>
    <t>Intrinsic Value </t>
  </si>
  <si>
    <t>Intrinsic Value per Share</t>
  </si>
  <si>
    <t>Beta : 1.23</t>
  </si>
  <si>
    <t>(หน่วย: บาท)</t>
  </si>
  <si>
    <t>CAPM</t>
  </si>
  <si>
    <t>สมมุติฐาน</t>
  </si>
  <si>
    <t>ปัจจัยต่างๆ</t>
  </si>
  <si>
    <t>สภาพเศรษฐกิจ</t>
  </si>
  <si>
    <t>Tax-Rate = 35%</t>
  </si>
  <si>
    <t xml:space="preserve"> (งวด 3 เดือน 2567)</t>
  </si>
  <si>
    <t xml:space="preserve"> (งวด 6 เดือน 2567)</t>
  </si>
  <si>
    <t xml:space="preserve"> (งวด 12 เดือน 2567)</t>
  </si>
  <si>
    <t>(หน่วย: พันบาท)</t>
  </si>
  <si>
    <t>บริษัท ซัสโก้ จำกัด (มหาชน) และบริษัทย่อย</t>
  </si>
  <si>
    <t>Beta : 1.31</t>
  </si>
  <si>
    <t xml:space="preserve">weight : D&amp;A , CapEx 0.5 </t>
  </si>
  <si>
    <t>ผลรวม 7 ปี</t>
  </si>
  <si>
    <t>ผลรวมทั้งหมด</t>
  </si>
  <si>
    <t>(TV_FCFF)</t>
  </si>
  <si>
    <t>(TV_FCFE)</t>
  </si>
  <si>
    <t>(TV_FCF)</t>
  </si>
  <si>
    <t>WACC</t>
  </si>
  <si>
    <t>g</t>
  </si>
  <si>
    <t>Cost of Equity</t>
  </si>
  <si>
    <t>(FCFF)</t>
  </si>
  <si>
    <t>(FCFE)</t>
  </si>
  <si>
    <t>(FCF)</t>
  </si>
  <si>
    <t>DCF Model (PV + TV)</t>
  </si>
  <si>
    <t>หนี้สินรวม</t>
  </si>
  <si>
    <t>weight = 1/3</t>
  </si>
  <si>
    <t>Intrinsic Value  per shares</t>
  </si>
  <si>
    <t>(PE)  Average of sector</t>
  </si>
  <si>
    <t>(PE) Now</t>
  </si>
  <si>
    <t>Value</t>
  </si>
  <si>
    <t>Market Cap</t>
  </si>
  <si>
    <t>กำไรต่อสาขา</t>
  </si>
  <si>
    <t xml:space="preserve">Margin of Safety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</si>
</sst>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_(* #,##0_);[Red]_(* \(#,##0\);_(* &quot;-&quot;_);_(@_)"/>
    <numFmt numFmtId="166" formatCode="&quot;วันที่&quot;\ ว\ ดดดด\ ปปปป"/>
    <numFmt numFmtId="167" formatCode="_-* #,##0.00_-;\-* #,##0.00_-;_-* &quot;-&quot;??_-;_-@_-"/>
    <numFmt numFmtId="168" formatCode="d\.m\.yy\ h:mm"/>
    <numFmt numFmtId="169" formatCode="d\ ดดด\ bb"/>
    <numFmt numFmtId="170" formatCode="_-* #,##0\ _F_-;\-* #,##0\ _F_-;_-* &quot;-&quot;\ _F_-;_-@_-"/>
    <numFmt numFmtId="171" formatCode="#,##0_);[Red]\(#,##0\);"/>
    <numFmt numFmtId="172" formatCode="_-* #,##0.00\ _F_-;\-* #,##0.00\ _F_-;_-* &quot;-&quot;??\ _F_-;_-@_-"/>
    <numFmt numFmtId="173" formatCode=";;;"/>
    <numFmt numFmtId="174" formatCode="ว\ ดดด\ ปป"/>
    <numFmt numFmtId="175" formatCode="#,##0.00;[Red]\(#,##0.00\)"/>
    <numFmt numFmtId="176" formatCode="0.0%"/>
    <numFmt numFmtId="177" formatCode="_-* #,##0_-;\-* #,##0_-;_-* &quot;-&quot;_-;_-@_-"/>
    <numFmt numFmtId="178" formatCode="#,##0\ ;\(#,##0\);&quot;-   &quot;\ \ \ "/>
    <numFmt numFmtId="179" formatCode="#,##0\ ;\(#,##0\);&quot;-  &quot;\ \ \ "/>
    <numFmt numFmtId="180" formatCode="0.000"/>
  </numFmts>
  <fonts count="48">
    <font>
      <sz val="11"/>
      <color theme="1"/>
      <name val="Aptos Narrow"/>
      <family val="2"/>
      <scheme val="minor"/>
    </font>
    <font>
      <sz val="16"/>
      <name val="Angsana New"/>
      <family val="1"/>
    </font>
    <font>
      <sz val="16"/>
      <color theme="1"/>
      <name val="Angsana New"/>
      <family val="1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pFont"/>
    </font>
    <font>
      <sz val="10"/>
      <name val="Tms Rmn"/>
    </font>
    <font>
      <sz val="14"/>
      <name val="CordiaUPC"/>
      <family val="2"/>
      <charset val="222"/>
    </font>
    <font>
      <sz val="10"/>
      <name val="MS Sans Serif"/>
      <family val="2"/>
    </font>
    <font>
      <sz val="10"/>
      <name val="MS Sans Serif"/>
      <family val="2"/>
      <charset val="222"/>
    </font>
    <font>
      <sz val="10"/>
      <name val="Arial"/>
      <family val="2"/>
    </font>
    <font>
      <sz val="14"/>
      <name val="Cordia New"/>
      <family val="1"/>
    </font>
    <font>
      <sz val="12"/>
      <name val="Helv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charset val="222"/>
    </font>
    <font>
      <b/>
      <sz val="7"/>
      <name val="Helv"/>
      <charset val="222"/>
    </font>
    <font>
      <sz val="12"/>
      <name val="Tms Rmn"/>
      <charset val="222"/>
    </font>
    <font>
      <sz val="6"/>
      <color indexed="23"/>
      <name val="Helvetica-Black"/>
      <charset val="222"/>
    </font>
    <font>
      <sz val="9.5"/>
      <color indexed="23"/>
      <name val="Helvetica-Black"/>
      <charset val="222"/>
    </font>
    <font>
      <sz val="7"/>
      <name val="Palatino"/>
      <family val="1"/>
      <charset val="222"/>
    </font>
    <font>
      <sz val="7"/>
      <name val="Palatino"/>
      <family val="1"/>
    </font>
    <font>
      <sz val="8"/>
      <name val="Arial"/>
      <family val="2"/>
    </font>
    <font>
      <sz val="6"/>
      <name val="Palatino"/>
      <family val="1"/>
      <charset val="222"/>
    </font>
    <font>
      <sz val="6"/>
      <name val="Palatino"/>
      <family val="1"/>
    </font>
    <font>
      <sz val="28"/>
      <name val="Helvetica-Black"/>
      <charset val="222"/>
    </font>
    <font>
      <sz val="10"/>
      <name val="Helvetica-Black"/>
      <charset val="222"/>
    </font>
    <font>
      <sz val="18"/>
      <name val="Helvetica-Black"/>
      <charset val="222"/>
    </font>
    <font>
      <sz val="10"/>
      <name val="Palatino"/>
      <family val="1"/>
    </font>
    <font>
      <sz val="18"/>
      <name val="Palatino"/>
      <family val="1"/>
      <charset val="222"/>
    </font>
    <font>
      <i/>
      <sz val="14"/>
      <name val="Palatino"/>
      <family val="1"/>
      <charset val="222"/>
    </font>
    <font>
      <sz val="7"/>
      <name val="Small Fonts"/>
      <family val="2"/>
    </font>
    <font>
      <sz val="14"/>
      <name val="Angsana New"/>
      <family val="1"/>
    </font>
    <font>
      <sz val="10"/>
      <name val="Palatino"/>
      <family val="1"/>
      <charset val="222"/>
    </font>
    <font>
      <sz val="12"/>
      <name val="Helvetica-Black"/>
      <charset val="222"/>
    </font>
    <font>
      <sz val="10"/>
      <color indexed="8"/>
      <name val="Arial"/>
      <family val="2"/>
    </font>
    <font>
      <b/>
      <sz val="10"/>
      <name val="Palatino"/>
      <family val="1"/>
      <charset val="222"/>
    </font>
    <font>
      <sz val="9"/>
      <name val="Tms Rmn"/>
    </font>
    <font>
      <sz val="12"/>
      <name val="Palatino"/>
      <family val="1"/>
      <charset val="222"/>
    </font>
    <font>
      <sz val="11"/>
      <name val="Helvetica-Black"/>
      <charset val="222"/>
    </font>
    <font>
      <u/>
      <sz val="7.5"/>
      <color indexed="12"/>
      <name val="Arial"/>
      <family val="2"/>
    </font>
    <font>
      <sz val="12"/>
      <name val="ทsฒำฉ๚ล้"/>
      <family val="1"/>
      <charset val="136"/>
    </font>
    <font>
      <u/>
      <sz val="7.5"/>
      <color indexed="36"/>
      <name val="Arial"/>
      <family val="2"/>
    </font>
    <font>
      <sz val="12"/>
      <name val="新細明體"/>
      <charset val="136"/>
    </font>
    <font>
      <b/>
      <sz val="16"/>
      <name val="Angsana New"/>
      <family val="1"/>
    </font>
    <font>
      <sz val="15"/>
      <name val="Angsana New"/>
      <family val="1"/>
    </font>
    <font>
      <sz val="16"/>
      <color indexed="8"/>
      <name val="Angsana New"/>
      <family val="1"/>
    </font>
    <font>
      <sz val="16"/>
      <color rgb="FFFF0000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31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164" fontId="6" fillId="0" borderId="0" applyFill="0" applyBorder="0" applyAlignment="0" applyProtection="0"/>
    <xf numFmtId="40" fontId="6" fillId="0" borderId="0" applyFill="0" applyBorder="0" applyAlignment="0" applyProtection="0"/>
    <xf numFmtId="165" fontId="7" fillId="2" borderId="0" applyFill="0" applyBorder="0" applyAlignment="0">
      <alignment vertical="top"/>
    </xf>
    <xf numFmtId="166" fontId="7" fillId="0" borderId="0" applyFill="0" applyBorder="0" applyAlignment="0" applyProtection="0"/>
    <xf numFmtId="38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7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1" fontId="11" fillId="0" borderId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8" fontId="12" fillId="0" borderId="0"/>
    <xf numFmtId="0" fontId="13" fillId="0" borderId="0">
      <alignment horizontal="left"/>
    </xf>
    <xf numFmtId="0" fontId="14" fillId="0" borderId="0"/>
    <xf numFmtId="0" fontId="15" fillId="0" borderId="0">
      <alignment horizontal="left"/>
    </xf>
    <xf numFmtId="169" fontId="7" fillId="2" borderId="1" applyFill="0" applyBorder="0" applyAlignment="0">
      <alignment horizontal="right"/>
    </xf>
    <xf numFmtId="170" fontId="12" fillId="0" borderId="0"/>
    <xf numFmtId="171" fontId="16" fillId="3" borderId="0">
      <protection hidden="1"/>
    </xf>
    <xf numFmtId="172" fontId="12" fillId="0" borderId="0"/>
    <xf numFmtId="0" fontId="17" fillId="0" borderId="0" applyNumberFormat="0" applyFill="0" applyBorder="0" applyAlignment="0" applyProtection="0"/>
    <xf numFmtId="0" fontId="18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1" fillId="0" borderId="0">
      <alignment horizontal="left"/>
    </xf>
    <xf numFmtId="38" fontId="22" fillId="4" borderId="0" applyNumberFormat="0" applyBorder="0" applyAlignment="0" applyProtection="0"/>
    <xf numFmtId="0" fontId="23" fillId="0" borderId="0">
      <alignment horizontal="left"/>
    </xf>
    <xf numFmtId="0" fontId="23" fillId="0" borderId="0">
      <alignment horizontal="left"/>
    </xf>
    <xf numFmtId="0" fontId="24" fillId="0" borderId="0">
      <alignment horizontal="left"/>
    </xf>
    <xf numFmtId="0" fontId="25" fillId="0" borderId="2">
      <alignment horizontal="left" vertical="top"/>
    </xf>
    <xf numFmtId="0" fontId="26" fillId="0" borderId="0">
      <alignment horizontal="left"/>
    </xf>
    <xf numFmtId="0" fontId="25" fillId="0" borderId="2">
      <alignment horizontal="left" vertical="top"/>
    </xf>
    <xf numFmtId="0" fontId="27" fillId="0" borderId="2">
      <alignment horizontal="left" vertical="top"/>
    </xf>
    <xf numFmtId="0" fontId="28" fillId="0" borderId="0">
      <alignment horizontal="left"/>
    </xf>
    <xf numFmtId="0" fontId="29" fillId="0" borderId="2">
      <alignment horizontal="left" vertical="top"/>
    </xf>
    <xf numFmtId="0" fontId="30" fillId="0" borderId="0">
      <alignment horizontal="left"/>
    </xf>
    <xf numFmtId="0" fontId="30" fillId="0" borderId="0">
      <alignment horizontal="left"/>
    </xf>
    <xf numFmtId="173" fontId="6" fillId="0" borderId="0" applyFill="0" applyBorder="0" applyAlignment="0" applyProtection="0"/>
    <xf numFmtId="10" fontId="22" fillId="5" borderId="3" applyNumberFormat="0" applyBorder="0" applyAlignment="0" applyProtection="0"/>
    <xf numFmtId="10" fontId="22" fillId="5" borderId="3" applyNumberFormat="0" applyBorder="0" applyAlignment="0" applyProtection="0"/>
    <xf numFmtId="37" fontId="31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8" fillId="0" borderId="0"/>
    <xf numFmtId="0" fontId="10" fillId="0" borderId="0"/>
    <xf numFmtId="0" fontId="7" fillId="0" borderId="0"/>
    <xf numFmtId="0" fontId="33" fillId="0" borderId="0"/>
    <xf numFmtId="0" fontId="34" fillId="0" borderId="0">
      <alignment horizontal="left"/>
    </xf>
    <xf numFmtId="174" fontId="7" fillId="2" borderId="0" applyFill="0" applyBorder="0" applyAlignment="0" applyProtection="0">
      <protection locked="0"/>
    </xf>
    <xf numFmtId="5" fontId="7" fillId="2" borderId="0" applyFill="0" applyBorder="0" applyAlignment="0" applyProtection="0">
      <alignment vertical="top"/>
    </xf>
    <xf numFmtId="175" fontId="7" fillId="0" borderId="0" applyFill="0" applyBorder="0" applyAlignment="0" applyProtection="0"/>
    <xf numFmtId="10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1" fillId="0" borderId="0" applyFont="0" applyFill="0" applyBorder="0" applyAlignment="0" applyProtection="0"/>
    <xf numFmtId="1" fontId="10" fillId="0" borderId="4" applyNumberFormat="0" applyFill="0" applyAlignment="0" applyProtection="0">
      <alignment horizontal="center" vertical="center"/>
    </xf>
    <xf numFmtId="0" fontId="19" fillId="0" borderId="5">
      <alignment vertical="center"/>
    </xf>
    <xf numFmtId="0" fontId="36" fillId="0" borderId="0">
      <alignment horizontal="left"/>
    </xf>
    <xf numFmtId="0" fontId="20" fillId="0" borderId="0">
      <alignment horizontal="left"/>
    </xf>
    <xf numFmtId="0" fontId="28" fillId="0" borderId="0"/>
    <xf numFmtId="0" fontId="26" fillId="0" borderId="0"/>
    <xf numFmtId="0" fontId="20" fillId="0" borderId="0"/>
    <xf numFmtId="0" fontId="37" fillId="0" borderId="0" applyNumberFormat="0" applyFill="0" applyBorder="0" applyAlignment="0" applyProtection="0"/>
    <xf numFmtId="0" fontId="38" fillId="0" borderId="0"/>
    <xf numFmtId="0" fontId="38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10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11" fillId="0" borderId="0"/>
    <xf numFmtId="17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2" fontId="41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3" fillId="0" borderId="0"/>
    <xf numFmtId="0" fontId="4" fillId="0" borderId="0"/>
    <xf numFmtId="0" fontId="5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0" applyNumberFormat="1" applyFont="1"/>
    <xf numFmtId="0" fontId="44" fillId="0" borderId="0" xfId="2" applyFont="1" applyAlignment="1">
      <alignment horizontal="left" vertical="center"/>
    </xf>
    <xf numFmtId="43" fontId="2" fillId="0" borderId="0" xfId="0" applyNumberFormat="1" applyFont="1" applyAlignment="1">
      <alignment vertical="center"/>
    </xf>
    <xf numFmtId="43" fontId="2" fillId="0" borderId="0" xfId="1" applyNumberFormat="1" applyFont="1"/>
    <xf numFmtId="0" fontId="2" fillId="0" borderId="6" xfId="0" applyFont="1" applyBorder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45" fillId="0" borderId="0" xfId="0" applyNumberFormat="1" applyFont="1" applyAlignment="1">
      <alignment vertical="center"/>
    </xf>
    <xf numFmtId="41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41" fontId="1" fillId="0" borderId="7" xfId="0" applyNumberFormat="1" applyFont="1" applyBorder="1" applyAlignment="1">
      <alignment vertical="center"/>
    </xf>
    <xf numFmtId="41" fontId="45" fillId="0" borderId="0" xfId="124" applyNumberFormat="1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43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43" fontId="2" fillId="0" borderId="8" xfId="0" applyNumberFormat="1" applyFont="1" applyBorder="1"/>
    <xf numFmtId="0" fontId="2" fillId="0" borderId="7" xfId="0" applyFont="1" applyBorder="1"/>
    <xf numFmtId="43" fontId="2" fillId="0" borderId="7" xfId="0" applyNumberFormat="1" applyFont="1" applyBorder="1"/>
    <xf numFmtId="0" fontId="2" fillId="7" borderId="0" xfId="0" applyFont="1" applyFill="1"/>
    <xf numFmtId="0" fontId="0" fillId="7" borderId="0" xfId="0" applyFill="1"/>
    <xf numFmtId="43" fontId="2" fillId="0" borderId="0" xfId="1" applyNumberFormat="1" applyFont="1" applyBorder="1"/>
    <xf numFmtId="43" fontId="2" fillId="0" borderId="0" xfId="1" applyNumberFormat="1" applyFont="1" applyBorder="1" applyAlignment="1">
      <alignment horizontal="center" vertical="center"/>
    </xf>
    <xf numFmtId="178" fontId="46" fillId="0" borderId="0" xfId="129" applyNumberFormat="1" applyFont="1" applyFill="1" applyBorder="1" applyAlignment="1">
      <alignment vertical="center"/>
    </xf>
    <xf numFmtId="179" fontId="1" fillId="0" borderId="0" xfId="129" applyNumberFormat="1" applyFont="1" applyFill="1" applyBorder="1"/>
    <xf numFmtId="43" fontId="1" fillId="0" borderId="0" xfId="1" applyNumberFormat="1" applyFont="1" applyBorder="1" applyAlignment="1">
      <alignment vertical="center"/>
    </xf>
    <xf numFmtId="43" fontId="46" fillId="0" borderId="0" xfId="1" applyNumberFormat="1" applyFont="1" applyFill="1" applyBorder="1" applyAlignment="1">
      <alignment vertical="center"/>
    </xf>
    <xf numFmtId="43" fontId="1" fillId="0" borderId="0" xfId="1" applyNumberFormat="1" applyFont="1" applyFill="1" applyBorder="1"/>
    <xf numFmtId="179" fontId="1" fillId="0" borderId="0" xfId="129" applyNumberFormat="1" applyFont="1" applyFill="1" applyBorder="1" applyAlignment="1">
      <alignment vertical="center"/>
    </xf>
    <xf numFmtId="43" fontId="1" fillId="0" borderId="0" xfId="1" applyNumberFormat="1" applyFont="1" applyFill="1" applyBorder="1" applyAlignment="1">
      <alignment vertical="center"/>
    </xf>
    <xf numFmtId="43" fontId="2" fillId="0" borderId="2" xfId="1" applyNumberFormat="1" applyFont="1" applyBorder="1"/>
    <xf numFmtId="43" fontId="1" fillId="0" borderId="2" xfId="1" applyNumberFormat="1" applyFont="1" applyFill="1" applyBorder="1" applyAlignment="1">
      <alignment vertical="center"/>
    </xf>
    <xf numFmtId="0" fontId="0" fillId="7" borderId="2" xfId="0" applyFill="1" applyBorder="1"/>
    <xf numFmtId="43" fontId="2" fillId="0" borderId="11" xfId="0" applyNumberFormat="1" applyFont="1" applyBorder="1"/>
    <xf numFmtId="43" fontId="2" fillId="0" borderId="2" xfId="0" applyNumberFormat="1" applyFont="1" applyBorder="1"/>
    <xf numFmtId="43" fontId="2" fillId="0" borderId="12" xfId="0" applyNumberFormat="1" applyFont="1" applyBorder="1"/>
    <xf numFmtId="43" fontId="0" fillId="0" borderId="0" xfId="0" applyNumberFormat="1"/>
    <xf numFmtId="13" fontId="0" fillId="0" borderId="0" xfId="0" applyNumberFormat="1"/>
    <xf numFmtId="43" fontId="0" fillId="0" borderId="13" xfId="0" applyNumberFormat="1" applyBorder="1"/>
    <xf numFmtId="0" fontId="0" fillId="0" borderId="0" xfId="0" applyAlignment="1">
      <alignment horizontal="center" vertical="center"/>
    </xf>
    <xf numFmtId="0" fontId="0" fillId="7" borderId="8" xfId="0" applyFill="1" applyBorder="1"/>
    <xf numFmtId="43" fontId="2" fillId="0" borderId="14" xfId="0" applyNumberFormat="1" applyFont="1" applyBorder="1"/>
    <xf numFmtId="43" fontId="2" fillId="0" borderId="13" xfId="0" applyNumberFormat="1" applyFont="1" applyBorder="1"/>
    <xf numFmtId="43" fontId="2" fillId="0" borderId="16" xfId="0" applyNumberFormat="1" applyFont="1" applyBorder="1"/>
    <xf numFmtId="43" fontId="2" fillId="0" borderId="1" xfId="0" applyNumberFormat="1" applyFont="1" applyBorder="1"/>
    <xf numFmtId="0" fontId="2" fillId="0" borderId="15" xfId="0" applyFont="1" applyBorder="1" applyAlignment="1">
      <alignment horizontal="center" vertical="center"/>
    </xf>
    <xf numFmtId="43" fontId="2" fillId="0" borderId="10" xfId="0" applyNumberFormat="1" applyFont="1" applyBorder="1"/>
    <xf numFmtId="0" fontId="0" fillId="8" borderId="0" xfId="0" applyFill="1"/>
    <xf numFmtId="43" fontId="1" fillId="0" borderId="9" xfId="1" applyNumberFormat="1" applyFont="1" applyFill="1" applyBorder="1"/>
    <xf numFmtId="43" fontId="2" fillId="0" borderId="14" xfId="1" applyNumberFormat="1" applyFont="1" applyBorder="1"/>
    <xf numFmtId="43" fontId="2" fillId="6" borderId="0" xfId="0" applyNumberFormat="1" applyFont="1" applyFill="1"/>
    <xf numFmtId="43" fontId="2" fillId="7" borderId="0" xfId="0" applyNumberFormat="1" applyFont="1" applyFill="1"/>
    <xf numFmtId="43" fontId="2" fillId="7" borderId="8" xfId="0" applyNumberFormat="1" applyFont="1" applyFill="1" applyBorder="1"/>
    <xf numFmtId="43" fontId="2" fillId="6" borderId="8" xfId="0" applyNumberFormat="1" applyFont="1" applyFill="1" applyBorder="1"/>
    <xf numFmtId="180" fontId="0" fillId="0" borderId="0" xfId="0" applyNumberFormat="1"/>
    <xf numFmtId="0" fontId="0" fillId="0" borderId="6" xfId="0" applyBorder="1" applyAlignment="1">
      <alignment horizontal="center"/>
    </xf>
    <xf numFmtId="9" fontId="2" fillId="0" borderId="0" xfId="130" applyFont="1"/>
    <xf numFmtId="9" fontId="2" fillId="0" borderId="8" xfId="130" applyFont="1" applyBorder="1"/>
    <xf numFmtId="9" fontId="2" fillId="0" borderId="0" xfId="130" applyFont="1" applyBorder="1"/>
    <xf numFmtId="0" fontId="47" fillId="0" borderId="6" xfId="0" applyFont="1" applyBorder="1" applyAlignment="1">
      <alignment horizontal="center" vertical="center"/>
    </xf>
  </cellXfs>
  <cellStyles count="131">
    <cellStyle name="Comma" xfId="129" builtinId="3"/>
    <cellStyle name="Comma (0.0)" xfId="5" xr:uid="{30CB994C-B6B1-4138-A3AA-C3A7D94A88E6}"/>
    <cellStyle name="Comma (0.00)" xfId="6" xr:uid="{B00C2AF2-472E-4853-8E77-5CC76101A86F}"/>
    <cellStyle name="Comma (hidden)" xfId="7" xr:uid="{8A317E1D-2724-48FE-AB2E-606C834E34B1}"/>
    <cellStyle name="Comma (index)" xfId="8" xr:uid="{76C65797-1807-45EC-899C-E85329C05F47}"/>
    <cellStyle name="Comma [0] 2" xfId="9" xr:uid="{2648BB23-A9DA-419D-BBE7-26E5FECC687D}"/>
    <cellStyle name="Comma [0] 3" xfId="10" xr:uid="{0F47061E-46F1-4A15-9C0E-4E8B3872C6D3}"/>
    <cellStyle name="Comma [0] 4" xfId="11" xr:uid="{0CDD82DE-6BA5-4E4E-B6D9-EC02F748BA1D}"/>
    <cellStyle name="Comma [0] 5" xfId="12" xr:uid="{0624A7AE-372B-4120-988D-5B962A5BB12E}"/>
    <cellStyle name="Comma [0] 6" xfId="13" xr:uid="{B984D2A1-E351-4D8E-9483-FD5823AD4C2D}"/>
    <cellStyle name="Comma [0] 7" xfId="14" xr:uid="{E8FD04BD-7C69-4C87-9171-D32DA46B6A43}"/>
    <cellStyle name="Comma 10" xfId="3" xr:uid="{C24ADF3C-25C7-424E-A4D2-4285D437F0B6}"/>
    <cellStyle name="Comma 11" xfId="128" xr:uid="{BBE8BFD7-05F2-4229-AEFD-8C9543261A9E}"/>
    <cellStyle name="Comma 15" xfId="15" xr:uid="{FFB46137-6F38-4C4E-9BAB-F0C7BF9F8D70}"/>
    <cellStyle name="Comma 2" xfId="16" xr:uid="{2EFA1871-2EFD-4C49-AB18-0694628C7BF0}"/>
    <cellStyle name="Comma 2 10" xfId="17" xr:uid="{942D146D-C7D7-49F0-B5F1-49C76B05056B}"/>
    <cellStyle name="Comma 2 11" xfId="18" xr:uid="{F4093CAB-DAC3-4CA2-8F69-D812825C8241}"/>
    <cellStyle name="Comma 2 2" xfId="19" xr:uid="{2E55AD8D-D836-4622-B80C-A2ED5ABF5F97}"/>
    <cellStyle name="Comma 2 3" xfId="20" xr:uid="{346E0A21-7BCB-4FE8-AB79-891B67F1DD3B}"/>
    <cellStyle name="Comma 2 4" xfId="21" xr:uid="{3E2952AF-1E67-4C37-8066-6BB2DF1DF5F5}"/>
    <cellStyle name="Comma 2 5" xfId="22" xr:uid="{D8CA30A1-EF2A-4D7D-BD98-D8905CE80B84}"/>
    <cellStyle name="Comma 2 6" xfId="23" xr:uid="{1D99E9F8-BF5D-43F9-8448-D19EBC9690AA}"/>
    <cellStyle name="Comma 2 7" xfId="24" xr:uid="{1EC9DC04-AEEB-451F-9BAF-739F85C0B645}"/>
    <cellStyle name="Comma 2 8" xfId="25" xr:uid="{28B3074C-619F-4B2A-B2F6-81A97CA9EE88}"/>
    <cellStyle name="Comma 2 9" xfId="26" xr:uid="{26D2D571-6388-4705-8C1D-D5F79464CC71}"/>
    <cellStyle name="Comma 3" xfId="27" xr:uid="{9137122D-1256-4AEF-BB5E-E7030A9D1182}"/>
    <cellStyle name="Comma 3 2" xfId="28" xr:uid="{67D6F184-FDE7-46CA-8672-62DF2A23067B}"/>
    <cellStyle name="Comma 3 3" xfId="29" xr:uid="{8BB83578-223C-4F8B-93BB-68CEE34B4EAB}"/>
    <cellStyle name="Comma 3 4" xfId="30" xr:uid="{660E98A8-21D5-493F-AEAB-2AC51EDFCBF3}"/>
    <cellStyle name="Comma 4" xfId="31" xr:uid="{ED4ADE5E-3A35-482A-872A-5603FC0678BB}"/>
    <cellStyle name="Comma 5" xfId="32" xr:uid="{3F74D965-547C-47A6-BE5B-5F35E181D55F}"/>
    <cellStyle name="Comma 5 2" xfId="33" xr:uid="{E07040D7-C53E-4985-9F3A-2957B83C703E}"/>
    <cellStyle name="Comma 6" xfId="34" xr:uid="{4017B1B6-8F33-4B5A-8611-D79FBAE0CE8B}"/>
    <cellStyle name="Comma 7" xfId="35" xr:uid="{9A90A3A5-42AF-412F-AE18-669DF445D857}"/>
    <cellStyle name="Comma 8" xfId="36" xr:uid="{84FE4149-B18E-46ED-B075-7CECB79A8C7D}"/>
    <cellStyle name="Comma 9" xfId="37" xr:uid="{A03C6E20-5AD1-4E58-91F8-2F09A0B0DE76}"/>
    <cellStyle name="comma zerodec" xfId="38" xr:uid="{36E559A3-8976-4CE9-8549-00A30250E63D}"/>
    <cellStyle name="Cover Date" xfId="39" xr:uid="{FFD01128-79B9-4D15-8958-5B5A35EDC401}"/>
    <cellStyle name="Cover Subtitle" xfId="40" xr:uid="{909A59CB-0B08-4A44-9861-D55272D5A077}"/>
    <cellStyle name="Cover Title" xfId="41" xr:uid="{91C32CA6-9C5B-4BC9-A00D-C92F979ED732}"/>
    <cellStyle name="Currency" xfId="1" builtinId="4"/>
    <cellStyle name="Currency (hidden)" xfId="42" xr:uid="{53CE9393-107E-493A-AFB0-247D7C86909C}"/>
    <cellStyle name="Currency1" xfId="43" xr:uid="{C7F954C3-30C3-4FA5-9CAD-42612B6C9E9E}"/>
    <cellStyle name="Custom" xfId="44" xr:uid="{1F199DFA-E3CA-47E1-9D8F-F924AE3F09E8}"/>
    <cellStyle name="Dollar (zero dec)" xfId="45" xr:uid="{55052699-5B7C-4541-A88E-9F5B9F3FF660}"/>
    <cellStyle name="E&amp;Y House" xfId="46" xr:uid="{F01A2720-689A-4E6B-9A6A-C073476BFC1F}"/>
    <cellStyle name="Footer SBILogo1" xfId="47" xr:uid="{3434D08E-AEB2-4B14-B1C6-8C9816071D52}"/>
    <cellStyle name="Footer SBILogo2" xfId="48" xr:uid="{683D2CF9-25E3-4083-911E-F65B34A4EF00}"/>
    <cellStyle name="Footnote" xfId="49" xr:uid="{3D0FB664-D1AA-41C9-BE63-D07B5C4B299C}"/>
    <cellStyle name="Footnote Reference" xfId="50" xr:uid="{9178DFFB-8B8C-4064-8BAF-A9BDB376512A}"/>
    <cellStyle name="Footnote_BECL WP YE'02" xfId="51" xr:uid="{A3A4E235-D31A-42E6-9F20-7FBF3B4B7D7B}"/>
    <cellStyle name="Grey" xfId="52" xr:uid="{829B74A8-00E7-4CB7-A443-2E25D50C3C78}"/>
    <cellStyle name="Header" xfId="53" xr:uid="{D383E7E1-B58C-44E0-921E-404E80ABAD66}"/>
    <cellStyle name="Header Draft Stamp" xfId="54" xr:uid="{1444A653-CF8C-4331-BE6B-B563ECB6BD0F}"/>
    <cellStyle name="Header_BECL WP YE'02" xfId="55" xr:uid="{84E791C9-F5DD-4504-9496-D837CDD2A17C}"/>
    <cellStyle name="Heading 1 2" xfId="56" xr:uid="{018CB803-1ADD-4E09-B75E-3E82DAAC55EC}"/>
    <cellStyle name="Heading 1 Above" xfId="57" xr:uid="{96761D7A-5DD0-4833-8173-81D1B59E888C}"/>
    <cellStyle name="Heading 1+" xfId="58" xr:uid="{6DFE472B-64AB-400F-8584-34E02CAC1756}"/>
    <cellStyle name="Heading 2 2" xfId="59" xr:uid="{C51A4212-FEDC-418E-93BF-3F48EA76D402}"/>
    <cellStyle name="Heading 2 Below" xfId="60" xr:uid="{863D5916-6889-4874-9505-BE05EA856B51}"/>
    <cellStyle name="Heading 2+" xfId="61" xr:uid="{E601C7F9-C55D-4B06-880E-51F5416AB960}"/>
    <cellStyle name="Heading 3 2" xfId="62" xr:uid="{4737BA09-B19E-49EC-9BF0-427018F38925}"/>
    <cellStyle name="Heading 3+" xfId="63" xr:uid="{EE8A6B70-4349-42EC-A427-E97D749B4EA5}"/>
    <cellStyle name="Hidden" xfId="64" xr:uid="{0ECC285B-6CB5-4472-89DE-CE4EAB9F5B59}"/>
    <cellStyle name="Input [yellow]" xfId="65" xr:uid="{E5DA1FC9-F183-4303-B6C5-6C64B5DFD578}"/>
    <cellStyle name="Input [yellow] 2" xfId="66" xr:uid="{71E83EA3-370E-45CD-84E8-F224B980786E}"/>
    <cellStyle name="no dec" xfId="67" xr:uid="{B78C9DBE-2330-4E72-B05A-8AAFE2E42D70}"/>
    <cellStyle name="Normal" xfId="0" builtinId="0"/>
    <cellStyle name="Normal - Style1" xfId="68" xr:uid="{2847316C-BEEB-44E0-9A59-22762A54934C}"/>
    <cellStyle name="Normal 10" xfId="69" xr:uid="{F337E15D-641F-4C13-94FC-F7902FD67F72}"/>
    <cellStyle name="Normal 10 2" xfId="70" xr:uid="{0D7724BC-F469-42DD-B844-832E673991E6}"/>
    <cellStyle name="Normal 11" xfId="71" xr:uid="{64713A7E-4CEA-4E09-A767-5E5F8F078B4A}"/>
    <cellStyle name="Normal 12" xfId="72" xr:uid="{25234ED5-BB97-49AC-931A-F2DE641FD069}"/>
    <cellStyle name="Normal 13" xfId="73" xr:uid="{25E6D91F-9A73-4A01-BBEA-94CC9B9B5EB8}"/>
    <cellStyle name="Normal 14" xfId="74" xr:uid="{0E1DDDBF-6D06-490E-A495-67A49B38A8E6}"/>
    <cellStyle name="Normal 15" xfId="75" xr:uid="{A50DC1ED-287A-40D1-98FF-C95EBCCB7956}"/>
    <cellStyle name="Normal 16" xfId="76" xr:uid="{188C3747-34FF-49B7-9637-FF99B6AF3DFD}"/>
    <cellStyle name="Normal 17" xfId="77" xr:uid="{57E35FF7-3CA4-4E40-93F5-C872CDA73912}"/>
    <cellStyle name="Normal 18" xfId="78" xr:uid="{CC705B76-8AF9-4CFE-932B-C88AAB1F0988}"/>
    <cellStyle name="Normal 19" xfId="2" xr:uid="{B4A4ABA9-F44C-45C3-B5FA-F866C593228B}"/>
    <cellStyle name="Normal 2" xfId="4" xr:uid="{E4A0B30A-BE08-4F91-9133-338C504C2068}"/>
    <cellStyle name="Normal 2 2" xfId="79" xr:uid="{C33A4CA3-2EE9-4B1C-8F3E-420EABE4F690}"/>
    <cellStyle name="Normal 2 2 2" xfId="126" xr:uid="{36204D5C-BEEA-4EB0-8E55-A1BE842E8FFA}"/>
    <cellStyle name="Normal 2 3" xfId="124" xr:uid="{32700750-5B3F-4527-817F-FAFAC43C12D9}"/>
    <cellStyle name="Normal 20" xfId="127" xr:uid="{1F9EE60D-DEA3-4658-A2B3-3A63E4053A8F}"/>
    <cellStyle name="Normal 3" xfId="80" xr:uid="{DE51CB3B-52C3-4FF5-977C-96B3AA93A2D1}"/>
    <cellStyle name="Normal 3 2" xfId="125" xr:uid="{ADE0BE95-5028-41F3-854A-E8560D8FCE01}"/>
    <cellStyle name="Normal 4" xfId="81" xr:uid="{27888979-C2AC-4542-B7F5-A55BFF546AC7}"/>
    <cellStyle name="Normal 5" xfId="82" xr:uid="{2BD4D8C3-21F2-4A60-B101-AF951AA89FB0}"/>
    <cellStyle name="Normal 6" xfId="83" xr:uid="{F9FDA188-E238-4130-9597-CE4D0100AFA9}"/>
    <cellStyle name="Normal 7" xfId="84" xr:uid="{93ACB2E7-5BEF-4EBA-AA64-20C55D226AD2}"/>
    <cellStyle name="Normal 8" xfId="85" xr:uid="{BD63B7CE-2FA6-4C77-9B23-AF5B0C770A89}"/>
    <cellStyle name="Normal 9" xfId="86" xr:uid="{9803FCCE-B665-4F7E-B7A4-40743EDEBFA7}"/>
    <cellStyle name="NormalGB" xfId="87" xr:uid="{85636DAE-19CC-4F24-8915-22FC9C00DD14}"/>
    <cellStyle name="Page Number" xfId="88" xr:uid="{E8F3FBC4-2A75-4811-ADAC-63C4AD4D6B0E}"/>
    <cellStyle name="Percent" xfId="130" builtinId="5"/>
    <cellStyle name="Percent (0%)" xfId="89" xr:uid="{EDD7D82F-B1BB-40A3-BEFB-959952FAD6E1}"/>
    <cellStyle name="Percent (0.0%)" xfId="90" xr:uid="{1A404824-8945-48CD-BF00-378FC2996918}"/>
    <cellStyle name="Percent (0.00%)" xfId="91" xr:uid="{0A280D6A-7786-4C1B-93D6-F970E64FB2F1}"/>
    <cellStyle name="Percent [2]" xfId="92" xr:uid="{7FC5B1EC-C4DD-4435-AEE7-D723D23EF163}"/>
    <cellStyle name="Percent 2" xfId="93" xr:uid="{C5BD3B8F-F981-47FC-A04F-EAEF66AD296F}"/>
    <cellStyle name="Percent 2 2" xfId="94" xr:uid="{09ABE5C3-B3A9-4627-B80D-3055B71E5AFE}"/>
    <cellStyle name="Percent 3" xfId="95" xr:uid="{7EE3F17C-0AF3-460B-AA09-DC545BC75BA7}"/>
    <cellStyle name="Percent 4" xfId="96" xr:uid="{36972DCB-DE28-423D-9F1B-836BC2F9A1A1}"/>
    <cellStyle name="Percent 5" xfId="97" xr:uid="{7649F7E3-702A-4E05-9DAD-CE193BDF1AAA}"/>
    <cellStyle name="Quantity" xfId="98" xr:uid="{AA850BF5-4C67-404D-971F-2E2574B2AF75}"/>
    <cellStyle name="Salomon Logo" xfId="99" xr:uid="{1E774019-D9CF-4846-9914-4D9CB3D52DD4}"/>
    <cellStyle name="Table Head" xfId="100" xr:uid="{2B6EDDAD-2E1F-414E-9F4D-21773B372F35}"/>
    <cellStyle name="Table Source" xfId="101" xr:uid="{A15AFC1E-4844-43CF-BF62-64BCE6BC7ED2}"/>
    <cellStyle name="Table Text" xfId="102" xr:uid="{1A97259D-DA13-4147-80DB-87B136FC8FAA}"/>
    <cellStyle name="Table Title" xfId="103" xr:uid="{43870CE0-15AB-4C09-94DB-2547E0C7D263}"/>
    <cellStyle name="Table Units" xfId="104" xr:uid="{5B9C3152-7879-4E20-956D-20C9AD68D5D9}"/>
    <cellStyle name="Text" xfId="105" xr:uid="{60C08601-80A3-4CFD-B042-0D3ADB5A268A}"/>
    <cellStyle name="Text 1" xfId="106" xr:uid="{09D8F9EE-D1C7-4FED-9C55-0BC95B7B18DF}"/>
    <cellStyle name="Text 2" xfId="107" xr:uid="{A587762C-BF21-4830-8FD2-363421917511}"/>
    <cellStyle name="Text Head 1" xfId="108" xr:uid="{37E1BEDD-4E91-400E-BC9A-3E5B36F5CDAE}"/>
    <cellStyle name="Text Head 2" xfId="109" xr:uid="{358EE999-A481-4F92-9F41-32E72E09F683}"/>
    <cellStyle name="Text Indent 1" xfId="110" xr:uid="{48FC0832-2729-42BB-BBD7-AF169B317A31}"/>
    <cellStyle name="Text Indent 2" xfId="111" xr:uid="{480ACADC-6FAE-4EA0-8EA7-B394175AE1E8}"/>
    <cellStyle name="TOC 1" xfId="112" xr:uid="{BA18F46B-CFCB-476A-87B2-90046D03FA12}"/>
    <cellStyle name="TOC 2" xfId="113" xr:uid="{C7E07F7F-B17A-4E9D-B1D8-5F8B54CF9432}"/>
    <cellStyle name="เครื่องหมายจุลภาค_200806_1" xfId="114" xr:uid="{EBB5849A-D8B3-4F4E-836B-9EBF34FC1746}"/>
    <cellStyle name="เชื่อมโยงหลายมิติ" xfId="115" xr:uid="{FF38BD12-9866-4C17-8923-02AB893147E6}"/>
    <cellStyle name="ค@ฏ๋_1111D2111DQ2" xfId="116" xr:uid="{0F6EE3FB-CD5D-423F-B0F8-3DDE7BBB7055}"/>
    <cellStyle name="คdคภฆ์[0]_1111D2111DQ2" xfId="117" xr:uid="{403DBD09-AF7D-4423-BC12-39A351598854}"/>
    <cellStyle name="คdคภฆ์_1111D2111DQ1" xfId="118" xr:uid="{C7413F03-E108-441C-A942-269C52F26705}"/>
    <cellStyle name="ณfน๔ [0]_Book1" xfId="119" xr:uid="{BABD6EDF-5257-4F7F-8F5B-D9E2CFB0CC74}"/>
    <cellStyle name="ณfน๔_Book1" xfId="120" xr:uid="{114AD12C-08AC-4994-B020-4EA968D1F82C}"/>
    <cellStyle name="ตามการเชื่อมโยงหลายมิติ" xfId="121" xr:uid="{B1BC3C35-020B-4412-BBF5-A356F3F7B03D}"/>
    <cellStyle name="ปกติ_2002_TSC_Lead_31.12.2002_Update" xfId="122" xr:uid="{CAC234D7-81AC-4DCD-8E03-30E0F1E78879}"/>
    <cellStyle name="一般_Book1" xfId="123" xr:uid="{BEE02A05-5507-4153-A38E-664C3BAB5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SUSCO!$H$16:$N$16</c:f>
              <c:numCache>
                <c:formatCode>_(* #,##0.00_);_(* \(#,##0.00\);_(* "-"??_);_(@_)</c:formatCode>
                <c:ptCount val="7"/>
                <c:pt idx="0">
                  <c:v>2531654.7999999998</c:v>
                </c:pt>
                <c:pt idx="1">
                  <c:v>1737350.8</c:v>
                </c:pt>
                <c:pt idx="2">
                  <c:v>1261279.8</c:v>
                </c:pt>
                <c:pt idx="3">
                  <c:v>1114530.3999999999</c:v>
                </c:pt>
                <c:pt idx="4">
                  <c:v>997962.2</c:v>
                </c:pt>
                <c:pt idx="5">
                  <c:v>789083.2</c:v>
                </c:pt>
                <c:pt idx="6">
                  <c:v>925389.2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EC5-968D-66AA2842BDB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SUSCO!$H$17:$N$17</c:f>
              <c:numCache>
                <c:formatCode>_(* #,##0.00_);_(* \(#,##0.00\);_(* "-"??_);_(@_)</c:formatCode>
                <c:ptCount val="7"/>
                <c:pt idx="0">
                  <c:v>2083016</c:v>
                </c:pt>
                <c:pt idx="1">
                  <c:v>1777969</c:v>
                </c:pt>
                <c:pt idx="2">
                  <c:v>868742</c:v>
                </c:pt>
                <c:pt idx="3">
                  <c:v>492419</c:v>
                </c:pt>
                <c:pt idx="4">
                  <c:v>560094</c:v>
                </c:pt>
                <c:pt idx="5">
                  <c:v>494064</c:v>
                </c:pt>
                <c:pt idx="6">
                  <c:v>293180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C-4EC5-968D-66AA2842BDB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SUSCO!$H$18:$N$18</c:f>
              <c:numCache>
                <c:formatCode>_(* #,##0.00_);_(* \(#,##0.00\);_(* "-"??_);_(@_)</c:formatCode>
                <c:ptCount val="7"/>
                <c:pt idx="0">
                  <c:v>-425895</c:v>
                </c:pt>
                <c:pt idx="1">
                  <c:v>527919</c:v>
                </c:pt>
                <c:pt idx="2">
                  <c:v>1204463</c:v>
                </c:pt>
                <c:pt idx="3">
                  <c:v>875523</c:v>
                </c:pt>
                <c:pt idx="4">
                  <c:v>501401</c:v>
                </c:pt>
                <c:pt idx="5">
                  <c:v>865923</c:v>
                </c:pt>
                <c:pt idx="6">
                  <c:v>604474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2C-4EC5-968D-66AA2842B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6754048"/>
        <c:axId val="256751648"/>
        <c:axId val="0"/>
      </c:bar3DChart>
      <c:catAx>
        <c:axId val="25675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1648"/>
        <c:crosses val="autoZero"/>
        <c:auto val="1"/>
        <c:lblAlgn val="ctr"/>
        <c:lblOffset val="100"/>
        <c:noMultiLvlLbl val="0"/>
      </c:catAx>
      <c:valAx>
        <c:axId val="2567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SUSCO!$D$16:$G$16</c:f>
              <c:numCache>
                <c:formatCode>_(* #,##0.00_);_(* \(#,##0.00\);_(* "-"??_);_(@_)</c:formatCode>
                <c:ptCount val="4"/>
                <c:pt idx="0">
                  <c:v>2023465.5999999999</c:v>
                </c:pt>
                <c:pt idx="1">
                  <c:v>1577374</c:v>
                </c:pt>
                <c:pt idx="2">
                  <c:v>818452</c:v>
                </c:pt>
                <c:pt idx="3">
                  <c:v>684002.8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F-44AE-A58D-EC21E596B4D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SUSCO!$D$17:$G$17</c:f>
              <c:numCache>
                <c:formatCode>_(* #,##0.00_);_(* \(#,##0.00\);_(* "-"??_);_(@_)</c:formatCode>
                <c:ptCount val="4"/>
                <c:pt idx="0">
                  <c:v>1725708.2</c:v>
                </c:pt>
                <c:pt idx="1">
                  <c:v>1420443</c:v>
                </c:pt>
                <c:pt idx="2">
                  <c:v>421228</c:v>
                </c:pt>
                <c:pt idx="3">
                  <c:v>536611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F-44AE-A58D-EC21E596B4D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SUSCO!$D$18:$G$18</c:f>
              <c:numCache>
                <c:formatCode>_(* #,##0.00_);_(* \(#,##0.00\);_(* "-"??_);_(@_)</c:formatCode>
                <c:ptCount val="4"/>
                <c:pt idx="0">
                  <c:v>818034.5</c:v>
                </c:pt>
                <c:pt idx="1">
                  <c:v>700905</c:v>
                </c:pt>
                <c:pt idx="2">
                  <c:v>790412</c:v>
                </c:pt>
                <c:pt idx="3">
                  <c:v>144752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F-44AE-A58D-EC21E596B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4402720"/>
        <c:axId val="1284403680"/>
        <c:axId val="0"/>
      </c:bar3DChart>
      <c:catAx>
        <c:axId val="128440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03680"/>
        <c:crosses val="autoZero"/>
        <c:auto val="1"/>
        <c:lblAlgn val="ctr"/>
        <c:lblOffset val="100"/>
        <c:noMultiLvlLbl val="0"/>
      </c:catAx>
      <c:valAx>
        <c:axId val="12844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0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112059</xdr:colOff>
      <xdr:row>24</xdr:row>
      <xdr:rowOff>57149</xdr:rowOff>
    </xdr:from>
    <xdr:to>
      <xdr:col>13</xdr:col>
      <xdr:colOff>1221442</xdr:colOff>
      <xdr:row>32</xdr:row>
      <xdr:rowOff>280147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A3A303-0585-65DC-C47F-F9E58BE29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56029</xdr:colOff>
      <xdr:row>24</xdr:row>
      <xdr:rowOff>57150</xdr:rowOff>
    </xdr:from>
    <xdr:to>
      <xdr:col>6</xdr:col>
      <xdr:colOff>1311088</xdr:colOff>
      <xdr:row>32</xdr:row>
      <xdr:rowOff>257736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382929-3D0F-E1DB-D580-FAA7AEAF7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FDE1-A22E-496A-B9CC-70065022A2B2}">
  <dimension ref="A1:J74"/>
  <sheetViews>
    <sheetView topLeftCell="A31" workbookViewId="0">
      <selection activeCell="D43" sqref="D43"/>
    </sheetView>
  </sheetViews>
  <sheetFormatPr defaultRowHeight="23.25"/>
  <cols>
    <col min="1" max="1" width="16.7109375" style="1" customWidth="1"/>
    <col min="2" max="2" width="34.5703125" style="1" customWidth="1"/>
    <col min="3" max="3" width="22.28515625" style="1" customWidth="1"/>
    <col min="4" max="4" width="23.42578125" style="1" customWidth="1"/>
    <col min="5" max="5" width="21.85546875" style="1" customWidth="1"/>
    <col min="6" max="6" width="23.140625" style="1" customWidth="1"/>
    <col min="7" max="7" width="21.85546875" style="1" customWidth="1"/>
    <col min="8" max="8" width="18.28515625" style="1" customWidth="1"/>
    <col min="9" max="9" width="9.140625" style="1"/>
    <col min="10" max="10" width="35.42578125" style="1" customWidth="1"/>
    <col min="11" max="16384" width="9.140625" style="1"/>
  </cols>
  <sheetData>
    <row r="1" spans="1:7">
      <c r="A1" s="1" t="s">
        <v>42</v>
      </c>
      <c r="D1" s="10" t="s">
        <v>43</v>
      </c>
    </row>
    <row r="2" spans="1:7">
      <c r="A2" s="4" t="s">
        <v>2</v>
      </c>
      <c r="D2" s="9">
        <f>2.27+1.23*(6.94-2.27)</f>
        <v>8.0140999999999991</v>
      </c>
    </row>
    <row r="4" spans="1:7">
      <c r="B4" s="1" t="s">
        <v>41</v>
      </c>
      <c r="D4" s="3"/>
    </row>
    <row r="5" spans="1:7">
      <c r="B5" s="7" t="s">
        <v>9</v>
      </c>
      <c r="C5" s="7" t="s">
        <v>21</v>
      </c>
      <c r="D5" s="13">
        <v>2566</v>
      </c>
      <c r="E5" s="13">
        <v>2565</v>
      </c>
      <c r="F5" s="7">
        <v>2564</v>
      </c>
      <c r="G5" s="7">
        <v>2563</v>
      </c>
    </row>
    <row r="6" spans="1:7">
      <c r="B6" s="1" t="s">
        <v>3</v>
      </c>
      <c r="C6" s="5"/>
      <c r="D6" s="14">
        <v>1115608613</v>
      </c>
      <c r="E6" s="14">
        <v>810299949</v>
      </c>
      <c r="F6" s="6">
        <v>272953027</v>
      </c>
      <c r="G6" s="8">
        <v>209606760</v>
      </c>
    </row>
    <row r="7" spans="1:7">
      <c r="B7" s="1" t="s">
        <v>18</v>
      </c>
      <c r="C7" s="5"/>
      <c r="D7" s="12">
        <v>2796392776</v>
      </c>
      <c r="E7" s="12">
        <v>2939411637</v>
      </c>
      <c r="F7" s="8">
        <v>2523152559</v>
      </c>
      <c r="G7" s="3">
        <v>2478434662</v>
      </c>
    </row>
    <row r="8" spans="1:7">
      <c r="B8" s="2" t="s">
        <v>5</v>
      </c>
      <c r="C8" s="5"/>
      <c r="D8" s="12">
        <v>-14144743076</v>
      </c>
      <c r="E8" s="12">
        <v>-1963745887</v>
      </c>
      <c r="F8" s="11">
        <v>-1930251862</v>
      </c>
      <c r="G8" s="11">
        <v>834473221</v>
      </c>
    </row>
    <row r="9" spans="1:7">
      <c r="B9" s="1" t="s">
        <v>4</v>
      </c>
      <c r="C9" s="5"/>
      <c r="D9" s="12">
        <v>2998743062</v>
      </c>
      <c r="E9" s="12">
        <v>5606592372</v>
      </c>
      <c r="F9" s="8">
        <v>4048423037</v>
      </c>
      <c r="G9" s="8">
        <v>6635913428</v>
      </c>
    </row>
    <row r="10" spans="1:7">
      <c r="B10" s="1" t="s">
        <v>0</v>
      </c>
      <c r="C10" s="5"/>
      <c r="D10" s="12">
        <v>7923848687</v>
      </c>
      <c r="E10" s="12">
        <v>8796678169</v>
      </c>
      <c r="F10" s="8">
        <v>5693493600</v>
      </c>
      <c r="G10" s="8">
        <v>1476860100</v>
      </c>
    </row>
    <row r="11" spans="1:7">
      <c r="B11" s="1" t="s">
        <v>7</v>
      </c>
      <c r="C11" s="5"/>
      <c r="D11" s="8">
        <f>D6+D7</f>
        <v>3912001389</v>
      </c>
      <c r="E11" s="8">
        <f>E6+E7</f>
        <v>3749711586</v>
      </c>
      <c r="F11" s="8">
        <f>F6+F7</f>
        <v>2796105586</v>
      </c>
      <c r="G11" s="8">
        <f>G6+G7</f>
        <v>2688041422</v>
      </c>
    </row>
    <row r="12" spans="1:7">
      <c r="B12" s="1" t="s">
        <v>8</v>
      </c>
      <c r="C12" s="3"/>
      <c r="D12" s="6">
        <v>2538089682</v>
      </c>
      <c r="E12" s="6">
        <v>1994827225</v>
      </c>
      <c r="F12" s="8">
        <v>1315620127</v>
      </c>
      <c r="G12" s="8">
        <v>1122010155</v>
      </c>
    </row>
    <row r="13" spans="1:7">
      <c r="B13" s="1" t="s">
        <v>10</v>
      </c>
      <c r="C13" s="3"/>
      <c r="D13" s="1">
        <v>0.35</v>
      </c>
      <c r="E13" s="1">
        <v>0.35</v>
      </c>
      <c r="F13" s="1">
        <v>0.35</v>
      </c>
      <c r="G13" s="1">
        <v>0.35</v>
      </c>
    </row>
    <row r="14" spans="1:7">
      <c r="B14" s="1" t="s">
        <v>16</v>
      </c>
      <c r="C14" s="6"/>
      <c r="D14" s="12">
        <v>14045964967</v>
      </c>
      <c r="E14" s="12">
        <v>-2280805339</v>
      </c>
      <c r="F14" s="3">
        <v>-2318280508</v>
      </c>
      <c r="G14" s="3">
        <v>700029614</v>
      </c>
    </row>
    <row r="16" spans="1:7">
      <c r="B16" s="1" t="s">
        <v>6</v>
      </c>
      <c r="C16" s="3"/>
      <c r="D16" s="3">
        <f>D10-D10*D13+D7-D8-D9</f>
        <v>19092894436.549999</v>
      </c>
      <c r="E16" s="3">
        <f>E10-E10*E13+E7-E8-E9</f>
        <v>5014405961.8500004</v>
      </c>
      <c r="F16" s="3">
        <f>F10-F10*F13+F7-F8-F9</f>
        <v>4105752224</v>
      </c>
      <c r="G16" s="3">
        <f>G10-G10*G13+G7-G8-G9</f>
        <v>-4031992922</v>
      </c>
    </row>
    <row r="17" spans="2:10">
      <c r="B17" s="1" t="s">
        <v>1</v>
      </c>
      <c r="C17" s="5"/>
      <c r="D17" s="5">
        <f>D6+D7-D8-D9+D10</f>
        <v>22981850090</v>
      </c>
      <c r="E17" s="5">
        <f>E6+E7-E8-E9+E10</f>
        <v>8903543270</v>
      </c>
      <c r="F17" s="5">
        <f>F6+F7-F8-F9+F10</f>
        <v>6371428011</v>
      </c>
      <c r="G17" s="5">
        <f>G6+G7-G8-G9+G10</f>
        <v>-3305485127</v>
      </c>
    </row>
    <row r="18" spans="2:10">
      <c r="B18" s="1" t="s">
        <v>12</v>
      </c>
      <c r="C18" s="3"/>
      <c r="D18" s="3">
        <f>D14-D9</f>
        <v>11047221905</v>
      </c>
      <c r="E18" s="3">
        <f>E14-E9</f>
        <v>-7887397711</v>
      </c>
      <c r="F18" s="3">
        <f>F14-F9</f>
        <v>-6366703545</v>
      </c>
      <c r="G18" s="3">
        <f>G14-G9</f>
        <v>-5935883814</v>
      </c>
    </row>
    <row r="19" spans="2:10">
      <c r="G19" s="3"/>
    </row>
    <row r="20" spans="2:10">
      <c r="B20" s="1" t="s">
        <v>19</v>
      </c>
      <c r="C20" s="1" t="s">
        <v>47</v>
      </c>
    </row>
    <row r="21" spans="2:10">
      <c r="B21" s="1" t="s">
        <v>20</v>
      </c>
    </row>
    <row r="22" spans="2:10">
      <c r="B22" s="1" t="s">
        <v>30</v>
      </c>
    </row>
    <row r="23" spans="2:10">
      <c r="B23" s="1" t="s">
        <v>13</v>
      </c>
      <c r="D23" s="3">
        <f>D16 / (1 + 0.2) ^ 4</f>
        <v>9207607270.7127705</v>
      </c>
      <c r="E23" s="3">
        <f>E16 / (1 + 0.1) ^ 3</f>
        <v>3767397416.8670163</v>
      </c>
      <c r="F23" s="3">
        <f>F16 / (1 + 0.1) ^ 2</f>
        <v>3393183656.1983466</v>
      </c>
      <c r="G23" s="3">
        <f>G16 / (1 + 0.1) ^ 1</f>
        <v>-3665448110.9090905</v>
      </c>
      <c r="H23" s="3">
        <f>SUM(D23:G23)</f>
        <v>12702740232.869043</v>
      </c>
    </row>
    <row r="24" spans="2:10">
      <c r="B24" s="1" t="s">
        <v>14</v>
      </c>
      <c r="C24" s="9"/>
      <c r="D24" s="3">
        <f>D17 / (1 + 0.2) ^ 4</f>
        <v>11083068137.53858</v>
      </c>
      <c r="E24" s="3">
        <f>E17 / (1 + 0.1) ^ 3</f>
        <v>6689363839.2186308</v>
      </c>
      <c r="F24" s="3">
        <f>F17 / (1 + 0.1) ^ 2</f>
        <v>5265642984.2975197</v>
      </c>
      <c r="G24" s="3">
        <f>G17 / (1 + 0.1) ^ 1</f>
        <v>-3004986479.090909</v>
      </c>
      <c r="H24" s="3">
        <f t="shared" ref="H24:H25" si="0">SUM(D24:G24)</f>
        <v>20033088481.963821</v>
      </c>
    </row>
    <row r="25" spans="2:10">
      <c r="B25" s="1" t="s">
        <v>15</v>
      </c>
      <c r="C25" s="6"/>
      <c r="D25" s="3">
        <f>D18 / (1 + 0.2) ^ 4</f>
        <v>5327556860.0501547</v>
      </c>
      <c r="E25" s="3">
        <f>E18 / (1 + 0.1) ^ 3</f>
        <v>-5925918640.8715229</v>
      </c>
      <c r="F25" s="3">
        <f>F18 / (1 + 0.1) ^ 2</f>
        <v>-5261738466.9421482</v>
      </c>
      <c r="G25" s="3">
        <f>G18 / (1 + 0.1) ^ 1</f>
        <v>-5396258012.727272</v>
      </c>
      <c r="H25" s="3">
        <f t="shared" si="0"/>
        <v>-11256358260.490788</v>
      </c>
    </row>
    <row r="26" spans="2:10">
      <c r="C26" s="6"/>
      <c r="D26" s="6"/>
      <c r="E26" s="6"/>
    </row>
    <row r="27" spans="2:10">
      <c r="B27" s="1" t="s">
        <v>22</v>
      </c>
      <c r="C27" s="8"/>
      <c r="D27" s="8">
        <f>D23  / (0.1 - 0.02)</f>
        <v>115095090883.90962</v>
      </c>
      <c r="F27" s="8" t="s">
        <v>25</v>
      </c>
      <c r="G27" s="3">
        <f>D27 / ( 1 + 0.1)^4</f>
        <v>78611495720.175934</v>
      </c>
      <c r="J27" s="1" t="s">
        <v>31</v>
      </c>
    </row>
    <row r="28" spans="2:10">
      <c r="B28" s="1" t="s">
        <v>23</v>
      </c>
      <c r="C28" s="8"/>
      <c r="D28" s="8">
        <f>D24 / 0.1 - 0.02</f>
        <v>110830681375.36578</v>
      </c>
      <c r="F28" s="8" t="s">
        <v>27</v>
      </c>
      <c r="G28" s="3">
        <f>D28 / ( 1 + 0.1)^4</f>
        <v>75698846646.653748</v>
      </c>
      <c r="J28" s="1" t="s">
        <v>29</v>
      </c>
    </row>
    <row r="29" spans="2:10">
      <c r="B29" s="1" t="s">
        <v>24</v>
      </c>
      <c r="C29" s="8"/>
      <c r="D29" s="8">
        <f>D25  / 0.1 - 0.02</f>
        <v>53275568600.481544</v>
      </c>
      <c r="F29" s="8" t="s">
        <v>26</v>
      </c>
      <c r="G29" s="3">
        <f>D29 / ( 1 + 0.1)^4</f>
        <v>36387930196.353752</v>
      </c>
      <c r="J29" s="1" t="s">
        <v>32</v>
      </c>
    </row>
    <row r="31" spans="2:10">
      <c r="B31" s="1" t="s">
        <v>28</v>
      </c>
      <c r="D31" s="6">
        <v>48102415715</v>
      </c>
      <c r="E31" s="6">
        <v>60876485842</v>
      </c>
      <c r="F31" s="15">
        <v>55423331127</v>
      </c>
      <c r="G31" s="15">
        <v>37540972977</v>
      </c>
      <c r="H31" s="3">
        <f>AVERAGE(D31:G31)</f>
        <v>50485801415.25</v>
      </c>
    </row>
    <row r="32" spans="2:10">
      <c r="B32" s="1" t="s">
        <v>11</v>
      </c>
      <c r="D32" s="3"/>
    </row>
    <row r="33" spans="2:7">
      <c r="B33" s="1" t="s">
        <v>6</v>
      </c>
      <c r="D33" s="3">
        <f>H23+G27</f>
        <v>91314235953.044983</v>
      </c>
      <c r="F33" s="9" t="s">
        <v>33</v>
      </c>
      <c r="G33" s="3">
        <f>D33-D31</f>
        <v>43211820238.044983</v>
      </c>
    </row>
    <row r="34" spans="2:7">
      <c r="B34" s="1" t="s">
        <v>1</v>
      </c>
      <c r="D34" s="3">
        <f t="shared" ref="D34" si="1">H24+G28</f>
        <v>95731935128.617569</v>
      </c>
      <c r="F34" s="9" t="s">
        <v>34</v>
      </c>
      <c r="G34" s="3">
        <f>D34-D31</f>
        <v>47629519413.617569</v>
      </c>
    </row>
    <row r="35" spans="2:7">
      <c r="B35" s="1" t="s">
        <v>12</v>
      </c>
      <c r="D35" s="3">
        <f>H25+G29</f>
        <v>25131571935.862965</v>
      </c>
      <c r="F35" s="9" t="s">
        <v>35</v>
      </c>
      <c r="G35" s="3">
        <f>D35-D31</f>
        <v>-22970843779.137035</v>
      </c>
    </row>
    <row r="37" spans="2:7">
      <c r="B37" s="16">
        <v>2567</v>
      </c>
      <c r="C37" s="17"/>
      <c r="D37" s="7" t="s">
        <v>39</v>
      </c>
      <c r="E37" s="7" t="s">
        <v>40</v>
      </c>
      <c r="F37" s="18" t="s">
        <v>17</v>
      </c>
    </row>
    <row r="38" spans="2:7">
      <c r="B38" s="10" t="s">
        <v>36</v>
      </c>
      <c r="D38" s="3">
        <f>G33 * 10^-6 / 10450</f>
        <v>4.1351024151239217</v>
      </c>
      <c r="E38" s="3">
        <f>D38/50</f>
        <v>8.2702048302478431E-2</v>
      </c>
      <c r="F38" s="3">
        <f>D38/E38</f>
        <v>50</v>
      </c>
    </row>
    <row r="39" spans="2:7">
      <c r="B39" s="9" t="s">
        <v>37</v>
      </c>
      <c r="D39" s="3">
        <f>D34 * 10^-6 / 10450</f>
        <v>9.1609507300112512</v>
      </c>
      <c r="E39" s="3">
        <f t="shared" ref="E39:E40" si="2">D39/50</f>
        <v>0.18321901460022502</v>
      </c>
      <c r="F39" s="3">
        <f t="shared" ref="F39:F40" si="3">D39/E39</f>
        <v>50</v>
      </c>
    </row>
    <row r="40" spans="2:7" ht="24" thickBot="1">
      <c r="B40" s="19" t="s">
        <v>38</v>
      </c>
      <c r="C40" s="20"/>
      <c r="D40" s="21">
        <f>D35 * 10^-6 / 10450</f>
        <v>2.4049351134797097</v>
      </c>
      <c r="E40" s="21">
        <f t="shared" si="2"/>
        <v>4.8098702269594194E-2</v>
      </c>
      <c r="F40" s="21">
        <f t="shared" si="3"/>
        <v>50</v>
      </c>
    </row>
    <row r="41" spans="2:7">
      <c r="D41" s="3"/>
    </row>
    <row r="42" spans="2:7">
      <c r="B42" s="1" t="s">
        <v>44</v>
      </c>
      <c r="D42" s="3">
        <f>30*E38</f>
        <v>2.4810614490743528</v>
      </c>
    </row>
    <row r="43" spans="2:7">
      <c r="B43" s="1" t="s">
        <v>45</v>
      </c>
      <c r="D43" s="3">
        <f t="shared" ref="D43:D44" si="4">30*E39</f>
        <v>5.496570438006751</v>
      </c>
    </row>
    <row r="44" spans="2:7">
      <c r="B44" s="1" t="s">
        <v>46</v>
      </c>
      <c r="D44" s="3">
        <f t="shared" si="4"/>
        <v>1.4429610680878258</v>
      </c>
    </row>
    <row r="49" spans="2:6">
      <c r="B49" s="7" t="s">
        <v>9</v>
      </c>
      <c r="C49" s="7"/>
      <c r="D49" s="7">
        <v>2570</v>
      </c>
      <c r="E49" s="7">
        <v>2569</v>
      </c>
      <c r="F49" s="7">
        <v>2568</v>
      </c>
    </row>
    <row r="73" spans="4:4">
      <c r="D73" s="3"/>
    </row>
    <row r="74" spans="4:4">
      <c r="D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D6E2-0F2C-4C36-9857-A2E17DE541BD}">
  <dimension ref="A1:N43"/>
  <sheetViews>
    <sheetView tabSelected="1" zoomScale="85" zoomScaleNormal="85" workbookViewId="0">
      <selection activeCell="R1" sqref="R1:R1048576"/>
    </sheetView>
  </sheetViews>
  <sheetFormatPr defaultRowHeight="15"/>
  <cols>
    <col min="2" max="2" width="36.5703125" customWidth="1"/>
    <col min="3" max="3" width="18.140625" customWidth="1"/>
    <col min="4" max="4" width="18.28515625" customWidth="1"/>
    <col min="5" max="5" width="18.140625" customWidth="1"/>
    <col min="6" max="6" width="18.7109375" customWidth="1"/>
    <col min="7" max="7" width="20" customWidth="1"/>
    <col min="8" max="8" width="18.28515625" customWidth="1"/>
    <col min="9" max="9" width="18.140625" customWidth="1"/>
    <col min="10" max="10" width="18.28515625" customWidth="1"/>
    <col min="11" max="11" width="21.7109375" customWidth="1"/>
    <col min="12" max="13" width="18.28515625" customWidth="1"/>
    <col min="14" max="14" width="18.5703125" customWidth="1"/>
  </cols>
  <sheetData>
    <row r="1" spans="1:14" ht="23.25">
      <c r="A1" s="1" t="s">
        <v>51</v>
      </c>
      <c r="B1" s="1"/>
      <c r="C1" s="1"/>
      <c r="D1" s="10" t="s">
        <v>43</v>
      </c>
      <c r="E1" s="1"/>
      <c r="F1" s="1"/>
      <c r="G1" s="1"/>
    </row>
    <row r="2" spans="1:14" ht="23.25">
      <c r="A2" s="4" t="s">
        <v>52</v>
      </c>
      <c r="B2" s="1"/>
      <c r="C2" s="1"/>
      <c r="D2" s="9">
        <f>2.27+1.31*(6.94-2.27)</f>
        <v>8.3877000000000006</v>
      </c>
      <c r="E2" s="1"/>
      <c r="F2" s="1"/>
      <c r="G2" s="1"/>
    </row>
    <row r="3" spans="1:14" ht="23.25">
      <c r="A3" s="1"/>
      <c r="B3" s="1"/>
      <c r="C3" s="1"/>
      <c r="D3" s="1"/>
      <c r="E3" s="1"/>
      <c r="F3" s="1"/>
      <c r="G3" s="1"/>
    </row>
    <row r="4" spans="1:14" ht="23.25">
      <c r="A4" s="1"/>
      <c r="B4" s="1" t="s">
        <v>53</v>
      </c>
      <c r="C4" s="1"/>
      <c r="D4" s="3"/>
      <c r="E4" s="1"/>
      <c r="F4" s="1"/>
      <c r="G4" s="1"/>
    </row>
    <row r="5" spans="1:14" ht="23.25">
      <c r="A5" s="1"/>
      <c r="B5" s="7" t="s">
        <v>9</v>
      </c>
      <c r="C5" s="10"/>
      <c r="D5" s="7" t="s">
        <v>50</v>
      </c>
      <c r="E5" s="7" t="s">
        <v>21</v>
      </c>
      <c r="F5" s="7" t="s">
        <v>49</v>
      </c>
      <c r="G5" s="7" t="s">
        <v>48</v>
      </c>
      <c r="H5" s="64">
        <v>2566</v>
      </c>
      <c r="I5" s="7">
        <v>2565</v>
      </c>
      <c r="J5" s="7">
        <v>2564</v>
      </c>
      <c r="K5" s="7">
        <v>2563</v>
      </c>
      <c r="L5" s="7">
        <v>2562</v>
      </c>
      <c r="M5" s="7">
        <v>2561</v>
      </c>
      <c r="N5" s="7">
        <v>2560</v>
      </c>
    </row>
    <row r="6" spans="1:14" ht="23.25">
      <c r="A6" s="1"/>
      <c r="B6" s="1" t="s">
        <v>3</v>
      </c>
      <c r="C6" s="5"/>
      <c r="D6" s="30">
        <f>SUM(E6:G6)</f>
        <v>305305</v>
      </c>
      <c r="E6" s="30">
        <v>141679</v>
      </c>
      <c r="F6" s="26">
        <v>92766</v>
      </c>
      <c r="G6" s="28">
        <v>70860</v>
      </c>
      <c r="H6" s="35">
        <v>1188439</v>
      </c>
      <c r="I6" s="31">
        <v>422079</v>
      </c>
      <c r="J6" s="31">
        <v>233527</v>
      </c>
      <c r="K6" s="31">
        <v>154415</v>
      </c>
      <c r="L6" s="31">
        <v>360065</v>
      </c>
      <c r="M6" s="31">
        <v>137841</v>
      </c>
      <c r="N6" s="31">
        <v>329685</v>
      </c>
    </row>
    <row r="7" spans="1:14" ht="26.25" customHeight="1">
      <c r="A7" s="1"/>
      <c r="B7" s="1" t="s">
        <v>18</v>
      </c>
      <c r="C7" s="5"/>
      <c r="D7" s="30">
        <f>SUM(E7:G7) * 0.5</f>
        <v>352715.5</v>
      </c>
      <c r="E7" s="30">
        <v>356587</v>
      </c>
      <c r="F7" s="27">
        <v>233086</v>
      </c>
      <c r="G7" s="29">
        <v>115758</v>
      </c>
      <c r="H7" s="36">
        <v>440388</v>
      </c>
      <c r="I7" s="34">
        <v>396709</v>
      </c>
      <c r="J7" s="34">
        <v>359758</v>
      </c>
      <c r="K7" s="32">
        <v>341434</v>
      </c>
      <c r="L7" s="32">
        <v>158491</v>
      </c>
      <c r="M7" s="32">
        <v>150606</v>
      </c>
      <c r="N7" s="32">
        <v>138794</v>
      </c>
    </row>
    <row r="8" spans="1:14" ht="23.25" customHeight="1">
      <c r="A8" s="1"/>
      <c r="B8" s="2" t="s">
        <v>5</v>
      </c>
      <c r="C8" s="5"/>
      <c r="D8" s="30">
        <f>SUM(E8:G8) * 0.9</f>
        <v>-453350.7</v>
      </c>
      <c r="E8" s="30">
        <v>-340636</v>
      </c>
      <c r="F8" s="30">
        <v>65160</v>
      </c>
      <c r="G8" s="30">
        <v>-228247</v>
      </c>
      <c r="H8" s="35">
        <v>-762429</v>
      </c>
      <c r="I8" s="34">
        <v>68417</v>
      </c>
      <c r="J8" s="34">
        <v>143557</v>
      </c>
      <c r="K8" s="34">
        <v>-2965</v>
      </c>
      <c r="L8" s="34">
        <v>-196311</v>
      </c>
      <c r="M8" s="32">
        <v>70749</v>
      </c>
      <c r="N8" s="32">
        <v>-126644</v>
      </c>
    </row>
    <row r="9" spans="1:14" ht="23.25">
      <c r="A9" s="1"/>
      <c r="B9" s="1" t="s">
        <v>4</v>
      </c>
      <c r="C9" s="5"/>
      <c r="D9" s="30">
        <f>SUM(E9:G9) * 0.5</f>
        <v>-371103</v>
      </c>
      <c r="E9" s="30">
        <v>-322127</v>
      </c>
      <c r="F9" s="27">
        <v>-278434</v>
      </c>
      <c r="G9" s="27">
        <v>-141645</v>
      </c>
      <c r="H9" s="35">
        <v>300847</v>
      </c>
      <c r="I9" s="34">
        <v>-591242</v>
      </c>
      <c r="J9" s="34">
        <v>-460890</v>
      </c>
      <c r="K9" s="34">
        <v>-233533</v>
      </c>
      <c r="L9" s="34">
        <v>-109553</v>
      </c>
      <c r="M9" s="32">
        <v>-307091</v>
      </c>
      <c r="N9" s="32">
        <v>-227524</v>
      </c>
    </row>
    <row r="10" spans="1:14" ht="23.25">
      <c r="A10" s="1"/>
      <c r="B10" s="1" t="s">
        <v>0</v>
      </c>
      <c r="C10" s="5"/>
      <c r="D10" s="30">
        <f>SUM(E10:G10) * 2</f>
        <v>243234</v>
      </c>
      <c r="E10" s="30">
        <v>259414</v>
      </c>
      <c r="F10" s="27">
        <v>-117898</v>
      </c>
      <c r="G10" s="27">
        <v>-19899</v>
      </c>
      <c r="H10" s="35">
        <v>-7393</v>
      </c>
      <c r="I10" s="34">
        <v>436356</v>
      </c>
      <c r="J10" s="34">
        <v>-41876</v>
      </c>
      <c r="K10" s="34">
        <v>-239928</v>
      </c>
      <c r="L10" s="34">
        <v>-264326</v>
      </c>
      <c r="M10" s="32">
        <v>-30725</v>
      </c>
      <c r="N10" s="32">
        <v>-74419</v>
      </c>
    </row>
    <row r="11" spans="1:14" ht="23.25">
      <c r="A11" s="1"/>
      <c r="B11" s="1" t="s">
        <v>7</v>
      </c>
      <c r="C11" s="5"/>
      <c r="D11" s="26">
        <f t="shared" ref="D11" si="0">D12+D7</f>
        <v>1057870.5</v>
      </c>
      <c r="E11" s="26">
        <f>E12+E7</f>
        <v>697530</v>
      </c>
      <c r="F11" s="26">
        <f t="shared" ref="F11" si="1">F12+F7</f>
        <v>465115</v>
      </c>
      <c r="G11" s="26">
        <f t="shared" ref="G11" si="2">G12+G7</f>
        <v>247941</v>
      </c>
      <c r="H11" s="35">
        <f>H12+H7</f>
        <v>2037106</v>
      </c>
      <c r="I11" s="26">
        <f>I12+I7</f>
        <v>1022271</v>
      </c>
      <c r="J11" s="26">
        <f t="shared" ref="J11" si="3">J12+J7</f>
        <v>730236</v>
      </c>
      <c r="K11" s="26">
        <f t="shared" ref="K11:L11" si="4">K12+K7</f>
        <v>670748</v>
      </c>
      <c r="L11" s="26">
        <f t="shared" si="4"/>
        <v>667009</v>
      </c>
      <c r="M11" s="26">
        <f>M12+M7</f>
        <v>502669</v>
      </c>
      <c r="N11" s="26">
        <f>N12+N7</f>
        <v>540534</v>
      </c>
    </row>
    <row r="12" spans="1:14" ht="23.25">
      <c r="A12" s="1"/>
      <c r="B12" s="1" t="s">
        <v>8</v>
      </c>
      <c r="C12" s="3"/>
      <c r="D12" s="30">
        <f t="shared" ref="D12" si="5">SUM(E12:G12)</f>
        <v>705155</v>
      </c>
      <c r="E12" s="26">
        <v>340943</v>
      </c>
      <c r="F12" s="27">
        <v>232029</v>
      </c>
      <c r="G12" s="27">
        <v>132183</v>
      </c>
      <c r="H12" s="35">
        <v>1596718</v>
      </c>
      <c r="I12" s="26">
        <v>625562</v>
      </c>
      <c r="J12" s="26">
        <v>370478</v>
      </c>
      <c r="K12" s="26">
        <v>329314</v>
      </c>
      <c r="L12" s="26">
        <v>508518</v>
      </c>
      <c r="M12" s="26">
        <v>352063</v>
      </c>
      <c r="N12" s="26">
        <v>401740</v>
      </c>
    </row>
    <row r="13" spans="1:14" ht="23.25">
      <c r="A13" s="1"/>
      <c r="B13" s="1" t="s">
        <v>10</v>
      </c>
      <c r="C13" s="3"/>
      <c r="D13" s="26">
        <v>0.2</v>
      </c>
      <c r="E13" s="26">
        <v>0.2</v>
      </c>
      <c r="F13" s="26">
        <v>0.2</v>
      </c>
      <c r="G13" s="26">
        <v>0.2</v>
      </c>
      <c r="H13" s="35">
        <v>0.2</v>
      </c>
      <c r="I13" s="26">
        <v>0.2</v>
      </c>
      <c r="J13" s="26">
        <v>0.2</v>
      </c>
      <c r="K13" s="26">
        <v>0.2</v>
      </c>
      <c r="L13" s="26">
        <v>0.2</v>
      </c>
      <c r="M13" s="26">
        <v>0.2</v>
      </c>
      <c r="N13" s="26">
        <v>0.2</v>
      </c>
    </row>
    <row r="14" spans="1:14" ht="23.25">
      <c r="A14" s="1"/>
      <c r="B14" s="1" t="s">
        <v>16</v>
      </c>
      <c r="C14" s="6"/>
      <c r="D14" s="30">
        <f>SUM(E14:G14) * 0.5</f>
        <v>446931.5</v>
      </c>
      <c r="E14" s="30">
        <v>378778</v>
      </c>
      <c r="F14" s="26">
        <v>511978</v>
      </c>
      <c r="G14" s="33">
        <v>3107</v>
      </c>
      <c r="H14" s="35">
        <v>-125048</v>
      </c>
      <c r="I14" s="34">
        <v>-63323</v>
      </c>
      <c r="J14" s="34">
        <v>743573</v>
      </c>
      <c r="K14" s="34">
        <v>641990</v>
      </c>
      <c r="L14" s="34">
        <v>391848</v>
      </c>
      <c r="M14" s="32">
        <v>558832</v>
      </c>
      <c r="N14" s="32">
        <v>376950</v>
      </c>
    </row>
    <row r="15" spans="1:14" ht="23.25">
      <c r="A15" s="1"/>
      <c r="B15" s="24"/>
      <c r="C15" s="1"/>
      <c r="D15" s="24"/>
      <c r="E15" s="24"/>
      <c r="F15" s="24"/>
      <c r="G15" s="24"/>
      <c r="H15" s="37"/>
      <c r="I15" s="25"/>
      <c r="J15" s="25"/>
      <c r="K15" s="25"/>
      <c r="L15" s="25"/>
      <c r="M15" s="25"/>
      <c r="N15" s="25"/>
    </row>
    <row r="16" spans="1:14" ht="23.25">
      <c r="A16" s="1"/>
      <c r="B16" s="22" t="s">
        <v>6</v>
      </c>
      <c r="C16" s="3"/>
      <c r="D16" s="23">
        <f t="shared" ref="D16:L16" si="6">D11-D11*D13+D7-D8-D9</f>
        <v>2023465.5999999999</v>
      </c>
      <c r="E16" s="23">
        <f t="shared" si="6"/>
        <v>1577374</v>
      </c>
      <c r="F16" s="23">
        <f t="shared" si="6"/>
        <v>818452</v>
      </c>
      <c r="G16" s="23">
        <f t="shared" si="6"/>
        <v>684002.8</v>
      </c>
      <c r="H16" s="38">
        <f t="shared" si="6"/>
        <v>2531654.7999999998</v>
      </c>
      <c r="I16" s="23">
        <f t="shared" si="6"/>
        <v>1737350.8</v>
      </c>
      <c r="J16" s="23">
        <f t="shared" si="6"/>
        <v>1261279.8</v>
      </c>
      <c r="K16" s="23">
        <f t="shared" si="6"/>
        <v>1114530.3999999999</v>
      </c>
      <c r="L16" s="23">
        <f t="shared" si="6"/>
        <v>997962.2</v>
      </c>
      <c r="M16" s="23">
        <f>M11-M11*M13+M7-M8-M9</f>
        <v>789083.2</v>
      </c>
      <c r="N16" s="23">
        <f>N11-N11*N13+N7-N8-N9</f>
        <v>925389.2</v>
      </c>
    </row>
    <row r="17" spans="1:14" ht="23.25">
      <c r="A17" s="1"/>
      <c r="B17" s="1" t="s">
        <v>1</v>
      </c>
      <c r="C17" s="5"/>
      <c r="D17" s="3">
        <f t="shared" ref="D17:L17" si="7">D6+D7-D8-D9+D10</f>
        <v>1725708.2</v>
      </c>
      <c r="E17" s="3">
        <f>E6+E7-E8-E9+E10</f>
        <v>1420443</v>
      </c>
      <c r="F17" s="3">
        <f t="shared" si="7"/>
        <v>421228</v>
      </c>
      <c r="G17" s="3">
        <f t="shared" si="7"/>
        <v>536611</v>
      </c>
      <c r="H17" s="39">
        <f t="shared" si="7"/>
        <v>2083016</v>
      </c>
      <c r="I17" s="3">
        <f t="shared" si="7"/>
        <v>1777969</v>
      </c>
      <c r="J17" s="3">
        <f t="shared" si="7"/>
        <v>868742</v>
      </c>
      <c r="K17" s="3">
        <f>K6+K7-K8-K9+K10</f>
        <v>492419</v>
      </c>
      <c r="L17" s="3">
        <f t="shared" si="7"/>
        <v>560094</v>
      </c>
      <c r="M17" s="3">
        <f>M6+M7-M8-M9+M10</f>
        <v>494064</v>
      </c>
      <c r="N17" s="3">
        <f>N6+N7-N8+N9+N10</f>
        <v>293180</v>
      </c>
    </row>
    <row r="18" spans="1:14" ht="24" thickBot="1">
      <c r="A18" s="1"/>
      <c r="B18" s="20" t="s">
        <v>12</v>
      </c>
      <c r="C18" s="3"/>
      <c r="D18" s="21">
        <f t="shared" ref="D18:L18" si="8">D14-D9</f>
        <v>818034.5</v>
      </c>
      <c r="E18" s="21">
        <f t="shared" si="8"/>
        <v>700905</v>
      </c>
      <c r="F18" s="21">
        <f t="shared" si="8"/>
        <v>790412</v>
      </c>
      <c r="G18" s="21">
        <f t="shared" si="8"/>
        <v>144752</v>
      </c>
      <c r="H18" s="40">
        <f t="shared" si="8"/>
        <v>-425895</v>
      </c>
      <c r="I18" s="21">
        <f t="shared" si="8"/>
        <v>527919</v>
      </c>
      <c r="J18" s="21">
        <f t="shared" si="8"/>
        <v>1204463</v>
      </c>
      <c r="K18" s="21">
        <f t="shared" si="8"/>
        <v>875523</v>
      </c>
      <c r="L18" s="21">
        <f t="shared" si="8"/>
        <v>501401</v>
      </c>
      <c r="M18" s="21">
        <f>M14-M9</f>
        <v>865923</v>
      </c>
      <c r="N18" s="21">
        <f>N14-N9</f>
        <v>604474</v>
      </c>
    </row>
    <row r="19" spans="1:14">
      <c r="D19" s="44" t="s">
        <v>61</v>
      </c>
      <c r="E19" s="44" t="s">
        <v>62</v>
      </c>
      <c r="F19" s="44" t="s">
        <v>60</v>
      </c>
    </row>
    <row r="20" spans="1:14" ht="23.25">
      <c r="B20" s="1" t="s">
        <v>54</v>
      </c>
      <c r="D20" s="59">
        <v>5.0000000000000001E-3</v>
      </c>
      <c r="E20" s="42">
        <v>0.1</v>
      </c>
      <c r="F20" s="42">
        <v>0.1</v>
      </c>
      <c r="G20" s="44"/>
      <c r="H20" s="60">
        <v>7</v>
      </c>
      <c r="I20" s="60">
        <v>6</v>
      </c>
      <c r="J20" s="60">
        <v>5</v>
      </c>
      <c r="K20" s="60">
        <v>4</v>
      </c>
      <c r="L20" s="60">
        <v>3</v>
      </c>
      <c r="M20" s="60">
        <v>2</v>
      </c>
      <c r="N20" s="60">
        <v>1</v>
      </c>
    </row>
    <row r="21" spans="1:14" ht="23.25">
      <c r="B21" s="1" t="s">
        <v>13</v>
      </c>
      <c r="D21" s="41">
        <f>D16 / (1+$D$20) ^ 8</f>
        <v>1944318.1554414215</v>
      </c>
      <c r="E21" s="41">
        <f>E16 / (1+$D$20) ^8</f>
        <v>1515675.3374612629</v>
      </c>
      <c r="F21" s="41">
        <f>F16 / (1+$D$20) ^ 8</f>
        <v>786438.41682178457</v>
      </c>
      <c r="G21" s="41">
        <f>G16 / (1+$D$20) ^ 8</f>
        <v>657248.1698788295</v>
      </c>
      <c r="H21" s="41">
        <f>H16 / (1+$D$20) ^ $H$20</f>
        <v>2444792.7866454325</v>
      </c>
      <c r="I21" s="41">
        <f>I16 / (1+$D$20) ^ $I$20</f>
        <v>1686130.3591750483</v>
      </c>
      <c r="J21" s="41">
        <f>J16 / (1+$D$20) ^ $J$20</f>
        <v>1230215.3215143448</v>
      </c>
      <c r="K21" s="41">
        <f>K16 / (1+$D$20) ^ $K$20</f>
        <v>1092515.6624607628</v>
      </c>
      <c r="L21" s="41">
        <f>L16 / (1+$D$20) ^ $L$20</f>
        <v>983141.22316808847</v>
      </c>
      <c r="M21" s="41">
        <f>M16 / (1+$D$20) ^ $M$20</f>
        <v>781251.15714957565</v>
      </c>
      <c r="N21" s="41">
        <f>N16 / (1+$D$20) ^ $N$20</f>
        <v>920785.27363184083</v>
      </c>
    </row>
    <row r="22" spans="1:14" ht="23.25">
      <c r="B22" s="1" t="s">
        <v>14</v>
      </c>
      <c r="D22" s="41">
        <f t="shared" ref="D22:D23" si="9">D17 / (1+$D$20) ^ 8</f>
        <v>1658207.4754590024</v>
      </c>
      <c r="E22" s="41">
        <f t="shared" ref="E22:E23" si="10">E17 / (1+$D$20) ^8</f>
        <v>1364882.6615434822</v>
      </c>
      <c r="F22" s="41">
        <f t="shared" ref="F22:F23" si="11">F17 / (1+$D$20) ^ 8</f>
        <v>404751.75262691849</v>
      </c>
      <c r="G22" s="41">
        <f t="shared" ref="G22:G23" si="12">G17 / (1+$D$20) ^ $N$20</f>
        <v>533941.29353233834</v>
      </c>
      <c r="H22" s="41">
        <f t="shared" ref="H22:H23" si="13">H17 / (1+$D$20) ^ $H$20</f>
        <v>2011546.9499502946</v>
      </c>
      <c r="I22" s="41">
        <f t="shared" ref="I22:I23" si="14">I17 / (1+$D$20) ^ $I$20</f>
        <v>1725551.0565696354</v>
      </c>
      <c r="J22" s="41">
        <f t="shared" ref="J22:J23" si="15">J17 / (1+$D$20) ^ $J$20</f>
        <v>847345.46517197439</v>
      </c>
      <c r="K22" s="41">
        <f t="shared" ref="K22:K23" si="16">K17 / (1+$D$20) ^ $K$20</f>
        <v>482692.50438863435</v>
      </c>
      <c r="L22" s="41">
        <f t="shared" ref="L22:L23" si="17">L17 / (1+$D$20) ^ $L$20</f>
        <v>551775.90919686877</v>
      </c>
      <c r="M22" s="41">
        <f t="shared" ref="M22:M23" si="18">M17 / (1+$D$20) ^ $M$20</f>
        <v>489160.16930274013</v>
      </c>
      <c r="N22" s="41">
        <f>N17 / (1+$D$20) ^ $N$20</f>
        <v>291721.39303482592</v>
      </c>
    </row>
    <row r="23" spans="1:14" ht="24" thickBot="1">
      <c r="B23" s="1" t="s">
        <v>15</v>
      </c>
      <c r="D23" s="41">
        <f t="shared" si="9"/>
        <v>786037.24724919745</v>
      </c>
      <c r="E23" s="41">
        <f t="shared" si="10"/>
        <v>673489.24377052404</v>
      </c>
      <c r="F23" s="41">
        <f t="shared" si="11"/>
        <v>759495.19570718915</v>
      </c>
      <c r="G23" s="41">
        <f t="shared" si="12"/>
        <v>144031.84079601991</v>
      </c>
      <c r="H23" s="43">
        <f t="shared" si="13"/>
        <v>-411282.38489242556</v>
      </c>
      <c r="I23" s="43">
        <f t="shared" si="14"/>
        <v>512354.93320366408</v>
      </c>
      <c r="J23" s="43">
        <f t="shared" si="15"/>
        <v>1174797.8813242964</v>
      </c>
      <c r="K23" s="43">
        <f t="shared" si="16"/>
        <v>858229.25094249065</v>
      </c>
      <c r="L23" s="43">
        <f t="shared" si="17"/>
        <v>493954.5730666981</v>
      </c>
      <c r="M23" s="43">
        <f t="shared" si="18"/>
        <v>857328.28395336773</v>
      </c>
      <c r="N23" s="43">
        <f>N18 / (1+$D$20) ^ $N$20</f>
        <v>601466.66666666674</v>
      </c>
    </row>
    <row r="24" spans="1:14" ht="16.5" thickTop="1" thickBot="1">
      <c r="B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ht="23.25">
      <c r="B25" s="1"/>
      <c r="I25" s="10" t="s">
        <v>13</v>
      </c>
      <c r="J25" s="10" t="s">
        <v>14</v>
      </c>
      <c r="K25" s="50" t="s">
        <v>15</v>
      </c>
    </row>
    <row r="26" spans="1:14" ht="23.25">
      <c r="B26" s="10" t="s">
        <v>55</v>
      </c>
      <c r="I26" s="3">
        <f>SUM(H21:N21)</f>
        <v>9138831.7837450933</v>
      </c>
      <c r="J26" s="3">
        <f>SUM(H22:N22)</f>
        <v>6399793.4476149734</v>
      </c>
      <c r="K26" s="46">
        <f>SUM(H23:N23)</f>
        <v>4086849.2042647582</v>
      </c>
    </row>
    <row r="27" spans="1:14" ht="24" thickBot="1">
      <c r="B27" s="10" t="s">
        <v>56</v>
      </c>
      <c r="I27" s="47">
        <f>I26+D21</f>
        <v>11083149.939186515</v>
      </c>
      <c r="J27" s="47">
        <f>J26+D22</f>
        <v>8058000.9230739754</v>
      </c>
      <c r="K27" s="48">
        <f>K26+D23</f>
        <v>4872886.4515139554</v>
      </c>
    </row>
    <row r="28" spans="1:14" ht="24" thickTop="1">
      <c r="B28" s="1">
        <v>2.76</v>
      </c>
      <c r="I28" s="10" t="s">
        <v>57</v>
      </c>
      <c r="J28" s="10" t="s">
        <v>58</v>
      </c>
      <c r="K28" s="10" t="s">
        <v>59</v>
      </c>
    </row>
    <row r="29" spans="1:14" ht="23.25">
      <c r="B29" s="1"/>
      <c r="I29" s="1"/>
      <c r="J29" s="1"/>
      <c r="K29" s="1"/>
    </row>
    <row r="30" spans="1:14" ht="24" thickBot="1">
      <c r="B30" s="1"/>
      <c r="C30" s="1"/>
      <c r="D30" s="1"/>
      <c r="E30" s="1"/>
      <c r="F30" s="1"/>
      <c r="G30" s="1"/>
      <c r="H30" s="1"/>
      <c r="I30" s="49">
        <f>I27 / ($F$20  - $D$20)</f>
        <v>116664736.20196332</v>
      </c>
      <c r="J30" s="49">
        <f>J27/(F20 - D20)</f>
        <v>84821062.348147109</v>
      </c>
      <c r="K30" s="49">
        <f>K27 / F20 - D20</f>
        <v>48728864.510139547</v>
      </c>
    </row>
    <row r="31" spans="1:14" ht="24" thickTop="1">
      <c r="B31" s="9"/>
      <c r="C31" s="1"/>
      <c r="D31" s="1"/>
      <c r="E31" s="1"/>
      <c r="F31" s="1"/>
      <c r="G31" s="1"/>
      <c r="H31" s="1"/>
      <c r="I31" s="9" t="s">
        <v>6</v>
      </c>
      <c r="J31" s="9" t="s">
        <v>1</v>
      </c>
      <c r="K31" s="9" t="s">
        <v>12</v>
      </c>
    </row>
    <row r="32" spans="1:14" ht="24" thickBot="1">
      <c r="B32" s="1" t="s">
        <v>66</v>
      </c>
      <c r="C32" s="1"/>
      <c r="D32" s="1"/>
      <c r="E32" s="1"/>
      <c r="F32" s="1"/>
      <c r="G32" s="1"/>
      <c r="H32" s="1"/>
      <c r="I32" s="51">
        <f>I27+I30</f>
        <v>127747886.14114983</v>
      </c>
      <c r="J32" s="51">
        <f t="shared" ref="J32:K32" si="19">J27+J30</f>
        <v>92879063.271221086</v>
      </c>
      <c r="K32" s="51">
        <f t="shared" si="19"/>
        <v>53601750.961653501</v>
      </c>
    </row>
    <row r="33" spans="2:14" ht="23.25">
      <c r="B33" s="9" t="s">
        <v>68</v>
      </c>
      <c r="C33" s="1"/>
      <c r="D33" s="1"/>
      <c r="E33" s="1"/>
      <c r="F33" s="1"/>
      <c r="G33" s="1"/>
      <c r="H33" s="1"/>
      <c r="I33" s="1"/>
      <c r="J33" s="1"/>
      <c r="K33" s="1"/>
    </row>
    <row r="34" spans="2:14" ht="23.25">
      <c r="B34" s="1" t="s">
        <v>67</v>
      </c>
      <c r="D34" s="6">
        <f>SUM(E34:G34) * 1/3</f>
        <v>5406871.666666667</v>
      </c>
      <c r="E34" s="6">
        <v>5439422</v>
      </c>
      <c r="F34" s="6">
        <v>5406846</v>
      </c>
      <c r="G34" s="54">
        <v>5374347</v>
      </c>
      <c r="H34" s="6">
        <v>5256121</v>
      </c>
      <c r="I34" s="53">
        <v>4935361</v>
      </c>
      <c r="J34" s="53">
        <v>3268066</v>
      </c>
      <c r="K34" s="53">
        <v>2547203</v>
      </c>
      <c r="L34" s="53">
        <v>2060615</v>
      </c>
      <c r="M34" s="53">
        <v>2291894</v>
      </c>
      <c r="N34" s="53">
        <v>2193611</v>
      </c>
    </row>
    <row r="35" spans="2:14" ht="15.75" thickBot="1">
      <c r="B35" s="45"/>
      <c r="C35" s="52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2:14" ht="27.75" customHeight="1">
      <c r="B36" s="1" t="s">
        <v>39</v>
      </c>
      <c r="C36" s="1"/>
      <c r="D36" s="10" t="s">
        <v>73</v>
      </c>
      <c r="E36" s="10" t="s">
        <v>74</v>
      </c>
      <c r="F36" s="1"/>
      <c r="G36" s="1"/>
      <c r="H36" s="10" t="s">
        <v>75</v>
      </c>
      <c r="I36" s="10" t="s">
        <v>39</v>
      </c>
      <c r="J36" s="10" t="s">
        <v>69</v>
      </c>
      <c r="K36" s="10" t="s">
        <v>70</v>
      </c>
      <c r="L36" s="1" t="s">
        <v>75</v>
      </c>
      <c r="M36" s="10" t="s">
        <v>72</v>
      </c>
      <c r="N36" s="10" t="s">
        <v>71</v>
      </c>
    </row>
    <row r="37" spans="2:14" ht="23.25">
      <c r="B37" s="9" t="s">
        <v>63</v>
      </c>
      <c r="C37" s="1"/>
      <c r="D37" s="3">
        <f>I37 * 1000 * 10^6</f>
        <v>3011017676.3469019</v>
      </c>
      <c r="E37" s="3">
        <f>D37 / 260</f>
        <v>11580837.216718853</v>
      </c>
      <c r="G37" s="1"/>
      <c r="H37" s="61">
        <f xml:space="preserve"> (I37 - $B$28) / I37</f>
        <v>8.3366390811576929E-2</v>
      </c>
      <c r="I37" s="56">
        <f>K37*J37</f>
        <v>3.0110176763469019</v>
      </c>
      <c r="J37" s="55">
        <f>I32 * 10^-6 / 1000</f>
        <v>0.12774788614114985</v>
      </c>
      <c r="K37" s="3">
        <v>23.57</v>
      </c>
      <c r="L37" s="63">
        <f xml:space="preserve"> (M37 - $B$28) / M37</f>
        <v>-0.8278387621464578</v>
      </c>
      <c r="M37" s="3">
        <f>N37*J37</f>
        <v>1.5099800141883912</v>
      </c>
      <c r="N37" s="1">
        <v>11.82</v>
      </c>
    </row>
    <row r="38" spans="2:14" ht="23.25">
      <c r="B38" s="9" t="s">
        <v>64</v>
      </c>
      <c r="C38" s="1"/>
      <c r="D38" s="3">
        <f>I38 * 1000 * 10^6</f>
        <v>2189159521.3026814</v>
      </c>
      <c r="E38" s="3">
        <f t="shared" ref="E38:E39" si="20">D38 / 260</f>
        <v>8419844.3127026204</v>
      </c>
      <c r="F38" s="1"/>
      <c r="G38" s="1"/>
      <c r="H38" s="61">
        <f t="shared" ref="H38:H39" si="21" xml:space="preserve"> (I38 - $B$28) / I38</f>
        <v>-0.26075782652770518</v>
      </c>
      <c r="I38" s="55">
        <f t="shared" ref="I38:I39" si="22">K38*J38</f>
        <v>2.1891595213026811</v>
      </c>
      <c r="J38" s="56">
        <f>J32 * 10^-6 / 1000</f>
        <v>9.2879063271221085E-2</v>
      </c>
      <c r="K38" s="3">
        <v>23.57</v>
      </c>
      <c r="L38" s="63">
        <f t="shared" ref="L38:L39" si="23" xml:space="preserve"> (M38 - $B$28) / M38</f>
        <v>-1.5140492361470397</v>
      </c>
      <c r="M38" s="3">
        <f t="shared" ref="M38:M39" si="24">N38*J38</f>
        <v>1.0978305278658333</v>
      </c>
      <c r="N38" s="1">
        <v>11.82</v>
      </c>
    </row>
    <row r="39" spans="2:14" ht="24" thickBot="1">
      <c r="B39" s="19" t="s">
        <v>65</v>
      </c>
      <c r="C39" s="20"/>
      <c r="D39" s="21">
        <f>I39 * 1000 * 10^6</f>
        <v>1263393270.1661732</v>
      </c>
      <c r="E39" s="21">
        <f t="shared" si="20"/>
        <v>4859204.8852545125</v>
      </c>
      <c r="F39" s="20"/>
      <c r="G39" s="20"/>
      <c r="H39" s="62">
        <f t="shared" si="21"/>
        <v>-1.1845929253976308</v>
      </c>
      <c r="I39" s="57">
        <f t="shared" si="22"/>
        <v>1.2633932701661732</v>
      </c>
      <c r="J39" s="58">
        <f>K32 *10^-6 / 1000</f>
        <v>5.3601750961653503E-2</v>
      </c>
      <c r="K39" s="21">
        <v>23.57</v>
      </c>
      <c r="L39" s="62">
        <f t="shared" si="23"/>
        <v>-3.3562483292404544</v>
      </c>
      <c r="M39" s="21">
        <f t="shared" si="24"/>
        <v>0.6335726963667444</v>
      </c>
      <c r="N39" s="20">
        <v>11.82</v>
      </c>
    </row>
    <row r="40" spans="2:14">
      <c r="I40" s="41"/>
    </row>
    <row r="42" spans="2:14">
      <c r="I42" s="41"/>
    </row>
    <row r="43" spans="2:14">
      <c r="I43" s="41"/>
    </row>
  </sheetData>
  <conditionalFormatting sqref="H37:H3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N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N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7:L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G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CCET</vt:lpstr>
      <vt:lpstr>SUSCO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TRIPHOP MAHITHITARMMATORN</dc:creator>
  <cp:lastModifiedBy>TRIPHOP MAHITHITARMMATORN</cp:lastModifiedBy>
  <dcterms:created xsi:type="dcterms:W3CDTF">2024-12-16T09:13:55Z</dcterms:created>
  <dcterms:modified xsi:type="dcterms:W3CDTF">2024-12-23T23:47:03Z</dcterms:modified>
</cp:coreProperties>
</file>