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reverseies/Downloads/"/>
    </mc:Choice>
  </mc:AlternateContent>
  <xr:revisionPtr revIDLastSave="0" documentId="13_ncr:1_{8657FC42-85F7-EA4F-B1A7-D57FBAAB6974}" xr6:coauthVersionLast="47" xr6:coauthVersionMax="47" xr10:uidLastSave="{00000000-0000-0000-0000-000000000000}"/>
  <bookViews>
    <workbookView xWindow="0" yWindow="500" windowWidth="28800" windowHeight="15720" activeTab="1" xr2:uid="{60BA7B9C-F08D-43D3-BBDD-5D9C0BEB7866}"/>
  </bookViews>
  <sheets>
    <sheet name="CCET (alpha)" sheetId="1" r:id="rId1"/>
    <sheet name="CCET" sheetId="3" r:id="rId2"/>
    <sheet name="SUSCO" sheetId="2" r:id="rId3"/>
  </sheets>
  <definedNames>
    <definedName name="listed_share">CCET!$B$30</definedName>
    <definedName name="Market_Price">CCET!$B$29</definedName>
    <definedName name="r_e">CCET!$F$2</definedName>
    <definedName name="WACC">CCET!$R$31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F2" i="3"/>
  <c r="V14" i="3"/>
  <c r="W23" i="3"/>
  <c r="Y28" i="3"/>
  <c r="V7" i="3"/>
  <c r="V13" i="3" l="1"/>
  <c r="V11" i="3"/>
  <c r="V9" i="3"/>
  <c r="V10" i="3"/>
  <c r="V28" i="3" l="1"/>
  <c r="W28" i="3"/>
  <c r="X28" i="3"/>
  <c r="V27" i="3"/>
  <c r="W27" i="3"/>
  <c r="X27" i="3"/>
  <c r="Y27" i="3"/>
  <c r="V23" i="3"/>
  <c r="V24" i="3" s="1"/>
  <c r="W24" i="3"/>
  <c r="X23" i="3"/>
  <c r="X24" i="3" s="1"/>
  <c r="Y23" i="3"/>
  <c r="Y24" i="3" s="1"/>
  <c r="Y22" i="3"/>
  <c r="V21" i="3"/>
  <c r="V22" i="3" s="1"/>
  <c r="W21" i="3"/>
  <c r="W22" i="3" s="1"/>
  <c r="X21" i="3"/>
  <c r="X22" i="3" s="1"/>
  <c r="Y21" i="3"/>
  <c r="V20" i="3"/>
  <c r="W20" i="3"/>
  <c r="X20" i="3"/>
  <c r="Y20" i="3"/>
  <c r="Y25" i="3" s="1"/>
  <c r="V19" i="3"/>
  <c r="W19" i="3"/>
  <c r="X19" i="3"/>
  <c r="Y19" i="3"/>
  <c r="Y8" i="3"/>
  <c r="V8" i="3" s="1"/>
  <c r="X25" i="3" l="1"/>
  <c r="W25" i="3"/>
  <c r="V25" i="3"/>
  <c r="AA28" i="3"/>
  <c r="AB28" i="3"/>
  <c r="AD28" i="3"/>
  <c r="AE28" i="3"/>
  <c r="AF28" i="3"/>
  <c r="Z27" i="3"/>
  <c r="AA27" i="3"/>
  <c r="AB27" i="3"/>
  <c r="AC27" i="3"/>
  <c r="AD27" i="3"/>
  <c r="AE27" i="3"/>
  <c r="AF27" i="3"/>
  <c r="Z23" i="3"/>
  <c r="Z24" i="3" s="1"/>
  <c r="AA23" i="3"/>
  <c r="AA24" i="3" s="1"/>
  <c r="AB23" i="3"/>
  <c r="AB24" i="3" s="1"/>
  <c r="AC23" i="3"/>
  <c r="AC24" i="3" s="1"/>
  <c r="AD23" i="3"/>
  <c r="AD24" i="3" s="1"/>
  <c r="AE23" i="3"/>
  <c r="AE24" i="3" s="1"/>
  <c r="AF23" i="3"/>
  <c r="AF24" i="3" s="1"/>
  <c r="AF22" i="3"/>
  <c r="Z21" i="3"/>
  <c r="Z22" i="3" s="1"/>
  <c r="AA21" i="3"/>
  <c r="AA22" i="3" s="1"/>
  <c r="AB21" i="3"/>
  <c r="AB22" i="3" s="1"/>
  <c r="AC21" i="3"/>
  <c r="AC22" i="3" s="1"/>
  <c r="AD21" i="3"/>
  <c r="AD22" i="3" s="1"/>
  <c r="AE21" i="3"/>
  <c r="AE22" i="3" s="1"/>
  <c r="AF21" i="3"/>
  <c r="Z20" i="3"/>
  <c r="AA20" i="3"/>
  <c r="AB20" i="3"/>
  <c r="AC20" i="3"/>
  <c r="AD20" i="3"/>
  <c r="AE20" i="3"/>
  <c r="AF20" i="3"/>
  <c r="Z19" i="3"/>
  <c r="AA19" i="3"/>
  <c r="AB19" i="3"/>
  <c r="AC19" i="3"/>
  <c r="AD19" i="3"/>
  <c r="AE19" i="3"/>
  <c r="AF19" i="3"/>
  <c r="AG27" i="3"/>
  <c r="AH27" i="3"/>
  <c r="AG23" i="3"/>
  <c r="AG24" i="3" s="1"/>
  <c r="AH23" i="3"/>
  <c r="AH24" i="3" s="1"/>
  <c r="AG21" i="3"/>
  <c r="AG22" i="3" s="1"/>
  <c r="AH21" i="3"/>
  <c r="AH22" i="3" s="1"/>
  <c r="AG20" i="3"/>
  <c r="AH20" i="3"/>
  <c r="AG19" i="3"/>
  <c r="AH19" i="3"/>
  <c r="AF25" i="3" l="1"/>
  <c r="AH25" i="3"/>
  <c r="AE25" i="3"/>
  <c r="AG25" i="3"/>
  <c r="Z25" i="3"/>
  <c r="AA25" i="3"/>
  <c r="AB25" i="3"/>
  <c r="AD25" i="3"/>
  <c r="AC25" i="3"/>
  <c r="AI28" i="3"/>
  <c r="AI27" i="3"/>
  <c r="AJ27" i="3"/>
  <c r="AJ23" i="3"/>
  <c r="AJ24" i="3" s="1"/>
  <c r="AI23" i="3"/>
  <c r="AI24" i="3" s="1"/>
  <c r="AJ21" i="3"/>
  <c r="AJ22" i="3" s="1"/>
  <c r="AI21" i="3"/>
  <c r="AI22" i="3" s="1"/>
  <c r="AJ20" i="3"/>
  <c r="AI20" i="3"/>
  <c r="AI19" i="3"/>
  <c r="AJ19" i="3"/>
  <c r="V17" i="3"/>
  <c r="G2" i="3"/>
  <c r="I2" i="3" s="1"/>
  <c r="D77" i="3"/>
  <c r="D78" i="3"/>
  <c r="D79" i="3"/>
  <c r="AI25" i="3" l="1"/>
  <c r="AJ25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E93" i="3" l="1"/>
  <c r="E163" i="3" l="1"/>
  <c r="E162" i="3"/>
  <c r="E161" i="3"/>
  <c r="E164" i="3" s="1"/>
  <c r="F163" i="3"/>
  <c r="F162" i="3"/>
  <c r="F161" i="3"/>
  <c r="F164" i="3" s="1"/>
  <c r="F130" i="3"/>
  <c r="D134" i="3"/>
  <c r="D135" i="3"/>
  <c r="D133" i="3"/>
  <c r="D131" i="3"/>
  <c r="D146" i="3" s="1"/>
  <c r="D132" i="3"/>
  <c r="D152" i="3" s="1"/>
  <c r="D153" i="3" s="1"/>
  <c r="D155" i="3" s="1"/>
  <c r="D130" i="3"/>
  <c r="C134" i="3"/>
  <c r="C135" i="3"/>
  <c r="C133" i="3"/>
  <c r="C131" i="3"/>
  <c r="C163" i="3" s="1"/>
  <c r="C132" i="3"/>
  <c r="C167" i="3" s="1"/>
  <c r="C130" i="3"/>
  <c r="D166" i="3" l="1"/>
  <c r="D165" i="3"/>
  <c r="D167" i="3"/>
  <c r="D147" i="3"/>
  <c r="D149" i="3" s="1"/>
  <c r="D157" i="3" s="1"/>
  <c r="C152" i="3"/>
  <c r="C153" i="3" s="1"/>
  <c r="C155" i="3" s="1"/>
  <c r="D161" i="3"/>
  <c r="D162" i="3"/>
  <c r="C146" i="3"/>
  <c r="D163" i="3"/>
  <c r="C165" i="3"/>
  <c r="C166" i="3"/>
  <c r="C162" i="3"/>
  <c r="C161" i="3"/>
  <c r="C164" i="3" s="1"/>
  <c r="C168" i="3"/>
  <c r="D168" i="3" l="1"/>
  <c r="C147" i="3"/>
  <c r="C149" i="3" s="1"/>
  <c r="C157" i="3" s="1"/>
  <c r="D164" i="3"/>
  <c r="R33" i="3"/>
  <c r="R34" i="3" s="1"/>
  <c r="F135" i="3"/>
  <c r="E135" i="3"/>
  <c r="F133" i="3"/>
  <c r="E133" i="3"/>
  <c r="F131" i="3"/>
  <c r="F146" i="3" s="1"/>
  <c r="F132" i="3"/>
  <c r="F152" i="3" s="1"/>
  <c r="F153" i="3" s="1"/>
  <c r="F155" i="3" s="1"/>
  <c r="E131" i="3"/>
  <c r="E146" i="3" s="1"/>
  <c r="E132" i="3"/>
  <c r="E152" i="3" s="1"/>
  <c r="E153" i="3" s="1"/>
  <c r="E155" i="3" s="1"/>
  <c r="E130" i="3"/>
  <c r="E118" i="3"/>
  <c r="E119" i="3" s="1"/>
  <c r="F134" i="3" s="1"/>
  <c r="E111" i="3"/>
  <c r="E112" i="3"/>
  <c r="E113" i="3"/>
  <c r="E110" i="3"/>
  <c r="E147" i="3" l="1"/>
  <c r="E149" i="3" s="1"/>
  <c r="E157" i="3" s="1"/>
  <c r="F147" i="3"/>
  <c r="F149" i="3" s="1"/>
  <c r="F157" i="3" s="1"/>
  <c r="E134" i="3"/>
  <c r="E115" i="3"/>
  <c r="H92" i="3"/>
  <c r="I92" i="3"/>
  <c r="J92" i="3"/>
  <c r="K92" i="3"/>
  <c r="H91" i="3"/>
  <c r="I91" i="3"/>
  <c r="J91" i="3"/>
  <c r="K91" i="3"/>
  <c r="H89" i="3"/>
  <c r="I89" i="3"/>
  <c r="J89" i="3"/>
  <c r="K89" i="3"/>
  <c r="H88" i="3"/>
  <c r="I88" i="3"/>
  <c r="J88" i="3"/>
  <c r="K88" i="3"/>
  <c r="H87" i="3"/>
  <c r="I87" i="3"/>
  <c r="J87" i="3"/>
  <c r="K87" i="3"/>
  <c r="H86" i="3"/>
  <c r="I86" i="3"/>
  <c r="J86" i="3"/>
  <c r="K86" i="3"/>
  <c r="D136" i="3" l="1"/>
  <c r="C136" i="3"/>
  <c r="E136" i="3"/>
  <c r="E140" i="3" s="1"/>
  <c r="E141" i="3" s="1"/>
  <c r="E143" i="3" s="1"/>
  <c r="F136" i="3"/>
  <c r="F140" i="3" s="1"/>
  <c r="F141" i="3" s="1"/>
  <c r="F143" i="3" s="1"/>
  <c r="G86" i="3"/>
  <c r="F86" i="3"/>
  <c r="M86" i="3"/>
  <c r="L86" i="3"/>
  <c r="C140" i="3" l="1"/>
  <c r="C141" i="3" s="1"/>
  <c r="C143" i="3" s="1"/>
  <c r="C169" i="3"/>
  <c r="C170" i="3"/>
  <c r="C171" i="3"/>
  <c r="D140" i="3"/>
  <c r="D141" i="3" s="1"/>
  <c r="D143" i="3" s="1"/>
  <c r="D169" i="3"/>
  <c r="D171" i="3"/>
  <c r="D170" i="3"/>
  <c r="N86" i="3"/>
  <c r="O86" i="3"/>
  <c r="C172" i="3" l="1"/>
  <c r="D172" i="3"/>
  <c r="R86" i="3"/>
  <c r="Q86" i="3"/>
  <c r="P86" i="3"/>
  <c r="L92" i="3"/>
  <c r="M92" i="3"/>
  <c r="N92" i="3"/>
  <c r="O92" i="3"/>
  <c r="P92" i="3"/>
  <c r="Q92" i="3"/>
  <c r="R92" i="3"/>
  <c r="L91" i="3"/>
  <c r="M91" i="3"/>
  <c r="N91" i="3"/>
  <c r="O91" i="3"/>
  <c r="P91" i="3"/>
  <c r="Q91" i="3"/>
  <c r="R91" i="3"/>
  <c r="L89" i="3"/>
  <c r="M89" i="3"/>
  <c r="N89" i="3"/>
  <c r="O89" i="3"/>
  <c r="P89" i="3"/>
  <c r="Q89" i="3"/>
  <c r="R89" i="3"/>
  <c r="L88" i="3"/>
  <c r="M88" i="3"/>
  <c r="N88" i="3"/>
  <c r="O88" i="3"/>
  <c r="P88" i="3"/>
  <c r="Q88" i="3"/>
  <c r="R88" i="3"/>
  <c r="L87" i="3"/>
  <c r="M87" i="3"/>
  <c r="N87" i="3"/>
  <c r="O87" i="3"/>
  <c r="P87" i="3"/>
  <c r="Q87" i="3"/>
  <c r="R87" i="3"/>
  <c r="D65" i="3"/>
  <c r="D92" i="3" s="1"/>
  <c r="E91" i="3"/>
  <c r="D76" i="3"/>
  <c r="D75" i="3"/>
  <c r="D91" i="3" l="1"/>
  <c r="G92" i="3" l="1"/>
  <c r="F92" i="3"/>
  <c r="G91" i="3" l="1"/>
  <c r="F91" i="3"/>
  <c r="G89" i="3"/>
  <c r="F89" i="3"/>
  <c r="E89" i="3"/>
  <c r="D66" i="3"/>
  <c r="D69" i="3"/>
  <c r="D70" i="3"/>
  <c r="D71" i="3"/>
  <c r="D72" i="3"/>
  <c r="D74" i="3"/>
  <c r="D82" i="3"/>
  <c r="E86" i="3" l="1"/>
  <c r="E87" i="3"/>
  <c r="D88" i="3"/>
  <c r="E88" i="3"/>
  <c r="F88" i="3"/>
  <c r="D87" i="3"/>
  <c r="F87" i="3"/>
  <c r="G88" i="3"/>
  <c r="G87" i="3"/>
  <c r="D38" i="2" l="1"/>
  <c r="D14" i="2"/>
  <c r="D12" i="2"/>
  <c r="D10" i="2"/>
  <c r="D9" i="2"/>
  <c r="D8" i="2"/>
  <c r="D7" i="2"/>
  <c r="D6" i="2"/>
  <c r="D14" i="3"/>
  <c r="D12" i="3"/>
  <c r="D93" i="3" s="1"/>
  <c r="D10" i="3"/>
  <c r="D9" i="3"/>
  <c r="D89" i="3" s="1"/>
  <c r="D8" i="3"/>
  <c r="D7" i="3"/>
  <c r="D6" i="3"/>
  <c r="R29" i="3"/>
  <c r="D86" i="3" l="1"/>
  <c r="R28" i="3"/>
  <c r="R27" i="3"/>
  <c r="R26" i="3" l="1"/>
  <c r="R31" i="3" s="1"/>
  <c r="D38" i="3"/>
  <c r="P11" i="3" l="1"/>
  <c r="P16" i="3" s="1"/>
  <c r="P21" i="3" s="1"/>
  <c r="O18" i="3"/>
  <c r="P18" i="3"/>
  <c r="Q18" i="3"/>
  <c r="R18" i="3"/>
  <c r="O17" i="3"/>
  <c r="O22" i="3" s="1"/>
  <c r="P17" i="3"/>
  <c r="P22" i="3" s="1"/>
  <c r="Q17" i="3"/>
  <c r="Q22" i="3" s="1"/>
  <c r="R17" i="3"/>
  <c r="R22" i="3" s="1"/>
  <c r="Q11" i="3"/>
  <c r="Q16" i="3" s="1"/>
  <c r="Q21" i="3" s="1"/>
  <c r="O11" i="3"/>
  <c r="O16" i="3" s="1"/>
  <c r="O21" i="3" s="1"/>
  <c r="R11" i="3"/>
  <c r="R16" i="3" s="1"/>
  <c r="R21" i="3" s="1"/>
  <c r="D18" i="3"/>
  <c r="E11" i="3"/>
  <c r="E16" i="3" s="1"/>
  <c r="E21" i="3" s="1"/>
  <c r="F11" i="3"/>
  <c r="F16" i="3" s="1"/>
  <c r="F21" i="3" s="1"/>
  <c r="G11" i="3"/>
  <c r="H11" i="3"/>
  <c r="I11" i="3"/>
  <c r="I16" i="3" s="1"/>
  <c r="I21" i="3" s="1"/>
  <c r="J11" i="3"/>
  <c r="J16" i="3" s="1"/>
  <c r="J21" i="3" s="1"/>
  <c r="K11" i="3"/>
  <c r="K16" i="3" s="1"/>
  <c r="K21" i="3" s="1"/>
  <c r="L11" i="3"/>
  <c r="L16" i="3" s="1"/>
  <c r="L21" i="3" s="1"/>
  <c r="M11" i="3"/>
  <c r="M16" i="3" s="1"/>
  <c r="M21" i="3" s="1"/>
  <c r="N11" i="3"/>
  <c r="N16" i="3" s="1"/>
  <c r="N21" i="3" s="1"/>
  <c r="E17" i="3"/>
  <c r="E22" i="3" s="1"/>
  <c r="F17" i="3"/>
  <c r="F22" i="3" s="1"/>
  <c r="G17" i="3"/>
  <c r="G22" i="3" s="1"/>
  <c r="H17" i="3"/>
  <c r="H22" i="3" s="1"/>
  <c r="I17" i="3"/>
  <c r="I22" i="3" s="1"/>
  <c r="J17" i="3"/>
  <c r="J22" i="3" s="1"/>
  <c r="K17" i="3"/>
  <c r="K22" i="3" s="1"/>
  <c r="L17" i="3"/>
  <c r="L22" i="3" s="1"/>
  <c r="M17" i="3"/>
  <c r="M22" i="3" s="1"/>
  <c r="N17" i="3"/>
  <c r="N22" i="3" s="1"/>
  <c r="E18" i="3"/>
  <c r="F18" i="3"/>
  <c r="H18" i="3"/>
  <c r="I18" i="3"/>
  <c r="J18" i="3"/>
  <c r="K18" i="3"/>
  <c r="L18" i="3"/>
  <c r="M18" i="3"/>
  <c r="N18" i="3"/>
  <c r="H11" i="2"/>
  <c r="H26" i="2" s="1"/>
  <c r="H28" i="2" s="1"/>
  <c r="I11" i="2"/>
  <c r="J11" i="2"/>
  <c r="K11" i="2"/>
  <c r="L11" i="2"/>
  <c r="M11" i="2"/>
  <c r="N11" i="2"/>
  <c r="Q23" i="3" l="1"/>
  <c r="Q90" i="3"/>
  <c r="O23" i="3"/>
  <c r="O90" i="3"/>
  <c r="N23" i="3"/>
  <c r="N90" i="3"/>
  <c r="J23" i="3"/>
  <c r="J90" i="3"/>
  <c r="I23" i="3"/>
  <c r="I90" i="3"/>
  <c r="P23" i="3"/>
  <c r="P90" i="3"/>
  <c r="M23" i="3"/>
  <c r="M90" i="3"/>
  <c r="L23" i="3"/>
  <c r="L90" i="3"/>
  <c r="K23" i="3"/>
  <c r="K90" i="3"/>
  <c r="H23" i="3"/>
  <c r="H90" i="3"/>
  <c r="R23" i="3"/>
  <c r="R90" i="3"/>
  <c r="E23" i="3"/>
  <c r="E90" i="3"/>
  <c r="H16" i="3"/>
  <c r="H21" i="3" s="1"/>
  <c r="H26" i="3"/>
  <c r="H28" i="3" s="1"/>
  <c r="F23" i="3"/>
  <c r="F90" i="3"/>
  <c r="N27" i="3"/>
  <c r="E27" i="3"/>
  <c r="D23" i="3"/>
  <c r="K30" i="3" s="1"/>
  <c r="O30" i="3" s="1"/>
  <c r="D90" i="3"/>
  <c r="D11" i="3"/>
  <c r="D16" i="3" s="1"/>
  <c r="D21" i="3" s="1"/>
  <c r="I30" i="3" s="1"/>
  <c r="G16" i="3"/>
  <c r="G21" i="3" s="1"/>
  <c r="G18" i="3"/>
  <c r="J27" i="3"/>
  <c r="D17" i="3"/>
  <c r="D22" i="3" s="1"/>
  <c r="M30" i="3" l="1"/>
  <c r="K27" i="3"/>
  <c r="O28" i="3" s="1"/>
  <c r="O33" i="3" s="1"/>
  <c r="O35" i="3" s="1"/>
  <c r="F27" i="3"/>
  <c r="O27" i="3"/>
  <c r="M27" i="3"/>
  <c r="D27" i="3"/>
  <c r="I27" i="3"/>
  <c r="M28" i="3" s="1"/>
  <c r="J30" i="3"/>
  <c r="N30" i="3" s="1"/>
  <c r="G23" i="3"/>
  <c r="G90" i="3"/>
  <c r="N28" i="3"/>
  <c r="E28" i="3"/>
  <c r="E33" i="3" s="1"/>
  <c r="E35" i="3" s="1"/>
  <c r="H42" i="3" s="1"/>
  <c r="I42" i="3" s="1"/>
  <c r="J28" i="3"/>
  <c r="M33" i="3" l="1"/>
  <c r="M35" i="3" s="1"/>
  <c r="K28" i="3"/>
  <c r="K33" i="3" s="1"/>
  <c r="F28" i="3"/>
  <c r="F33" i="3" s="1"/>
  <c r="F35" i="3" s="1"/>
  <c r="H43" i="3" s="1"/>
  <c r="I43" i="3" s="1"/>
  <c r="D28" i="3"/>
  <c r="D33" i="3" s="1"/>
  <c r="D35" i="3" s="1"/>
  <c r="H41" i="3" s="1"/>
  <c r="I41" i="3" s="1"/>
  <c r="I28" i="3"/>
  <c r="I33" i="3" s="1"/>
  <c r="L41" i="3" s="1"/>
  <c r="N33" i="3"/>
  <c r="N35" i="3" s="1"/>
  <c r="D42" i="3"/>
  <c r="E42" i="3" s="1"/>
  <c r="J33" i="3"/>
  <c r="L42" i="3" s="1"/>
  <c r="D11" i="2"/>
  <c r="E11" i="2"/>
  <c r="F11" i="2"/>
  <c r="G11" i="2"/>
  <c r="D43" i="3" l="1"/>
  <c r="E43" i="3" s="1"/>
  <c r="D41" i="3"/>
  <c r="E41" i="3" s="1"/>
  <c r="L43" i="3"/>
  <c r="K35" i="3"/>
  <c r="M43" i="3" s="1"/>
  <c r="N43" i="3" s="1"/>
  <c r="I35" i="3"/>
  <c r="M41" i="3" s="1"/>
  <c r="N41" i="3" s="1"/>
  <c r="J35" i="3"/>
  <c r="M42" i="3" s="1"/>
  <c r="N42" i="3" s="1"/>
  <c r="K17" i="2"/>
  <c r="K22" i="2" s="1"/>
  <c r="L17" i="2"/>
  <c r="L22" i="2" s="1"/>
  <c r="M17" i="2"/>
  <c r="M22" i="2" s="1"/>
  <c r="N17" i="2"/>
  <c r="N22" i="2" s="1"/>
  <c r="D18" i="2"/>
  <c r="D23" i="2" s="1"/>
  <c r="K30" i="2" s="1"/>
  <c r="O30" i="2" s="1"/>
  <c r="E18" i="2"/>
  <c r="E23" i="2" s="1"/>
  <c r="F18" i="2"/>
  <c r="F23" i="2" s="1"/>
  <c r="G18" i="2"/>
  <c r="G23" i="2" s="1"/>
  <c r="H18" i="2"/>
  <c r="H23" i="2" s="1"/>
  <c r="I18" i="2"/>
  <c r="I23" i="2" s="1"/>
  <c r="J18" i="2"/>
  <c r="J23" i="2" s="1"/>
  <c r="K18" i="2"/>
  <c r="K23" i="2" s="1"/>
  <c r="L18" i="2"/>
  <c r="L23" i="2" s="1"/>
  <c r="D17" i="2"/>
  <c r="D22" i="2" s="1"/>
  <c r="E17" i="2"/>
  <c r="E22" i="2" s="1"/>
  <c r="F17" i="2"/>
  <c r="F22" i="2" s="1"/>
  <c r="G17" i="2"/>
  <c r="G22" i="2" s="1"/>
  <c r="H17" i="2"/>
  <c r="H22" i="2" s="1"/>
  <c r="I17" i="2"/>
  <c r="I22" i="2" s="1"/>
  <c r="J17" i="2"/>
  <c r="J22" i="2" s="1"/>
  <c r="D16" i="2"/>
  <c r="D21" i="2" s="1"/>
  <c r="I30" i="2" s="1"/>
  <c r="M30" i="2" s="1"/>
  <c r="E16" i="2"/>
  <c r="E21" i="2" s="1"/>
  <c r="F16" i="2"/>
  <c r="F21" i="2" s="1"/>
  <c r="G16" i="2"/>
  <c r="G21" i="2" s="1"/>
  <c r="H16" i="2"/>
  <c r="H21" i="2" s="1"/>
  <c r="I16" i="2"/>
  <c r="I21" i="2" s="1"/>
  <c r="J16" i="2"/>
  <c r="J21" i="2" s="1"/>
  <c r="K16" i="2"/>
  <c r="K21" i="2" s="1"/>
  <c r="L16" i="2"/>
  <c r="L21" i="2" s="1"/>
  <c r="J27" i="2" l="1"/>
  <c r="N28" i="2" s="1"/>
  <c r="N27" i="2"/>
  <c r="E27" i="2"/>
  <c r="J43" i="3"/>
  <c r="K43" i="3" s="1"/>
  <c r="J42" i="3"/>
  <c r="K42" i="3" s="1"/>
  <c r="J41" i="3"/>
  <c r="K41" i="3" s="1"/>
  <c r="F18" i="1"/>
  <c r="D18" i="1"/>
  <c r="E18" i="1"/>
  <c r="G18" i="1"/>
  <c r="N18" i="2"/>
  <c r="N23" i="2" s="1"/>
  <c r="M18" i="2"/>
  <c r="M23" i="2" s="1"/>
  <c r="N16" i="2"/>
  <c r="N21" i="2" s="1"/>
  <c r="M16" i="2"/>
  <c r="M21" i="2" s="1"/>
  <c r="O27" i="2" l="1"/>
  <c r="D27" i="2"/>
  <c r="E28" i="2"/>
  <c r="E33" i="2" s="1"/>
  <c r="E35" i="2" s="1"/>
  <c r="H42" i="2" s="1"/>
  <c r="I42" i="2" s="1"/>
  <c r="J28" i="2"/>
  <c r="J33" i="2" s="1"/>
  <c r="L42" i="2" s="1"/>
  <c r="M27" i="2"/>
  <c r="I27" i="2"/>
  <c r="K27" i="2"/>
  <c r="F27" i="2"/>
  <c r="D2" i="2"/>
  <c r="J30" i="2" s="1"/>
  <c r="N30" i="2" s="1"/>
  <c r="N33" i="2" s="1"/>
  <c r="N35" i="2" s="1"/>
  <c r="D17" i="1"/>
  <c r="D16" i="1"/>
  <c r="D2" i="1"/>
  <c r="G16" i="1"/>
  <c r="F16" i="1"/>
  <c r="E16" i="1"/>
  <c r="H31" i="1"/>
  <c r="D42" i="2" l="1"/>
  <c r="E42" i="2" s="1"/>
  <c r="K28" i="2"/>
  <c r="K33" i="2" s="1"/>
  <c r="F28" i="2"/>
  <c r="F33" i="2" s="1"/>
  <c r="F35" i="2" s="1"/>
  <c r="H43" i="2" s="1"/>
  <c r="I43" i="2" s="1"/>
  <c r="O28" i="2"/>
  <c r="O33" i="2" s="1"/>
  <c r="O35" i="2" s="1"/>
  <c r="M28" i="2"/>
  <c r="M33" i="2" s="1"/>
  <c r="M35" i="2" s="1"/>
  <c r="D28" i="2"/>
  <c r="D33" i="2" s="1"/>
  <c r="D35" i="2" s="1"/>
  <c r="I28" i="2"/>
  <c r="I33" i="2" s="1"/>
  <c r="J35" i="2"/>
  <c r="M42" i="2" s="1"/>
  <c r="N42" i="2" s="1"/>
  <c r="D24" i="1"/>
  <c r="D28" i="1" s="1"/>
  <c r="D25" i="1"/>
  <c r="D29" i="1" s="1"/>
  <c r="G29" i="1" s="1"/>
  <c r="E25" i="1"/>
  <c r="E17" i="1"/>
  <c r="E24" i="1" s="1"/>
  <c r="D23" i="1"/>
  <c r="D27" i="1" s="1"/>
  <c r="E23" i="1"/>
  <c r="D11" i="1"/>
  <c r="E11" i="1"/>
  <c r="F11" i="1"/>
  <c r="H41" i="2" l="1"/>
  <c r="D41" i="2" s="1"/>
  <c r="E41" i="2" s="1"/>
  <c r="K35" i="2"/>
  <c r="M43" i="2" s="1"/>
  <c r="N43" i="2" s="1"/>
  <c r="L43" i="2"/>
  <c r="I35" i="2"/>
  <c r="M41" i="2" s="1"/>
  <c r="N41" i="2" s="1"/>
  <c r="L41" i="2"/>
  <c r="D43" i="2"/>
  <c r="E43" i="2" s="1"/>
  <c r="J42" i="2"/>
  <c r="K42" i="2" s="1"/>
  <c r="G27" i="1"/>
  <c r="G28" i="1"/>
  <c r="G23" i="1"/>
  <c r="G25" i="1"/>
  <c r="G11" i="1"/>
  <c r="G17" i="1"/>
  <c r="G24" i="1" s="1"/>
  <c r="F17" i="1"/>
  <c r="F24" i="1" s="1"/>
  <c r="H24" i="1" s="1"/>
  <c r="I41" i="2" l="1"/>
  <c r="J43" i="2"/>
  <c r="K43" i="2" s="1"/>
  <c r="J41" i="2"/>
  <c r="K41" i="2" s="1"/>
  <c r="F25" i="1"/>
  <c r="H25" i="1" s="1"/>
  <c r="D35" i="1" s="1"/>
  <c r="F23" i="1"/>
  <c r="H23" i="1" s="1"/>
  <c r="D33" i="1" s="1"/>
  <c r="G33" i="1" s="1"/>
  <c r="D38" i="1" s="1"/>
  <c r="D34" i="1"/>
  <c r="G34" i="1" s="1"/>
  <c r="D40" i="1" l="1"/>
  <c r="E40" i="1" s="1"/>
  <c r="G35" i="1"/>
  <c r="E38" i="1"/>
  <c r="D39" i="1"/>
  <c r="F38" i="1" l="1"/>
  <c r="D42" i="1"/>
  <c r="F40" i="1"/>
  <c r="D44" i="1"/>
  <c r="E39" i="1"/>
  <c r="F39" i="1" l="1"/>
  <c r="D43" i="1"/>
</calcChain>
</file>

<file path=xl/sharedStrings.xml><?xml version="1.0" encoding="utf-8"?>
<sst xmlns="http://schemas.openxmlformats.org/spreadsheetml/2006/main" count="349" uniqueCount="195">
  <si>
    <t>Net borrowing</t>
  </si>
  <si>
    <t>FCFE</t>
  </si>
  <si>
    <t>บริษัท แคล-คอมพ์ อีเล็คโทรนิคส์ (ประเทศไทย) จำกัด (มหาชน) และบริษัทย่อย</t>
  </si>
  <si>
    <t>กำไรสุทธิ</t>
  </si>
  <si>
    <t>CapEx</t>
  </si>
  <si>
    <t>Working Capital(WC)</t>
  </si>
  <si>
    <t>FCFF</t>
  </si>
  <si>
    <t>EBITDA</t>
  </si>
  <si>
    <t xml:space="preserve">EBIT </t>
  </si>
  <si>
    <t>รายการ</t>
  </si>
  <si>
    <t>Tax-rate</t>
  </si>
  <si>
    <t>DCF Model</t>
  </si>
  <si>
    <t>FCF</t>
  </si>
  <si>
    <t>PV_FCFF</t>
  </si>
  <si>
    <t>PV_FCFE</t>
  </si>
  <si>
    <t>PV_FCF</t>
  </si>
  <si>
    <t>CFO</t>
  </si>
  <si>
    <t>PE</t>
  </si>
  <si>
    <t>ค่าเสื่อมราคา (D&amp;A)</t>
  </si>
  <si>
    <t>WACC = 10%</t>
  </si>
  <si>
    <t>g  = 2%</t>
  </si>
  <si>
    <t xml:space="preserve"> (งวด 9 เดือน 2567)</t>
  </si>
  <si>
    <t>Terminal Value (TV_FCFF)</t>
  </si>
  <si>
    <t>Terminal Value (TV_FCFE)</t>
  </si>
  <si>
    <t>Terminal Value (TV_FCF)</t>
  </si>
  <si>
    <t>PV_TV_FCFF</t>
  </si>
  <si>
    <t>PV_TV_FCF</t>
  </si>
  <si>
    <t>PV_TV_FCFE</t>
  </si>
  <si>
    <t>total liabilities</t>
  </si>
  <si>
    <t>TV_FCFE = FCFE_n+1/ r_e - g</t>
  </si>
  <si>
    <t>(Cost of Equity) r_e = 10%</t>
  </si>
  <si>
    <t>TV_FCFF = FCFF_n+1 /  WACC - g</t>
  </si>
  <si>
    <t>TV_FCF_n+1 / WACC - g</t>
  </si>
  <si>
    <t>Equity Value FCFF</t>
  </si>
  <si>
    <t>Equity Value FCFE</t>
  </si>
  <si>
    <t>Equity Value FCF</t>
  </si>
  <si>
    <t>Free Cash Flow to the firm</t>
  </si>
  <si>
    <t>Free cash Flow to Equity</t>
  </si>
  <si>
    <t>Free cash Flow</t>
  </si>
  <si>
    <t>Intrinsic Value </t>
  </si>
  <si>
    <t>Intrinsic Value per Share</t>
  </si>
  <si>
    <t>Beta : 1.23</t>
  </si>
  <si>
    <t>(หน่วย: บาท)</t>
  </si>
  <si>
    <t>CAPM</t>
  </si>
  <si>
    <t>สมมุติฐาน</t>
  </si>
  <si>
    <t>ปัจจัยต่างๆ</t>
  </si>
  <si>
    <t>สภาพเศรษฐกิจ</t>
  </si>
  <si>
    <t>Tax-Rate = 35%</t>
  </si>
  <si>
    <t xml:space="preserve"> (งวด 3 เดือน 2567)</t>
  </si>
  <si>
    <t xml:space="preserve"> (งวด 6 เดือน 2567)</t>
  </si>
  <si>
    <t xml:space="preserve"> (งวด 12 เดือน 2567)</t>
  </si>
  <si>
    <t>(หน่วย: พันบาท)</t>
  </si>
  <si>
    <t>บริษัท ซัสโก้ จำกัด (มหาชน) และบริษัทย่อย</t>
  </si>
  <si>
    <t>Beta : 1.31</t>
  </si>
  <si>
    <t xml:space="preserve">weight : D&amp;A , CapEx 0.5 </t>
  </si>
  <si>
    <t>ผลรวม 7 ปี</t>
  </si>
  <si>
    <t>ผลรวมทั้งหมด</t>
  </si>
  <si>
    <t>(TV_FCFF)</t>
  </si>
  <si>
    <t>(TV_FCFE)</t>
  </si>
  <si>
    <t>(TV_FCF)</t>
  </si>
  <si>
    <t>WACC</t>
  </si>
  <si>
    <t>g</t>
  </si>
  <si>
    <t>Cost of Equity</t>
  </si>
  <si>
    <t>(FCFF)</t>
  </si>
  <si>
    <t>(FCFE)</t>
  </si>
  <si>
    <t>(FCF)</t>
  </si>
  <si>
    <t>DCF Model (PV + TV)</t>
  </si>
  <si>
    <t>หนี้สินรวม</t>
  </si>
  <si>
    <t>Intrinsic Value  per shares</t>
  </si>
  <si>
    <t>(PE)  Average of sector</t>
  </si>
  <si>
    <t xml:space="preserve">Margin of Safety (%) </t>
  </si>
  <si>
    <t>Beta : 1.22</t>
  </si>
  <si>
    <t>ผลรวม 11 ปี</t>
  </si>
  <si>
    <t>Intrinsic Value (EV) per shares</t>
  </si>
  <si>
    <t>Intrinsic Market Cap</t>
  </si>
  <si>
    <t>กำไรต่อโรงงาน</t>
  </si>
  <si>
    <t>WACC = ( E / (E+D) * r_e ) + (D /( E+D)* r_d * (1-T))</t>
  </si>
  <si>
    <r>
      <t>E</t>
    </r>
    <r>
      <rPr>
        <sz val="11"/>
        <color theme="1"/>
        <rFont val="Aptos Narrow"/>
        <family val="2"/>
        <scheme val="minor"/>
      </rPr>
      <t>: มูลค่าหุ้น (Market Value of Equity) = จำนวนหุ้น × ราคาตลาดของหุ้น</t>
    </r>
  </si>
  <si>
    <r>
      <t>D</t>
    </r>
    <r>
      <rPr>
        <sz val="11"/>
        <color theme="1"/>
        <rFont val="Aptos Narrow"/>
        <family val="2"/>
        <scheme val="minor"/>
      </rPr>
      <t>: มูลค่าหนี้สิน (Market Value of Debt) = มูลค่าหนี้สินระยะยาวในงบการเงิน</t>
    </r>
  </si>
  <si>
    <r>
      <t>T</t>
    </r>
    <r>
      <rPr>
        <sz val="11"/>
        <color theme="1"/>
        <rFont val="Aptos Narrow"/>
        <family val="2"/>
        <scheme val="minor"/>
      </rPr>
      <t>: อัตราภาษีเงินได้ของบริษัท</t>
    </r>
  </si>
  <si>
    <r>
      <t>r_e​</t>
    </r>
    <r>
      <rPr>
        <sz val="11"/>
        <color theme="1"/>
        <rFont val="Aptos Narrow"/>
        <family val="2"/>
        <scheme val="minor"/>
      </rPr>
      <t>: ต้นทุนของทุน (Cost of Equity)</t>
    </r>
  </si>
  <si>
    <r>
      <t>r_d​</t>
    </r>
    <r>
      <rPr>
        <sz val="11"/>
        <color theme="1"/>
        <rFont val="Aptos Narrow"/>
        <family val="2"/>
        <scheme val="minor"/>
      </rPr>
      <t>: ต้นทุนของหนี้สิน (Cost of Debt) = อัตราดอกเบี้ยเฉลี่ยที่บริษัทจ่าย</t>
    </r>
  </si>
  <si>
    <t>r_e</t>
  </si>
  <si>
    <t>T</t>
  </si>
  <si>
    <t>E (ล้าน)</t>
  </si>
  <si>
    <t>Cost of debt = ค่าใช้จ่ายดอกเบี้ยรวมต่อปี/ หนี้สิ้นรวม</t>
  </si>
  <si>
    <t>r_d (ล้าน)</t>
  </si>
  <si>
    <t>D (ล้าน)</t>
  </si>
  <si>
    <t>PV(TV_FCFF)</t>
  </si>
  <si>
    <t>PV(TV_FCFE)</t>
  </si>
  <si>
    <t>PV(TV_FCF)</t>
  </si>
  <si>
    <t>(1) ประเมินมูลค่าของธุรกิจในอนาคตหลังสิ้นสุดช่วงคาดการณ์ (Gordon Growth Model)</t>
  </si>
  <si>
    <t>(2) แปลงมูลค่า Terminal Value ให้เป็นมูลค่าปัจจุบัน (Gordon Growth Model)</t>
  </si>
  <si>
    <t xml:space="preserve"> ประเมิน Exit Multiple: (เหมาะกับธุรกิจที่ต้องอิงตลาดหรืออุตสาหกรรม)</t>
  </si>
  <si>
    <t>EV/EBITDA</t>
  </si>
  <si>
    <t>TV</t>
  </si>
  <si>
    <t>TV = EBITDA_n * Exit Multiple</t>
  </si>
  <si>
    <t>PV of TV</t>
  </si>
  <si>
    <t>(Exit Multiple) Intrinsic Value  per shares</t>
  </si>
  <si>
    <t>(Exit Multiple) Intrinsic Market Cap</t>
  </si>
  <si>
    <t xml:space="preserve">Excusive </t>
  </si>
  <si>
    <t>อัตราส่วนทางการเงิน</t>
  </si>
  <si>
    <t>Cash Conversion Efficiency</t>
  </si>
  <si>
    <t>กระแสเงินสด</t>
  </si>
  <si>
    <t>Cash Conversion Efficiency (CCE)</t>
  </si>
  <si>
    <t>เงินสดสุทธิ</t>
  </si>
  <si>
    <t>กระแสเงินสดจากการดำเนินงาน
​</t>
  </si>
  <si>
    <t>Operating Cash Flow Ratio</t>
  </si>
  <si>
    <t>งบฐานะการเงิน</t>
  </si>
  <si>
    <t>รวมหนี้สินหมุนเวียน</t>
  </si>
  <si>
    <t>งบกำไรขาดทุน</t>
  </si>
  <si>
    <t>รายได้จากการขาย</t>
  </si>
  <si>
    <t>รวมรายได้</t>
  </si>
  <si>
    <t>รวมค่าใช้จ่าย</t>
  </si>
  <si>
    <t>Cash Flow Margin</t>
  </si>
  <si>
    <t>Cash Flow to Capital Expenditures</t>
  </si>
  <si>
    <t xml:space="preserve">Free Cash Flow to Sales </t>
  </si>
  <si>
    <t>Sales to Asset Ratio</t>
  </si>
  <si>
    <t>Revenue Growth Rate</t>
  </si>
  <si>
    <t>รวมสินทรัพย์</t>
  </si>
  <si>
    <t>สินทรัพย์หมุนเวียน</t>
  </si>
  <si>
    <t>ต้นทุนขาย</t>
  </si>
  <si>
    <t>ค่าใช้จ่ายในการขายและบริหาร</t>
  </si>
  <si>
    <t>เงินสดสุทธิจากกิจกรรมดำเนินงาน</t>
  </si>
  <si>
    <t>Sales Forecast</t>
  </si>
  <si>
    <t>Sales=β_0+β_1+(COGS)+β_2+(Current Assets)+β_3+(SG&amp;A)+β_4+(Operating Cash Flow)+ϵ</t>
  </si>
  <si>
    <t>Sale Forcast</t>
  </si>
  <si>
    <t>COGS</t>
  </si>
  <si>
    <t xml:space="preserve">SG&amp;A </t>
  </si>
  <si>
    <t xml:space="preserve">Current_Assets </t>
  </si>
  <si>
    <t xml:space="preserve">Operating_Cash_Flow </t>
  </si>
  <si>
    <t xml:space="preserve">const </t>
  </si>
  <si>
    <t>Beta_n</t>
  </si>
  <si>
    <t>Mean</t>
  </si>
  <si>
    <t>Moving Average</t>
  </si>
  <si>
    <t>Trend</t>
  </si>
  <si>
    <t>Base Case</t>
  </si>
  <si>
    <t>Best Case</t>
  </si>
  <si>
    <t>Worst Case</t>
  </si>
  <si>
    <t xml:space="preserve">Range </t>
  </si>
  <si>
    <t>Mid</t>
  </si>
  <si>
    <t>predictions (COGS)</t>
  </si>
  <si>
    <t>Gross Profit Margin (%)</t>
  </si>
  <si>
    <t>Sales (Base)</t>
  </si>
  <si>
    <t>Sales (Best)</t>
  </si>
  <si>
    <t>Sales (Worst)</t>
  </si>
  <si>
    <t>Sales (Mean)</t>
  </si>
  <si>
    <t>Sales (Moving Average)</t>
  </si>
  <si>
    <t>Sales (Trend)</t>
  </si>
  <si>
    <t>Sale Forcast (LR)</t>
  </si>
  <si>
    <t>Degree of Operating Leverage</t>
  </si>
  <si>
    <t>DOL = Sales - COGS / (Sales - COGS - Fixed_cost)</t>
  </si>
  <si>
    <t>growth rate</t>
  </si>
  <si>
    <t>g = (1-Payout Ratio)*ROE</t>
  </si>
  <si>
    <t>Fixed cost</t>
  </si>
  <si>
    <t>Sales - COGS</t>
  </si>
  <si>
    <t>Sales - COGS - Fixed_cost</t>
  </si>
  <si>
    <t>Case : (Sale Forcast (LR))</t>
  </si>
  <si>
    <t>Case : Sales (Best)</t>
  </si>
  <si>
    <t>DOL</t>
  </si>
  <si>
    <t>Case : Sales (Worst)</t>
  </si>
  <si>
    <t>DOL(Margin) %</t>
  </si>
  <si>
    <t>กลุ่มคอมพิวเตอร์</t>
  </si>
  <si>
    <t>กลุ่มอุปกรณ์โทรคมนาคม</t>
  </si>
  <si>
    <t>รายได้อื่นๆ</t>
  </si>
  <si>
    <t xml:space="preserve">ยอดขายกลุ่มธุรกิจ </t>
  </si>
  <si>
    <t>ยอดขายรวม (Best)</t>
  </si>
  <si>
    <t>ยอดขายรวม (Worst)</t>
  </si>
  <si>
    <t>ยอดขายรวม (LR)</t>
  </si>
  <si>
    <t>Return of invested capital ROIC</t>
  </si>
  <si>
    <t>เงินสดและรายการเทียบเท่าเงินสด</t>
  </si>
  <si>
    <t>ภาษีเงินได้ค้างจ่าย</t>
  </si>
  <si>
    <t>เจ้าหนี้การค้าและเจ้าหนี้อื่น</t>
  </si>
  <si>
    <t>Earning  Power</t>
  </si>
  <si>
    <t>Interest Rate  (bond)</t>
  </si>
  <si>
    <t>กระแสเงินสดอิสระ</t>
  </si>
  <si>
    <t xml:space="preserve">ลูกหนี้การค้า </t>
  </si>
  <si>
    <t>สินค้าคงคลัง</t>
  </si>
  <si>
    <t xml:space="preserve">รายได้รวม </t>
  </si>
  <si>
    <t xml:space="preserve">หนี้สินรวม </t>
  </si>
  <si>
    <t>เงินลงทุนในธุรกิจใหม่ (CapEx)</t>
  </si>
  <si>
    <t>คุณภาพของสินค้าคงคลัง (DIO)</t>
  </si>
  <si>
    <t xml:space="preserve">คุณภาพของสินค้าคงคลังรายวัน (DIO) </t>
  </si>
  <si>
    <t>ค่าเฉลี่ยระยะเวลาการเก็บหนี้รายวัน (DSO)</t>
  </si>
  <si>
    <t>ค่าเฉลี่ยระยะเวลาการเก็บหนี้ (DSO)</t>
  </si>
  <si>
    <t>ระยะเวลาชำระหนี้เจ้าหนี้การค้า (DPO)</t>
  </si>
  <si>
    <t>ระยะเวลาชำระหนี้เจ้าหนี้การค้ารายวัน (DPO)</t>
  </si>
  <si>
    <t>Cash Conversion Cycle (CCC)</t>
  </si>
  <si>
    <t>ดอกเบี้ยจ่าย</t>
  </si>
  <si>
    <t>เงินสดรับจากเงินกู้ยืมระยะยาว</t>
  </si>
  <si>
    <t>FCF / ดอกเบี้ย</t>
  </si>
  <si>
    <t>FCF / หนี้ระยะยาว</t>
  </si>
  <si>
    <t>Margin of safety (%)</t>
  </si>
  <si>
    <t>Earning Yield Gap (%)</t>
  </si>
  <si>
    <t>**หากต้องการซื้อหุ้นที่ราคา EYG 5% จะซื้อได้ที่ SET INDEX  1169 จุด ที่ EPS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</si>
</sst>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_(* #,##0_);[Red]_(* \(#,##0\);_(* &quot;-&quot;_);_(@_)"/>
    <numFmt numFmtId="166" formatCode="&quot;วันที่&quot;\ ว\ ดดดด\ ปปปป"/>
    <numFmt numFmtId="167" formatCode="_-* #,##0.00_-;\-* #,##0.00_-;_-* &quot;-&quot;??_-;_-@_-"/>
    <numFmt numFmtId="168" formatCode="d\.m\.yy\ h:mm"/>
    <numFmt numFmtId="169" formatCode="d\ ดดด\ bb"/>
    <numFmt numFmtId="170" formatCode="_-* #,##0\ _F_-;\-* #,##0\ _F_-;_-* &quot;-&quot;\ _F_-;_-@_-"/>
    <numFmt numFmtId="171" formatCode="#,##0_);[Red]\(#,##0\);"/>
    <numFmt numFmtId="172" formatCode="_-* #,##0.00\ _F_-;\-* #,##0.00\ _F_-;_-* &quot;-&quot;??\ _F_-;_-@_-"/>
    <numFmt numFmtId="173" formatCode=";;;"/>
    <numFmt numFmtId="174" formatCode="ว\ ดดด\ ปป"/>
    <numFmt numFmtId="175" formatCode="#,##0.00;[Red]\(#,##0.00\)"/>
    <numFmt numFmtId="176" formatCode="0.0%"/>
    <numFmt numFmtId="177" formatCode="_-* #,##0_-;\-* #,##0_-;_-* &quot;-&quot;_-;_-@_-"/>
    <numFmt numFmtId="178" formatCode="#,##0\ ;\(#,##0\);&quot;-   &quot;\ \ \ "/>
    <numFmt numFmtId="179" formatCode="#,##0\ ;\(#,##0\);&quot;-  &quot;\ \ \ "/>
    <numFmt numFmtId="180" formatCode="0.000"/>
    <numFmt numFmtId="181" formatCode="_(* #,##0.00000_);_(* \(#,##0.00000\);_(* &quot;-&quot;??_);_(@_)"/>
    <numFmt numFmtId="182" formatCode="0.00000%"/>
    <numFmt numFmtId="183" formatCode="0.000%"/>
  </numFmts>
  <fonts count="59">
    <font>
      <sz val="11"/>
      <color theme="1"/>
      <name val="Aptos Narrow"/>
      <family val="2"/>
      <scheme val="minor"/>
    </font>
    <font>
      <sz val="16"/>
      <name val="Angsana New"/>
      <family val="1"/>
    </font>
    <font>
      <sz val="16"/>
      <color theme="1"/>
      <name val="Angsana New"/>
      <family val="1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name val="ApFont"/>
    </font>
    <font>
      <sz val="10"/>
      <name val="Tms Rmn"/>
    </font>
    <font>
      <sz val="14"/>
      <name val="CordiaUPC"/>
      <family val="2"/>
      <charset val="222"/>
    </font>
    <font>
      <sz val="10"/>
      <name val="MS Sans Serif"/>
      <family val="2"/>
    </font>
    <font>
      <sz val="10"/>
      <name val="MS Sans Serif"/>
      <family val="2"/>
      <charset val="222"/>
    </font>
    <font>
      <sz val="10"/>
      <name val="Arial"/>
      <family val="2"/>
    </font>
    <font>
      <sz val="14"/>
      <name val="Cordia New"/>
      <family val="1"/>
    </font>
    <font>
      <sz val="12"/>
      <name val="Helv"/>
    </font>
    <font>
      <sz val="14"/>
      <name val="Palatino"/>
      <family val="1"/>
      <charset val="222"/>
    </font>
    <font>
      <sz val="16"/>
      <name val="Palatino"/>
      <family val="1"/>
      <charset val="222"/>
    </font>
    <font>
      <sz val="32"/>
      <name val="Helvetica-Black"/>
      <charset val="222"/>
    </font>
    <font>
      <b/>
      <sz val="7"/>
      <name val="Helv"/>
      <charset val="222"/>
    </font>
    <font>
      <sz val="12"/>
      <name val="Tms Rmn"/>
      <charset val="222"/>
    </font>
    <font>
      <sz val="6"/>
      <color indexed="23"/>
      <name val="Helvetica-Black"/>
      <charset val="222"/>
    </font>
    <font>
      <sz val="9.5"/>
      <color indexed="23"/>
      <name val="Helvetica-Black"/>
      <charset val="222"/>
    </font>
    <font>
      <sz val="7"/>
      <name val="Palatino"/>
      <family val="1"/>
      <charset val="222"/>
    </font>
    <font>
      <sz val="7"/>
      <name val="Palatino"/>
      <family val="1"/>
    </font>
    <font>
      <sz val="8"/>
      <name val="Arial"/>
      <family val="2"/>
    </font>
    <font>
      <sz val="6"/>
      <name val="Palatino"/>
      <family val="1"/>
      <charset val="222"/>
    </font>
    <font>
      <sz val="6"/>
      <name val="Palatino"/>
      <family val="1"/>
    </font>
    <font>
      <sz val="28"/>
      <name val="Helvetica-Black"/>
      <charset val="222"/>
    </font>
    <font>
      <sz val="10"/>
      <name val="Helvetica-Black"/>
      <charset val="222"/>
    </font>
    <font>
      <sz val="18"/>
      <name val="Helvetica-Black"/>
      <charset val="222"/>
    </font>
    <font>
      <sz val="10"/>
      <name val="Palatino"/>
      <family val="1"/>
    </font>
    <font>
      <sz val="18"/>
      <name val="Palatino"/>
      <family val="1"/>
      <charset val="222"/>
    </font>
    <font>
      <i/>
      <sz val="14"/>
      <name val="Palatino"/>
      <family val="1"/>
      <charset val="222"/>
    </font>
    <font>
      <sz val="7"/>
      <name val="Small Fonts"/>
      <family val="2"/>
    </font>
    <font>
      <sz val="14"/>
      <name val="Angsana New"/>
      <family val="1"/>
    </font>
    <font>
      <sz val="10"/>
      <name val="Palatino"/>
      <family val="1"/>
      <charset val="222"/>
    </font>
    <font>
      <sz val="12"/>
      <name val="Helvetica-Black"/>
      <charset val="222"/>
    </font>
    <font>
      <sz val="10"/>
      <color indexed="8"/>
      <name val="Arial"/>
      <family val="2"/>
    </font>
    <font>
      <b/>
      <sz val="10"/>
      <name val="Palatino"/>
      <family val="1"/>
      <charset val="222"/>
    </font>
    <font>
      <sz val="9"/>
      <name val="Tms Rmn"/>
    </font>
    <font>
      <sz val="12"/>
      <name val="Palatino"/>
      <family val="1"/>
      <charset val="222"/>
    </font>
    <font>
      <sz val="11"/>
      <name val="Helvetica-Black"/>
      <charset val="222"/>
    </font>
    <font>
      <u/>
      <sz val="7.5"/>
      <color indexed="12"/>
      <name val="Arial"/>
      <family val="2"/>
    </font>
    <font>
      <sz val="12"/>
      <name val="ทsฒำฉ๚ล้"/>
      <family val="1"/>
      <charset val="136"/>
    </font>
    <font>
      <u/>
      <sz val="7.5"/>
      <color indexed="36"/>
      <name val="Arial"/>
      <family val="2"/>
    </font>
    <font>
      <sz val="12"/>
      <name val="新細明體"/>
      <family val="1"/>
      <charset val="136"/>
    </font>
    <font>
      <b/>
      <sz val="16"/>
      <name val="Angsana New"/>
      <family val="1"/>
    </font>
    <font>
      <sz val="15"/>
      <name val="Angsana New"/>
      <family val="1"/>
    </font>
    <font>
      <sz val="16"/>
      <color indexed="8"/>
      <name val="Angsana New"/>
      <family val="1"/>
    </font>
    <font>
      <sz val="16"/>
      <color rgb="FFFF0000"/>
      <name val="Angsana New"/>
      <family val="1"/>
    </font>
    <font>
      <b/>
      <sz val="11"/>
      <color theme="1"/>
      <name val="Aptos Narrow"/>
      <family val="2"/>
      <scheme val="minor"/>
    </font>
    <font>
      <b/>
      <sz val="16"/>
      <color theme="1"/>
      <name val="Angsana New"/>
      <family val="1"/>
    </font>
    <font>
      <sz val="13"/>
      <name val="Angsana New"/>
      <family val="1"/>
    </font>
    <font>
      <sz val="12"/>
      <name val="Angsana New"/>
      <family val="1"/>
    </font>
    <font>
      <i/>
      <sz val="16"/>
      <color theme="1"/>
      <name val="Angsana New"/>
      <family val="1"/>
    </font>
    <font>
      <i/>
      <sz val="11"/>
      <color theme="1"/>
      <name val="Aptos Narrow"/>
      <family val="2"/>
      <scheme val="minor"/>
    </font>
    <font>
      <sz val="11"/>
      <color theme="1"/>
      <name val="Menlo"/>
      <family val="3"/>
    </font>
    <font>
      <b/>
      <u/>
      <sz val="16"/>
      <color theme="1"/>
      <name val="Angsana New"/>
      <family val="1"/>
    </font>
    <font>
      <sz val="14"/>
      <color theme="1"/>
      <name val="Angsana New"/>
      <family val="1"/>
    </font>
    <font>
      <sz val="16"/>
      <color theme="1"/>
      <name val="Aptos Narrow"/>
      <family val="2"/>
      <scheme val="minor"/>
    </font>
    <font>
      <sz val="11"/>
      <color rgb="FFFF0000"/>
      <name val="Aptos Narrow (Body)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3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5">
    <xf numFmtId="0" fontId="0" fillId="0" borderId="0"/>
    <xf numFmtId="44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5" fillId="0" borderId="0"/>
    <xf numFmtId="164" fontId="6" fillId="0" borderId="0" applyFill="0" applyBorder="0" applyAlignment="0" applyProtection="0"/>
    <xf numFmtId="40" fontId="6" fillId="0" borderId="0" applyFill="0" applyBorder="0" applyAlignment="0" applyProtection="0"/>
    <xf numFmtId="165" fontId="7" fillId="2" borderId="0" applyFill="0" applyBorder="0" applyAlignment="0">
      <alignment vertical="top"/>
    </xf>
    <xf numFmtId="166" fontId="7" fillId="0" borderId="0" applyFill="0" applyBorder="0" applyAlignment="0" applyProtection="0"/>
    <xf numFmtId="38" fontId="8" fillId="0" borderId="0" applyFont="0" applyFill="0" applyBorder="0" applyAlignment="0" applyProtection="0"/>
    <xf numFmtId="41" fontId="7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7" fontId="7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1" fontId="11" fillId="0" borderId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10" fillId="0" borderId="0"/>
    <xf numFmtId="0" fontId="10" fillId="0" borderId="0"/>
    <xf numFmtId="168" fontId="12" fillId="0" borderId="0"/>
    <xf numFmtId="0" fontId="13" fillId="0" borderId="0">
      <alignment horizontal="left"/>
    </xf>
    <xf numFmtId="0" fontId="14" fillId="0" borderId="0"/>
    <xf numFmtId="0" fontId="15" fillId="0" borderId="0">
      <alignment horizontal="left"/>
    </xf>
    <xf numFmtId="169" fontId="7" fillId="2" borderId="1" applyFill="0" applyBorder="0" applyAlignment="0">
      <alignment horizontal="right"/>
    </xf>
    <xf numFmtId="170" fontId="12" fillId="0" borderId="0"/>
    <xf numFmtId="171" fontId="16" fillId="3" borderId="0">
      <protection hidden="1"/>
    </xf>
    <xf numFmtId="172" fontId="12" fillId="0" borderId="0"/>
    <xf numFmtId="0" fontId="17" fillId="0" borderId="0" applyNumberFormat="0" applyFill="0" applyBorder="0" applyAlignment="0" applyProtection="0"/>
    <xf numFmtId="0" fontId="18" fillId="0" borderId="0">
      <alignment horizontal="left"/>
    </xf>
    <xf numFmtId="0" fontId="19" fillId="0" borderId="0">
      <alignment horizontal="left"/>
    </xf>
    <xf numFmtId="0" fontId="20" fillId="0" borderId="0">
      <alignment horizontal="left"/>
    </xf>
    <xf numFmtId="0" fontId="20" fillId="0" borderId="0">
      <alignment horizontal="left"/>
    </xf>
    <xf numFmtId="0" fontId="21" fillId="0" borderId="0">
      <alignment horizontal="left"/>
    </xf>
    <xf numFmtId="38" fontId="22" fillId="4" borderId="0" applyNumberFormat="0" applyBorder="0" applyAlignment="0" applyProtection="0"/>
    <xf numFmtId="0" fontId="23" fillId="0" borderId="0">
      <alignment horizontal="left"/>
    </xf>
    <xf numFmtId="0" fontId="23" fillId="0" borderId="0">
      <alignment horizontal="left"/>
    </xf>
    <xf numFmtId="0" fontId="24" fillId="0" borderId="0">
      <alignment horizontal="left"/>
    </xf>
    <xf numFmtId="0" fontId="25" fillId="0" borderId="2">
      <alignment horizontal="left" vertical="top"/>
    </xf>
    <xf numFmtId="0" fontId="26" fillId="0" borderId="0">
      <alignment horizontal="left"/>
    </xf>
    <xf numFmtId="0" fontId="25" fillId="0" borderId="2">
      <alignment horizontal="left" vertical="top"/>
    </xf>
    <xf numFmtId="0" fontId="27" fillId="0" borderId="2">
      <alignment horizontal="left" vertical="top"/>
    </xf>
    <xf numFmtId="0" fontId="28" fillId="0" borderId="0">
      <alignment horizontal="left"/>
    </xf>
    <xf numFmtId="0" fontId="29" fillId="0" borderId="2">
      <alignment horizontal="left" vertical="top"/>
    </xf>
    <xf numFmtId="0" fontId="30" fillId="0" borderId="0">
      <alignment horizontal="left"/>
    </xf>
    <xf numFmtId="0" fontId="30" fillId="0" borderId="0">
      <alignment horizontal="left"/>
    </xf>
    <xf numFmtId="173" fontId="6" fillId="0" borderId="0" applyFill="0" applyBorder="0" applyAlignment="0" applyProtection="0"/>
    <xf numFmtId="10" fontId="22" fillId="5" borderId="3" applyNumberFormat="0" applyBorder="0" applyAlignment="0" applyProtection="0"/>
    <xf numFmtId="10" fontId="22" fillId="5" borderId="3" applyNumberFormat="0" applyBorder="0" applyAlignment="0" applyProtection="0"/>
    <xf numFmtId="37" fontId="31" fillId="0" borderId="0"/>
    <xf numFmtId="0" fontId="12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8" fillId="0" borderId="0"/>
    <xf numFmtId="0" fontId="10" fillId="0" borderId="0"/>
    <xf numFmtId="0" fontId="7" fillId="0" borderId="0"/>
    <xf numFmtId="0" fontId="33" fillId="0" borderId="0"/>
    <xf numFmtId="0" fontId="34" fillId="0" borderId="0">
      <alignment horizontal="left"/>
    </xf>
    <xf numFmtId="174" fontId="7" fillId="2" borderId="0" applyFill="0" applyBorder="0" applyAlignment="0" applyProtection="0">
      <protection locked="0"/>
    </xf>
    <xf numFmtId="5" fontId="7" fillId="2" borderId="0" applyFill="0" applyBorder="0" applyAlignment="0" applyProtection="0">
      <alignment vertical="top"/>
    </xf>
    <xf numFmtId="175" fontId="7" fillId="0" borderId="0" applyFill="0" applyBorder="0" applyAlignment="0" applyProtection="0"/>
    <xf numFmtId="10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1" fillId="0" borderId="0" applyFont="0" applyFill="0" applyBorder="0" applyAlignment="0" applyProtection="0"/>
    <xf numFmtId="1" fontId="10" fillId="0" borderId="4" applyNumberFormat="0" applyFill="0" applyAlignment="0" applyProtection="0">
      <alignment horizontal="center" vertical="center"/>
    </xf>
    <xf numFmtId="0" fontId="19" fillId="0" borderId="5">
      <alignment vertical="center"/>
    </xf>
    <xf numFmtId="0" fontId="36" fillId="0" borderId="0">
      <alignment horizontal="left"/>
    </xf>
    <xf numFmtId="0" fontId="20" fillId="0" borderId="0">
      <alignment horizontal="left"/>
    </xf>
    <xf numFmtId="0" fontId="28" fillId="0" borderId="0"/>
    <xf numFmtId="0" fontId="26" fillId="0" borderId="0"/>
    <xf numFmtId="0" fontId="20" fillId="0" borderId="0"/>
    <xf numFmtId="0" fontId="37" fillId="0" borderId="0" applyNumberFormat="0" applyFill="0" applyBorder="0" applyAlignment="0" applyProtection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10" fillId="0" borderId="0"/>
    <xf numFmtId="0" fontId="40" fillId="0" borderId="0" applyNumberFormat="0" applyFill="0" applyBorder="0" applyAlignment="0" applyProtection="0">
      <alignment vertical="top"/>
      <protection locked="0"/>
    </xf>
    <xf numFmtId="0" fontId="11" fillId="0" borderId="0"/>
    <xf numFmtId="177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2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3" fillId="0" borderId="0"/>
    <xf numFmtId="0" fontId="4" fillId="0" borderId="0"/>
    <xf numFmtId="0" fontId="5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7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43" fontId="2" fillId="0" borderId="0" xfId="0" applyNumberFormat="1" applyFont="1"/>
    <xf numFmtId="0" fontId="44" fillId="0" borderId="0" xfId="2" applyFont="1" applyAlignment="1">
      <alignment horizontal="left" vertical="center"/>
    </xf>
    <xf numFmtId="43" fontId="2" fillId="0" borderId="0" xfId="0" applyNumberFormat="1" applyFont="1" applyAlignment="1">
      <alignment vertical="center"/>
    </xf>
    <xf numFmtId="43" fontId="2" fillId="0" borderId="0" xfId="1" applyNumberFormat="1" applyFont="1"/>
    <xf numFmtId="0" fontId="2" fillId="0" borderId="6" xfId="0" applyFont="1" applyBorder="1" applyAlignment="1">
      <alignment horizontal="center" vertical="center"/>
    </xf>
    <xf numFmtId="4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1" fontId="45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41" fontId="1" fillId="0" borderId="7" xfId="0" applyNumberFormat="1" applyFont="1" applyBorder="1" applyAlignment="1">
      <alignment vertical="center"/>
    </xf>
    <xf numFmtId="41" fontId="45" fillId="0" borderId="0" xfId="124" applyNumberFormat="1" applyFont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43" fontId="2" fillId="0" borderId="6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43" fontId="2" fillId="0" borderId="8" xfId="0" applyNumberFormat="1" applyFont="1" applyBorder="1"/>
    <xf numFmtId="0" fontId="2" fillId="0" borderId="7" xfId="0" applyFont="1" applyBorder="1"/>
    <xf numFmtId="43" fontId="2" fillId="0" borderId="7" xfId="0" applyNumberFormat="1" applyFont="1" applyBorder="1"/>
    <xf numFmtId="0" fontId="2" fillId="7" borderId="0" xfId="0" applyFont="1" applyFill="1"/>
    <xf numFmtId="0" fontId="0" fillId="7" borderId="0" xfId="0" applyFill="1"/>
    <xf numFmtId="43" fontId="2" fillId="0" borderId="0" xfId="1" applyNumberFormat="1" applyFont="1" applyBorder="1"/>
    <xf numFmtId="43" fontId="2" fillId="0" borderId="0" xfId="1" applyNumberFormat="1" applyFont="1" applyBorder="1" applyAlignment="1">
      <alignment horizontal="center" vertical="center"/>
    </xf>
    <xf numFmtId="178" fontId="46" fillId="0" borderId="0" xfId="129" applyNumberFormat="1" applyFont="1" applyFill="1" applyBorder="1" applyAlignment="1">
      <alignment vertical="center"/>
    </xf>
    <xf numFmtId="179" fontId="1" fillId="0" borderId="0" xfId="129" applyNumberFormat="1" applyFont="1" applyFill="1" applyBorder="1"/>
    <xf numFmtId="43" fontId="1" fillId="0" borderId="0" xfId="1" applyNumberFormat="1" applyFont="1" applyBorder="1" applyAlignment="1">
      <alignment vertical="center"/>
    </xf>
    <xf numFmtId="43" fontId="46" fillId="0" borderId="0" xfId="1" applyNumberFormat="1" applyFont="1" applyFill="1" applyBorder="1" applyAlignment="1">
      <alignment vertical="center"/>
    </xf>
    <xf numFmtId="43" fontId="1" fillId="0" borderId="0" xfId="1" applyNumberFormat="1" applyFont="1" applyFill="1" applyBorder="1"/>
    <xf numFmtId="179" fontId="1" fillId="0" borderId="0" xfId="129" applyNumberFormat="1" applyFont="1" applyFill="1" applyBorder="1" applyAlignment="1">
      <alignment vertical="center"/>
    </xf>
    <xf numFmtId="43" fontId="1" fillId="0" borderId="0" xfId="1" applyNumberFormat="1" applyFont="1" applyFill="1" applyBorder="1" applyAlignment="1">
      <alignment vertical="center"/>
    </xf>
    <xf numFmtId="43" fontId="2" fillId="0" borderId="2" xfId="1" applyNumberFormat="1" applyFont="1" applyBorder="1"/>
    <xf numFmtId="43" fontId="1" fillId="0" borderId="2" xfId="1" applyNumberFormat="1" applyFont="1" applyFill="1" applyBorder="1" applyAlignment="1">
      <alignment vertical="center"/>
    </xf>
    <xf numFmtId="0" fontId="0" fillId="7" borderId="2" xfId="0" applyFill="1" applyBorder="1"/>
    <xf numFmtId="43" fontId="2" fillId="0" borderId="11" xfId="0" applyNumberFormat="1" applyFont="1" applyBorder="1"/>
    <xf numFmtId="43" fontId="2" fillId="0" borderId="2" xfId="0" applyNumberFormat="1" applyFont="1" applyBorder="1"/>
    <xf numFmtId="43" fontId="2" fillId="0" borderId="12" xfId="0" applyNumberFormat="1" applyFont="1" applyBorder="1"/>
    <xf numFmtId="43" fontId="0" fillId="0" borderId="0" xfId="0" applyNumberFormat="1"/>
    <xf numFmtId="13" fontId="0" fillId="0" borderId="0" xfId="0" applyNumberFormat="1"/>
    <xf numFmtId="43" fontId="0" fillId="0" borderId="13" xfId="0" applyNumberFormat="1" applyBorder="1"/>
    <xf numFmtId="0" fontId="0" fillId="0" borderId="0" xfId="0" applyAlignment="1">
      <alignment horizontal="center" vertical="center"/>
    </xf>
    <xf numFmtId="0" fontId="0" fillId="7" borderId="8" xfId="0" applyFill="1" applyBorder="1"/>
    <xf numFmtId="43" fontId="2" fillId="0" borderId="14" xfId="0" applyNumberFormat="1" applyFont="1" applyBorder="1"/>
    <xf numFmtId="43" fontId="2" fillId="0" borderId="13" xfId="0" applyNumberFormat="1" applyFont="1" applyBorder="1"/>
    <xf numFmtId="0" fontId="2" fillId="0" borderId="15" xfId="0" applyFont="1" applyBorder="1" applyAlignment="1">
      <alignment horizontal="center" vertical="center"/>
    </xf>
    <xf numFmtId="0" fontId="0" fillId="8" borderId="0" xfId="0" applyFill="1"/>
    <xf numFmtId="43" fontId="1" fillId="0" borderId="9" xfId="1" applyNumberFormat="1" applyFont="1" applyFill="1" applyBorder="1"/>
    <xf numFmtId="43" fontId="2" fillId="0" borderId="14" xfId="1" applyNumberFormat="1" applyFont="1" applyBorder="1"/>
    <xf numFmtId="43" fontId="2" fillId="6" borderId="0" xfId="0" applyNumberFormat="1" applyFont="1" applyFill="1"/>
    <xf numFmtId="43" fontId="2" fillId="7" borderId="0" xfId="0" applyNumberFormat="1" applyFont="1" applyFill="1"/>
    <xf numFmtId="43" fontId="2" fillId="6" borderId="8" xfId="0" applyNumberFormat="1" applyFont="1" applyFill="1" applyBorder="1"/>
    <xf numFmtId="180" fontId="0" fillId="0" borderId="0" xfId="0" applyNumberFormat="1"/>
    <xf numFmtId="0" fontId="0" fillId="0" borderId="6" xfId="0" applyBorder="1" applyAlignment="1">
      <alignment horizontal="center"/>
    </xf>
    <xf numFmtId="0" fontId="47" fillId="0" borderId="6" xfId="0" applyFont="1" applyBorder="1" applyAlignment="1">
      <alignment horizontal="center" vertical="center"/>
    </xf>
    <xf numFmtId="0" fontId="49" fillId="0" borderId="0" xfId="0" applyFont="1"/>
    <xf numFmtId="0" fontId="49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43" fontId="1" fillId="0" borderId="9" xfId="1" applyNumberFormat="1" applyFont="1" applyBorder="1" applyAlignment="1">
      <alignment vertical="center"/>
    </xf>
    <xf numFmtId="41" fontId="45" fillId="0" borderId="9" xfId="124" applyNumberFormat="1" applyFont="1" applyBorder="1" applyAlignment="1">
      <alignment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48" fillId="0" borderId="0" xfId="0" applyFont="1"/>
    <xf numFmtId="9" fontId="0" fillId="0" borderId="8" xfId="130" applyFont="1" applyBorder="1"/>
    <xf numFmtId="0" fontId="0" fillId="0" borderId="8" xfId="0" applyBorder="1"/>
    <xf numFmtId="43" fontId="2" fillId="0" borderId="8" xfId="130" applyNumberFormat="1" applyFont="1" applyBorder="1"/>
    <xf numFmtId="43" fontId="2" fillId="0" borderId="0" xfId="130" applyNumberFormat="1" applyFont="1" applyBorder="1"/>
    <xf numFmtId="9" fontId="0" fillId="0" borderId="0" xfId="130" applyFont="1"/>
    <xf numFmtId="41" fontId="1" fillId="0" borderId="2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0" xfId="0" applyNumberFormat="1" applyFont="1"/>
    <xf numFmtId="41" fontId="1" fillId="0" borderId="9" xfId="0" applyNumberFormat="1" applyFont="1" applyBorder="1" applyAlignment="1">
      <alignment vertical="center"/>
    </xf>
    <xf numFmtId="41" fontId="1" fillId="0" borderId="9" xfId="124" applyNumberFormat="1" applyFont="1" applyBorder="1" applyAlignment="1">
      <alignment vertical="center"/>
    </xf>
    <xf numFmtId="43" fontId="2" fillId="0" borderId="0" xfId="1" applyNumberFormat="1" applyFont="1" applyAlignment="1">
      <alignment horizontal="right"/>
    </xf>
    <xf numFmtId="0" fontId="2" fillId="0" borderId="1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" xfId="130" applyFont="1" applyBorder="1"/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43" fontId="0" fillId="0" borderId="14" xfId="0" applyNumberFormat="1" applyBorder="1"/>
    <xf numFmtId="0" fontId="0" fillId="0" borderId="14" xfId="0" applyBorder="1"/>
    <xf numFmtId="43" fontId="2" fillId="0" borderId="9" xfId="0" applyNumberFormat="1" applyFont="1" applyBorder="1"/>
    <xf numFmtId="43" fontId="0" fillId="0" borderId="21" xfId="0" applyNumberFormat="1" applyBorder="1"/>
    <xf numFmtId="43" fontId="2" fillId="0" borderId="0" xfId="130" applyNumberFormat="1" applyFont="1"/>
    <xf numFmtId="9" fontId="0" fillId="0" borderId="14" xfId="130" applyFont="1" applyBorder="1"/>
    <xf numFmtId="9" fontId="0" fillId="0" borderId="22" xfId="130" applyFont="1" applyBorder="1"/>
    <xf numFmtId="0" fontId="2" fillId="0" borderId="15" xfId="0" applyFont="1" applyBorder="1"/>
    <xf numFmtId="0" fontId="2" fillId="0" borderId="14" xfId="0" applyFont="1" applyBorder="1"/>
    <xf numFmtId="43" fontId="2" fillId="0" borderId="21" xfId="0" applyNumberFormat="1" applyFont="1" applyBorder="1"/>
    <xf numFmtId="43" fontId="2" fillId="0" borderId="0" xfId="0" applyNumberFormat="1" applyFont="1" applyAlignment="1">
      <alignment horizontal="center" vertical="center"/>
    </xf>
    <xf numFmtId="43" fontId="2" fillId="0" borderId="23" xfId="1" applyNumberFormat="1" applyFont="1" applyBorder="1"/>
    <xf numFmtId="43" fontId="1" fillId="0" borderId="14" xfId="1" applyNumberFormat="1" applyFont="1" applyBorder="1" applyAlignment="1">
      <alignment vertical="center"/>
    </xf>
    <xf numFmtId="44" fontId="0" fillId="0" borderId="0" xfId="0" applyNumberFormat="1"/>
    <xf numFmtId="0" fontId="0" fillId="0" borderId="6" xfId="0" applyBorder="1"/>
    <xf numFmtId="0" fontId="56" fillId="0" borderId="26" xfId="0" applyFont="1" applyBorder="1"/>
    <xf numFmtId="181" fontId="0" fillId="0" borderId="10" xfId="0" applyNumberFormat="1" applyBorder="1"/>
    <xf numFmtId="43" fontId="52" fillId="0" borderId="0" xfId="0" applyNumberFormat="1" applyFont="1"/>
    <xf numFmtId="43" fontId="52" fillId="0" borderId="14" xfId="0" applyNumberFormat="1" applyFont="1" applyBorder="1"/>
    <xf numFmtId="0" fontId="53" fillId="0" borderId="0" xfId="0" applyFont="1"/>
    <xf numFmtId="0" fontId="52" fillId="0" borderId="0" xfId="0" applyFont="1"/>
    <xf numFmtId="41" fontId="1" fillId="0" borderId="0" xfId="0" applyNumberFormat="1" applyFont="1" applyAlignment="1">
      <alignment horizontal="right"/>
    </xf>
    <xf numFmtId="41" fontId="51" fillId="0" borderId="0" xfId="0" applyNumberFormat="1" applyFont="1" applyAlignment="1">
      <alignment horizontal="right"/>
    </xf>
    <xf numFmtId="41" fontId="45" fillId="0" borderId="0" xfId="0" applyNumberFormat="1" applyFont="1" applyAlignment="1">
      <alignment horizontal="right"/>
    </xf>
    <xf numFmtId="41" fontId="45" fillId="0" borderId="0" xfId="0" applyNumberFormat="1" applyFont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41" fontId="45" fillId="0" borderId="0" xfId="0" applyNumberFormat="1" applyFont="1"/>
    <xf numFmtId="41" fontId="32" fillId="0" borderId="0" xfId="124" applyNumberFormat="1" applyFont="1" applyAlignment="1">
      <alignment vertical="center"/>
    </xf>
    <xf numFmtId="41" fontId="32" fillId="0" borderId="0" xfId="124" applyNumberFormat="1" applyFont="1"/>
    <xf numFmtId="41" fontId="45" fillId="0" borderId="0" xfId="124" applyNumberFormat="1" applyFont="1"/>
    <xf numFmtId="41" fontId="1" fillId="0" borderId="0" xfId="124" applyNumberFormat="1" applyFont="1" applyAlignment="1">
      <alignment vertical="center"/>
    </xf>
    <xf numFmtId="41" fontId="51" fillId="0" borderId="0" xfId="0" applyNumberFormat="1" applyFont="1"/>
    <xf numFmtId="41" fontId="50" fillId="0" borderId="0" xfId="0" applyNumberFormat="1" applyFont="1"/>
    <xf numFmtId="0" fontId="1" fillId="0" borderId="7" xfId="0" applyFont="1" applyBorder="1" applyAlignment="1">
      <alignment horizontal="center" vertical="center"/>
    </xf>
    <xf numFmtId="43" fontId="54" fillId="0" borderId="0" xfId="0" applyNumberFormat="1" applyFont="1"/>
    <xf numFmtId="0" fontId="0" fillId="0" borderId="0" xfId="0" applyAlignment="1">
      <alignment wrapText="1"/>
    </xf>
    <xf numFmtId="0" fontId="49" fillId="0" borderId="24" xfId="0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43" fontId="0" fillId="0" borderId="29" xfId="0" applyNumberFormat="1" applyBorder="1"/>
    <xf numFmtId="0" fontId="54" fillId="0" borderId="28" xfId="0" applyFont="1" applyBorder="1"/>
    <xf numFmtId="11" fontId="0" fillId="0" borderId="0" xfId="0" applyNumberFormat="1"/>
    <xf numFmtId="3" fontId="0" fillId="0" borderId="0" xfId="0" applyNumberFormat="1"/>
    <xf numFmtId="0" fontId="54" fillId="0" borderId="26" xfId="0" applyFont="1" applyBorder="1"/>
    <xf numFmtId="0" fontId="0" fillId="0" borderId="26" xfId="0" applyBorder="1"/>
    <xf numFmtId="0" fontId="0" fillId="0" borderId="27" xfId="0" applyBorder="1"/>
    <xf numFmtId="0" fontId="2" fillId="0" borderId="26" xfId="0" applyFont="1" applyBorder="1"/>
    <xf numFmtId="0" fontId="0" fillId="0" borderId="25" xfId="0" applyBorder="1"/>
    <xf numFmtId="0" fontId="0" fillId="0" borderId="18" xfId="0" applyBorder="1"/>
    <xf numFmtId="43" fontId="0" fillId="0" borderId="10" xfId="0" applyNumberFormat="1" applyBorder="1"/>
    <xf numFmtId="0" fontId="0" fillId="0" borderId="10" xfId="0" applyBorder="1"/>
    <xf numFmtId="0" fontId="54" fillId="0" borderId="0" xfId="0" applyFont="1"/>
    <xf numFmtId="41" fontId="50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24" applyFont="1" applyAlignment="1">
      <alignment horizontal="right"/>
    </xf>
    <xf numFmtId="0" fontId="2" fillId="0" borderId="0" xfId="0" applyFont="1" applyAlignment="1">
      <alignment horizontal="right" wrapText="1"/>
    </xf>
    <xf numFmtId="37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3" xfId="0" applyBorder="1"/>
    <xf numFmtId="43" fontId="0" fillId="0" borderId="9" xfId="0" applyNumberFormat="1" applyBorder="1"/>
    <xf numFmtId="0" fontId="0" fillId="0" borderId="9" xfId="0" applyBorder="1"/>
    <xf numFmtId="41" fontId="0" fillId="0" borderId="0" xfId="0" applyNumberFormat="1"/>
    <xf numFmtId="41" fontId="1" fillId="0" borderId="0" xfId="124" applyNumberFormat="1" applyFont="1" applyAlignment="1">
      <alignment horizontal="right" vertical="center"/>
    </xf>
    <xf numFmtId="41" fontId="45" fillId="0" borderId="0" xfId="124" applyNumberFormat="1" applyFont="1" applyAlignment="1">
      <alignment horizontal="right" vertical="center"/>
    </xf>
    <xf numFmtId="41" fontId="32" fillId="0" borderId="0" xfId="124" applyNumberFormat="1" applyFont="1" applyAlignment="1">
      <alignment horizontal="right" vertical="center"/>
    </xf>
    <xf numFmtId="10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 vertical="center"/>
    </xf>
    <xf numFmtId="10" fontId="0" fillId="0" borderId="0" xfId="130" applyNumberFormat="1" applyFont="1"/>
    <xf numFmtId="0" fontId="57" fillId="0" borderId="0" xfId="0" applyFont="1"/>
    <xf numFmtId="0" fontId="51" fillId="0" borderId="0" xfId="0" applyFont="1"/>
    <xf numFmtId="41" fontId="1" fillId="0" borderId="0" xfId="124" applyNumberFormat="1" applyFont="1" applyAlignment="1">
      <alignment horizontal="right"/>
    </xf>
    <xf numFmtId="41" fontId="1" fillId="0" borderId="0" xfId="124" applyNumberFormat="1" applyFont="1"/>
    <xf numFmtId="41" fontId="1" fillId="0" borderId="14" xfId="124" applyNumberFormat="1" applyFont="1" applyBorder="1" applyAlignment="1">
      <alignment vertical="center"/>
    </xf>
    <xf numFmtId="41" fontId="1" fillId="0" borderId="14" xfId="124" applyNumberFormat="1" applyFont="1" applyBorder="1" applyAlignment="1">
      <alignment horizontal="right" vertical="center"/>
    </xf>
    <xf numFmtId="41" fontId="1" fillId="0" borderId="14" xfId="0" applyNumberFormat="1" applyFont="1" applyBorder="1" applyAlignment="1">
      <alignment vertical="center"/>
    </xf>
    <xf numFmtId="43" fontId="2" fillId="0" borderId="14" xfId="1" applyNumberFormat="1" applyFont="1" applyBorder="1" applyAlignment="1">
      <alignment horizontal="center" vertical="center"/>
    </xf>
    <xf numFmtId="0" fontId="2" fillId="0" borderId="20" xfId="0" applyFont="1" applyBorder="1"/>
    <xf numFmtId="43" fontId="1" fillId="0" borderId="0" xfId="1" applyNumberFormat="1" applyFont="1" applyBorder="1" applyAlignment="1">
      <alignment horizontal="right" vertical="center"/>
    </xf>
    <xf numFmtId="43" fontId="1" fillId="0" borderId="0" xfId="1" applyNumberFormat="1" applyFont="1" applyBorder="1" applyAlignment="1">
      <alignment horizontal="right"/>
    </xf>
    <xf numFmtId="0" fontId="2" fillId="0" borderId="30" xfId="0" applyFont="1" applyBorder="1" applyAlignment="1">
      <alignment horizontal="center" vertical="center"/>
    </xf>
    <xf numFmtId="183" fontId="0" fillId="0" borderId="0" xfId="130" applyNumberFormat="1" applyFont="1" applyAlignment="1">
      <alignment horizontal="center" vertical="center"/>
    </xf>
    <xf numFmtId="183" fontId="0" fillId="0" borderId="0" xfId="0" applyNumberFormat="1" applyAlignment="1">
      <alignment horizontal="center"/>
    </xf>
    <xf numFmtId="0" fontId="58" fillId="0" borderId="0" xfId="0" applyFont="1"/>
  </cellXfs>
  <cellStyles count="145">
    <cellStyle name="Comma" xfId="129" builtinId="3"/>
    <cellStyle name="Comma (0.0)" xfId="5" xr:uid="{30CB994C-B6B1-4138-A3AA-C3A7D94A88E6}"/>
    <cellStyle name="Comma (0.00)" xfId="6" xr:uid="{B00C2AF2-472E-4853-8E77-5CC76101A86F}"/>
    <cellStyle name="Comma (hidden)" xfId="7" xr:uid="{8A317E1D-2724-48FE-AB2E-606C834E34B1}"/>
    <cellStyle name="Comma (index)" xfId="8" xr:uid="{76C65797-1807-45EC-899C-E85329C05F47}"/>
    <cellStyle name="Comma [0] 2" xfId="9" xr:uid="{2648BB23-A9DA-419D-BBE7-26E5FECC687D}"/>
    <cellStyle name="Comma [0] 3" xfId="10" xr:uid="{0F47061E-46F1-4A15-9C0E-4E8B3872C6D3}"/>
    <cellStyle name="Comma [0] 4" xfId="11" xr:uid="{0CDD82DE-6BA5-4E4E-B6D9-EC02F748BA1D}"/>
    <cellStyle name="Comma [0] 5" xfId="12" xr:uid="{0624A7AE-372B-4120-988D-5B962A5BB12E}"/>
    <cellStyle name="Comma [0] 6" xfId="13" xr:uid="{B984D2A1-E351-4D8E-9483-FD5823AD4C2D}"/>
    <cellStyle name="Comma [0] 7" xfId="14" xr:uid="{E8FD04BD-7C69-4C87-9171-D32DA46B6A43}"/>
    <cellStyle name="Comma 10" xfId="3" xr:uid="{C24ADF3C-25C7-424E-A4D2-4285D437F0B6}"/>
    <cellStyle name="Comma 11" xfId="128" xr:uid="{BBE8BFD7-05F2-4229-AEFD-8C9543261A9E}"/>
    <cellStyle name="Comma 12" xfId="132" xr:uid="{31ACC0A8-C0DE-473F-8328-8C237A1EE203}"/>
    <cellStyle name="Comma 13" xfId="135" xr:uid="{81E76343-8538-47F1-8C7C-113A68DCC16D}"/>
    <cellStyle name="Comma 14" xfId="139" xr:uid="{6A5AD82E-6E94-4B00-A514-9829632FC844}"/>
    <cellStyle name="Comma 15" xfId="15" xr:uid="{FFB46137-6F38-4C4E-9BAB-F0C7BF9F8D70}"/>
    <cellStyle name="Comma 16" xfId="133" xr:uid="{DC817E9A-C04E-48D3-91A1-B8E7DE191BB0}"/>
    <cellStyle name="Comma 17" xfId="137" xr:uid="{88B2D8E0-2BFD-4880-9B09-CB4158C26CCB}"/>
    <cellStyle name="Comma 18" xfId="142" xr:uid="{5A2A2A85-0911-445A-9095-11E2256B892A}"/>
    <cellStyle name="Comma 19" xfId="143" xr:uid="{23D9E137-8D79-4049-A487-462F55ADC309}"/>
    <cellStyle name="Comma 2" xfId="16" xr:uid="{2EFA1871-2EFD-4C49-AB18-0694628C7BF0}"/>
    <cellStyle name="Comma 2 10" xfId="17" xr:uid="{942D146D-C7D7-49F0-B5F1-49C76B05056B}"/>
    <cellStyle name="Comma 2 11" xfId="18" xr:uid="{F4093CAB-DAC3-4CA2-8F69-D812825C8241}"/>
    <cellStyle name="Comma 2 2" xfId="19" xr:uid="{2E55AD8D-D836-4622-B80C-A2ED5ABF5F97}"/>
    <cellStyle name="Comma 2 3" xfId="20" xr:uid="{346E0A21-7BCB-4FE8-AB79-891B67F1DD3B}"/>
    <cellStyle name="Comma 2 4" xfId="21" xr:uid="{3E2952AF-1E67-4C37-8066-6BB2DF1DF5F5}"/>
    <cellStyle name="Comma 2 5" xfId="22" xr:uid="{D8CA30A1-EF2A-4D7D-BD98-D8905CE80B84}"/>
    <cellStyle name="Comma 2 6" xfId="23" xr:uid="{1D99E9F8-BF5D-43F9-8448-D19EBC9690AA}"/>
    <cellStyle name="Comma 2 7" xfId="24" xr:uid="{1EC9DC04-AEEB-451F-9BAF-739F85C0B645}"/>
    <cellStyle name="Comma 2 8" xfId="25" xr:uid="{28B3074C-619F-4B2A-B2F6-81A97CA9EE88}"/>
    <cellStyle name="Comma 2 9" xfId="26" xr:uid="{26D2D571-6388-4705-8C1D-D5F79464CC71}"/>
    <cellStyle name="Comma 3" xfId="27" xr:uid="{9137122D-1256-4AEF-BB5E-E7030A9D1182}"/>
    <cellStyle name="Comma 3 2" xfId="28" xr:uid="{67D6F184-FDE7-46CA-8672-62DF2A23067B}"/>
    <cellStyle name="Comma 3 3" xfId="29" xr:uid="{8BB83578-223C-4F8B-93BB-68CEE34B4EAB}"/>
    <cellStyle name="Comma 3 4" xfId="30" xr:uid="{660E98A8-21D5-493F-AEAB-2AC51EDFCBF3}"/>
    <cellStyle name="Comma 4" xfId="31" xr:uid="{ED4ADE5E-3A35-482A-872A-5603FC0678BB}"/>
    <cellStyle name="Comma 5" xfId="32" xr:uid="{3F74D965-547C-47A6-BE5B-5F35E181D55F}"/>
    <cellStyle name="Comma 5 2" xfId="33" xr:uid="{E07040D7-C53E-4985-9F3A-2957B83C703E}"/>
    <cellStyle name="Comma 6" xfId="34" xr:uid="{4017B1B6-8F33-4B5A-8611-D79FBAE0CE8B}"/>
    <cellStyle name="Comma 7" xfId="35" xr:uid="{9A90A3A5-42AF-412F-AE18-669DF445D857}"/>
    <cellStyle name="Comma 8" xfId="36" xr:uid="{84FE4149-B18E-46ED-B075-7CECB79A8C7D}"/>
    <cellStyle name="Comma 9" xfId="37" xr:uid="{A03C6E20-5AD1-4E58-91F8-2F09A0B0DE76}"/>
    <cellStyle name="comma zerodec" xfId="38" xr:uid="{36E559A3-8976-4CE9-8549-00A30250E63D}"/>
    <cellStyle name="Cover Date" xfId="39" xr:uid="{FFD01128-79B9-4D15-8958-5B5A35EDC401}"/>
    <cellStyle name="Cover Subtitle" xfId="40" xr:uid="{909A59CB-0B08-4A44-9861-D55272D5A077}"/>
    <cellStyle name="Cover Title" xfId="41" xr:uid="{91C32CA6-9C5B-4BC9-A00D-C92F979ED732}"/>
    <cellStyle name="Currency" xfId="1" builtinId="4"/>
    <cellStyle name="Currency (hidden)" xfId="42" xr:uid="{53CE9393-107E-493A-AFB0-247D7C86909C}"/>
    <cellStyle name="Currency1" xfId="43" xr:uid="{C7F954C3-30C3-4FA5-9CAD-42612B6C9E9E}"/>
    <cellStyle name="Custom" xfId="44" xr:uid="{1F199DFA-E3CA-47E1-9D8F-F924AE3F09E8}"/>
    <cellStyle name="Dollar (zero dec)" xfId="45" xr:uid="{55052699-5B7C-4541-A88E-9F5B9F3FF660}"/>
    <cellStyle name="E&amp;Y House" xfId="46" xr:uid="{F01A2720-689A-4E6B-9A6A-C073476BFC1F}"/>
    <cellStyle name="Footer SBILogo1" xfId="47" xr:uid="{3434D08E-AEB2-4B14-B1C6-8C9816071D52}"/>
    <cellStyle name="Footer SBILogo2" xfId="48" xr:uid="{683D2CF9-25E3-4083-911E-F65B34A4EF00}"/>
    <cellStyle name="Footnote" xfId="49" xr:uid="{3D0FB664-D1AA-41C9-BE63-D07B5C4B299C}"/>
    <cellStyle name="Footnote Reference" xfId="50" xr:uid="{9178DFFB-8B8C-4064-8BAF-A9BDB376512A}"/>
    <cellStyle name="Footnote_BECL WP YE'02" xfId="51" xr:uid="{A3A4E235-D31A-42E6-9F20-7FBF3B4B7D7B}"/>
    <cellStyle name="Grey" xfId="52" xr:uid="{829B74A8-00E7-4CB7-A443-2E25D50C3C78}"/>
    <cellStyle name="Header" xfId="53" xr:uid="{D383E7E1-B58C-44E0-921E-404E80ABAD66}"/>
    <cellStyle name="Header Draft Stamp" xfId="54" xr:uid="{1444A653-CF8C-4331-BE6B-B563ECB6BD0F}"/>
    <cellStyle name="Header_BECL WP YE'02" xfId="55" xr:uid="{84E791C9-F5DD-4504-9496-D837CDD2A17C}"/>
    <cellStyle name="Heading 1 2" xfId="56" xr:uid="{018CB803-1ADD-4E09-B75E-3E82DAAC55EC}"/>
    <cellStyle name="Heading 1 Above" xfId="57" xr:uid="{96761D7A-5DD0-4833-8173-81D1B59E888C}"/>
    <cellStyle name="Heading 1+" xfId="58" xr:uid="{6DFE472B-64AB-400F-8584-34E02CAC1756}"/>
    <cellStyle name="Heading 2 2" xfId="59" xr:uid="{C51A4212-FEDC-418E-93BF-3F48EA76D402}"/>
    <cellStyle name="Heading 2 Below" xfId="60" xr:uid="{863D5916-6889-4874-9505-BE05EA856B51}"/>
    <cellStyle name="Heading 2+" xfId="61" xr:uid="{E601C7F9-C55D-4B06-880E-51F5416AB960}"/>
    <cellStyle name="Heading 3 2" xfId="62" xr:uid="{4737BA09-B19E-49EC-9BF0-427018F38925}"/>
    <cellStyle name="Heading 3+" xfId="63" xr:uid="{EE8A6B70-4349-42EC-A427-E97D749B4EA5}"/>
    <cellStyle name="Hidden" xfId="64" xr:uid="{0ECC285B-6CB5-4472-89DE-CE4EAB9F5B59}"/>
    <cellStyle name="Input [yellow]" xfId="65" xr:uid="{E5DA1FC9-F183-4303-B6C5-6C64B5DFD578}"/>
    <cellStyle name="Input [yellow] 2" xfId="66" xr:uid="{71E83EA3-370E-45CD-84E8-F224B980786E}"/>
    <cellStyle name="no dec" xfId="67" xr:uid="{B78C9DBE-2330-4E72-B05A-8AAFE2E42D70}"/>
    <cellStyle name="Normal" xfId="0" builtinId="0"/>
    <cellStyle name="Normal - Style1" xfId="68" xr:uid="{2847316C-BEEB-44E0-9A59-22762A54934C}"/>
    <cellStyle name="Normal 10" xfId="69" xr:uid="{F337E15D-641F-4C13-94FC-F7902FD67F72}"/>
    <cellStyle name="Normal 10 2" xfId="70" xr:uid="{0D7724BC-F469-42DD-B844-832E673991E6}"/>
    <cellStyle name="Normal 11" xfId="71" xr:uid="{64713A7E-4CEA-4E09-A767-5E5F8F078B4A}"/>
    <cellStyle name="Normal 12" xfId="72" xr:uid="{25234ED5-BB97-49AC-931A-F2DE641FD069}"/>
    <cellStyle name="Normal 13" xfId="73" xr:uid="{25E6D91F-9A73-4A01-BBEA-94CC9B9B5EB8}"/>
    <cellStyle name="Normal 14" xfId="74" xr:uid="{0E1DDDBF-6D06-490E-A495-67A49B38A8E6}"/>
    <cellStyle name="Normal 15" xfId="75" xr:uid="{A50DC1ED-287A-40D1-98FF-C95EBCCB7956}"/>
    <cellStyle name="Normal 16" xfId="76" xr:uid="{188C3747-34FF-49B7-9637-FF99B6AF3DFD}"/>
    <cellStyle name="Normal 17" xfId="77" xr:uid="{57E35FF7-3CA4-4E40-93F5-C872CDA73912}"/>
    <cellStyle name="Normal 18" xfId="78" xr:uid="{CC705B76-8AF9-4CFE-932B-C88AAB1F0988}"/>
    <cellStyle name="Normal 19" xfId="2" xr:uid="{B4A4ABA9-F44C-45C3-B5FA-F866C593228B}"/>
    <cellStyle name="Normal 2" xfId="4" xr:uid="{E4A0B30A-BE08-4F91-9133-338C504C2068}"/>
    <cellStyle name="Normal 2 2" xfId="79" xr:uid="{C33A4CA3-2EE9-4B1C-8F3E-420EABE4F690}"/>
    <cellStyle name="Normal 2 2 2" xfId="126" xr:uid="{36204D5C-BEEA-4EB0-8E55-A1BE842E8FFA}"/>
    <cellStyle name="Normal 2 3" xfId="124" xr:uid="{32700750-5B3F-4527-817F-FAFAC43C12D9}"/>
    <cellStyle name="Normal 20" xfId="127" xr:uid="{1F9EE60D-DEA3-4658-A2B3-3A63E4053A8F}"/>
    <cellStyle name="Normal 21" xfId="131" xr:uid="{5A052716-258C-48EE-935A-0510FCB4319F}"/>
    <cellStyle name="Normal 22" xfId="136" xr:uid="{09EB5F0E-AF3C-431D-9FDC-0ADE9C90AA2B}"/>
    <cellStyle name="Normal 23" xfId="140" xr:uid="{C0ADB4D1-C063-436C-945A-89F44C8CCC02}"/>
    <cellStyle name="Normal 24" xfId="134" xr:uid="{DC7C6B81-29F2-4E92-B4EE-5AA2E42362B5}"/>
    <cellStyle name="Normal 25" xfId="138" xr:uid="{7FDC6F04-F7BD-4240-BBE4-874A587DB07F}"/>
    <cellStyle name="Normal 26" xfId="141" xr:uid="{C36AB451-6586-4163-B5F9-DA9520316159}"/>
    <cellStyle name="Normal 27" xfId="144" xr:uid="{B3B4C946-D382-468B-B032-926E205C41BC}"/>
    <cellStyle name="Normal 3" xfId="80" xr:uid="{DE51CB3B-52C3-4FF5-977C-96B3AA93A2D1}"/>
    <cellStyle name="Normal 3 2" xfId="125" xr:uid="{ADE0BE95-5028-41F3-854A-E8560D8FCE01}"/>
    <cellStyle name="Normal 4" xfId="81" xr:uid="{27888979-C2AC-4542-B7F5-A55BFF546AC7}"/>
    <cellStyle name="Normal 5" xfId="82" xr:uid="{2BD4D8C3-21F2-4A60-B101-AF951AA89FB0}"/>
    <cellStyle name="Normal 6" xfId="83" xr:uid="{F9FDA188-E238-4130-9597-CE4D0100AFA9}"/>
    <cellStyle name="Normal 7" xfId="84" xr:uid="{93ACB2E7-5BEF-4EBA-AA64-20C55D226AD2}"/>
    <cellStyle name="Normal 8" xfId="85" xr:uid="{BD63B7CE-2FA6-4C77-9B23-AF5B0C770A89}"/>
    <cellStyle name="Normal 9" xfId="86" xr:uid="{9803FCCE-B665-4F7E-B7A4-40743EDEBFA7}"/>
    <cellStyle name="NormalGB" xfId="87" xr:uid="{85636DAE-19CC-4F24-8915-22FC9C00DD14}"/>
    <cellStyle name="Page Number" xfId="88" xr:uid="{E8F3FBC4-2A75-4811-ADAC-63C4AD4D6B0E}"/>
    <cellStyle name="Percent" xfId="130" builtinId="5"/>
    <cellStyle name="Percent (0.0%)" xfId="90" xr:uid="{1A404824-8945-48CD-BF00-378FC2996918}"/>
    <cellStyle name="Percent (0.00%)" xfId="91" xr:uid="{0A280D6A-7786-4C1B-93D6-F970E64FB2F1}"/>
    <cellStyle name="Percent (0%)" xfId="89" xr:uid="{EDD7D82F-B1BB-40A3-BEFB-959952FAD6E1}"/>
    <cellStyle name="Percent [2]" xfId="92" xr:uid="{7FC5B1EC-C4DD-4435-AEE7-D723D23EF163}"/>
    <cellStyle name="Percent 2" xfId="93" xr:uid="{C5BD3B8F-F981-47FC-A04F-EAEF66AD296F}"/>
    <cellStyle name="Percent 2 2" xfId="94" xr:uid="{09ABE5C3-B3A9-4627-B80D-3055B71E5AFE}"/>
    <cellStyle name="Percent 3" xfId="95" xr:uid="{7EE3F17C-0AF3-460B-AA09-DC545BC75BA7}"/>
    <cellStyle name="Percent 4" xfId="96" xr:uid="{36972DCB-DE28-423D-9F1B-836BC2F9A1A1}"/>
    <cellStyle name="Percent 5" xfId="97" xr:uid="{7649F7E3-702A-4E05-9DAD-CE193BDF1AAA}"/>
    <cellStyle name="Quantity" xfId="98" xr:uid="{AA850BF5-4C67-404D-971F-2E2574B2AF75}"/>
    <cellStyle name="Salomon Logo" xfId="99" xr:uid="{1E774019-D9CF-4846-9914-4D9CB3D52DD4}"/>
    <cellStyle name="Table Head" xfId="100" xr:uid="{2B6EDDAD-2E1F-414E-9F4D-21773B372F35}"/>
    <cellStyle name="Table Source" xfId="101" xr:uid="{A15AFC1E-4844-43CF-BF62-64BCE6BC7ED2}"/>
    <cellStyle name="Table Text" xfId="102" xr:uid="{1A97259D-DA13-4147-80DB-87B136FC8FAA}"/>
    <cellStyle name="Table Title" xfId="103" xr:uid="{43870CE0-15AB-4C09-94DB-2547E0C7D263}"/>
    <cellStyle name="Table Units" xfId="104" xr:uid="{5B9C3152-7879-4E20-956D-20C9AD68D5D9}"/>
    <cellStyle name="Text" xfId="105" xr:uid="{60C08601-80A3-4CFD-B042-0D3ADB5A268A}"/>
    <cellStyle name="Text 1" xfId="106" xr:uid="{09D8F9EE-D1C7-4FED-9C55-0BC95B7B18DF}"/>
    <cellStyle name="Text 2" xfId="107" xr:uid="{A587762C-BF21-4830-8FD2-363421917511}"/>
    <cellStyle name="Text Head 1" xfId="108" xr:uid="{37E1BEDD-4E91-400E-BC9A-3E5B36F5CDAE}"/>
    <cellStyle name="Text Head 2" xfId="109" xr:uid="{358EE999-A481-4F92-9F41-32E72E09F683}"/>
    <cellStyle name="Text Indent 1" xfId="110" xr:uid="{48FC0832-2729-42BB-BBD7-AF169B317A31}"/>
    <cellStyle name="Text Indent 2" xfId="111" xr:uid="{480ACADC-6FAE-4EA0-8EA7-B394175AE1E8}"/>
    <cellStyle name="TOC 1" xfId="112" xr:uid="{BA18F46B-CFCB-476A-87B2-90046D03FA12}"/>
    <cellStyle name="TOC 2" xfId="113" xr:uid="{C7E07F7F-B17A-4E9D-B1D8-5F8B54CF9432}"/>
    <cellStyle name="ค@ฏ๋_1111D2111DQ2" xfId="116" xr:uid="{0F6EE3FB-CD5D-423F-B0F8-3DDE7BBB7055}"/>
    <cellStyle name="คdคภฆ์_1111D2111DQ1" xfId="118" xr:uid="{C7413F03-E108-441C-A942-269C52F26705}"/>
    <cellStyle name="คdคภฆ์[0]_1111D2111DQ2" xfId="117" xr:uid="{403DBD09-AF7D-4423-BC12-39A351598854}"/>
    <cellStyle name="เครื่องหมายจุลภาค_200806_1" xfId="114" xr:uid="{EBB5849A-D8B3-4F4E-836B-9EBF34FC1746}"/>
    <cellStyle name="เชื่อมโยงหลายมิติ" xfId="115" xr:uid="{FF38BD12-9866-4C17-8923-02AB893147E6}"/>
    <cellStyle name="ณfน๔ [0]_Book1" xfId="119" xr:uid="{BABD6EDF-5257-4F7F-8F5B-D9E2CFB0CC74}"/>
    <cellStyle name="ณfน๔_Book1" xfId="120" xr:uid="{114AD12C-08AC-4994-B020-4EA968D1F82C}"/>
    <cellStyle name="ตามการเชื่อมโยงหลายมิติ" xfId="121" xr:uid="{B1BC3C35-020B-4412-BBF5-A356F3F7B03D}"/>
    <cellStyle name="ปกติ_2002_TSC_Lead_31.12.2002_Update" xfId="122" xr:uid="{CAC234D7-81AC-4DCD-8E03-30E0F1E78879}"/>
    <cellStyle name="一般_Book1" xfId="123" xr:uid="{BEE02A05-5507-4153-A38E-664C3BAB5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CCET!$H$16:$R$16</c:f>
              <c:numCache>
                <c:formatCode>_(* #,##0.00_);_(* \(#,##0.00\);_(* "-"??_);_(@_)</c:formatCode>
                <c:ptCount val="11"/>
                <c:pt idx="0">
                  <c:v>752398037</c:v>
                </c:pt>
                <c:pt idx="1">
                  <c:v>7003123449.1999998</c:v>
                </c:pt>
                <c:pt idx="2">
                  <c:v>16820330168.6</c:v>
                </c:pt>
                <c:pt idx="3">
                  <c:v>6671827549.1999998</c:v>
                </c:pt>
                <c:pt idx="4">
                  <c:v>8187234291.3999996</c:v>
                </c:pt>
                <c:pt idx="5">
                  <c:v>8406265040</c:v>
                </c:pt>
                <c:pt idx="6">
                  <c:v>14339977221.799999</c:v>
                </c:pt>
                <c:pt idx="7">
                  <c:v>761879194</c:v>
                </c:pt>
                <c:pt idx="8">
                  <c:v>7753899241.3999996</c:v>
                </c:pt>
                <c:pt idx="9">
                  <c:v>8880930610.2000008</c:v>
                </c:pt>
                <c:pt idx="10">
                  <c:v>9451715244.2000008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7-4A6E-B484-A99CD4249962}"/>
            </c:ext>
          </c:extLst>
        </c:ser>
        <c:ser>
          <c:idx val="1"/>
          <c:order val="1"/>
          <c:tx>
            <c:v>FCFE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CCET!$H$17:$R$17</c:f>
              <c:numCache>
                <c:formatCode>_(* #,##0.00_);_(* \(#,##0.00\);_(* "-"??_);_(@_)</c:formatCode>
                <c:ptCount val="11"/>
                <c:pt idx="0">
                  <c:v>-5129247085</c:v>
                </c:pt>
                <c:pt idx="1">
                  <c:v>13959660831</c:v>
                </c:pt>
                <c:pt idx="2">
                  <c:v>25029797988</c:v>
                </c:pt>
                <c:pt idx="3">
                  <c:v>5645246304</c:v>
                </c:pt>
                <c:pt idx="4">
                  <c:v>3468720837</c:v>
                </c:pt>
                <c:pt idx="5">
                  <c:v>7953463532</c:v>
                </c:pt>
                <c:pt idx="6">
                  <c:v>12503176397</c:v>
                </c:pt>
                <c:pt idx="7">
                  <c:v>-13882676477</c:v>
                </c:pt>
                <c:pt idx="8">
                  <c:v>3850886886</c:v>
                </c:pt>
                <c:pt idx="9">
                  <c:v>-2680090917</c:v>
                </c:pt>
                <c:pt idx="10">
                  <c:v>4596307185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7-4A6E-B484-A99CD4249962}"/>
            </c:ext>
          </c:extLst>
        </c:ser>
        <c:ser>
          <c:idx val="2"/>
          <c:order val="2"/>
          <c:tx>
            <c:v>FCF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CCET!$H$18:$R$18</c:f>
              <c:numCache>
                <c:formatCode>_(* #,##0.00_);_(* \(#,##0.00\);_(* "-"??_);_(@_)</c:formatCode>
                <c:ptCount val="11"/>
                <c:pt idx="0">
                  <c:v>11631350755</c:v>
                </c:pt>
                <c:pt idx="1">
                  <c:v>8333396375</c:v>
                </c:pt>
                <c:pt idx="2">
                  <c:v>-4976929706</c:v>
                </c:pt>
                <c:pt idx="3">
                  <c:v>2332466288</c:v>
                </c:pt>
                <c:pt idx="4">
                  <c:v>11670938889</c:v>
                </c:pt>
                <c:pt idx="5">
                  <c:v>4498088258</c:v>
                </c:pt>
                <c:pt idx="6">
                  <c:v>-3975746</c:v>
                </c:pt>
                <c:pt idx="7">
                  <c:v>13487509523</c:v>
                </c:pt>
                <c:pt idx="8">
                  <c:v>4328181809</c:v>
                </c:pt>
                <c:pt idx="9">
                  <c:v>7760468270</c:v>
                </c:pt>
                <c:pt idx="10">
                  <c:v>5301957254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A7-4A6E-B484-A99CD424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206847"/>
        <c:axId val="351171055"/>
      </c:barChart>
      <c:catAx>
        <c:axId val="36120684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71055"/>
        <c:crosses val="autoZero"/>
        <c:auto val="1"/>
        <c:lblAlgn val="ctr"/>
        <c:lblOffset val="100"/>
        <c:noMultiLvlLbl val="0"/>
      </c:catAx>
      <c:valAx>
        <c:axId val="3511710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0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SUSCO!$D$16:$G$16</c:f>
              <c:numCache>
                <c:formatCode>_(* #,##0.00_);_(* \(#,##0.00\);_(* "-"??_);_(@_)</c:formatCode>
                <c:ptCount val="4"/>
                <c:pt idx="0">
                  <c:v>3095227.9439999992</c:v>
                </c:pt>
                <c:pt idx="1">
                  <c:v>1577374</c:v>
                </c:pt>
                <c:pt idx="2">
                  <c:v>818452</c:v>
                </c:pt>
                <c:pt idx="3">
                  <c:v>684002.8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4AE-A58D-EC21E596B4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SUSCO!$D$17:$G$17</c:f>
              <c:numCache>
                <c:formatCode>_(* #,##0.00_);_(* \(#,##0.00\);_(* "-"??_);_(@_)</c:formatCode>
                <c:ptCount val="4"/>
                <c:pt idx="0">
                  <c:v>2390173.4099999997</c:v>
                </c:pt>
                <c:pt idx="1">
                  <c:v>1420443</c:v>
                </c:pt>
                <c:pt idx="2">
                  <c:v>421228</c:v>
                </c:pt>
                <c:pt idx="3">
                  <c:v>536611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F-44AE-A58D-EC21E596B4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SUSCO!$D$18:$G$18</c:f>
              <c:numCache>
                <c:formatCode>_(* #,##0.00_);_(* \(#,##0.00\);_(* "-"??_);_(@_)</c:formatCode>
                <c:ptCount val="4"/>
                <c:pt idx="0">
                  <c:v>1644249.3449999997</c:v>
                </c:pt>
                <c:pt idx="1">
                  <c:v>700905</c:v>
                </c:pt>
                <c:pt idx="2">
                  <c:v>790412</c:v>
                </c:pt>
                <c:pt idx="3">
                  <c:v>144752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F-44AE-A58D-EC21E596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4402720"/>
        <c:axId val="1284403680"/>
        <c:axId val="0"/>
      </c:bar3DChart>
      <c:catAx>
        <c:axId val="128440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3680"/>
        <c:crosses val="autoZero"/>
        <c:auto val="1"/>
        <c:lblAlgn val="ctr"/>
        <c:lblOffset val="100"/>
        <c:noMultiLvlLbl val="0"/>
      </c:catAx>
      <c:valAx>
        <c:axId val="12844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Quarterly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FCFF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CCET!$D$16:$G$16</c:f>
              <c:numCache>
                <c:formatCode>_(* #,##0.00_);_(* \(#,##0.00\);_(* "-"??_);_(@_)</c:formatCode>
                <c:ptCount val="4"/>
                <c:pt idx="0">
                  <c:v>983496.929999999</c:v>
                </c:pt>
                <c:pt idx="1">
                  <c:v>3647058</c:v>
                </c:pt>
                <c:pt idx="2">
                  <c:v>-622017</c:v>
                </c:pt>
                <c:pt idx="3">
                  <c:v>-2065531.8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0-4BEF-ACDD-C6CD08C4F6BD}"/>
            </c:ext>
          </c:extLst>
        </c:ser>
        <c:ser>
          <c:idx val="1"/>
          <c:order val="1"/>
          <c:tx>
            <c:v>FCFE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CCET!$D$17:$G$17</c:f>
              <c:numCache>
                <c:formatCode>_(* #,##0.00_);_(* \(#,##0.00\);_(* "-"??_);_(@_)</c:formatCode>
                <c:ptCount val="4"/>
                <c:pt idx="0">
                  <c:v>-4303064.8</c:v>
                </c:pt>
                <c:pt idx="1">
                  <c:v>-2956247</c:v>
                </c:pt>
                <c:pt idx="2">
                  <c:v>-9534177</c:v>
                </c:pt>
                <c:pt idx="3">
                  <c:v>-7266368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0-4BEF-ACDD-C6CD08C4F6BD}"/>
            </c:ext>
          </c:extLst>
        </c:ser>
        <c:ser>
          <c:idx val="2"/>
          <c:order val="2"/>
          <c:tx>
            <c:v>FCF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CCET!$D$18:$G$18</c:f>
              <c:numCache>
                <c:formatCode>_(* #,##0.00_);_(* \(#,##0.00\);_(* "-"??_);_(@_)</c:formatCode>
                <c:ptCount val="4"/>
                <c:pt idx="0">
                  <c:v>15150919.624999998</c:v>
                </c:pt>
                <c:pt idx="1">
                  <c:v>4344352</c:v>
                </c:pt>
                <c:pt idx="2">
                  <c:v>5999455</c:v>
                </c:pt>
                <c:pt idx="3">
                  <c:v>4437578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0-4BEF-ACDD-C6CD08C4F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179487"/>
        <c:axId val="361180447"/>
      </c:barChart>
      <c:catAx>
        <c:axId val="3611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80447"/>
        <c:crosses val="autoZero"/>
        <c:auto val="1"/>
        <c:lblAlgn val="ctr"/>
        <c:lblOffset val="100"/>
        <c:noMultiLvlLbl val="0"/>
      </c:catAx>
      <c:valAx>
        <c:axId val="36118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CCET!$H$67:$R$67</c:f>
              <c:numCache>
                <c:formatCode>_(* #,##0_);_(* \(#,##0\);_(* "-"_);_(@_)</c:formatCode>
                <c:ptCount val="11"/>
                <c:pt idx="0">
                  <c:v>142564649952</c:v>
                </c:pt>
                <c:pt idx="1">
                  <c:v>163724749092</c:v>
                </c:pt>
                <c:pt idx="2">
                  <c:v>119847491229</c:v>
                </c:pt>
                <c:pt idx="3">
                  <c:v>99320469296</c:v>
                </c:pt>
                <c:pt idx="4">
                  <c:v>107611727125</c:v>
                </c:pt>
                <c:pt idx="5">
                  <c:v>101016218656</c:v>
                </c:pt>
                <c:pt idx="6">
                  <c:v>101016218656</c:v>
                </c:pt>
                <c:pt idx="7">
                  <c:v>101247588831</c:v>
                </c:pt>
                <c:pt idx="8">
                  <c:v>141738394578</c:v>
                </c:pt>
                <c:pt idx="9">
                  <c:v>144091395157</c:v>
                </c:pt>
                <c:pt idx="10">
                  <c:v>116263166229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2-4083-B34B-ACE513E0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9887"/>
        <c:axId val="754520367"/>
      </c:scatterChart>
      <c:valAx>
        <c:axId val="7545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20367"/>
        <c:crosses val="autoZero"/>
        <c:crossBetween val="midCat"/>
      </c:valAx>
      <c:valAx>
        <c:axId val="7545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SG&amp;A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CCET!$H$68:$R$68</c:f>
              <c:numCache>
                <c:formatCode>_(* #,##0_);_(* \(#,##0\);_(* "-"_);_(@_)</c:formatCode>
                <c:ptCount val="11"/>
                <c:pt idx="0">
                  <c:v>3823951274</c:v>
                </c:pt>
                <c:pt idx="1">
                  <c:v>4597164608.0227499</c:v>
                </c:pt>
                <c:pt idx="2">
                  <c:v>4679003309</c:v>
                </c:pt>
                <c:pt idx="3">
                  <c:v>4087966343</c:v>
                </c:pt>
                <c:pt idx="4">
                  <c:v>3833313075</c:v>
                </c:pt>
                <c:pt idx="5">
                  <c:v>3787797874</c:v>
                </c:pt>
                <c:pt idx="6">
                  <c:v>3813797874</c:v>
                </c:pt>
                <c:pt idx="7">
                  <c:v>4149277799</c:v>
                </c:pt>
                <c:pt idx="8">
                  <c:v>4200474064</c:v>
                </c:pt>
                <c:pt idx="9">
                  <c:v>3968599602</c:v>
                </c:pt>
                <c:pt idx="10">
                  <c:v>4075553597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1-448A-8477-345D993D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12207"/>
        <c:axId val="754514127"/>
      </c:scatterChart>
      <c:valAx>
        <c:axId val="75451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4127"/>
        <c:crosses val="autoZero"/>
        <c:crossBetween val="midCat"/>
      </c:valAx>
      <c:valAx>
        <c:axId val="754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1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CCET!$H$76:$R$76</c:f>
              <c:numCache>
                <c:formatCode>_(* #,##0_);_(* \(#,##0\);_(* "-"_);_(@_)</c:formatCode>
                <c:ptCount val="11"/>
                <c:pt idx="0">
                  <c:v>44393929234</c:v>
                </c:pt>
                <c:pt idx="1">
                  <c:v>61871779680</c:v>
                </c:pt>
                <c:pt idx="2">
                  <c:v>54154143685</c:v>
                </c:pt>
                <c:pt idx="3">
                  <c:v>43927892602</c:v>
                </c:pt>
                <c:pt idx="4">
                  <c:v>32103011268</c:v>
                </c:pt>
                <c:pt idx="5">
                  <c:v>40551736086</c:v>
                </c:pt>
                <c:pt idx="6">
                  <c:v>37574338215</c:v>
                </c:pt>
                <c:pt idx="7">
                  <c:v>33012082369</c:v>
                </c:pt>
                <c:pt idx="8">
                  <c:v>41372904629</c:v>
                </c:pt>
                <c:pt idx="9">
                  <c:v>49057497752</c:v>
                </c:pt>
                <c:pt idx="10">
                  <c:v>46268241750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B-4105-B557-9F5F618C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46767"/>
        <c:axId val="754546287"/>
      </c:scatterChart>
      <c:valAx>
        <c:axId val="75454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6287"/>
        <c:crosses val="autoZero"/>
        <c:crossBetween val="midCat"/>
      </c:valAx>
      <c:valAx>
        <c:axId val="75454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CCET!$H$83:$R$83</c:f>
              <c:numCache>
                <c:formatCode>_(* #,##0_);_(* \(#,##0\);_(* "-"_);_(@_)</c:formatCode>
                <c:ptCount val="11"/>
                <c:pt idx="0">
                  <c:v>10048517424</c:v>
                </c:pt>
                <c:pt idx="1">
                  <c:v>4653600756</c:v>
                </c:pt>
                <c:pt idx="2">
                  <c:v>-2318280508</c:v>
                </c:pt>
                <c:pt idx="3">
                  <c:v>700029614</c:v>
                </c:pt>
                <c:pt idx="4">
                  <c:v>5969028027</c:v>
                </c:pt>
                <c:pt idx="5">
                  <c:v>2698426568</c:v>
                </c:pt>
                <c:pt idx="6">
                  <c:v>-2280679444</c:v>
                </c:pt>
                <c:pt idx="7">
                  <c:v>10945702542</c:v>
                </c:pt>
                <c:pt idx="8">
                  <c:v>2338205266</c:v>
                </c:pt>
                <c:pt idx="9">
                  <c:v>4325472856</c:v>
                </c:pt>
                <c:pt idx="10">
                  <c:v>2053290926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6-4E11-A7A5-CC9090FD4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556367"/>
        <c:axId val="754566927"/>
      </c:scatterChart>
      <c:valAx>
        <c:axId val="75455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66927"/>
        <c:crosses val="autoZero"/>
        <c:crossBetween val="midCat"/>
      </c:valAx>
      <c:valAx>
        <c:axId val="7545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5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CCET!$H$93:$R$93</c:f>
              <c:numCache>
                <c:formatCode>0.00%</c:formatCode>
                <c:ptCount val="11"/>
                <c:pt idx="0">
                  <c:v>5.7391719904431517E-2</c:v>
                </c:pt>
                <c:pt idx="1">
                  <c:v>3.5338650303956068E-2</c:v>
                </c:pt>
                <c:pt idx="2">
                  <c:v>2.918336771889269E-2</c:v>
                </c:pt>
                <c:pt idx="3">
                  <c:v>2.7080511414118564E-2</c:v>
                </c:pt>
                <c:pt idx="4">
                  <c:v>3.6409793334949959E-2</c:v>
                </c:pt>
                <c:pt idx="5">
                  <c:v>3.0593091885230236E-2</c:v>
                </c:pt>
                <c:pt idx="6">
                  <c:v>4.3244456980454392E-2</c:v>
                </c:pt>
                <c:pt idx="7">
                  <c:v>6.1100731938994464E-2</c:v>
                </c:pt>
                <c:pt idx="8">
                  <c:v>5.716586131682358E-2</c:v>
                </c:pt>
                <c:pt idx="9">
                  <c:v>3.8906121164683116E-2</c:v>
                </c:pt>
                <c:pt idx="10">
                  <c:v>1.173745705160475E-2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D-7D41-893A-9118BCC4B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774368"/>
        <c:axId val="1076577952"/>
      </c:barChart>
      <c:catAx>
        <c:axId val="107677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7952"/>
        <c:crosses val="autoZero"/>
        <c:auto val="1"/>
        <c:lblAlgn val="ctr"/>
        <c:lblOffset val="100"/>
        <c:noMultiLvlLbl val="0"/>
      </c:catAx>
      <c:valAx>
        <c:axId val="10765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Conversion Cycle (CCC)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CCET!$Z$25:$AJ$25</c:f>
              <c:numCache>
                <c:formatCode>General</c:formatCode>
                <c:ptCount val="11"/>
                <c:pt idx="0">
                  <c:v>38.67764772219077</c:v>
                </c:pt>
                <c:pt idx="1">
                  <c:v>48.96816168729103</c:v>
                </c:pt>
                <c:pt idx="2">
                  <c:v>47.847410850513526</c:v>
                </c:pt>
                <c:pt idx="3">
                  <c:v>39.78827646916433</c:v>
                </c:pt>
                <c:pt idx="4">
                  <c:v>42.078800871953547</c:v>
                </c:pt>
                <c:pt idx="5">
                  <c:v>53.560456763418642</c:v>
                </c:pt>
                <c:pt idx="6">
                  <c:v>53.15152474706251</c:v>
                </c:pt>
                <c:pt idx="7">
                  <c:v>33.526065486654247</c:v>
                </c:pt>
                <c:pt idx="8">
                  <c:v>41.665560402326641</c:v>
                </c:pt>
                <c:pt idx="9">
                  <c:v>36.770215037051869</c:v>
                </c:pt>
                <c:pt idx="10">
                  <c:v>46.191458601299558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0-724A-9D8A-7CA53AC4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013200"/>
        <c:axId val="880239040"/>
      </c:barChart>
      <c:catAx>
        <c:axId val="84601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39040"/>
        <c:crosses val="autoZero"/>
        <c:auto val="1"/>
        <c:lblAlgn val="ctr"/>
        <c:lblOffset val="100"/>
        <c:noMultiLvlLbl val="0"/>
      </c:catAx>
      <c:valAx>
        <c:axId val="8802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01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SUSCO!$H$16:$N$16</c:f>
              <c:numCache>
                <c:formatCode>_(* #,##0.00_);_(* \(#,##0.00\);_(* "-"??_);_(@_)</c:formatCode>
                <c:ptCount val="7"/>
                <c:pt idx="0">
                  <c:v>2531654.7999999998</c:v>
                </c:pt>
                <c:pt idx="1">
                  <c:v>1737350.8</c:v>
                </c:pt>
                <c:pt idx="2">
                  <c:v>1261279.8</c:v>
                </c:pt>
                <c:pt idx="3">
                  <c:v>1114530.3999999999</c:v>
                </c:pt>
                <c:pt idx="4">
                  <c:v>997962.2</c:v>
                </c:pt>
                <c:pt idx="5">
                  <c:v>789083.2</c:v>
                </c:pt>
                <c:pt idx="6">
                  <c:v>925389.2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EC5-968D-66AA2842BD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SUSCO!$H$17:$N$17</c:f>
              <c:numCache>
                <c:formatCode>_(* #,##0.00_);_(* \(#,##0.00\);_(* "-"??_);_(@_)</c:formatCode>
                <c:ptCount val="7"/>
                <c:pt idx="0">
                  <c:v>2083016</c:v>
                </c:pt>
                <c:pt idx="1">
                  <c:v>1777969</c:v>
                </c:pt>
                <c:pt idx="2">
                  <c:v>868742</c:v>
                </c:pt>
                <c:pt idx="3">
                  <c:v>492419</c:v>
                </c:pt>
                <c:pt idx="4">
                  <c:v>560094</c:v>
                </c:pt>
                <c:pt idx="5">
                  <c:v>494064</c:v>
                </c:pt>
                <c:pt idx="6">
                  <c:v>293180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C-4EC5-968D-66AA2842BDB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SUSCO!$H$18:$N$18</c:f>
              <c:numCache>
                <c:formatCode>_(* #,##0.00_);_(* \(#,##0.00\);_(* "-"??_);_(@_)</c:formatCode>
                <c:ptCount val="7"/>
                <c:pt idx="0">
                  <c:v>-425895</c:v>
                </c:pt>
                <c:pt idx="1">
                  <c:v>527919</c:v>
                </c:pt>
                <c:pt idx="2">
                  <c:v>1204463</c:v>
                </c:pt>
                <c:pt idx="3">
                  <c:v>875523</c:v>
                </c:pt>
                <c:pt idx="4">
                  <c:v>501401</c:v>
                </c:pt>
                <c:pt idx="5">
                  <c:v>865923</c:v>
                </c:pt>
                <c:pt idx="6">
                  <c:v>604474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C-4EC5-968D-66AA2842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754048"/>
        <c:axId val="256751648"/>
        <c:axId val="0"/>
      </c:bar3DChart>
      <c:catAx>
        <c:axId val="2567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1648"/>
        <c:crosses val="autoZero"/>
        <c:auto val="1"/>
        <c:lblAlgn val="ctr"/>
        <c:lblOffset val="100"/>
        <c:noMultiLvlLbl val="0"/>
      </c:catAx>
      <c:valAx>
        <c:axId val="2567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1139537</xdr:colOff>
      <xdr:row>44</xdr:row>
      <xdr:rowOff>11689</xdr:rowOff>
    </xdr:from>
    <xdr:to>
      <xdr:col>18</xdr:col>
      <xdr:colOff>3464</xdr:colOff>
      <xdr:row>58</xdr:row>
      <xdr:rowOff>119061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997BDD-EB72-AEB5-5E66-6C10648F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888423</xdr:colOff>
      <xdr:row>44</xdr:row>
      <xdr:rowOff>10018</xdr:rowOff>
    </xdr:from>
    <xdr:to>
      <xdr:col>13</xdr:col>
      <xdr:colOff>674544</xdr:colOff>
      <xdr:row>58</xdr:row>
      <xdr:rowOff>128276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5A41B-9A84-C568-FC3D-B352004F0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23254</xdr:colOff>
      <xdr:row>104</xdr:row>
      <xdr:rowOff>178999</xdr:rowOff>
    </xdr:from>
    <xdr:to>
      <xdr:col>10</xdr:col>
      <xdr:colOff>472289</xdr:colOff>
      <xdr:row>117</xdr:row>
      <xdr:rowOff>23493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D0E8D-5B25-9365-CA82-DA62119D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975139</xdr:colOff>
      <xdr:row>104</xdr:row>
      <xdr:rowOff>172602</xdr:rowOff>
    </xdr:from>
    <xdr:to>
      <xdr:col>14</xdr:col>
      <xdr:colOff>396837</xdr:colOff>
      <xdr:row>117</xdr:row>
      <xdr:rowOff>43049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A644C-E2AF-3B4B-C419-6D56D5F11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36862</xdr:colOff>
      <xdr:row>119</xdr:row>
      <xdr:rowOff>136562</xdr:rowOff>
    </xdr:from>
    <xdr:to>
      <xdr:col>10</xdr:col>
      <xdr:colOff>485897</xdr:colOff>
      <xdr:row>134</xdr:row>
      <xdr:rowOff>151415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0DA4F9-3855-A15C-EE18-5B48F5453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964877</xdr:colOff>
      <xdr:row>119</xdr:row>
      <xdr:rowOff>166006</xdr:rowOff>
    </xdr:from>
    <xdr:to>
      <xdr:col>14</xdr:col>
      <xdr:colOff>420592</xdr:colOff>
      <xdr:row>134</xdr:row>
      <xdr:rowOff>180859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B0E304-A0C1-51C5-49FA-B483D4733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932052</xdr:colOff>
      <xdr:row>95</xdr:row>
      <xdr:rowOff>151325</xdr:rowOff>
    </xdr:from>
    <xdr:to>
      <xdr:col>14</xdr:col>
      <xdr:colOff>398220</xdr:colOff>
      <xdr:row>104</xdr:row>
      <xdr:rowOff>53815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487522-5FED-A909-085F-B01F54B09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747058</xdr:colOff>
      <xdr:row>28</xdr:row>
      <xdr:rowOff>242047</xdr:rowOff>
    </xdr:from>
    <xdr:to>
      <xdr:col>35</xdr:col>
      <xdr:colOff>1314822</xdr:colOff>
      <xdr:row>38</xdr:row>
      <xdr:rowOff>41835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C758192-8B02-0CE2-E9F3-BB8BB2CCC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784413</xdr:colOff>
      <xdr:row>45</xdr:row>
      <xdr:rowOff>292472</xdr:rowOff>
    </xdr:from>
    <xdr:to>
      <xdr:col>14</xdr:col>
      <xdr:colOff>179296</xdr:colOff>
      <xdr:row>57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A303-0585-65DC-C47F-F9E58BE2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246527</xdr:colOff>
      <xdr:row>46</xdr:row>
      <xdr:rowOff>225239</xdr:rowOff>
    </xdr:from>
    <xdr:to>
      <xdr:col>10</xdr:col>
      <xdr:colOff>190499</xdr:colOff>
      <xdr:row>58</xdr:row>
      <xdr:rowOff>123266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82929-3D0F-E1DB-D580-FAA7AEAF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FDE1-A22E-496A-B9CC-70065022A2B2}">
  <dimension ref="A1:J74"/>
  <sheetViews>
    <sheetView workbookViewId="0">
      <selection activeCell="J47" sqref="J47"/>
    </sheetView>
  </sheetViews>
  <sheetFormatPr baseColWidth="10" defaultColWidth="9.1640625" defaultRowHeight="24"/>
  <cols>
    <col min="1" max="1" width="16.6640625" style="1" customWidth="1"/>
    <col min="2" max="2" width="34.5" style="1" customWidth="1"/>
    <col min="3" max="3" width="22.33203125" style="1" customWidth="1"/>
    <col min="4" max="4" width="23.5" style="1" customWidth="1"/>
    <col min="5" max="5" width="21.83203125" style="1" customWidth="1"/>
    <col min="6" max="6" width="23.1640625" style="1" customWidth="1"/>
    <col min="7" max="7" width="21.83203125" style="1" customWidth="1"/>
    <col min="8" max="8" width="18.33203125" style="1" customWidth="1"/>
    <col min="9" max="9" width="9.1640625" style="1"/>
    <col min="10" max="10" width="35.5" style="1" customWidth="1"/>
    <col min="11" max="16384" width="9.1640625" style="1"/>
  </cols>
  <sheetData>
    <row r="1" spans="1:7">
      <c r="A1" s="58" t="s">
        <v>42</v>
      </c>
      <c r="B1" s="58"/>
      <c r="C1" s="58"/>
      <c r="D1" s="59" t="s">
        <v>43</v>
      </c>
    </row>
    <row r="2" spans="1:7">
      <c r="A2" s="4" t="s">
        <v>2</v>
      </c>
      <c r="B2" s="58"/>
      <c r="C2" s="58"/>
      <c r="D2" s="60">
        <f>2.27+1.23*(6.94-2.27)</f>
        <v>8.0140999999999991</v>
      </c>
    </row>
    <row r="4" spans="1:7">
      <c r="B4" s="1" t="s">
        <v>41</v>
      </c>
      <c r="D4" s="3"/>
    </row>
    <row r="5" spans="1:7">
      <c r="B5" s="7" t="s">
        <v>9</v>
      </c>
      <c r="C5" s="7" t="s">
        <v>21</v>
      </c>
      <c r="D5" s="13">
        <v>2566</v>
      </c>
      <c r="E5" s="13">
        <v>2565</v>
      </c>
      <c r="F5" s="7">
        <v>2564</v>
      </c>
      <c r="G5" s="7">
        <v>2563</v>
      </c>
    </row>
    <row r="6" spans="1:7">
      <c r="B6" s="1" t="s">
        <v>3</v>
      </c>
      <c r="C6" s="5"/>
      <c r="D6" s="14">
        <v>1115608613</v>
      </c>
      <c r="E6" s="14">
        <v>810299949</v>
      </c>
      <c r="F6" s="6">
        <v>272953027</v>
      </c>
      <c r="G6" s="8">
        <v>209606760</v>
      </c>
    </row>
    <row r="7" spans="1:7">
      <c r="B7" s="1" t="s">
        <v>18</v>
      </c>
      <c r="C7" s="5"/>
      <c r="D7" s="12">
        <v>2796392776</v>
      </c>
      <c r="E7" s="12">
        <v>2939411637</v>
      </c>
      <c r="F7" s="8">
        <v>2523152559</v>
      </c>
      <c r="G7" s="3">
        <v>2478434662</v>
      </c>
    </row>
    <row r="8" spans="1:7" ht="25">
      <c r="B8" s="2" t="s">
        <v>5</v>
      </c>
      <c r="C8" s="5"/>
      <c r="D8" s="12">
        <v>-14144743076</v>
      </c>
      <c r="E8" s="12">
        <v>-1963745887</v>
      </c>
      <c r="F8" s="11">
        <v>-1930251862</v>
      </c>
      <c r="G8" s="11">
        <v>834473221</v>
      </c>
    </row>
    <row r="9" spans="1:7">
      <c r="B9" s="1" t="s">
        <v>4</v>
      </c>
      <c r="C9" s="5"/>
      <c r="D9" s="12">
        <v>2998743062</v>
      </c>
      <c r="E9" s="12">
        <v>5606592372</v>
      </c>
      <c r="F9" s="8">
        <v>4048423037</v>
      </c>
      <c r="G9" s="8">
        <v>6635913428</v>
      </c>
    </row>
    <row r="10" spans="1:7">
      <c r="B10" s="1" t="s">
        <v>0</v>
      </c>
      <c r="C10" s="5"/>
      <c r="D10" s="12">
        <v>7923848687</v>
      </c>
      <c r="E10" s="12">
        <v>8796678169</v>
      </c>
      <c r="F10" s="8">
        <v>5693493600</v>
      </c>
      <c r="G10" s="8">
        <v>1476860100</v>
      </c>
    </row>
    <row r="11" spans="1:7">
      <c r="B11" s="1" t="s">
        <v>7</v>
      </c>
      <c r="C11" s="5"/>
      <c r="D11" s="8">
        <f>D6+D7</f>
        <v>3912001389</v>
      </c>
      <c r="E11" s="8">
        <f>E6+E7</f>
        <v>3749711586</v>
      </c>
      <c r="F11" s="8">
        <f>F6+F7</f>
        <v>2796105586</v>
      </c>
      <c r="G11" s="8">
        <f>G6+G7</f>
        <v>2688041422</v>
      </c>
    </row>
    <row r="12" spans="1:7">
      <c r="B12" s="1" t="s">
        <v>8</v>
      </c>
      <c r="C12" s="3"/>
      <c r="D12" s="6">
        <v>2538089682</v>
      </c>
      <c r="E12" s="6">
        <v>1994827225</v>
      </c>
      <c r="F12" s="8">
        <v>1315620127</v>
      </c>
      <c r="G12" s="8">
        <v>1122010155</v>
      </c>
    </row>
    <row r="13" spans="1:7">
      <c r="B13" s="1" t="s">
        <v>10</v>
      </c>
      <c r="C13" s="3"/>
      <c r="D13" s="1">
        <v>0.35</v>
      </c>
      <c r="E13" s="1">
        <v>0.35</v>
      </c>
      <c r="F13" s="1">
        <v>0.35</v>
      </c>
      <c r="G13" s="1">
        <v>0.35</v>
      </c>
    </row>
    <row r="14" spans="1:7">
      <c r="B14" s="1" t="s">
        <v>16</v>
      </c>
      <c r="C14" s="6"/>
      <c r="D14" s="12">
        <v>14045964967</v>
      </c>
      <c r="E14" s="12">
        <v>-2280805339</v>
      </c>
      <c r="F14" s="3">
        <v>-2318280508</v>
      </c>
      <c r="G14" s="3">
        <v>700029614</v>
      </c>
    </row>
    <row r="16" spans="1:7">
      <c r="B16" s="1" t="s">
        <v>6</v>
      </c>
      <c r="C16" s="3"/>
      <c r="D16" s="3">
        <f>D10-D10*D13+D7-D8-D9</f>
        <v>19092894436.549999</v>
      </c>
      <c r="E16" s="3">
        <f>E10-E10*E13+E7-E8-E9</f>
        <v>5014405961.8500004</v>
      </c>
      <c r="F16" s="3">
        <f>F10-F10*F13+F7-F8-F9</f>
        <v>4105752224</v>
      </c>
      <c r="G16" s="3">
        <f>G10-G10*G13+G7-G8-G9</f>
        <v>-4031992922</v>
      </c>
    </row>
    <row r="17" spans="2:10">
      <c r="B17" s="1" t="s">
        <v>1</v>
      </c>
      <c r="C17" s="5"/>
      <c r="D17" s="5">
        <f>D6+D7-D8-D9+D10</f>
        <v>22981850090</v>
      </c>
      <c r="E17" s="5">
        <f>E6+E7-E8-E9+E10</f>
        <v>8903543270</v>
      </c>
      <c r="F17" s="5">
        <f>F6+F7-F8-F9+F10</f>
        <v>6371428011</v>
      </c>
      <c r="G17" s="5">
        <f>G6+G7-G8-G9+G10</f>
        <v>-3305485127</v>
      </c>
    </row>
    <row r="18" spans="2:10">
      <c r="B18" s="1" t="s">
        <v>12</v>
      </c>
      <c r="C18" s="3"/>
      <c r="D18" s="3">
        <f>D14-D9</f>
        <v>11047221905</v>
      </c>
      <c r="E18" s="3">
        <f>E14-E9</f>
        <v>-7887397711</v>
      </c>
      <c r="F18" s="3">
        <f>F14-F9</f>
        <v>-6366703545</v>
      </c>
      <c r="G18" s="3">
        <f>G14-G9</f>
        <v>-5935883814</v>
      </c>
    </row>
    <row r="19" spans="2:10">
      <c r="G19" s="3"/>
    </row>
    <row r="20" spans="2:10">
      <c r="B20" s="1" t="s">
        <v>19</v>
      </c>
      <c r="C20" s="1" t="s">
        <v>47</v>
      </c>
    </row>
    <row r="21" spans="2:10">
      <c r="B21" s="1" t="s">
        <v>20</v>
      </c>
    </row>
    <row r="22" spans="2:10">
      <c r="B22" s="1" t="s">
        <v>30</v>
      </c>
    </row>
    <row r="23" spans="2:10">
      <c r="B23" s="1" t="s">
        <v>13</v>
      </c>
      <c r="D23" s="3">
        <f>D16 / (1 + 0.2) ^ 4</f>
        <v>9207607270.7127705</v>
      </c>
      <c r="E23" s="3">
        <f>E16 / (1 + 0.1) ^ 3</f>
        <v>3767397416.8670163</v>
      </c>
      <c r="F23" s="3">
        <f>F16 / (1 + 0.1) ^ 2</f>
        <v>3393183656.1983466</v>
      </c>
      <c r="G23" s="3">
        <f>G16 / (1 + 0.1) ^ 1</f>
        <v>-3665448110.9090905</v>
      </c>
      <c r="H23" s="3">
        <f>SUM(D23:G23)</f>
        <v>12702740232.869043</v>
      </c>
    </row>
    <row r="24" spans="2:10">
      <c r="B24" s="1" t="s">
        <v>14</v>
      </c>
      <c r="C24" s="9"/>
      <c r="D24" s="3">
        <f>D17 / (1 + 0.2) ^ 4</f>
        <v>11083068137.53858</v>
      </c>
      <c r="E24" s="3">
        <f>E17 / (1 + 0.1) ^ 3</f>
        <v>6689363839.2186308</v>
      </c>
      <c r="F24" s="3">
        <f>F17 / (1 + 0.1) ^ 2</f>
        <v>5265642984.2975197</v>
      </c>
      <c r="G24" s="3">
        <f>G17 / (1 + 0.1) ^ 1</f>
        <v>-3004986479.090909</v>
      </c>
      <c r="H24" s="3">
        <f t="shared" ref="H24:H25" si="0">SUM(D24:G24)</f>
        <v>20033088481.963821</v>
      </c>
    </row>
    <row r="25" spans="2:10">
      <c r="B25" s="1" t="s">
        <v>15</v>
      </c>
      <c r="C25" s="6"/>
      <c r="D25" s="3">
        <f>D18 / (1 + 0.2) ^ 4</f>
        <v>5327556860.0501547</v>
      </c>
      <c r="E25" s="3">
        <f>E18 / (1 + 0.1) ^ 3</f>
        <v>-5925918640.8715229</v>
      </c>
      <c r="F25" s="3">
        <f>F18 / (1 + 0.1) ^ 2</f>
        <v>-5261738466.9421482</v>
      </c>
      <c r="G25" s="3">
        <f>G18 / (1 + 0.1) ^ 1</f>
        <v>-5396258012.727272</v>
      </c>
      <c r="H25" s="3">
        <f t="shared" si="0"/>
        <v>-11256358260.490788</v>
      </c>
    </row>
    <row r="26" spans="2:10">
      <c r="C26" s="6"/>
      <c r="D26" s="6"/>
      <c r="E26" s="6"/>
    </row>
    <row r="27" spans="2:10">
      <c r="B27" s="1" t="s">
        <v>22</v>
      </c>
      <c r="C27" s="8"/>
      <c r="D27" s="8">
        <f>D23  / (0.1 - 0.02)</f>
        <v>115095090883.90962</v>
      </c>
      <c r="F27" s="8" t="s">
        <v>25</v>
      </c>
      <c r="G27" s="3">
        <f>D27 / ( 1 + 0.1)^4</f>
        <v>78611495720.175934</v>
      </c>
      <c r="J27" s="1" t="s">
        <v>31</v>
      </c>
    </row>
    <row r="28" spans="2:10">
      <c r="B28" s="1" t="s">
        <v>23</v>
      </c>
      <c r="C28" s="8"/>
      <c r="D28" s="8">
        <f>D24 / 0.1 - 0.02</f>
        <v>110830681375.36578</v>
      </c>
      <c r="F28" s="8" t="s">
        <v>27</v>
      </c>
      <c r="G28" s="3">
        <f>D28 / ( 1 + 0.1)^4</f>
        <v>75698846646.653748</v>
      </c>
      <c r="J28" s="1" t="s">
        <v>29</v>
      </c>
    </row>
    <row r="29" spans="2:10">
      <c r="B29" s="1" t="s">
        <v>24</v>
      </c>
      <c r="C29" s="8"/>
      <c r="D29" s="8">
        <f>D25  / 0.1 - 0.02</f>
        <v>53275568600.481544</v>
      </c>
      <c r="F29" s="8" t="s">
        <v>26</v>
      </c>
      <c r="G29" s="3">
        <f>D29 / ( 1 + 0.1)^4</f>
        <v>36387930196.353752</v>
      </c>
      <c r="J29" s="1" t="s">
        <v>32</v>
      </c>
    </row>
    <row r="31" spans="2:10">
      <c r="B31" s="1" t="s">
        <v>28</v>
      </c>
      <c r="D31" s="6">
        <v>48102415715</v>
      </c>
      <c r="E31" s="6">
        <v>60876485842</v>
      </c>
      <c r="F31" s="15">
        <v>55423331127</v>
      </c>
      <c r="G31" s="15">
        <v>37540972977</v>
      </c>
      <c r="H31" s="3">
        <f>AVERAGE(D31:G31)</f>
        <v>50485801415.25</v>
      </c>
    </row>
    <row r="32" spans="2:10">
      <c r="B32" s="1" t="s">
        <v>11</v>
      </c>
      <c r="D32" s="3"/>
    </row>
    <row r="33" spans="2:10">
      <c r="B33" s="1" t="s">
        <v>6</v>
      </c>
      <c r="D33" s="3">
        <f>H23+G27</f>
        <v>91314235953.044983</v>
      </c>
      <c r="F33" s="9" t="s">
        <v>33</v>
      </c>
      <c r="G33" s="3">
        <f>D33-D31</f>
        <v>43211820238.044983</v>
      </c>
    </row>
    <row r="34" spans="2:10">
      <c r="B34" s="1" t="s">
        <v>1</v>
      </c>
      <c r="D34" s="3">
        <f t="shared" ref="D34" si="1">H24+G28</f>
        <v>95731935128.617569</v>
      </c>
      <c r="F34" s="9" t="s">
        <v>34</v>
      </c>
      <c r="G34" s="3">
        <f>D34-D31</f>
        <v>47629519413.617569</v>
      </c>
    </row>
    <row r="35" spans="2:10">
      <c r="B35" s="1" t="s">
        <v>12</v>
      </c>
      <c r="D35" s="3">
        <f>H25+G29</f>
        <v>25131571935.862965</v>
      </c>
      <c r="F35" s="9" t="s">
        <v>35</v>
      </c>
      <c r="G35" s="3">
        <f>D35-D31</f>
        <v>-22970843779.137035</v>
      </c>
    </row>
    <row r="37" spans="2:10">
      <c r="B37" s="16">
        <v>2567</v>
      </c>
      <c r="C37" s="17"/>
      <c r="D37" s="7" t="s">
        <v>39</v>
      </c>
      <c r="E37" s="7" t="s">
        <v>40</v>
      </c>
      <c r="F37" s="18" t="s">
        <v>17</v>
      </c>
    </row>
    <row r="38" spans="2:10">
      <c r="B38" s="10" t="s">
        <v>36</v>
      </c>
      <c r="D38" s="3">
        <f>G33 * 10^-6 / 10450</f>
        <v>4.1351024151239217</v>
      </c>
      <c r="E38" s="3">
        <f>D38/50</f>
        <v>8.2702048302478431E-2</v>
      </c>
      <c r="F38" s="3">
        <f>D38/E38</f>
        <v>50</v>
      </c>
    </row>
    <row r="39" spans="2:10">
      <c r="B39" s="9" t="s">
        <v>37</v>
      </c>
      <c r="D39" s="3">
        <f>D34 * 10^-6 / 10450</f>
        <v>9.1609507300112512</v>
      </c>
      <c r="E39" s="3">
        <f t="shared" ref="E39:E40" si="2">D39/50</f>
        <v>0.18321901460022502</v>
      </c>
      <c r="F39" s="3">
        <f t="shared" ref="F39:F40" si="3">D39/E39</f>
        <v>50</v>
      </c>
    </row>
    <row r="40" spans="2:10" ht="25" thickBot="1">
      <c r="B40" s="19" t="s">
        <v>38</v>
      </c>
      <c r="C40" s="20"/>
      <c r="D40" s="21">
        <f>D35 * 10^-6 / 10450</f>
        <v>2.4049351134797097</v>
      </c>
      <c r="E40" s="21">
        <f t="shared" si="2"/>
        <v>4.8098702269594194E-2</v>
      </c>
      <c r="F40" s="21">
        <f t="shared" si="3"/>
        <v>50</v>
      </c>
    </row>
    <row r="41" spans="2:10">
      <c r="D41" s="3"/>
    </row>
    <row r="42" spans="2:10">
      <c r="B42" s="1" t="s">
        <v>44</v>
      </c>
      <c r="D42" s="3">
        <f>30*E38</f>
        <v>2.4810614490743528</v>
      </c>
    </row>
    <row r="43" spans="2:10">
      <c r="B43" s="1" t="s">
        <v>45</v>
      </c>
      <c r="D43" s="3">
        <f t="shared" ref="D43:D44" si="4">30*E39</f>
        <v>5.496570438006751</v>
      </c>
    </row>
    <row r="44" spans="2:10">
      <c r="B44" s="1" t="s">
        <v>46</v>
      </c>
      <c r="D44" s="3">
        <f t="shared" si="4"/>
        <v>1.4429610680878258</v>
      </c>
    </row>
    <row r="47" spans="2:10">
      <c r="J47" s="1" t="s">
        <v>76</v>
      </c>
    </row>
    <row r="49" spans="2:10">
      <c r="B49" s="7" t="s">
        <v>9</v>
      </c>
      <c r="C49" s="7"/>
      <c r="D49" s="7">
        <v>2570</v>
      </c>
      <c r="E49" s="7">
        <v>2569</v>
      </c>
      <c r="F49" s="7">
        <v>2568</v>
      </c>
    </row>
    <row r="50" spans="2:10">
      <c r="J50" s="66" t="s">
        <v>77</v>
      </c>
    </row>
    <row r="51" spans="2:10">
      <c r="J51" s="66" t="s">
        <v>78</v>
      </c>
    </row>
    <row r="52" spans="2:10">
      <c r="J52" s="66" t="s">
        <v>80</v>
      </c>
    </row>
    <row r="53" spans="2:10">
      <c r="J53" s="66" t="s">
        <v>81</v>
      </c>
    </row>
    <row r="54" spans="2:10">
      <c r="J54" s="66" t="s">
        <v>79</v>
      </c>
    </row>
    <row r="56" spans="2:10">
      <c r="J56" s="1" t="s">
        <v>85</v>
      </c>
    </row>
    <row r="73" spans="4:4">
      <c r="D73" s="3"/>
    </row>
    <row r="74" spans="4:4">
      <c r="D7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A9F4-B947-4388-84F4-1F2E02428B0D}">
  <dimension ref="A1:AJ173"/>
  <sheetViews>
    <sheetView tabSelected="1" topLeftCell="A83" zoomScale="86" zoomScaleNormal="85" workbookViewId="0">
      <selection activeCell="B30" sqref="B30"/>
    </sheetView>
  </sheetViews>
  <sheetFormatPr baseColWidth="10" defaultColWidth="8.83203125" defaultRowHeight="15"/>
  <cols>
    <col min="2" max="3" width="26.5" customWidth="1"/>
    <col min="4" max="4" width="21.1640625" customWidth="1"/>
    <col min="5" max="5" width="20.1640625" customWidth="1"/>
    <col min="6" max="6" width="19.1640625" customWidth="1"/>
    <col min="7" max="7" width="21.83203125" customWidth="1"/>
    <col min="8" max="8" width="19" bestFit="1" customWidth="1"/>
    <col min="9" max="9" width="21.1640625" customWidth="1"/>
    <col min="10" max="10" width="23.33203125" bestFit="1" customWidth="1"/>
    <col min="11" max="11" width="19.83203125" bestFit="1" customWidth="1"/>
    <col min="12" max="12" width="18.6640625" bestFit="1" customWidth="1"/>
    <col min="13" max="13" width="19.83203125" customWidth="1"/>
    <col min="14" max="14" width="18.33203125" customWidth="1"/>
    <col min="15" max="15" width="19" customWidth="1"/>
    <col min="16" max="18" width="18.5" customWidth="1"/>
    <col min="19" max="19" width="9.1640625" customWidth="1"/>
    <col min="20" max="20" width="24.33203125" customWidth="1"/>
    <col min="21" max="21" width="17.83203125" customWidth="1"/>
    <col min="22" max="22" width="24.83203125" customWidth="1"/>
    <col min="23" max="24" width="23.33203125" customWidth="1"/>
    <col min="25" max="25" width="24.6640625" customWidth="1"/>
    <col min="26" max="26" width="17.83203125" customWidth="1"/>
    <col min="27" max="27" width="17.5" customWidth="1"/>
    <col min="28" max="29" width="17.6640625" customWidth="1"/>
    <col min="30" max="30" width="17.83203125" customWidth="1"/>
    <col min="31" max="32" width="17.6640625" customWidth="1"/>
    <col min="33" max="34" width="17.5" customWidth="1"/>
    <col min="35" max="35" width="17.6640625" customWidth="1"/>
    <col min="36" max="36" width="17.5" customWidth="1"/>
  </cols>
  <sheetData>
    <row r="1" spans="1:36" ht="24">
      <c r="A1" s="58" t="s">
        <v>42</v>
      </c>
      <c r="B1" s="58"/>
      <c r="C1" s="58"/>
      <c r="D1" s="59"/>
      <c r="F1" s="10" t="s">
        <v>43</v>
      </c>
      <c r="G1" t="s">
        <v>173</v>
      </c>
      <c r="H1" t="s">
        <v>174</v>
      </c>
      <c r="I1" s="88" t="s">
        <v>192</v>
      </c>
      <c r="J1" t="s">
        <v>193</v>
      </c>
    </row>
    <row r="2" spans="1:36" ht="24">
      <c r="A2" s="4" t="s">
        <v>2</v>
      </c>
      <c r="B2" s="58"/>
      <c r="C2" s="58"/>
      <c r="D2" s="60"/>
      <c r="F2" s="9">
        <f>2.27+1.22*(6.94-2.27)</f>
        <v>7.9673999999999996</v>
      </c>
      <c r="G2" s="169">
        <f>1/49.31</f>
        <v>2.0279862096937738E-2</v>
      </c>
      <c r="H2" s="154">
        <v>2.2700000000000001E-2</v>
      </c>
      <c r="I2" s="155">
        <f>G2 - H2</f>
        <v>-2.4201379030622631E-3</v>
      </c>
      <c r="J2" s="170">
        <f xml:space="preserve"> 1/16.29 - H2</f>
        <v>3.8687354205033761E-2</v>
      </c>
    </row>
    <row r="3" spans="1:36">
      <c r="J3" s="171" t="s">
        <v>194</v>
      </c>
    </row>
    <row r="4" spans="1:36" ht="24">
      <c r="B4" s="10" t="s">
        <v>71</v>
      </c>
      <c r="G4" s="58" t="s">
        <v>51</v>
      </c>
      <c r="R4" s="58" t="s">
        <v>42</v>
      </c>
    </row>
    <row r="5" spans="1:36" ht="24">
      <c r="B5" s="7" t="s">
        <v>9</v>
      </c>
      <c r="C5" s="10"/>
      <c r="D5" s="7" t="s">
        <v>50</v>
      </c>
      <c r="E5" s="7" t="s">
        <v>21</v>
      </c>
      <c r="F5" s="7" t="s">
        <v>49</v>
      </c>
      <c r="G5" s="7" t="s">
        <v>48</v>
      </c>
      <c r="H5" s="61">
        <v>2566</v>
      </c>
      <c r="I5" s="7">
        <v>2565</v>
      </c>
      <c r="J5" s="7">
        <v>2564</v>
      </c>
      <c r="K5" s="7">
        <v>2563</v>
      </c>
      <c r="L5" s="7">
        <v>2562</v>
      </c>
      <c r="M5" s="7">
        <v>2561</v>
      </c>
      <c r="N5" s="7">
        <v>2560</v>
      </c>
      <c r="O5" s="7">
        <v>2559</v>
      </c>
      <c r="P5" s="7">
        <v>2558</v>
      </c>
      <c r="Q5" s="7">
        <v>2557</v>
      </c>
      <c r="R5" s="7">
        <v>2556</v>
      </c>
      <c r="S5" s="10"/>
      <c r="T5" s="7" t="s">
        <v>9</v>
      </c>
      <c r="U5" s="10"/>
      <c r="V5" s="7" t="s">
        <v>50</v>
      </c>
      <c r="W5" s="7" t="s">
        <v>21</v>
      </c>
      <c r="X5" s="7" t="s">
        <v>49</v>
      </c>
      <c r="Y5" s="168" t="s">
        <v>48</v>
      </c>
      <c r="Z5" s="61">
        <v>2566</v>
      </c>
      <c r="AA5" s="7">
        <v>2565</v>
      </c>
      <c r="AB5" s="7">
        <v>2564</v>
      </c>
      <c r="AC5" s="7">
        <v>2563</v>
      </c>
      <c r="AD5" s="7">
        <v>2562</v>
      </c>
      <c r="AE5" s="7">
        <v>2561</v>
      </c>
      <c r="AF5" s="7">
        <v>2560</v>
      </c>
      <c r="AG5" s="7">
        <v>2559</v>
      </c>
      <c r="AH5" s="7">
        <v>2558</v>
      </c>
      <c r="AI5" s="7">
        <v>2557</v>
      </c>
      <c r="AJ5" s="7">
        <v>2556</v>
      </c>
    </row>
    <row r="6" spans="1:36" ht="24">
      <c r="B6" s="1" t="s">
        <v>3</v>
      </c>
      <c r="C6" s="5"/>
      <c r="D6" s="30">
        <f>SUM(E6:G6)* (1 + D20)</f>
        <v>3867138.4499999997</v>
      </c>
      <c r="E6" s="30">
        <v>1953685</v>
      </c>
      <c r="F6" s="26">
        <v>1277654</v>
      </c>
      <c r="G6" s="28">
        <v>541479</v>
      </c>
      <c r="H6" s="73">
        <v>1107209543</v>
      </c>
      <c r="I6" s="12">
        <v>785454474</v>
      </c>
      <c r="J6" s="12">
        <v>361628007</v>
      </c>
      <c r="K6" s="12">
        <v>228636823</v>
      </c>
      <c r="L6" s="12">
        <v>347525689</v>
      </c>
      <c r="M6" s="12">
        <v>231560737</v>
      </c>
      <c r="N6" s="12">
        <v>900246879</v>
      </c>
      <c r="O6" s="12">
        <v>1123723714</v>
      </c>
      <c r="P6" s="26">
        <v>1544685901</v>
      </c>
      <c r="Q6" s="74">
        <v>1059458557</v>
      </c>
      <c r="R6" s="74">
        <v>114876295</v>
      </c>
      <c r="Y6" s="91"/>
    </row>
    <row r="7" spans="1:36" ht="24">
      <c r="B7" s="1" t="s">
        <v>18</v>
      </c>
      <c r="C7" s="5"/>
      <c r="D7" s="30">
        <f>SUM(E7:G7) * (1 +D20)</f>
        <v>2175068.4499999997</v>
      </c>
      <c r="E7" s="30">
        <v>1043057</v>
      </c>
      <c r="F7" s="27">
        <v>720056</v>
      </c>
      <c r="G7" s="12">
        <v>358905</v>
      </c>
      <c r="H7" s="72">
        <v>1434888392</v>
      </c>
      <c r="I7" s="12">
        <v>1513468908</v>
      </c>
      <c r="J7" s="12">
        <v>1340374851</v>
      </c>
      <c r="K7" s="12">
        <v>1373673221</v>
      </c>
      <c r="L7" s="12">
        <v>2250201446</v>
      </c>
      <c r="M7" s="12">
        <v>2363284627</v>
      </c>
      <c r="N7" s="74">
        <v>2344654714</v>
      </c>
      <c r="O7" s="74">
        <v>2262855869</v>
      </c>
      <c r="P7" s="74">
        <v>1945178136</v>
      </c>
      <c r="Q7" s="74">
        <v>2238028479</v>
      </c>
      <c r="R7" s="74">
        <v>2365488483</v>
      </c>
      <c r="T7" t="s">
        <v>178</v>
      </c>
      <c r="V7" s="26">
        <f>SUM(W7:Y7) * (1+$D$20)</f>
        <v>221337031.17499998</v>
      </c>
      <c r="W7" s="30">
        <v>107101208</v>
      </c>
      <c r="X7" s="30">
        <v>68678861</v>
      </c>
      <c r="Y7" s="102">
        <v>40158498</v>
      </c>
      <c r="Z7" s="12">
        <v>150812724912</v>
      </c>
      <c r="AA7" s="12">
        <v>172364585434</v>
      </c>
      <c r="AB7" s="12">
        <v>126894793412</v>
      </c>
      <c r="AC7" s="12">
        <v>105454374636</v>
      </c>
      <c r="AD7" s="12">
        <v>103134793658</v>
      </c>
      <c r="AE7" s="12">
        <v>113499331613</v>
      </c>
      <c r="AF7" s="12">
        <v>107488788259</v>
      </c>
      <c r="AG7" s="12">
        <v>108723890430</v>
      </c>
      <c r="AH7" s="12">
        <v>150605737381</v>
      </c>
      <c r="AI7" s="74">
        <v>150726049014</v>
      </c>
      <c r="AJ7" s="74">
        <v>121802345106</v>
      </c>
    </row>
    <row r="8" spans="1:36" ht="25.5" customHeight="1">
      <c r="B8" s="2" t="s">
        <v>5</v>
      </c>
      <c r="C8" s="5"/>
      <c r="D8" s="30">
        <f>SUM(E8:G8) * (1+D20)</f>
        <v>8255684.1499999994</v>
      </c>
      <c r="E8" s="30">
        <v>1105581</v>
      </c>
      <c r="F8" s="27">
        <v>3595447</v>
      </c>
      <c r="G8" s="30">
        <v>3353298</v>
      </c>
      <c r="H8" s="72">
        <v>6020151482</v>
      </c>
      <c r="I8" s="12">
        <v>1324629005</v>
      </c>
      <c r="J8" s="12">
        <v>-10659744728</v>
      </c>
      <c r="K8" s="12">
        <v>-1809532023</v>
      </c>
      <c r="L8" s="12">
        <v>2682210367</v>
      </c>
      <c r="M8" s="12">
        <v>-1275249371</v>
      </c>
      <c r="N8" s="74">
        <v>-6354228709</v>
      </c>
      <c r="O8" s="74">
        <v>7435953956</v>
      </c>
      <c r="P8" s="26">
        <v>-576934176</v>
      </c>
      <c r="Q8" s="74">
        <v>-49045514</v>
      </c>
      <c r="R8" s="74">
        <v>-1536614074</v>
      </c>
      <c r="T8" t="s">
        <v>179</v>
      </c>
      <c r="V8" s="26">
        <f t="shared" ref="V8:V10" si="0">SUM(W8:Y8) * (1+$D$20)</f>
        <v>162514213.29999998</v>
      </c>
      <c r="W8" s="120">
        <v>60466069</v>
      </c>
      <c r="X8" s="120">
        <v>57925885</v>
      </c>
      <c r="Y8" s="161">
        <f>SUM(Y3:Y7)</f>
        <v>40158498</v>
      </c>
      <c r="Z8" s="120">
        <v>59611460340</v>
      </c>
      <c r="AA8" s="120">
        <v>77878307584</v>
      </c>
      <c r="AB8" s="120">
        <v>62853571813</v>
      </c>
      <c r="AC8" s="120">
        <v>48004314461</v>
      </c>
      <c r="AD8" s="120">
        <v>38332624611</v>
      </c>
      <c r="AE8" s="120">
        <v>47118260879</v>
      </c>
      <c r="AF8" s="120">
        <v>41362073470</v>
      </c>
      <c r="AG8" s="120">
        <v>37092366026</v>
      </c>
      <c r="AH8" s="120">
        <v>48076038561</v>
      </c>
      <c r="AI8" s="120">
        <v>55194307719</v>
      </c>
      <c r="AJ8" s="120">
        <v>46485902197</v>
      </c>
    </row>
    <row r="9" spans="1:36" ht="24">
      <c r="B9" s="1" t="s">
        <v>4</v>
      </c>
      <c r="C9" s="5"/>
      <c r="D9" s="30">
        <f>SUM(E9:G9) * (1+D20)</f>
        <v>-1099941.8499999999</v>
      </c>
      <c r="E9" s="30">
        <v>-753378</v>
      </c>
      <c r="F9" s="27">
        <v>-317722</v>
      </c>
      <c r="G9" s="27">
        <v>-2014</v>
      </c>
      <c r="H9" s="72">
        <v>-1582833331</v>
      </c>
      <c r="I9" s="12">
        <v>-3679795619</v>
      </c>
      <c r="J9" s="12">
        <v>-2501332068</v>
      </c>
      <c r="K9" s="12">
        <v>-1500028874</v>
      </c>
      <c r="L9" s="34">
        <v>-5701910862</v>
      </c>
      <c r="M9" s="32">
        <v>-1792680146</v>
      </c>
      <c r="N9" s="32">
        <v>-2276703698</v>
      </c>
      <c r="O9" s="26">
        <v>-2541806981</v>
      </c>
      <c r="P9" s="26">
        <v>-1989976543</v>
      </c>
      <c r="Q9" s="74">
        <v>-3434995414</v>
      </c>
      <c r="R9" s="74">
        <v>-3248666328</v>
      </c>
      <c r="T9" t="s">
        <v>176</v>
      </c>
      <c r="V9" s="26">
        <f t="shared" si="0"/>
        <v>92355968.599999994</v>
      </c>
      <c r="W9" s="151">
        <v>33326949</v>
      </c>
      <c r="X9" s="151">
        <v>29993953</v>
      </c>
      <c r="Y9" s="162">
        <v>26782482</v>
      </c>
      <c r="Z9" s="151">
        <v>30983522216</v>
      </c>
      <c r="AA9" s="151">
        <v>35969693554</v>
      </c>
      <c r="AB9" s="151">
        <v>21572580675</v>
      </c>
      <c r="AC9" s="151">
        <v>22133552228</v>
      </c>
      <c r="AD9" s="151">
        <v>18252665645</v>
      </c>
      <c r="AE9" s="151">
        <v>24808358426</v>
      </c>
      <c r="AF9" s="151">
        <v>26318530648</v>
      </c>
      <c r="AG9" s="151">
        <v>21584455437</v>
      </c>
      <c r="AH9" s="151">
        <v>30796299869</v>
      </c>
      <c r="AI9" s="159">
        <v>35335327818</v>
      </c>
      <c r="AJ9" s="159">
        <v>25514092922</v>
      </c>
    </row>
    <row r="10" spans="1:36" ht="24">
      <c r="B10" s="1" t="s">
        <v>0</v>
      </c>
      <c r="C10" s="5"/>
      <c r="D10" s="30">
        <f>SUM(E10:G10) * (1+D20) * 1/6</f>
        <v>-3189529.4</v>
      </c>
      <c r="E10" s="30">
        <v>-5600786</v>
      </c>
      <c r="F10" s="27">
        <v>-8254162</v>
      </c>
      <c r="G10" s="27">
        <v>-4815468</v>
      </c>
      <c r="H10" s="72">
        <v>-3234026869</v>
      </c>
      <c r="I10" s="12">
        <v>9305570835</v>
      </c>
      <c r="J10" s="12">
        <v>10166718334</v>
      </c>
      <c r="K10" s="12">
        <v>733375363</v>
      </c>
      <c r="L10" s="12">
        <v>-2148706793</v>
      </c>
      <c r="M10" s="12">
        <v>2290688651</v>
      </c>
      <c r="N10" s="74">
        <v>5180749793</v>
      </c>
      <c r="O10" s="74">
        <v>-7291495123</v>
      </c>
      <c r="P10" s="26">
        <v>1774065216</v>
      </c>
      <c r="Q10" s="74">
        <v>-2591628053</v>
      </c>
      <c r="R10" s="74">
        <v>3827994661</v>
      </c>
      <c r="T10" t="s">
        <v>177</v>
      </c>
      <c r="V10" s="26">
        <f t="shared" si="0"/>
        <v>50505610.149999999</v>
      </c>
      <c r="W10" s="120">
        <v>16185421</v>
      </c>
      <c r="X10" s="120">
        <v>17177197</v>
      </c>
      <c r="Y10" s="161">
        <v>15911148</v>
      </c>
      <c r="Z10" s="120">
        <v>15290283476</v>
      </c>
      <c r="AA10" s="120">
        <v>22117526068</v>
      </c>
      <c r="AB10" s="120">
        <v>26684762522</v>
      </c>
      <c r="AC10" s="120">
        <v>15435552686</v>
      </c>
      <c r="AD10" s="120">
        <v>13215771308</v>
      </c>
      <c r="AE10" s="120">
        <v>17053078152</v>
      </c>
      <c r="AF10" s="120">
        <v>11143245463</v>
      </c>
      <c r="AG10" s="120">
        <v>10436738352</v>
      </c>
      <c r="AH10" s="120">
        <v>11805098540</v>
      </c>
      <c r="AI10" s="160">
        <v>14506707263</v>
      </c>
      <c r="AJ10" s="160">
        <v>13691208487</v>
      </c>
    </row>
    <row r="11" spans="1:36" ht="24">
      <c r="B11" s="1" t="s">
        <v>7</v>
      </c>
      <c r="C11" s="5"/>
      <c r="D11" s="26">
        <f t="shared" ref="D11" si="1">D12+D7</f>
        <v>7455213.4749999996</v>
      </c>
      <c r="E11" s="26">
        <f>E12+E7</f>
        <v>3695255</v>
      </c>
      <c r="F11" s="26">
        <f t="shared" ref="F11:G11" si="2">F12+F7</f>
        <v>2419565</v>
      </c>
      <c r="G11" s="26">
        <f t="shared" si="2"/>
        <v>1158559</v>
      </c>
      <c r="H11" s="35">
        <f>H12+H7</f>
        <v>4693534745</v>
      </c>
      <c r="I11" s="26">
        <f>I12+I7</f>
        <v>3918109909</v>
      </c>
      <c r="J11" s="26">
        <f t="shared" ref="J11:L11" si="3">J12+J7</f>
        <v>2898598152</v>
      </c>
      <c r="K11" s="26">
        <f t="shared" si="3"/>
        <v>2485741789</v>
      </c>
      <c r="L11" s="26">
        <f t="shared" si="3"/>
        <v>3646665438</v>
      </c>
      <c r="M11" s="26">
        <f>M12+M7</f>
        <v>3718813620</v>
      </c>
      <c r="N11" s="26">
        <f>N12+N7</f>
        <v>4205487626</v>
      </c>
      <c r="O11" s="26">
        <f t="shared" ref="O11:R11" si="4">O12+O7</f>
        <v>4241462875</v>
      </c>
      <c r="P11" s="26">
        <f t="shared" si="4"/>
        <v>4052262983</v>
      </c>
      <c r="Q11" s="26">
        <f t="shared" si="4"/>
        <v>3948576504</v>
      </c>
      <c r="R11" s="26">
        <f t="shared" si="4"/>
        <v>2876182949</v>
      </c>
      <c r="T11" t="s">
        <v>172</v>
      </c>
      <c r="V11" s="26">
        <f>SUM(W11:Y11) * (1+$D$20)</f>
        <v>103168502.94999999</v>
      </c>
      <c r="W11" s="3">
        <v>35009622</v>
      </c>
      <c r="X11" s="151">
        <v>35573648</v>
      </c>
      <c r="Y11" s="162">
        <v>30068928</v>
      </c>
      <c r="Z11" s="151">
        <v>30292760634</v>
      </c>
      <c r="AA11" s="151">
        <v>34962899379</v>
      </c>
      <c r="AB11" s="151">
        <v>31622857402</v>
      </c>
      <c r="AC11" s="151">
        <v>26073631454</v>
      </c>
      <c r="AD11" s="151">
        <v>19578605596</v>
      </c>
      <c r="AE11" s="151">
        <v>25206433719</v>
      </c>
      <c r="AF11" s="151">
        <v>21809192579</v>
      </c>
      <c r="AG11" s="151">
        <v>22034661541</v>
      </c>
      <c r="AH11" s="151">
        <v>25409419100</v>
      </c>
      <c r="AI11" s="151">
        <v>34657845399</v>
      </c>
      <c r="AJ11" s="151">
        <v>23790978172</v>
      </c>
    </row>
    <row r="12" spans="1:36" ht="24">
      <c r="B12" s="1" t="s">
        <v>8</v>
      </c>
      <c r="C12" s="3"/>
      <c r="D12" s="30">
        <f>SUM(E12:G12) * (1+D20)</f>
        <v>5280145.0249999994</v>
      </c>
      <c r="E12" s="26">
        <v>2652198</v>
      </c>
      <c r="F12" s="27">
        <v>1699509</v>
      </c>
      <c r="G12" s="27">
        <v>799654</v>
      </c>
      <c r="H12" s="35">
        <v>3258646353</v>
      </c>
      <c r="I12" s="26">
        <v>2404641001</v>
      </c>
      <c r="J12" s="26">
        <v>1558223301</v>
      </c>
      <c r="K12" s="26">
        <v>1112068568</v>
      </c>
      <c r="L12" s="26">
        <v>1396463992</v>
      </c>
      <c r="M12" s="26">
        <v>1355528993</v>
      </c>
      <c r="N12" s="26">
        <v>1860832912</v>
      </c>
      <c r="O12" s="26">
        <v>1978607006</v>
      </c>
      <c r="P12" s="26">
        <v>2107084847</v>
      </c>
      <c r="Q12" s="26">
        <v>1710548025</v>
      </c>
      <c r="R12" s="26">
        <v>510694466</v>
      </c>
      <c r="T12" s="1" t="s">
        <v>175</v>
      </c>
      <c r="U12" s="3"/>
      <c r="V12" s="3">
        <v>15150919.624999998</v>
      </c>
      <c r="W12" s="3">
        <v>4344352</v>
      </c>
      <c r="X12" s="3">
        <v>5999455</v>
      </c>
      <c r="Y12" s="46">
        <v>4437578</v>
      </c>
      <c r="Z12" s="3">
        <v>11631350755</v>
      </c>
      <c r="AA12" s="3">
        <v>8333396375</v>
      </c>
      <c r="AB12" s="3">
        <v>-4976929706</v>
      </c>
      <c r="AC12" s="3">
        <v>2332466288</v>
      </c>
      <c r="AD12" s="3">
        <v>11670938889</v>
      </c>
      <c r="AE12" s="3">
        <v>4498088258</v>
      </c>
      <c r="AF12" s="3">
        <v>-3975746</v>
      </c>
      <c r="AG12" s="3">
        <v>13487509523</v>
      </c>
      <c r="AH12" s="3">
        <v>4328181809</v>
      </c>
      <c r="AI12" s="3">
        <v>7760468270</v>
      </c>
      <c r="AJ12" s="3">
        <v>5301957254</v>
      </c>
    </row>
    <row r="13" spans="1:36" ht="24">
      <c r="B13" s="1" t="s">
        <v>10</v>
      </c>
      <c r="C13" s="3"/>
      <c r="D13" s="26">
        <v>0.2</v>
      </c>
      <c r="E13" s="26">
        <v>0.2</v>
      </c>
      <c r="F13" s="26">
        <v>0.2</v>
      </c>
      <c r="G13" s="26">
        <v>0.2</v>
      </c>
      <c r="H13" s="35">
        <v>0.2</v>
      </c>
      <c r="I13" s="26">
        <v>0.2</v>
      </c>
      <c r="J13" s="26">
        <v>0.2</v>
      </c>
      <c r="K13" s="26">
        <v>0.2</v>
      </c>
      <c r="L13" s="26">
        <v>0.2</v>
      </c>
      <c r="M13" s="26">
        <v>0.2</v>
      </c>
      <c r="N13" s="26">
        <v>0.2</v>
      </c>
      <c r="O13" s="26">
        <v>0.2</v>
      </c>
      <c r="P13" s="26">
        <v>0.2</v>
      </c>
      <c r="Q13" s="26">
        <v>0.2</v>
      </c>
      <c r="R13" s="26">
        <v>0.2</v>
      </c>
      <c r="T13" s="158" t="s">
        <v>188</v>
      </c>
      <c r="U13" s="157"/>
      <c r="V13" s="26">
        <f>SUM(W13:Y13) * (1+$D$20)</f>
        <v>-2051658.4499999997</v>
      </c>
      <c r="W13" s="115">
        <v>-799852</v>
      </c>
      <c r="X13" s="12">
        <v>-783750</v>
      </c>
      <c r="Y13" s="163">
        <v>-418016</v>
      </c>
      <c r="Z13" s="12">
        <v>-2208721628</v>
      </c>
      <c r="AA13" s="12">
        <v>-1168298407</v>
      </c>
      <c r="AB13" s="12">
        <v>-453709868</v>
      </c>
      <c r="AC13" s="12">
        <v>-516700775</v>
      </c>
      <c r="AD13" s="12">
        <v>-668455454</v>
      </c>
      <c r="AE13" s="12">
        <v>-560014842</v>
      </c>
      <c r="AF13" s="12">
        <v>-424356401</v>
      </c>
      <c r="AG13" s="74">
        <v>-326944841</v>
      </c>
      <c r="AH13" s="74">
        <v>-377362216</v>
      </c>
      <c r="AI13" s="74">
        <v>-486319544</v>
      </c>
      <c r="AJ13" s="74">
        <v>-290479986</v>
      </c>
    </row>
    <row r="14" spans="1:36" ht="24">
      <c r="B14" s="1" t="s">
        <v>16</v>
      </c>
      <c r="C14" s="6"/>
      <c r="D14" s="30">
        <f>SUM(E14:G14)* (1+D20)</f>
        <v>14050977.774999999</v>
      </c>
      <c r="E14" s="30">
        <v>3590974</v>
      </c>
      <c r="F14" s="26">
        <v>5681733</v>
      </c>
      <c r="G14" s="75">
        <v>4435564</v>
      </c>
      <c r="H14" s="72">
        <v>10048517424</v>
      </c>
      <c r="I14" s="12">
        <v>4653600756</v>
      </c>
      <c r="J14" s="12">
        <v>-7478261774</v>
      </c>
      <c r="K14" s="12">
        <v>832437414</v>
      </c>
      <c r="L14" s="12">
        <v>5969028027</v>
      </c>
      <c r="M14" s="12">
        <v>2705408112</v>
      </c>
      <c r="N14" s="32">
        <v>-2280679444</v>
      </c>
      <c r="O14" s="3">
        <v>10945702542</v>
      </c>
      <c r="P14" s="74">
        <v>2338205266</v>
      </c>
      <c r="Q14" s="74">
        <v>4325472856</v>
      </c>
      <c r="R14" s="74">
        <v>2053290926</v>
      </c>
      <c r="T14" s="158" t="s">
        <v>189</v>
      </c>
      <c r="V14" s="26">
        <f>SUM(W14:Y14) * (1+$D$20)</f>
        <v>-2084309.8249999997</v>
      </c>
      <c r="W14" s="115">
        <v>4834779</v>
      </c>
      <c r="X14" s="115">
        <v>-6868252</v>
      </c>
      <c r="Y14" s="51">
        <v>0</v>
      </c>
      <c r="Z14" s="26">
        <v>0</v>
      </c>
      <c r="AA14" s="166">
        <v>7293396000</v>
      </c>
      <c r="AB14" s="166">
        <v>6686006667</v>
      </c>
      <c r="AC14" s="166">
        <v>0</v>
      </c>
      <c r="AD14" s="166">
        <v>858970934</v>
      </c>
      <c r="AE14" s="166">
        <v>2909660243</v>
      </c>
      <c r="AF14" s="166">
        <v>3650811300</v>
      </c>
      <c r="AG14" s="26">
        <v>0</v>
      </c>
      <c r="AH14" s="26">
        <v>0</v>
      </c>
      <c r="AI14" s="167">
        <v>5933340000</v>
      </c>
      <c r="AJ14" s="167">
        <v>0</v>
      </c>
    </row>
    <row r="15" spans="1:36" ht="24">
      <c r="B15" s="24"/>
      <c r="C15" s="1"/>
      <c r="D15" s="24"/>
      <c r="E15" s="24"/>
      <c r="F15" s="24"/>
      <c r="G15" s="24"/>
      <c r="H15" s="37"/>
      <c r="I15" s="25"/>
      <c r="J15" s="25"/>
      <c r="K15" s="25"/>
      <c r="L15" s="25"/>
      <c r="M15" s="25"/>
      <c r="N15" s="25"/>
      <c r="O15" s="25"/>
      <c r="P15" s="25"/>
      <c r="Q15" s="25"/>
      <c r="R15" s="25"/>
      <c r="V15" s="1"/>
      <c r="W15" s="1"/>
      <c r="X15" s="1"/>
      <c r="Y15" s="98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24">
      <c r="B16" s="22" t="s">
        <v>6</v>
      </c>
      <c r="C16" s="3"/>
      <c r="D16" s="23">
        <f t="shared" ref="D16:L16" si="5">D11-D11*D13+D7-D8-D9</f>
        <v>983496.929999999</v>
      </c>
      <c r="E16" s="23">
        <f t="shared" si="5"/>
        <v>3647058</v>
      </c>
      <c r="F16" s="23">
        <f t="shared" si="5"/>
        <v>-622017</v>
      </c>
      <c r="G16" s="23">
        <f t="shared" si="5"/>
        <v>-2065531.8</v>
      </c>
      <c r="H16" s="38">
        <f t="shared" si="5"/>
        <v>752398037</v>
      </c>
      <c r="I16" s="23">
        <f t="shared" si="5"/>
        <v>7003123449.1999998</v>
      </c>
      <c r="J16" s="23">
        <f t="shared" si="5"/>
        <v>16820330168.6</v>
      </c>
      <c r="K16" s="23">
        <f t="shared" si="5"/>
        <v>6671827549.1999998</v>
      </c>
      <c r="L16" s="23">
        <f t="shared" si="5"/>
        <v>8187234291.3999996</v>
      </c>
      <c r="M16" s="23">
        <f>M11-M11*M13+M7-M8-M9</f>
        <v>8406265040</v>
      </c>
      <c r="N16" s="23">
        <f>N11-N11*N13+N7-N8-N9</f>
        <v>14339977221.799999</v>
      </c>
      <c r="O16" s="23">
        <f t="shared" ref="O16:R16" si="6">O11-O11*O13+O7-O8-O9</f>
        <v>761879194</v>
      </c>
      <c r="P16" s="23">
        <f t="shared" si="6"/>
        <v>7753899241.3999996</v>
      </c>
      <c r="Q16" s="23">
        <f t="shared" si="6"/>
        <v>8880930610.2000008</v>
      </c>
      <c r="R16" s="23">
        <f t="shared" si="6"/>
        <v>9451715244.2000008</v>
      </c>
      <c r="T16" s="143"/>
      <c r="U16" s="157"/>
      <c r="V16" s="26"/>
      <c r="W16" s="26"/>
      <c r="X16" s="26"/>
      <c r="Y16" s="102"/>
      <c r="Z16" s="120"/>
      <c r="AA16" s="120"/>
      <c r="AB16" s="120"/>
      <c r="AC16" s="120"/>
      <c r="AD16" s="120"/>
      <c r="AE16" s="120"/>
      <c r="AF16" s="120"/>
      <c r="AG16" s="120"/>
      <c r="AH16" s="120"/>
      <c r="AI16" s="74"/>
      <c r="AJ16" s="74"/>
    </row>
    <row r="17" spans="2:36" ht="24">
      <c r="B17" s="1" t="s">
        <v>1</v>
      </c>
      <c r="C17" s="5"/>
      <c r="D17" s="3">
        <f t="shared" ref="D17:L17" si="7">D6+D7-D8-D9+D10</f>
        <v>-4303064.8</v>
      </c>
      <c r="E17" s="3">
        <f>E6+E7-E8-E9+E10</f>
        <v>-2956247</v>
      </c>
      <c r="F17" s="3">
        <f t="shared" si="7"/>
        <v>-9534177</v>
      </c>
      <c r="G17" s="3">
        <f t="shared" si="7"/>
        <v>-7266368</v>
      </c>
      <c r="H17" s="39">
        <f t="shared" si="7"/>
        <v>-5129247085</v>
      </c>
      <c r="I17" s="3">
        <f t="shared" si="7"/>
        <v>13959660831</v>
      </c>
      <c r="J17" s="3">
        <f t="shared" si="7"/>
        <v>25029797988</v>
      </c>
      <c r="K17" s="3">
        <f>K6+K7-K8-K9+K10</f>
        <v>5645246304</v>
      </c>
      <c r="L17" s="3">
        <f t="shared" si="7"/>
        <v>3468720837</v>
      </c>
      <c r="M17" s="3">
        <f>M6+M7-M8-M9+M10</f>
        <v>7953463532</v>
      </c>
      <c r="N17" s="3">
        <f>N6+N7-N8+N9+N10</f>
        <v>12503176397</v>
      </c>
      <c r="O17" s="3">
        <f t="shared" ref="O17:R17" si="8">O6+O7-O8+O9+O10</f>
        <v>-13882676477</v>
      </c>
      <c r="P17" s="3">
        <f t="shared" si="8"/>
        <v>3850886886</v>
      </c>
      <c r="Q17" s="3">
        <f t="shared" si="8"/>
        <v>-2680090917</v>
      </c>
      <c r="R17" s="3">
        <f t="shared" si="8"/>
        <v>4596307185</v>
      </c>
      <c r="T17" t="s">
        <v>180</v>
      </c>
      <c r="V17" s="30">
        <f>SUM(W17:Y17) * (1+V28)</f>
        <v>6727388.4816606864</v>
      </c>
      <c r="W17" s="30">
        <v>-753378</v>
      </c>
      <c r="X17" s="27">
        <v>-317722</v>
      </c>
      <c r="Y17" s="164">
        <v>-2014</v>
      </c>
      <c r="Z17" s="12">
        <v>-1582833331</v>
      </c>
      <c r="AA17" s="12">
        <v>-3679795619</v>
      </c>
      <c r="AB17" s="12">
        <v>-2501332068</v>
      </c>
      <c r="AC17" s="12">
        <v>-1500028874</v>
      </c>
      <c r="AD17" s="34">
        <v>-5701910862</v>
      </c>
      <c r="AE17" s="32">
        <v>-1792680146</v>
      </c>
      <c r="AF17" s="32">
        <v>-2276703698</v>
      </c>
      <c r="AG17" s="26">
        <v>-2541806981</v>
      </c>
      <c r="AH17" s="26">
        <v>-1989976543</v>
      </c>
      <c r="AI17" s="74">
        <v>-3434995414</v>
      </c>
      <c r="AJ17" s="74">
        <v>-3248666328</v>
      </c>
    </row>
    <row r="18" spans="2:36" ht="25" thickBot="1">
      <c r="B18" s="20" t="s">
        <v>12</v>
      </c>
      <c r="C18" s="3"/>
      <c r="D18" s="21">
        <f t="shared" ref="D18:L18" si="9">D14-D9</f>
        <v>15150919.624999998</v>
      </c>
      <c r="E18" s="21">
        <f t="shared" si="9"/>
        <v>4344352</v>
      </c>
      <c r="F18" s="21">
        <f t="shared" si="9"/>
        <v>5999455</v>
      </c>
      <c r="G18" s="21">
        <f t="shared" si="9"/>
        <v>4437578</v>
      </c>
      <c r="H18" s="40">
        <f t="shared" si="9"/>
        <v>11631350755</v>
      </c>
      <c r="I18" s="21">
        <f t="shared" si="9"/>
        <v>8333396375</v>
      </c>
      <c r="J18" s="21">
        <f t="shared" si="9"/>
        <v>-4976929706</v>
      </c>
      <c r="K18" s="21">
        <f t="shared" si="9"/>
        <v>2332466288</v>
      </c>
      <c r="L18" s="21">
        <f t="shared" si="9"/>
        <v>11670938889</v>
      </c>
      <c r="M18" s="21">
        <f>M14-M9</f>
        <v>4498088258</v>
      </c>
      <c r="N18" s="21">
        <f>N14-N9</f>
        <v>-3975746</v>
      </c>
      <c r="O18" s="21">
        <f t="shared" ref="O18:R18" si="10">O14-O9</f>
        <v>13487509523</v>
      </c>
      <c r="P18" s="21">
        <f t="shared" si="10"/>
        <v>4328181809</v>
      </c>
      <c r="Q18" s="21">
        <f t="shared" si="10"/>
        <v>7760468270</v>
      </c>
      <c r="R18" s="21">
        <f t="shared" si="10"/>
        <v>5301957254</v>
      </c>
      <c r="V18" s="1"/>
      <c r="W18" s="1"/>
      <c r="X18" s="1"/>
      <c r="Y18" s="98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2:36" ht="24">
      <c r="D19" s="44" t="s">
        <v>61</v>
      </c>
      <c r="E19" s="44" t="s">
        <v>62</v>
      </c>
      <c r="F19" s="44" t="s">
        <v>60</v>
      </c>
      <c r="H19" s="64"/>
      <c r="T19" t="s">
        <v>184</v>
      </c>
      <c r="V19" s="1">
        <f t="shared" ref="V19:Y19" si="11">V9/V7</f>
        <v>0.41726397119232528</v>
      </c>
      <c r="W19" s="1">
        <f>W11/W7</f>
        <v>0.32688353991301389</v>
      </c>
      <c r="X19" s="1">
        <f t="shared" si="11"/>
        <v>0.43672758346997048</v>
      </c>
      <c r="Y19" s="98">
        <f t="shared" si="11"/>
        <v>0.66691941516338582</v>
      </c>
      <c r="Z19" s="1">
        <f t="shared" ref="Z19:AD19" si="12">Z9/Z7</f>
        <v>0.20544368675838889</v>
      </c>
      <c r="AA19" s="1">
        <f t="shared" si="12"/>
        <v>0.20868378190004194</v>
      </c>
      <c r="AB19" s="1">
        <f t="shared" si="12"/>
        <v>0.17000367071766678</v>
      </c>
      <c r="AC19" s="1">
        <f t="shared" si="12"/>
        <v>0.20988747317879453</v>
      </c>
      <c r="AD19" s="1">
        <f t="shared" si="12"/>
        <v>0.17697873818923543</v>
      </c>
      <c r="AE19" s="1">
        <f t="shared" ref="AE19:AH19" si="13">AE9/AE7</f>
        <v>0.21857713233580398</v>
      </c>
      <c r="AF19" s="1">
        <f t="shared" si="13"/>
        <v>0.2448490775110804</v>
      </c>
      <c r="AG19" s="1">
        <f t="shared" si="13"/>
        <v>0.19852541471459559</v>
      </c>
      <c r="AH19" s="1">
        <f t="shared" si="13"/>
        <v>0.20448291283280934</v>
      </c>
      <c r="AI19" s="1">
        <f>AI9/AI7</f>
        <v>0.2344341144026002</v>
      </c>
      <c r="AJ19" s="1">
        <f>AJ9/AJ7</f>
        <v>0.20947127824013606</v>
      </c>
    </row>
    <row r="20" spans="2:36" ht="24">
      <c r="B20" s="1"/>
      <c r="D20" s="71">
        <v>2.5000000000000001E-2</v>
      </c>
      <c r="E20" s="71">
        <v>0.1</v>
      </c>
      <c r="F20" s="71">
        <v>0.1</v>
      </c>
      <c r="G20" s="44"/>
      <c r="H20" s="65">
        <v>11</v>
      </c>
      <c r="I20" s="56">
        <v>10</v>
      </c>
      <c r="J20" s="56">
        <v>9</v>
      </c>
      <c r="K20" s="56">
        <v>8</v>
      </c>
      <c r="L20" s="56">
        <v>7</v>
      </c>
      <c r="M20" s="56">
        <v>6</v>
      </c>
      <c r="N20" s="56">
        <v>5</v>
      </c>
      <c r="O20" s="56">
        <v>4</v>
      </c>
      <c r="P20" s="56">
        <v>3</v>
      </c>
      <c r="Q20" s="56">
        <v>2</v>
      </c>
      <c r="R20" s="56">
        <v>1</v>
      </c>
      <c r="T20" t="s">
        <v>183</v>
      </c>
      <c r="V20" s="1">
        <f t="shared" ref="V20:Y20" si="14">V9/V7 * 365</f>
        <v>152.30134948519873</v>
      </c>
      <c r="W20" s="1">
        <f>W11/W7 * 365</f>
        <v>119.31249206825007</v>
      </c>
      <c r="X20" s="1">
        <f t="shared" si="14"/>
        <v>159.40556796653922</v>
      </c>
      <c r="Y20" s="98">
        <f t="shared" si="14"/>
        <v>243.42558653463581</v>
      </c>
      <c r="Z20" s="1">
        <f t="shared" ref="Z20:AF20" si="15">Z9/Z7 * 365</f>
        <v>74.986945666811948</v>
      </c>
      <c r="AA20" s="1">
        <f t="shared" si="15"/>
        <v>76.169580393515304</v>
      </c>
      <c r="AB20" s="1">
        <f t="shared" si="15"/>
        <v>62.051339811948374</v>
      </c>
      <c r="AC20" s="1">
        <f t="shared" si="15"/>
        <v>76.608927710260005</v>
      </c>
      <c r="AD20" s="1">
        <f t="shared" si="15"/>
        <v>64.597239439070933</v>
      </c>
      <c r="AE20" s="1">
        <f t="shared" si="15"/>
        <v>79.780653302568453</v>
      </c>
      <c r="AF20" s="1">
        <f t="shared" si="15"/>
        <v>89.36991329154435</v>
      </c>
      <c r="AG20" s="1">
        <f t="shared" ref="AG20:AH20" si="16">AG9/AG7 * 365</f>
        <v>72.461776370827394</v>
      </c>
      <c r="AH20" s="1">
        <f t="shared" si="16"/>
        <v>74.636263183975402</v>
      </c>
      <c r="AI20" s="1">
        <f>AI9/AI7 * 365</f>
        <v>85.568451756949074</v>
      </c>
      <c r="AJ20" s="1">
        <f>AJ9/AJ7 * 365</f>
        <v>76.457016557649666</v>
      </c>
    </row>
    <row r="21" spans="2:36" ht="24">
      <c r="B21" s="1" t="s">
        <v>13</v>
      </c>
      <c r="D21" s="41">
        <f>D16 / (1+$D$20) ^ 12</f>
        <v>731284.93022549304</v>
      </c>
      <c r="E21" s="41">
        <f>E16 / (1+$D$20) ^12</f>
        <v>2711791.4390015723</v>
      </c>
      <c r="F21" s="41">
        <f t="shared" ref="F21:G23" si="17">F16 / (1+$D$20) ^ 12</f>
        <v>-462504.40094822762</v>
      </c>
      <c r="G21" s="41">
        <f t="shared" si="17"/>
        <v>-1535838.325638229</v>
      </c>
      <c r="H21" s="39">
        <f>H16 / (1+$D$20) ^ $H$20</f>
        <v>573436238.01558483</v>
      </c>
      <c r="I21" s="3">
        <f>I16 / (1+$D$20) ^ $I$20</f>
        <v>5470828845.6030006</v>
      </c>
      <c r="J21" s="3">
        <f>J16 / (1+$D$20) ^ $J$20</f>
        <v>13468515420.314583</v>
      </c>
      <c r="K21" s="3">
        <f>K16 / (1+$D$20) ^ $K$20</f>
        <v>5475879582.0622149</v>
      </c>
      <c r="L21" s="3">
        <f>L16 / (1+$D$20) ^ $L$20</f>
        <v>6887635580.8376513</v>
      </c>
      <c r="M21" s="3">
        <f>M16 / (1+$D$20) ^ $M$20</f>
        <v>7248695998.4253559</v>
      </c>
      <c r="N21" s="3">
        <f>N16 / (1+$D$20) ^ $N$20</f>
        <v>12674450351.710741</v>
      </c>
      <c r="O21" s="3">
        <f>O16 / (1+$D$20) ^ $O$20</f>
        <v>690224947.06381762</v>
      </c>
      <c r="P21" s="3">
        <f>P16 / (1+$D$20) ^ $P$20</f>
        <v>7200266267.8951263</v>
      </c>
      <c r="Q21" s="3">
        <f>Q16 / (1+$D$20) ^ $Q$20</f>
        <v>8452997606.3771582</v>
      </c>
      <c r="R21" s="3">
        <f>R16 / (1+$D$20) ^ $R$20</f>
        <v>9221185604.0975628</v>
      </c>
      <c r="T21" t="s">
        <v>181</v>
      </c>
      <c r="V21" s="1">
        <f t="shared" ref="V21:Y21" si="18">V10/V7</f>
        <v>0.22818418536601665</v>
      </c>
      <c r="W21" s="1">
        <f t="shared" si="18"/>
        <v>0.15112267454537021</v>
      </c>
      <c r="X21" s="1">
        <f t="shared" si="18"/>
        <v>0.25010893817822633</v>
      </c>
      <c r="Y21" s="98">
        <f t="shared" si="18"/>
        <v>0.39620874266761669</v>
      </c>
      <c r="Z21" s="1">
        <f t="shared" ref="Z21:AF21" si="19">Z10/Z7</f>
        <v>0.1013858975422794</v>
      </c>
      <c r="AA21" s="1">
        <f t="shared" si="19"/>
        <v>0.1283182738049691</v>
      </c>
      <c r="AB21" s="1">
        <f t="shared" si="19"/>
        <v>0.21029044458396601</v>
      </c>
      <c r="AC21" s="1">
        <f t="shared" si="19"/>
        <v>0.14637185739595304</v>
      </c>
      <c r="AD21" s="1">
        <f t="shared" si="19"/>
        <v>0.12814076452049869</v>
      </c>
      <c r="AE21" s="1">
        <f t="shared" si="19"/>
        <v>0.15024826939198269</v>
      </c>
      <c r="AF21" s="1">
        <f t="shared" si="19"/>
        <v>0.10366890950663386</v>
      </c>
      <c r="AG21" s="1">
        <f t="shared" ref="AG21:AH21" si="20">AG10/AG7</f>
        <v>9.5993054614979159E-2</v>
      </c>
      <c r="AH21" s="1">
        <f t="shared" si="20"/>
        <v>7.8384122313585242E-2</v>
      </c>
      <c r="AI21" s="1">
        <f>AI10/AI7</f>
        <v>9.624552197777414E-2</v>
      </c>
      <c r="AJ21" s="1">
        <f>AJ10/AJ7</f>
        <v>0.11240513041916439</v>
      </c>
    </row>
    <row r="22" spans="2:36" ht="24">
      <c r="B22" s="1" t="s">
        <v>14</v>
      </c>
      <c r="D22" s="41">
        <f>D17 / (1+$D$20) ^ 12</f>
        <v>-3199569.1557713128</v>
      </c>
      <c r="E22" s="41">
        <f>E17 / (1+$D$20) ^12</f>
        <v>-2198134.8544975379</v>
      </c>
      <c r="F22" s="41">
        <f t="shared" si="17"/>
        <v>-7089193.4174136231</v>
      </c>
      <c r="G22" s="41">
        <f t="shared" si="17"/>
        <v>-5402950.6893049078</v>
      </c>
      <c r="H22" s="39">
        <f t="shared" ref="H22:H23" si="21">H17 / (1+$D$20) ^ $H$20</f>
        <v>-3909228902.3008242</v>
      </c>
      <c r="I22" s="3">
        <f t="shared" ref="I22:I23" si="22">I17 / (1+$D$20) ^ $I$20</f>
        <v>10905264729.810434</v>
      </c>
      <c r="J22" s="3">
        <f t="shared" ref="J22:J23" si="23">J17 / (1+$D$20) ^ $J$20</f>
        <v>20042069138.337006</v>
      </c>
      <c r="K22" s="3">
        <f t="shared" ref="K22:K23" si="24">K17 / (1+$D$20) ^ $K$20</f>
        <v>4633316545.4032812</v>
      </c>
      <c r="L22" s="3">
        <f t="shared" ref="L22:L23" si="25">L17 / (1+$D$20) ^ $L$20</f>
        <v>2918114250.3775592</v>
      </c>
      <c r="M22" s="3">
        <f t="shared" ref="M22:M23" si="26">M17 / (1+$D$20) ^ $M$20</f>
        <v>6858246677.1747656</v>
      </c>
      <c r="N22" s="3">
        <f t="shared" ref="N22:N23" si="27">N17 / (1+$D$20) ^ $N$20</f>
        <v>11050986067.226564</v>
      </c>
      <c r="O22" s="3">
        <f t="shared" ref="O22:O23" si="28">O17 / (1+$D$20) ^ $O$20</f>
        <v>-12577019705.884541</v>
      </c>
      <c r="P22" s="3">
        <f t="shared" ref="P22:P23" si="29">P17 / (1+$D$20) ^ $P$20</f>
        <v>3575931293.8581858</v>
      </c>
      <c r="Q22" s="3">
        <f t="shared" ref="Q22:Q23" si="30">Q17 / (1+$D$20) ^ $Q$20</f>
        <v>-2550949117.9060087</v>
      </c>
      <c r="R22" s="3">
        <f t="shared" ref="R22:R23" si="31">R17 / (1+$D$20) ^ $R$20</f>
        <v>4484202131.7073174</v>
      </c>
      <c r="T22" t="s">
        <v>182</v>
      </c>
      <c r="V22" s="1">
        <f t="shared" ref="V22" si="32">V21 * 365</f>
        <v>83.28722765859608</v>
      </c>
      <c r="W22" s="1">
        <f t="shared" ref="W22" si="33">W21 * 365</f>
        <v>55.159776209060126</v>
      </c>
      <c r="X22" s="1">
        <f t="shared" ref="X22" si="34">X21 * 365</f>
        <v>91.289762435052609</v>
      </c>
      <c r="Y22" s="98">
        <f t="shared" ref="Y22" si="35">Y21 * 365</f>
        <v>144.61619107368008</v>
      </c>
      <c r="Z22" s="1">
        <f t="shared" ref="Z22" si="36">Z21 * 365</f>
        <v>37.005852602931981</v>
      </c>
      <c r="AA22" s="1">
        <f t="shared" ref="AA22" si="37">AA21 * 365</f>
        <v>46.836169938813725</v>
      </c>
      <c r="AB22" s="1">
        <f t="shared" ref="AB22" si="38">AB21 * 365</f>
        <v>76.75601227314759</v>
      </c>
      <c r="AC22" s="1">
        <f t="shared" ref="AC22" si="39">AC21 * 365</f>
        <v>53.425727949522859</v>
      </c>
      <c r="AD22" s="1">
        <f t="shared" ref="AD22" si="40">AD21 * 365</f>
        <v>46.771379049982023</v>
      </c>
      <c r="AE22" s="1">
        <f t="shared" ref="AE22" si="41">AE21 * 365</f>
        <v>54.840618328073681</v>
      </c>
      <c r="AF22" s="1">
        <f t="shared" ref="AF22" si="42">AF21 * 365</f>
        <v>37.83915196992136</v>
      </c>
      <c r="AG22" s="1">
        <f t="shared" ref="AG22:AH22" si="43">AG21 * 365</f>
        <v>35.037464934467394</v>
      </c>
      <c r="AH22" s="1">
        <f t="shared" si="43"/>
        <v>28.610204644458612</v>
      </c>
      <c r="AI22" s="1">
        <f>AI21 * 365</f>
        <v>35.129615521887558</v>
      </c>
      <c r="AJ22" s="1">
        <f>AJ21 * 365</f>
        <v>41.027872602995004</v>
      </c>
    </row>
    <row r="23" spans="2:36" ht="24">
      <c r="B23" s="1" t="s">
        <v>15</v>
      </c>
      <c r="D23" s="41">
        <f>D18 / (1+$D$20) ^ 12</f>
        <v>11265555.451017207</v>
      </c>
      <c r="E23" s="41">
        <f>E18 / (1+$D$20) ^12</f>
        <v>3230268.4963083556</v>
      </c>
      <c r="F23" s="41">
        <f t="shared" si="17"/>
        <v>4460930.0723145008</v>
      </c>
      <c r="G23" s="41">
        <f t="shared" si="17"/>
        <v>3299587.2372475895</v>
      </c>
      <c r="H23" s="39">
        <f t="shared" si="21"/>
        <v>8864773287.5291023</v>
      </c>
      <c r="I23" s="3">
        <f t="shared" si="22"/>
        <v>6510035929.0969677</v>
      </c>
      <c r="J23" s="3">
        <f t="shared" si="23"/>
        <v>-3985168770.1242051</v>
      </c>
      <c r="K23" s="3">
        <f t="shared" si="24"/>
        <v>1914363707.4131415</v>
      </c>
      <c r="L23" s="3">
        <f t="shared" si="25"/>
        <v>9818355148.0988026</v>
      </c>
      <c r="M23" s="3">
        <f t="shared" si="26"/>
        <v>3878687407.6871457</v>
      </c>
      <c r="N23" s="3">
        <f t="shared" si="27"/>
        <v>-3513980.1485463874</v>
      </c>
      <c r="O23" s="3">
        <f t="shared" si="28"/>
        <v>12219017949.104687</v>
      </c>
      <c r="P23" s="3">
        <f t="shared" si="29"/>
        <v>4019147078.1909728</v>
      </c>
      <c r="Q23" s="3">
        <f t="shared" si="30"/>
        <v>7386525420.5829868</v>
      </c>
      <c r="R23" s="3">
        <f t="shared" si="31"/>
        <v>5172641223.4146347</v>
      </c>
      <c r="T23" t="s">
        <v>185</v>
      </c>
      <c r="V23" s="1">
        <f t="shared" ref="V23:Y23" si="44">V11/V7</f>
        <v>0.46611496685536491</v>
      </c>
      <c r="W23" s="1">
        <f t="shared" si="44"/>
        <v>0.32688353991301389</v>
      </c>
      <c r="X23" s="1">
        <f t="shared" si="44"/>
        <v>0.51797084986601627</v>
      </c>
      <c r="Y23" s="98">
        <f t="shared" si="44"/>
        <v>0.74875629063616866</v>
      </c>
      <c r="Z23" s="1">
        <f t="shared" ref="Z23:AF23" si="45">Z11/Z7</f>
        <v>0.20086342615767988</v>
      </c>
      <c r="AA23" s="1">
        <f t="shared" si="45"/>
        <v>0.20284270861654247</v>
      </c>
      <c r="AB23" s="1">
        <f t="shared" si="45"/>
        <v>0.24920531845091082</v>
      </c>
      <c r="AC23" s="1">
        <f t="shared" si="45"/>
        <v>0.24725035394690006</v>
      </c>
      <c r="AD23" s="1">
        <f t="shared" si="45"/>
        <v>0.18983511675917644</v>
      </c>
      <c r="AE23" s="1">
        <f t="shared" si="45"/>
        <v>0.22208442429376299</v>
      </c>
      <c r="AF23" s="1">
        <f t="shared" si="45"/>
        <v>0.20289737127233753</v>
      </c>
      <c r="AG23" s="1">
        <f t="shared" ref="AG23:AH23" si="46">AG11/AG7</f>
        <v>0.20266623511956314</v>
      </c>
      <c r="AH23" s="1">
        <f t="shared" si="46"/>
        <v>0.16871481486604761</v>
      </c>
      <c r="AI23" s="1">
        <f>AI11/AI7</f>
        <v>0.22993932121036922</v>
      </c>
      <c r="AJ23" s="1">
        <f>AJ11/AJ7</f>
        <v>0.19532446728587702</v>
      </c>
    </row>
    <row r="24" spans="2:36" ht="25" thickBot="1">
      <c r="B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T24" t="s">
        <v>186</v>
      </c>
      <c r="V24" s="1">
        <f t="shared" ref="V24" si="47">V23 * 365</f>
        <v>170.13196290220819</v>
      </c>
      <c r="W24" s="1">
        <f t="shared" ref="W24" si="48">W23 * 365</f>
        <v>119.31249206825007</v>
      </c>
      <c r="X24" s="1">
        <f t="shared" ref="X24" si="49">X23 * 365</f>
        <v>189.05936020109593</v>
      </c>
      <c r="Y24" s="98">
        <f t="shared" ref="Y24" si="50">Y23 * 365</f>
        <v>273.29604608220154</v>
      </c>
      <c r="Z24" s="1">
        <f t="shared" ref="Z24" si="51">Z23 * 365</f>
        <v>73.315150547553159</v>
      </c>
      <c r="AA24" s="1">
        <f t="shared" ref="AA24" si="52">AA23 * 365</f>
        <v>74.037588645037999</v>
      </c>
      <c r="AB24" s="1">
        <f t="shared" ref="AB24" si="53">AB23 * 365</f>
        <v>90.959941234582445</v>
      </c>
      <c r="AC24" s="1">
        <f t="shared" ref="AC24" si="54">AC23 * 365</f>
        <v>90.246379190618526</v>
      </c>
      <c r="AD24" s="1">
        <f t="shared" ref="AD24" si="55">AD23 * 365</f>
        <v>69.289817617099402</v>
      </c>
      <c r="AE24" s="1">
        <f t="shared" ref="AE24" si="56">AE23 * 365</f>
        <v>81.060814867223485</v>
      </c>
      <c r="AF24" s="1">
        <f t="shared" ref="AF24" si="57">AF23 * 365</f>
        <v>74.0575405144032</v>
      </c>
      <c r="AG24" s="1">
        <f t="shared" ref="AG24:AH24" si="58">AG23 * 365</f>
        <v>73.973175818640541</v>
      </c>
      <c r="AH24" s="1">
        <f t="shared" si="58"/>
        <v>61.58090742610738</v>
      </c>
      <c r="AI24" s="1">
        <f>AI23 * 365</f>
        <v>83.927852241784763</v>
      </c>
      <c r="AJ24" s="1">
        <f>AJ23 * 365</f>
        <v>71.293430559345111</v>
      </c>
    </row>
    <row r="25" spans="2:36" ht="25" thickBot="1">
      <c r="B25" s="1"/>
      <c r="D25" s="58" t="s">
        <v>93</v>
      </c>
      <c r="G25" s="88" t="s">
        <v>94</v>
      </c>
      <c r="H25" s="89">
        <v>23.57</v>
      </c>
      <c r="I25" s="58" t="s">
        <v>91</v>
      </c>
      <c r="M25" s="58" t="s">
        <v>92</v>
      </c>
      <c r="Q25" s="6"/>
      <c r="R25" s="6"/>
      <c r="T25" s="139" t="s">
        <v>187</v>
      </c>
      <c r="U25" s="139"/>
      <c r="V25" s="84">
        <f t="shared" ref="V25" si="59">V20+V22-V24</f>
        <v>65.456614241586607</v>
      </c>
      <c r="W25" s="84">
        <f t="shared" ref="W25" si="60">W20+W22-W24</f>
        <v>55.159776209060141</v>
      </c>
      <c r="X25" s="84">
        <f t="shared" ref="X25" si="61">X20+X22-X24</f>
        <v>61.635970200495905</v>
      </c>
      <c r="Y25" s="165">
        <f t="shared" ref="Y25" si="62">Y20+Y22-Y24</f>
        <v>114.74573152611435</v>
      </c>
      <c r="Z25" s="84">
        <f t="shared" ref="Z25" si="63">Z20+Z22-Z24</f>
        <v>38.67764772219077</v>
      </c>
      <c r="AA25" s="84">
        <f t="shared" ref="AA25" si="64">AA20+AA22-AA24</f>
        <v>48.96816168729103</v>
      </c>
      <c r="AB25" s="84">
        <f t="shared" ref="AB25" si="65">AB20+AB22-AB24</f>
        <v>47.847410850513526</v>
      </c>
      <c r="AC25" s="84">
        <f t="shared" ref="AC25" si="66">AC20+AC22-AC24</f>
        <v>39.78827646916433</v>
      </c>
      <c r="AD25" s="84">
        <f t="shared" ref="AD25" si="67">AD20+AD22-AD24</f>
        <v>42.078800871953547</v>
      </c>
      <c r="AE25" s="84">
        <f t="shared" ref="AE25" si="68">AE20+AE22-AE24</f>
        <v>53.560456763418642</v>
      </c>
      <c r="AF25" s="84">
        <f t="shared" ref="AF25" si="69">AF20+AF22-AF24</f>
        <v>53.15152474706251</v>
      </c>
      <c r="AG25" s="84">
        <f t="shared" ref="AG25:AH25" si="70">AG20+AG22-AG24</f>
        <v>33.526065486654247</v>
      </c>
      <c r="AH25" s="84">
        <f t="shared" si="70"/>
        <v>41.665560402326641</v>
      </c>
      <c r="AI25" s="84">
        <f>AI20+AI22-AI24</f>
        <v>36.770215037051869</v>
      </c>
      <c r="AJ25" s="84">
        <f>AJ20+AJ22-AJ24</f>
        <v>46.191458601299558</v>
      </c>
    </row>
    <row r="26" spans="2:36" ht="25" thickBot="1">
      <c r="D26" s="82" t="s">
        <v>13</v>
      </c>
      <c r="E26" s="82" t="s">
        <v>14</v>
      </c>
      <c r="F26" s="83" t="s">
        <v>15</v>
      </c>
      <c r="G26" s="10" t="s">
        <v>95</v>
      </c>
      <c r="H26" s="90">
        <f>H11 *H25</f>
        <v>110626613939.64999</v>
      </c>
      <c r="I26" s="82" t="s">
        <v>13</v>
      </c>
      <c r="J26" s="82" t="s">
        <v>14</v>
      </c>
      <c r="K26" s="83" t="s">
        <v>15</v>
      </c>
      <c r="M26" s="82" t="s">
        <v>13</v>
      </c>
      <c r="N26" s="82" t="s">
        <v>14</v>
      </c>
      <c r="O26" s="82" t="s">
        <v>15</v>
      </c>
      <c r="Q26" s="78" t="s">
        <v>84</v>
      </c>
      <c r="R26" s="6">
        <f xml:space="preserve"> Market_Price * listed_share</f>
        <v>98230</v>
      </c>
    </row>
    <row r="27" spans="2:36" ht="24">
      <c r="B27" s="86" t="s">
        <v>72</v>
      </c>
      <c r="D27" s="3">
        <f>SUM(H21:R21)</f>
        <v>77364116442.402786</v>
      </c>
      <c r="E27" s="3">
        <f>SUM(H22:R22)</f>
        <v>45430933107.803741</v>
      </c>
      <c r="F27" s="3">
        <f>SUM(H23:R23)</f>
        <v>55794864400.84568</v>
      </c>
      <c r="G27" t="s">
        <v>96</v>
      </c>
      <c r="H27" s="91"/>
      <c r="I27" s="3">
        <f>SUM(H21:R21)</f>
        <v>77364116442.402786</v>
      </c>
      <c r="J27" s="3">
        <f>SUM(H22:R22)</f>
        <v>45430933107.803741</v>
      </c>
      <c r="K27" s="3">
        <f>SUM(H23:R23)</f>
        <v>55794864400.84568</v>
      </c>
      <c r="M27" s="41">
        <f>SUM(H21:R21)</f>
        <v>77364116442.402786</v>
      </c>
      <c r="N27" s="41">
        <f>SUM(H22:R22)</f>
        <v>45430933107.803741</v>
      </c>
      <c r="O27" s="41">
        <f>SUM(H23:R23)</f>
        <v>55794864400.84568</v>
      </c>
      <c r="Q27" s="79" t="s">
        <v>87</v>
      </c>
      <c r="R27" s="6">
        <f>14357340575 * 10^-6</f>
        <v>14357.340575</v>
      </c>
      <c r="T27" t="s">
        <v>190</v>
      </c>
      <c r="V27" s="41">
        <f t="shared" ref="V27:Y27" si="71" xml:space="preserve"> - V12 / V13</f>
        <v>7.3847182629252934</v>
      </c>
      <c r="W27" s="41">
        <f t="shared" si="71"/>
        <v>5.4314448172911991</v>
      </c>
      <c r="X27" s="41">
        <f t="shared" si="71"/>
        <v>7.6548070175438596</v>
      </c>
      <c r="Y27" s="41">
        <f t="shared" si="71"/>
        <v>10.615808964250173</v>
      </c>
      <c r="Z27" s="41">
        <f t="shared" ref="Z27:AF27" si="72" xml:space="preserve"> - Z12 / Z13</f>
        <v>5.2661008103280995</v>
      </c>
      <c r="AA27" s="41">
        <f t="shared" si="72"/>
        <v>7.1329348093513234</v>
      </c>
      <c r="AB27" s="41">
        <f t="shared" si="72"/>
        <v>-10.969410314875496</v>
      </c>
      <c r="AC27" s="41">
        <f t="shared" si="72"/>
        <v>4.514152873101458</v>
      </c>
      <c r="AD27" s="41">
        <f t="shared" si="72"/>
        <v>17.459561170698443</v>
      </c>
      <c r="AE27" s="41">
        <f t="shared" si="72"/>
        <v>8.0320875817073443</v>
      </c>
      <c r="AF27" s="41">
        <f t="shared" si="72"/>
        <v>-9.3688842459572087E-3</v>
      </c>
      <c r="AG27" s="41">
        <f t="shared" ref="AG27:AH27" si="73" xml:space="preserve"> - AG12 / AG13</f>
        <v>41.25316515699356</v>
      </c>
      <c r="AH27" s="41">
        <f t="shared" si="73"/>
        <v>11.469568561681331</v>
      </c>
      <c r="AI27" s="41">
        <f xml:space="preserve"> - AI12 / AI13</f>
        <v>15.957549651757365</v>
      </c>
      <c r="AJ27" s="41">
        <f xml:space="preserve"> - AJ12 / AJ13</f>
        <v>18.252401230837293</v>
      </c>
    </row>
    <row r="28" spans="2:36" ht="24">
      <c r="B28" s="86" t="s">
        <v>56</v>
      </c>
      <c r="D28" s="92">
        <f>I27+D21</f>
        <v>77364847727.333008</v>
      </c>
      <c r="E28" s="92">
        <f>J27+D22</f>
        <v>45427733538.647972</v>
      </c>
      <c r="F28" s="92">
        <f>K27+D23</f>
        <v>55806129956.2967</v>
      </c>
      <c r="G28" t="s">
        <v>97</v>
      </c>
      <c r="H28" s="46">
        <f>H26 /(1+WACC)^11</f>
        <v>52808644648.143578</v>
      </c>
      <c r="I28" s="3">
        <f>I27+D21</f>
        <v>77364847727.333008</v>
      </c>
      <c r="J28" s="3">
        <f>J27+D22</f>
        <v>45427733538.647972</v>
      </c>
      <c r="K28" s="3">
        <f>K27+D23</f>
        <v>55806129956.2967</v>
      </c>
      <c r="M28" s="41">
        <f>I27+D21</f>
        <v>77364847727.333008</v>
      </c>
      <c r="N28" s="41">
        <f>J27+D22</f>
        <v>45427733538.647972</v>
      </c>
      <c r="O28" s="41">
        <f>K27+D23</f>
        <v>55806129956.2967</v>
      </c>
      <c r="Q28" s="79" t="s">
        <v>82</v>
      </c>
      <c r="R28" s="77">
        <f>2.27+1.22*(6.94-2.27)</f>
        <v>7.9673999999999996</v>
      </c>
      <c r="T28" t="s">
        <v>191</v>
      </c>
      <c r="V28">
        <f t="shared" ref="V28:Y28" si="74">V12/V14</f>
        <v>-7.2690343073156125</v>
      </c>
      <c r="W28">
        <f t="shared" si="74"/>
        <v>0.89856268507826309</v>
      </c>
      <c r="X28">
        <f t="shared" si="74"/>
        <v>-0.8735053693428837</v>
      </c>
      <c r="Y28" t="e">
        <f t="shared" si="74"/>
        <v>#DIV/0!</v>
      </c>
      <c r="Z28">
        <v>0</v>
      </c>
      <c r="AA28">
        <f t="shared" ref="AA28:AF28" si="75">AA12/AA14</f>
        <v>1.1425948042585374</v>
      </c>
      <c r="AB28">
        <f t="shared" si="75"/>
        <v>-0.74438000945535099</v>
      </c>
      <c r="AC28">
        <v>0</v>
      </c>
      <c r="AD28">
        <f t="shared" si="75"/>
        <v>13.587117359898933</v>
      </c>
      <c r="AE28">
        <f t="shared" si="75"/>
        <v>1.5459152898766813</v>
      </c>
      <c r="AF28">
        <f t="shared" si="75"/>
        <v>-1.0890034223351944E-3</v>
      </c>
      <c r="AG28">
        <v>0</v>
      </c>
      <c r="AH28">
        <v>0</v>
      </c>
      <c r="AI28">
        <f>AI12/AI14</f>
        <v>1.3079426208509879</v>
      </c>
      <c r="AJ28">
        <v>0</v>
      </c>
    </row>
    <row r="29" spans="2:36" ht="25" thickBot="1">
      <c r="B29" s="86">
        <v>9.4</v>
      </c>
      <c r="D29" s="10"/>
      <c r="E29" s="10"/>
      <c r="F29" s="10"/>
      <c r="H29" s="91"/>
      <c r="I29" s="82" t="s">
        <v>57</v>
      </c>
      <c r="J29" s="82" t="s">
        <v>58</v>
      </c>
      <c r="K29" s="83" t="s">
        <v>59</v>
      </c>
      <c r="M29" s="82" t="s">
        <v>88</v>
      </c>
      <c r="N29" s="82" t="s">
        <v>89</v>
      </c>
      <c r="O29" s="82" t="s">
        <v>90</v>
      </c>
      <c r="Q29" s="79" t="s">
        <v>86</v>
      </c>
      <c r="R29" s="6">
        <f>1391445689/I38</f>
        <v>2.2856866157014794E-2</v>
      </c>
    </row>
    <row r="30" spans="2:36" ht="25" thickBot="1">
      <c r="B30" s="86">
        <v>10450</v>
      </c>
      <c r="C30" s="1"/>
      <c r="H30" s="91"/>
      <c r="I30" s="47">
        <f>D21 / (WACC  - $D$20)</f>
        <v>16419663.072075777</v>
      </c>
      <c r="J30" s="47">
        <f>D22/(r_e - D20)</f>
        <v>-402846.64028144052</v>
      </c>
      <c r="K30" s="47">
        <f>D23/ (WACC - D20)</f>
        <v>252947404.19230479</v>
      </c>
      <c r="L30" s="1"/>
      <c r="M30" s="47">
        <f>I30 / (1 + WACC)^11</f>
        <v>7838079.1161928112</v>
      </c>
      <c r="N30" s="47">
        <f>J30 / (1 + WACC)^11</f>
        <v>-192302.59624439539</v>
      </c>
      <c r="O30" s="47">
        <f>K30 / (1 + WACC)^11</f>
        <v>120746799.58973378</v>
      </c>
      <c r="Q30" s="79" t="s">
        <v>83</v>
      </c>
      <c r="R30" s="6">
        <v>0.2</v>
      </c>
      <c r="V30" s="41"/>
    </row>
    <row r="31" spans="2:36" ht="26" thickTop="1" thickBot="1">
      <c r="B31" s="87"/>
      <c r="C31" s="1"/>
      <c r="D31" s="1"/>
      <c r="H31" s="91"/>
      <c r="L31" s="1"/>
      <c r="M31" s="1"/>
      <c r="N31" s="1"/>
      <c r="O31" s="1"/>
      <c r="Q31" s="80" t="s">
        <v>60</v>
      </c>
      <c r="R31" s="81">
        <f xml:space="preserve"> ( ( R26 / (R26+R27) * R28 ) + (R27 / (R26 + R27) * R29* (1-R30)) ) /100</f>
        <v>6.9537145921657689E-2</v>
      </c>
    </row>
    <row r="32" spans="2:36" ht="26" thickTop="1" thickBot="1">
      <c r="B32" s="87"/>
      <c r="C32" s="1"/>
      <c r="D32" s="1"/>
      <c r="H32" s="91"/>
      <c r="I32" s="85" t="s">
        <v>6</v>
      </c>
      <c r="J32" s="85" t="s">
        <v>1</v>
      </c>
      <c r="K32" s="85" t="s">
        <v>12</v>
      </c>
      <c r="L32" s="1"/>
      <c r="M32" s="85" t="s">
        <v>6</v>
      </c>
      <c r="N32" s="85" t="s">
        <v>1</v>
      </c>
      <c r="O32" s="85" t="s">
        <v>12</v>
      </c>
      <c r="Q32" t="s">
        <v>76</v>
      </c>
    </row>
    <row r="33" spans="2:18" ht="25" thickBot="1">
      <c r="B33" s="87" t="s">
        <v>66</v>
      </c>
      <c r="C33" s="1"/>
      <c r="D33" s="47">
        <f>D28 + $H$28</f>
        <v>130173492375.47659</v>
      </c>
      <c r="E33" s="47">
        <f t="shared" ref="E33:F33" si="76">E28 + $H$28</f>
        <v>98236378186.79155</v>
      </c>
      <c r="F33" s="47">
        <f t="shared" si="76"/>
        <v>108614774604.44028</v>
      </c>
      <c r="H33" s="91"/>
      <c r="I33" s="3">
        <f>I28+I30</f>
        <v>77381267390.40509</v>
      </c>
      <c r="J33" s="3">
        <f>J28+J30</f>
        <v>45427330692.00769</v>
      </c>
      <c r="K33" s="3">
        <f>K28+K30</f>
        <v>56059077360.489006</v>
      </c>
      <c r="L33" s="1"/>
      <c r="M33" s="3">
        <f>M28 +M30</f>
        <v>77372685806.449203</v>
      </c>
      <c r="N33" s="3">
        <f t="shared" ref="N33:O33" si="77">N28 +N30</f>
        <v>45427541236.051727</v>
      </c>
      <c r="O33" s="3">
        <f t="shared" si="77"/>
        <v>55926876755.886436</v>
      </c>
      <c r="Q33" s="6" t="s">
        <v>152</v>
      </c>
      <c r="R33">
        <f>(1-0.73) * 9.3</f>
        <v>2.5110000000000006</v>
      </c>
    </row>
    <row r="34" spans="2:18" ht="26" thickTop="1" thickBot="1">
      <c r="B34" s="87"/>
      <c r="D34" s="84" t="s">
        <v>33</v>
      </c>
      <c r="E34" s="84" t="s">
        <v>34</v>
      </c>
      <c r="F34" s="84" t="s">
        <v>35</v>
      </c>
      <c r="H34" s="91"/>
      <c r="I34" s="84" t="s">
        <v>33</v>
      </c>
      <c r="J34" s="84" t="s">
        <v>34</v>
      </c>
      <c r="K34" s="84" t="s">
        <v>35</v>
      </c>
      <c r="M34" s="84" t="s">
        <v>33</v>
      </c>
      <c r="N34" s="84" t="s">
        <v>34</v>
      </c>
      <c r="O34" s="84" t="s">
        <v>35</v>
      </c>
      <c r="Q34" s="1" t="s">
        <v>153</v>
      </c>
      <c r="R34">
        <f>R33 / 100</f>
        <v>2.5110000000000007E-2</v>
      </c>
    </row>
    <row r="35" spans="2:18" ht="25" thickBot="1">
      <c r="D35" s="93">
        <f>D33 - $D$38</f>
        <v>130119674214.14326</v>
      </c>
      <c r="E35" s="93">
        <f t="shared" ref="E35:F35" si="78">E33 - $D$38</f>
        <v>98182560025.458221</v>
      </c>
      <c r="F35" s="93">
        <f t="shared" si="78"/>
        <v>108560956443.10695</v>
      </c>
      <c r="H35" s="91"/>
      <c r="I35" s="47">
        <f>I33-D38</f>
        <v>77327449229.071762</v>
      </c>
      <c r="J35" s="47">
        <f>J33-D38</f>
        <v>45373512530.674355</v>
      </c>
      <c r="K35" s="47">
        <f>K33-D38</f>
        <v>56005259199.15567</v>
      </c>
      <c r="M35" s="41">
        <f>M33 -$D$38</f>
        <v>77318867645.115875</v>
      </c>
      <c r="N35" s="41">
        <f t="shared" ref="N35:O35" si="79">N33 -$D$38</f>
        <v>45373723074.718391</v>
      </c>
      <c r="O35" s="41">
        <f t="shared" si="79"/>
        <v>55873058594.553101</v>
      </c>
    </row>
    <row r="36" spans="2:18" ht="16" thickTop="1">
      <c r="O36" s="41"/>
    </row>
    <row r="38" spans="2:18" ht="24">
      <c r="B38" s="1" t="s">
        <v>67</v>
      </c>
      <c r="D38" s="6">
        <f>SUM(E38:G38) * 1/3</f>
        <v>53818161.333333336</v>
      </c>
      <c r="E38" s="6">
        <v>47505256</v>
      </c>
      <c r="F38" s="6">
        <v>57925885</v>
      </c>
      <c r="G38" s="51">
        <v>56023343</v>
      </c>
      <c r="H38" s="76">
        <v>48102415715</v>
      </c>
      <c r="I38" s="76">
        <v>60876485842</v>
      </c>
      <c r="J38" s="63">
        <v>22912890542</v>
      </c>
      <c r="K38" s="63">
        <v>12193724447</v>
      </c>
      <c r="L38" s="63">
        <v>38332624611</v>
      </c>
      <c r="M38" s="63">
        <v>47118260879</v>
      </c>
      <c r="N38" s="63">
        <v>41362073470</v>
      </c>
      <c r="O38" s="63">
        <v>37092366026</v>
      </c>
      <c r="P38" s="6">
        <v>48076038561</v>
      </c>
      <c r="Q38" s="62">
        <v>55194307719</v>
      </c>
      <c r="R38" s="62">
        <v>46485902197</v>
      </c>
    </row>
    <row r="39" spans="2:18" ht="16" thickBot="1">
      <c r="B39" s="45"/>
      <c r="C39" s="49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 ht="24">
      <c r="B40" s="1" t="s">
        <v>39</v>
      </c>
      <c r="C40" s="1"/>
      <c r="D40" s="10" t="s">
        <v>99</v>
      </c>
      <c r="E40" s="10" t="s">
        <v>75</v>
      </c>
      <c r="F40" s="1"/>
      <c r="G40" s="1"/>
      <c r="H40" s="10" t="s">
        <v>98</v>
      </c>
      <c r="I40" s="48" t="s">
        <v>70</v>
      </c>
      <c r="J40" s="10" t="s">
        <v>74</v>
      </c>
      <c r="K40" s="10" t="s">
        <v>75</v>
      </c>
      <c r="L40" s="10" t="s">
        <v>68</v>
      </c>
      <c r="M40" s="1" t="s">
        <v>73</v>
      </c>
      <c r="N40" s="10" t="s">
        <v>70</v>
      </c>
      <c r="R40" s="10" t="s">
        <v>69</v>
      </c>
    </row>
    <row r="41" spans="2:18" ht="24">
      <c r="B41" s="9" t="s">
        <v>63</v>
      </c>
      <c r="C41" s="1"/>
      <c r="D41" s="3">
        <f>H41 *listed_share</f>
        <v>130119.67421414326</v>
      </c>
      <c r="E41" s="3">
        <f>D41 / 16</f>
        <v>8132.4796383839539</v>
      </c>
      <c r="G41" s="1"/>
      <c r="H41" s="94">
        <f>D35 * 10^-6 / listed_share</f>
        <v>12.451643465468255</v>
      </c>
      <c r="I41" s="95">
        <f>(H41 - Market_Price) / Market_Price</f>
        <v>0.32464292185832494</v>
      </c>
      <c r="J41" s="3">
        <f>M41 *listed_share</f>
        <v>77327.449229071761</v>
      </c>
      <c r="K41" s="3">
        <f>J41 / 16</f>
        <v>4832.965576816985</v>
      </c>
      <c r="L41" s="52">
        <f>I33 * 10^-6 / listed_share</f>
        <v>7.4049059703736928</v>
      </c>
      <c r="M41" s="70">
        <f>I35 * 10^-6 / $B$30</f>
        <v>7.3997559070882071</v>
      </c>
      <c r="N41" s="71">
        <f xml:space="preserve"> ( M41-Market_Price ) / Market_Price</f>
        <v>-0.21279192477785033</v>
      </c>
      <c r="R41" s="3">
        <v>29.524887</v>
      </c>
    </row>
    <row r="42" spans="2:18" ht="24">
      <c r="B42" s="9" t="s">
        <v>64</v>
      </c>
      <c r="C42" s="1"/>
      <c r="D42" s="3">
        <f>H42 *listed_share</f>
        <v>98182.560025458224</v>
      </c>
      <c r="E42" s="3">
        <f t="shared" ref="E42:E43" si="80">D42 / 16</f>
        <v>6136.410001591139</v>
      </c>
      <c r="F42" s="1"/>
      <c r="G42" s="1"/>
      <c r="H42" s="94">
        <f>E35 * 10^-6 / listed_share</f>
        <v>9.3954602895175334</v>
      </c>
      <c r="I42" s="95">
        <f>(H42 - Market_Price) / Market_Price</f>
        <v>-4.8294792366669463E-4</v>
      </c>
      <c r="J42" s="3">
        <f>M42 *listed_share</f>
        <v>45373.51253067435</v>
      </c>
      <c r="K42" s="3">
        <f t="shared" ref="K42:K43" si="81">J42 / 16</f>
        <v>2835.8445331671469</v>
      </c>
      <c r="L42" s="53">
        <f>J33 * 10^-6 / listed_share</f>
        <v>4.3471129848811181</v>
      </c>
      <c r="M42" s="70">
        <f>J35 * 10^-6 / $B$30</f>
        <v>4.3419629215956315</v>
      </c>
      <c r="N42" s="71">
        <f xml:space="preserve"> ( M42-Market_Price ) / Market_Price</f>
        <v>-0.53808905089408177</v>
      </c>
      <c r="R42" s="3">
        <v>29.524887</v>
      </c>
    </row>
    <row r="43" spans="2:18" ht="25" thickBot="1">
      <c r="B43" s="19" t="s">
        <v>65</v>
      </c>
      <c r="C43" s="20"/>
      <c r="D43" s="21">
        <f>H43 *listed_share</f>
        <v>108560.95644310694</v>
      </c>
      <c r="E43" s="21">
        <f t="shared" si="80"/>
        <v>6785.059777694184</v>
      </c>
      <c r="F43" s="20"/>
      <c r="G43" s="20"/>
      <c r="H43" s="69">
        <f>F35 * 10^-6 / listed_share</f>
        <v>10.38860827206765</v>
      </c>
      <c r="I43" s="96">
        <f>(H43 - Market_Price) / Market_Price</f>
        <v>0.10517109277315419</v>
      </c>
      <c r="J43" s="21">
        <f>M43 *listed_share</f>
        <v>56005.259199155669</v>
      </c>
      <c r="K43" s="21">
        <f t="shared" si="81"/>
        <v>3500.3286999472293</v>
      </c>
      <c r="L43" s="54">
        <f>K33 *10^-6 / listed_share</f>
        <v>5.3645050105731107</v>
      </c>
      <c r="M43" s="69">
        <f>K35 * 10^-6 / $B$30</f>
        <v>5.3593549472876241</v>
      </c>
      <c r="N43" s="67">
        <f xml:space="preserve"> ( M43-Market_Price ) / Market_Price</f>
        <v>-0.42985585667152937</v>
      </c>
      <c r="O43" s="68"/>
      <c r="P43" s="20"/>
      <c r="Q43" s="20"/>
      <c r="R43" s="21">
        <v>29.524887</v>
      </c>
    </row>
    <row r="47" spans="2:18">
      <c r="G47" s="41"/>
    </row>
    <row r="62" spans="2:18" ht="24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2:18" ht="24">
      <c r="B63" s="7" t="s">
        <v>9</v>
      </c>
      <c r="C63" s="10"/>
      <c r="D63" s="7" t="s">
        <v>50</v>
      </c>
      <c r="E63" s="7" t="s">
        <v>21</v>
      </c>
      <c r="F63" s="7" t="s">
        <v>49</v>
      </c>
      <c r="G63" s="7" t="s">
        <v>48</v>
      </c>
      <c r="H63" s="123">
        <v>2566</v>
      </c>
      <c r="I63" s="13">
        <v>2565</v>
      </c>
      <c r="J63" s="13">
        <v>2564</v>
      </c>
      <c r="K63" s="127">
        <v>2563</v>
      </c>
      <c r="L63" s="13">
        <v>2562</v>
      </c>
      <c r="M63" s="13">
        <v>2561</v>
      </c>
      <c r="N63" s="13">
        <v>2560</v>
      </c>
      <c r="O63" s="13">
        <v>2559</v>
      </c>
      <c r="P63" s="13">
        <v>2558</v>
      </c>
      <c r="Q63" s="13">
        <v>2557</v>
      </c>
      <c r="R63" s="13">
        <v>2556</v>
      </c>
    </row>
    <row r="64" spans="2:18" ht="24">
      <c r="B64" s="66" t="s">
        <v>110</v>
      </c>
      <c r="D64" s="26"/>
      <c r="E64" s="26"/>
      <c r="F64" s="26"/>
      <c r="G64" s="101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</row>
    <row r="65" spans="2:18" ht="24">
      <c r="B65" s="145" t="s">
        <v>111</v>
      </c>
      <c r="D65" s="26">
        <f>AVERAGE(E65:G65) * (1+$D$20)</f>
        <v>68906197.633333325</v>
      </c>
      <c r="E65" s="30">
        <v>106594839</v>
      </c>
      <c r="F65" s="30">
        <v>67639232</v>
      </c>
      <c r="G65" s="102">
        <v>27442605</v>
      </c>
      <c r="H65" s="12">
        <v>150207115563</v>
      </c>
      <c r="I65" s="12">
        <v>171491773771</v>
      </c>
      <c r="J65" s="11">
        <v>79731079250</v>
      </c>
      <c r="K65" s="11">
        <v>71288863167</v>
      </c>
      <c r="L65" s="11">
        <v>102493848246</v>
      </c>
      <c r="M65" s="11">
        <v>112966791752</v>
      </c>
      <c r="N65" s="11">
        <v>106897865565</v>
      </c>
      <c r="O65" s="11">
        <v>107392814113</v>
      </c>
      <c r="P65" s="122">
        <v>149408904134</v>
      </c>
      <c r="Q65" s="122">
        <v>150312644039</v>
      </c>
      <c r="R65" s="122">
        <v>121507631856</v>
      </c>
    </row>
    <row r="66" spans="2:18" ht="24">
      <c r="B66" s="146" t="s">
        <v>112</v>
      </c>
      <c r="D66" s="26">
        <f>SUM(E66:G66) * (1+$D$20)</f>
        <v>221337031.17499998</v>
      </c>
      <c r="E66" s="30">
        <v>107101208</v>
      </c>
      <c r="F66" s="30">
        <v>68678861</v>
      </c>
      <c r="G66" s="102">
        <v>40158498</v>
      </c>
      <c r="H66" s="12">
        <v>150812724912</v>
      </c>
      <c r="I66" s="12">
        <v>172364585434</v>
      </c>
      <c r="J66" s="11">
        <v>80139429405</v>
      </c>
      <c r="K66" s="11">
        <v>71634309852</v>
      </c>
      <c r="L66" s="11">
        <v>103134793658</v>
      </c>
      <c r="M66" s="11">
        <v>113499331613</v>
      </c>
      <c r="N66" s="11">
        <v>107488788259</v>
      </c>
      <c r="O66" s="11">
        <v>108723890430</v>
      </c>
      <c r="P66" s="122">
        <v>150605737381</v>
      </c>
      <c r="Q66" s="122">
        <v>150726049014</v>
      </c>
      <c r="R66" s="122">
        <v>121802345106</v>
      </c>
    </row>
    <row r="67" spans="2:18" ht="24">
      <c r="B67" s="142" t="s">
        <v>121</v>
      </c>
      <c r="G67" s="91"/>
      <c r="H67" s="115">
        <v>142564649952</v>
      </c>
      <c r="I67" s="115">
        <v>163724749092</v>
      </c>
      <c r="J67" s="114">
        <v>119847491229</v>
      </c>
      <c r="K67" s="114">
        <v>99320469296</v>
      </c>
      <c r="L67" s="114">
        <v>107611727125</v>
      </c>
      <c r="M67" s="114">
        <v>101016218656</v>
      </c>
      <c r="N67" s="114">
        <v>101016218656</v>
      </c>
      <c r="O67" s="114">
        <v>101247588831</v>
      </c>
      <c r="P67" s="141">
        <v>141738394578</v>
      </c>
      <c r="Q67" s="141">
        <v>144091395157</v>
      </c>
      <c r="R67" s="141">
        <v>116263166229</v>
      </c>
    </row>
    <row r="68" spans="2:18" ht="24">
      <c r="B68" s="142" t="s">
        <v>122</v>
      </c>
      <c r="G68" s="91"/>
      <c r="H68" s="115">
        <v>3823951274</v>
      </c>
      <c r="I68" s="115">
        <v>4597164608.0227499</v>
      </c>
      <c r="J68" s="114">
        <v>4679003309</v>
      </c>
      <c r="K68" s="114">
        <v>4087966343</v>
      </c>
      <c r="L68" s="114">
        <v>3833313075</v>
      </c>
      <c r="M68" s="114">
        <v>3787797874</v>
      </c>
      <c r="N68" s="114">
        <v>3813797874</v>
      </c>
      <c r="O68" s="114">
        <v>4149277799</v>
      </c>
      <c r="P68" s="141">
        <v>4200474064</v>
      </c>
      <c r="Q68" s="141">
        <v>3968599602</v>
      </c>
      <c r="R68" s="141">
        <v>4075553597</v>
      </c>
    </row>
    <row r="69" spans="2:18" ht="24">
      <c r="B69" s="146" t="s">
        <v>113</v>
      </c>
      <c r="D69" s="26">
        <f>SUM(E69:G69) * (1+$D$20)</f>
        <v>215900025.27499998</v>
      </c>
      <c r="E69" s="30">
        <v>104449010</v>
      </c>
      <c r="F69" s="30">
        <v>66979352</v>
      </c>
      <c r="G69" s="102">
        <v>39205809</v>
      </c>
      <c r="H69" s="12">
        <v>147554078559</v>
      </c>
      <c r="I69" s="12">
        <v>169959944433</v>
      </c>
      <c r="J69" s="11">
        <v>78823809278</v>
      </c>
      <c r="K69" s="11">
        <v>70517157633</v>
      </c>
      <c r="L69" s="11">
        <v>101738329666</v>
      </c>
      <c r="M69" s="11">
        <v>112143802620</v>
      </c>
      <c r="N69" s="11">
        <v>105627955347</v>
      </c>
      <c r="O69" s="11">
        <v>106745283424</v>
      </c>
      <c r="P69" s="122">
        <v>148498652534</v>
      </c>
      <c r="Q69" s="122">
        <v>149015500989</v>
      </c>
      <c r="R69" s="122">
        <v>121291650640</v>
      </c>
    </row>
    <row r="70" spans="2:18" ht="24">
      <c r="D70" s="6">
        <f t="shared" ref="D70:D74" si="82">SUM(E70:G70) * (1+$D$20)</f>
        <v>0</v>
      </c>
      <c r="E70" s="6"/>
      <c r="F70" s="6"/>
      <c r="G70" s="51"/>
    </row>
    <row r="71" spans="2:18" ht="24">
      <c r="D71" s="6">
        <f t="shared" si="82"/>
        <v>0</v>
      </c>
      <c r="E71" s="6"/>
      <c r="F71" s="6"/>
      <c r="G71" s="51"/>
    </row>
    <row r="72" spans="2:18" ht="24">
      <c r="D72" s="6">
        <f t="shared" si="82"/>
        <v>0</v>
      </c>
      <c r="E72" s="6"/>
      <c r="F72" s="6"/>
      <c r="G72" s="51"/>
    </row>
    <row r="73" spans="2:18" ht="24">
      <c r="B73" s="66" t="s">
        <v>108</v>
      </c>
      <c r="D73" s="6"/>
      <c r="E73" s="6"/>
      <c r="F73" s="6"/>
      <c r="G73" s="51"/>
    </row>
    <row r="74" spans="2:18" ht="24">
      <c r="B74" s="142" t="s">
        <v>120</v>
      </c>
      <c r="D74" s="6">
        <f t="shared" si="82"/>
        <v>0</v>
      </c>
      <c r="E74" s="6"/>
      <c r="F74" s="6"/>
      <c r="G74" s="51"/>
      <c r="H74" s="120">
        <v>64308423147</v>
      </c>
      <c r="I74" s="120">
        <v>74245271007</v>
      </c>
      <c r="J74" s="120">
        <v>60236772973</v>
      </c>
      <c r="K74" s="120">
        <v>46404347282</v>
      </c>
      <c r="L74" s="15">
        <v>47558052491</v>
      </c>
      <c r="M74" s="15">
        <v>42177175783</v>
      </c>
      <c r="N74" s="15">
        <v>42177175783</v>
      </c>
      <c r="O74" s="15">
        <v>37083134215</v>
      </c>
      <c r="P74" s="119">
        <v>47859883303</v>
      </c>
      <c r="Q74" s="119">
        <v>53410702908</v>
      </c>
      <c r="R74" s="117">
        <v>46268241750</v>
      </c>
    </row>
    <row r="75" spans="2:18" ht="24">
      <c r="B75" s="143" t="s">
        <v>119</v>
      </c>
      <c r="D75" s="6">
        <f>AVERAGE(E75:G75) * (1+$D$20)</f>
        <v>87326438.808333337</v>
      </c>
      <c r="E75" s="6">
        <v>85261645</v>
      </c>
      <c r="F75" s="6">
        <v>85990886</v>
      </c>
      <c r="G75" s="51">
        <v>84337046</v>
      </c>
      <c r="H75" s="120">
        <v>85837771536</v>
      </c>
      <c r="I75" s="120">
        <v>96543206615</v>
      </c>
      <c r="J75" s="120">
        <v>80849563213</v>
      </c>
      <c r="K75" s="120">
        <v>64071208695</v>
      </c>
      <c r="L75" s="15">
        <v>54461740339</v>
      </c>
      <c r="M75" s="15">
        <v>64798357446</v>
      </c>
      <c r="N75" s="15">
        <v>60161698502</v>
      </c>
      <c r="O75" s="15">
        <v>55262450808</v>
      </c>
      <c r="P75" s="119">
        <v>66048606504</v>
      </c>
      <c r="Q75" s="118">
        <v>71734120327</v>
      </c>
      <c r="R75" s="118">
        <v>62154702626</v>
      </c>
    </row>
    <row r="76" spans="2:18" ht="24">
      <c r="B76" s="143" t="s">
        <v>109</v>
      </c>
      <c r="D76" s="6">
        <f>AVERAGE(E76:G76) * (1+$D$20)</f>
        <v>45738236.408333324</v>
      </c>
      <c r="E76" s="6">
        <v>44384152</v>
      </c>
      <c r="F76" s="6">
        <v>57925885</v>
      </c>
      <c r="G76" s="102">
        <v>31557972</v>
      </c>
      <c r="H76" s="120">
        <v>44393929234</v>
      </c>
      <c r="I76" s="120">
        <v>61871779680</v>
      </c>
      <c r="J76" s="120">
        <v>54154143685</v>
      </c>
      <c r="K76" s="120">
        <v>43927892602</v>
      </c>
      <c r="L76" s="15">
        <v>32103011268</v>
      </c>
      <c r="M76" s="15">
        <v>40551736086</v>
      </c>
      <c r="N76" s="15">
        <v>37574338215</v>
      </c>
      <c r="O76" s="15">
        <v>33012082369</v>
      </c>
      <c r="P76" s="15">
        <v>41372904629</v>
      </c>
      <c r="Q76" s="117">
        <v>49057497752</v>
      </c>
      <c r="R76" s="117">
        <v>46268241750</v>
      </c>
    </row>
    <row r="77" spans="2:18" ht="24">
      <c r="B77" t="s">
        <v>170</v>
      </c>
      <c r="D77" s="6">
        <f t="shared" ref="D77:D79" si="83">AVERAGE(E77:G77) * (1+$D$20)</f>
        <v>9255949.5333333313</v>
      </c>
      <c r="E77">
        <v>7902636</v>
      </c>
      <c r="F77" s="120">
        <v>8279576</v>
      </c>
      <c r="G77" s="120">
        <v>10908372</v>
      </c>
      <c r="H77" s="120">
        <v>10085293230</v>
      </c>
      <c r="I77" s="120">
        <v>7004346617</v>
      </c>
      <c r="J77" s="120">
        <v>6332053314</v>
      </c>
      <c r="K77" s="120">
        <v>5004054494</v>
      </c>
      <c r="L77" s="120">
        <v>4167917632</v>
      </c>
      <c r="M77" s="15">
        <v>4058440027</v>
      </c>
      <c r="N77" s="15">
        <v>3854386733</v>
      </c>
      <c r="O77" s="119">
        <v>3923923727</v>
      </c>
      <c r="P77" s="119">
        <v>1808741825</v>
      </c>
      <c r="Q77" s="118">
        <v>1808741825</v>
      </c>
      <c r="R77" s="118">
        <v>3528426267</v>
      </c>
    </row>
    <row r="78" spans="2:18" ht="24">
      <c r="B78" t="s">
        <v>172</v>
      </c>
      <c r="D78" s="6">
        <f t="shared" si="83"/>
        <v>34389500.983333334</v>
      </c>
      <c r="E78" s="150">
        <v>35009622</v>
      </c>
      <c r="F78" s="151">
        <v>35573648</v>
      </c>
      <c r="G78" s="151">
        <v>30068928</v>
      </c>
      <c r="H78" s="151">
        <v>30292760634</v>
      </c>
      <c r="I78" s="151">
        <v>34962899379</v>
      </c>
      <c r="J78" s="151">
        <v>31622857402</v>
      </c>
      <c r="K78" s="151">
        <v>26073631454</v>
      </c>
      <c r="L78" s="151">
        <v>19578605596</v>
      </c>
      <c r="M78" s="152">
        <v>25206433719</v>
      </c>
      <c r="N78" s="152">
        <v>21809192579</v>
      </c>
      <c r="O78" s="152">
        <v>25409419100</v>
      </c>
      <c r="P78" s="152">
        <v>34657845399</v>
      </c>
      <c r="Q78" s="153">
        <v>34657845399</v>
      </c>
      <c r="R78" s="153">
        <v>23790978172</v>
      </c>
    </row>
    <row r="79" spans="2:18" ht="24">
      <c r="B79" t="s">
        <v>171</v>
      </c>
      <c r="D79" s="6">
        <f t="shared" si="83"/>
        <v>111714.40833333333</v>
      </c>
      <c r="E79" s="151">
        <v>217481</v>
      </c>
      <c r="F79" s="151">
        <v>70173</v>
      </c>
      <c r="G79" s="151">
        <v>39315</v>
      </c>
      <c r="H79" s="151">
        <v>36491347</v>
      </c>
      <c r="I79" s="151">
        <v>139450332</v>
      </c>
      <c r="J79" s="151">
        <v>179272531</v>
      </c>
      <c r="K79" s="151">
        <v>141305121</v>
      </c>
      <c r="L79" s="151">
        <v>31956063</v>
      </c>
      <c r="M79" s="152">
        <v>86814940</v>
      </c>
      <c r="N79" s="152">
        <v>73676532</v>
      </c>
      <c r="O79" s="152">
        <v>22943610</v>
      </c>
      <c r="P79" s="152">
        <v>94702221</v>
      </c>
      <c r="Q79" s="153">
        <v>94702221</v>
      </c>
      <c r="R79" s="153">
        <v>27454290</v>
      </c>
    </row>
    <row r="80" spans="2:18" ht="24">
      <c r="D80" s="1"/>
      <c r="E80" s="1"/>
      <c r="F80" s="1"/>
      <c r="G80" s="98"/>
    </row>
    <row r="81" spans="2:18" ht="24">
      <c r="B81" s="58" t="s">
        <v>103</v>
      </c>
      <c r="D81" s="6"/>
      <c r="E81" s="6"/>
      <c r="F81" s="6"/>
      <c r="G81" s="51"/>
    </row>
    <row r="82" spans="2:18" ht="50">
      <c r="B82" s="144" t="s">
        <v>106</v>
      </c>
      <c r="C82" s="6"/>
      <c r="D82" s="6">
        <f>SUM(E82:G82) * (1+$D$20)</f>
        <v>14179705.475</v>
      </c>
      <c r="E82" s="6">
        <v>3551082</v>
      </c>
      <c r="F82" s="6">
        <v>5629689</v>
      </c>
      <c r="G82" s="51">
        <v>4653088</v>
      </c>
      <c r="H82" s="111">
        <v>14144743076</v>
      </c>
      <c r="I82" s="111">
        <v>-1963745887</v>
      </c>
      <c r="J82" s="113">
        <v>-1930251862</v>
      </c>
      <c r="K82" s="113">
        <v>834473221</v>
      </c>
      <c r="L82" s="113">
        <v>6057507061</v>
      </c>
      <c r="M82" s="11">
        <v>2824880837</v>
      </c>
      <c r="N82" s="11">
        <v>-2171118380</v>
      </c>
      <c r="O82" s="113">
        <v>11058750976</v>
      </c>
      <c r="P82" s="112">
        <v>2491619618</v>
      </c>
      <c r="Q82" s="112">
        <v>4373254286</v>
      </c>
      <c r="R82" s="112">
        <v>2084075458</v>
      </c>
    </row>
    <row r="83" spans="2:18" ht="24">
      <c r="B83" s="1" t="s">
        <v>123</v>
      </c>
      <c r="C83" s="6"/>
      <c r="D83" s="6"/>
      <c r="E83" s="6"/>
      <c r="F83" s="6"/>
      <c r="G83" s="26"/>
      <c r="H83" s="12">
        <v>10048517424</v>
      </c>
      <c r="I83" s="12">
        <v>4653600756</v>
      </c>
      <c r="J83" s="11">
        <v>-2318280508</v>
      </c>
      <c r="K83" s="11">
        <v>700029614</v>
      </c>
      <c r="L83" s="11">
        <v>5969028027</v>
      </c>
      <c r="M83" s="11">
        <v>2698426568</v>
      </c>
      <c r="N83" s="11">
        <v>-2280679444</v>
      </c>
      <c r="O83" s="116">
        <v>10945702542</v>
      </c>
      <c r="P83" s="121">
        <v>2338205266</v>
      </c>
      <c r="Q83" s="121">
        <v>4325472856</v>
      </c>
      <c r="R83" s="121">
        <v>2053290926</v>
      </c>
    </row>
    <row r="84" spans="2:18" ht="24">
      <c r="B84" s="1"/>
      <c r="C84" s="6"/>
      <c r="D84" s="6"/>
      <c r="E84" s="6"/>
      <c r="F84" s="6"/>
      <c r="G84" s="51"/>
    </row>
    <row r="85" spans="2:18" ht="24">
      <c r="B85" s="58" t="s">
        <v>101</v>
      </c>
      <c r="C85" s="6"/>
      <c r="D85" s="6"/>
      <c r="E85" s="6"/>
      <c r="F85" s="6"/>
      <c r="G85" s="51"/>
    </row>
    <row r="86" spans="2:18" ht="24">
      <c r="B86" s="1" t="s">
        <v>102</v>
      </c>
      <c r="C86" s="6"/>
      <c r="D86" s="6">
        <f t="shared" ref="D86:R86" si="84">D82/D6</f>
        <v>3.6667178220629779</v>
      </c>
      <c r="E86" s="6">
        <f t="shared" si="84"/>
        <v>1.8176328323143189</v>
      </c>
      <c r="F86" s="6">
        <f t="shared" si="84"/>
        <v>4.4062703987151455</v>
      </c>
      <c r="G86" s="51">
        <f t="shared" si="84"/>
        <v>8.5932935533972685</v>
      </c>
      <c r="H86" s="26">
        <f t="shared" si="84"/>
        <v>12.775127495446451</v>
      </c>
      <c r="I86" s="26">
        <f t="shared" si="84"/>
        <v>-2.500139666910854</v>
      </c>
      <c r="J86" s="26">
        <f t="shared" si="84"/>
        <v>-5.3376724828727111</v>
      </c>
      <c r="K86" s="26">
        <f t="shared" si="84"/>
        <v>3.6497761386406249</v>
      </c>
      <c r="L86" s="26">
        <f t="shared" si="84"/>
        <v>17.430386451230085</v>
      </c>
      <c r="M86" s="26">
        <f t="shared" si="84"/>
        <v>12.199308369795006</v>
      </c>
      <c r="N86" s="26">
        <f t="shared" si="84"/>
        <v>-2.4116922042670033</v>
      </c>
      <c r="O86" s="26">
        <f t="shared" si="84"/>
        <v>9.8411654379307691</v>
      </c>
      <c r="P86" s="26">
        <f t="shared" si="84"/>
        <v>1.613026710729329</v>
      </c>
      <c r="Q86" s="26">
        <f t="shared" si="84"/>
        <v>4.1278200615826446</v>
      </c>
      <c r="R86" s="26">
        <f t="shared" si="84"/>
        <v>18.141910461161721</v>
      </c>
    </row>
    <row r="87" spans="2:18" ht="24">
      <c r="B87" s="1" t="s">
        <v>107</v>
      </c>
      <c r="D87" s="6">
        <f t="shared" ref="D87:R87" si="85">D82/D76</f>
        <v>0.31001863185998385</v>
      </c>
      <c r="E87" s="6">
        <f t="shared" si="85"/>
        <v>8.0007882092689303E-2</v>
      </c>
      <c r="F87" s="6">
        <f t="shared" si="85"/>
        <v>9.7187794368614314E-2</v>
      </c>
      <c r="G87" s="51">
        <f t="shared" si="85"/>
        <v>0.1474457230648408</v>
      </c>
      <c r="H87" s="26">
        <f t="shared" si="85"/>
        <v>0.31861885893098552</v>
      </c>
      <c r="I87" s="26">
        <f t="shared" si="85"/>
        <v>-3.1738959137048696E-2</v>
      </c>
      <c r="J87" s="26">
        <f t="shared" si="85"/>
        <v>-3.5643659573453008E-2</v>
      </c>
      <c r="K87" s="26">
        <f t="shared" si="85"/>
        <v>1.8996431915379596E-2</v>
      </c>
      <c r="L87" s="26">
        <f t="shared" si="85"/>
        <v>0.18868968429257818</v>
      </c>
      <c r="M87" s="26">
        <f t="shared" si="85"/>
        <v>6.966115657808436E-2</v>
      </c>
      <c r="N87" s="26">
        <f t="shared" si="85"/>
        <v>-5.7781945954094562E-2</v>
      </c>
      <c r="O87" s="26">
        <f t="shared" si="85"/>
        <v>0.33499101487716876</v>
      </c>
      <c r="P87" s="26">
        <f t="shared" si="85"/>
        <v>6.022346364952872E-2</v>
      </c>
      <c r="Q87" s="26">
        <f t="shared" si="85"/>
        <v>8.9145482064904316E-2</v>
      </c>
      <c r="R87" s="26">
        <f t="shared" si="85"/>
        <v>4.5043325165906048E-2</v>
      </c>
    </row>
    <row r="88" spans="2:18" ht="24">
      <c r="B88" s="1" t="s">
        <v>114</v>
      </c>
      <c r="D88" s="6">
        <f t="shared" ref="D88:R88" si="86">D82/D66</f>
        <v>6.4063864052594191E-2</v>
      </c>
      <c r="E88" s="6">
        <f t="shared" si="86"/>
        <v>3.315632070181692E-2</v>
      </c>
      <c r="F88" s="6">
        <f t="shared" si="86"/>
        <v>8.1971205084487353E-2</v>
      </c>
      <c r="G88" s="51">
        <f t="shared" si="86"/>
        <v>0.11586807853222</v>
      </c>
      <c r="H88" s="26">
        <f t="shared" si="86"/>
        <v>9.3790116744150928E-2</v>
      </c>
      <c r="I88" s="26">
        <f t="shared" si="86"/>
        <v>-1.1392977751522725E-2</v>
      </c>
      <c r="J88" s="26">
        <f t="shared" si="86"/>
        <v>-2.4086169271871172E-2</v>
      </c>
      <c r="K88" s="26">
        <f t="shared" si="86"/>
        <v>1.1649071830580383E-2</v>
      </c>
      <c r="L88" s="26">
        <f t="shared" si="86"/>
        <v>5.8733884522879726E-2</v>
      </c>
      <c r="M88" s="26">
        <f t="shared" si="86"/>
        <v>2.4888964515068945E-2</v>
      </c>
      <c r="N88" s="26">
        <f t="shared" si="86"/>
        <v>-2.0198556660333485E-2</v>
      </c>
      <c r="O88" s="26">
        <f t="shared" si="86"/>
        <v>0.10171408447824065</v>
      </c>
      <c r="P88" s="26">
        <f t="shared" si="86"/>
        <v>1.6543988704074003E-2</v>
      </c>
      <c r="Q88" s="26">
        <f t="shared" si="86"/>
        <v>2.9014588484262568E-2</v>
      </c>
      <c r="R88" s="26">
        <f t="shared" si="86"/>
        <v>1.7110306506712226E-2</v>
      </c>
    </row>
    <row r="89" spans="2:18" ht="24">
      <c r="B89" s="1" t="s">
        <v>115</v>
      </c>
      <c r="D89" s="3">
        <f t="shared" ref="D89:R89" si="87">D82/D9</f>
        <v>-12.891322823111059</v>
      </c>
      <c r="E89" s="3">
        <f t="shared" si="87"/>
        <v>-4.7135461879693858</v>
      </c>
      <c r="F89" s="3">
        <f t="shared" si="87"/>
        <v>-17.718914648655115</v>
      </c>
      <c r="G89" s="46">
        <f t="shared" si="87"/>
        <v>-2310.3714001986095</v>
      </c>
      <c r="H89" s="3">
        <f t="shared" si="87"/>
        <v>-8.9363439592617482</v>
      </c>
      <c r="I89" s="3">
        <f t="shared" si="87"/>
        <v>0.53365623809662999</v>
      </c>
      <c r="J89" s="3">
        <f t="shared" si="87"/>
        <v>0.771689567608422</v>
      </c>
      <c r="K89" s="3">
        <f t="shared" si="87"/>
        <v>-0.5563047721706722</v>
      </c>
      <c r="L89" s="3">
        <f t="shared" si="87"/>
        <v>-1.0623643910973506</v>
      </c>
      <c r="M89" s="3">
        <f t="shared" si="87"/>
        <v>-1.575786312635383</v>
      </c>
      <c r="N89" s="3">
        <f t="shared" si="87"/>
        <v>0.95362360148457048</v>
      </c>
      <c r="O89" s="3">
        <f t="shared" si="87"/>
        <v>-4.3507438049640008</v>
      </c>
      <c r="P89" s="3">
        <f t="shared" si="87"/>
        <v>-1.2520849186713252</v>
      </c>
      <c r="Q89" s="3">
        <f t="shared" si="87"/>
        <v>-1.2731470523005479</v>
      </c>
      <c r="R89" s="3">
        <f t="shared" si="87"/>
        <v>-0.64151724048650893</v>
      </c>
    </row>
    <row r="90" spans="2:18" ht="24">
      <c r="B90" s="1" t="s">
        <v>116</v>
      </c>
      <c r="D90" s="3">
        <f t="shared" ref="D90:R90" si="88">D18/D66</f>
        <v>6.8451806480682997E-2</v>
      </c>
      <c r="E90" s="3">
        <f t="shared" si="88"/>
        <v>4.0563053219717184E-2</v>
      </c>
      <c r="F90" s="3">
        <f t="shared" si="88"/>
        <v>8.7355190704167321E-2</v>
      </c>
      <c r="G90" s="46">
        <f t="shared" si="88"/>
        <v>0.1105015929629639</v>
      </c>
      <c r="H90" s="3">
        <f t="shared" si="88"/>
        <v>7.7124465205352877E-2</v>
      </c>
      <c r="I90" s="3">
        <f t="shared" si="88"/>
        <v>4.8347497567537936E-2</v>
      </c>
      <c r="J90" s="3">
        <f t="shared" si="88"/>
        <v>-6.2103383352633192E-2</v>
      </c>
      <c r="K90" s="3">
        <f t="shared" si="88"/>
        <v>3.2560742091589767E-2</v>
      </c>
      <c r="L90" s="3">
        <f t="shared" si="88"/>
        <v>0.11316199388250489</v>
      </c>
      <c r="M90" s="3">
        <f t="shared" si="88"/>
        <v>3.9630966932362073E-2</v>
      </c>
      <c r="N90" s="3">
        <f t="shared" si="88"/>
        <v>-3.6987541346360951E-5</v>
      </c>
      <c r="O90" s="3">
        <f t="shared" si="88"/>
        <v>0.12405285967653724</v>
      </c>
      <c r="P90" s="3">
        <f t="shared" si="88"/>
        <v>2.8738492200005863E-2</v>
      </c>
      <c r="Q90" s="3">
        <f t="shared" si="88"/>
        <v>5.1487240067436379E-2</v>
      </c>
      <c r="R90" s="3">
        <f t="shared" si="88"/>
        <v>4.3529188616080468E-2</v>
      </c>
    </row>
    <row r="91" spans="2:18" ht="24">
      <c r="B91" s="1" t="s">
        <v>117</v>
      </c>
      <c r="D91" s="3">
        <f t="shared" ref="D91:R91" si="89">D65/D75</f>
        <v>0.78906455563326816</v>
      </c>
      <c r="E91" s="3">
        <f t="shared" si="89"/>
        <v>1.2502085668180576</v>
      </c>
      <c r="F91" s="3">
        <f t="shared" si="89"/>
        <v>0.78658605750381505</v>
      </c>
      <c r="G91" s="46">
        <f t="shared" si="89"/>
        <v>0.32539205843183078</v>
      </c>
      <c r="H91" s="3">
        <f t="shared" si="89"/>
        <v>1.7498953301694671</v>
      </c>
      <c r="I91" s="3">
        <f t="shared" si="89"/>
        <v>1.7763215018834393</v>
      </c>
      <c r="J91" s="3">
        <f t="shared" si="89"/>
        <v>0.9861658626398101</v>
      </c>
      <c r="K91" s="3">
        <f t="shared" si="89"/>
        <v>1.112650512125632</v>
      </c>
      <c r="L91" s="3">
        <f t="shared" si="89"/>
        <v>1.8819422149938947</v>
      </c>
      <c r="M91" s="3">
        <f t="shared" si="89"/>
        <v>1.7433588782885643</v>
      </c>
      <c r="N91" s="3">
        <f t="shared" si="89"/>
        <v>1.7768425464491551</v>
      </c>
      <c r="O91" s="3">
        <f t="shared" si="89"/>
        <v>1.9433234057265771</v>
      </c>
      <c r="P91" s="3">
        <f t="shared" si="89"/>
        <v>2.262105319738299</v>
      </c>
      <c r="Q91" s="3">
        <f t="shared" si="89"/>
        <v>2.0954134985387678</v>
      </c>
      <c r="R91" s="3">
        <f t="shared" si="89"/>
        <v>1.9549225838492228</v>
      </c>
    </row>
    <row r="92" spans="2:18" ht="23">
      <c r="B92" s="110" t="s">
        <v>118</v>
      </c>
      <c r="C92" s="109"/>
      <c r="D92" s="107">
        <f>(D65 - 74733919)/74733919</f>
        <v>-7.797960343370558E-2</v>
      </c>
      <c r="E92" s="107">
        <v>8.3458942246266446E-2</v>
      </c>
      <c r="F92" s="107">
        <f>(F65 - 74733919)/74733919</f>
        <v>-9.4932623565479018E-2</v>
      </c>
      <c r="G92" s="108">
        <f t="shared" ref="G92:R92" si="90">(G65 - 28371914) / 28371914</f>
        <v>-3.2754540282336965E-2</v>
      </c>
      <c r="H92" s="107">
        <f t="shared" si="90"/>
        <v>5293.2186263147423</v>
      </c>
      <c r="I92" s="107">
        <f t="shared" si="90"/>
        <v>6043.4203295907355</v>
      </c>
      <c r="J92" s="107">
        <f t="shared" si="90"/>
        <v>2809.2115088181927</v>
      </c>
      <c r="K92" s="107">
        <f t="shared" si="90"/>
        <v>2511.6561136129203</v>
      </c>
      <c r="L92" s="107">
        <f t="shared" si="90"/>
        <v>3611.5108882678837</v>
      </c>
      <c r="M92" s="107">
        <f t="shared" si="90"/>
        <v>3980.6415541087572</v>
      </c>
      <c r="N92" s="107">
        <f t="shared" si="90"/>
        <v>3766.7354289527311</v>
      </c>
      <c r="O92" s="107">
        <f t="shared" si="90"/>
        <v>3784.1804468672785</v>
      </c>
      <c r="P92" s="107">
        <f t="shared" si="90"/>
        <v>5265.0847672807695</v>
      </c>
      <c r="Q92" s="107">
        <f t="shared" si="90"/>
        <v>5296.9380960692324</v>
      </c>
      <c r="R92" s="107">
        <f t="shared" si="90"/>
        <v>4281.6730637911842</v>
      </c>
    </row>
    <row r="93" spans="2:18">
      <c r="B93" t="s">
        <v>169</v>
      </c>
      <c r="D93" s="156">
        <f>D12*(1-D13)/(D75-D77-(D78+D79))</f>
        <v>9.6951719491838048E-2</v>
      </c>
      <c r="E93" s="156">
        <f>E12*(1-E13)/(E75-E77-(E78+E79))</f>
        <v>5.0359895894574527E-2</v>
      </c>
      <c r="F93" s="156">
        <f t="shared" ref="F93:R93" si="91">F12*(1-F13)/(F75-F77-(F78+F79))</f>
        <v>3.2319666144085761E-2</v>
      </c>
      <c r="G93" s="156">
        <f t="shared" si="91"/>
        <v>1.4767239965825827E-2</v>
      </c>
      <c r="H93" s="156">
        <f t="shared" si="91"/>
        <v>5.7391719904431517E-2</v>
      </c>
      <c r="I93" s="156">
        <f t="shared" si="91"/>
        <v>3.5338650303956068E-2</v>
      </c>
      <c r="J93" s="156">
        <f t="shared" si="91"/>
        <v>2.918336771889269E-2</v>
      </c>
      <c r="K93" s="156">
        <f t="shared" si="91"/>
        <v>2.7080511414118564E-2</v>
      </c>
      <c r="L93" s="156">
        <f t="shared" si="91"/>
        <v>3.6409793334949959E-2</v>
      </c>
      <c r="M93" s="156">
        <f t="shared" si="91"/>
        <v>3.0593091885230236E-2</v>
      </c>
      <c r="N93" s="156">
        <f t="shared" si="91"/>
        <v>4.3244456980454392E-2</v>
      </c>
      <c r="O93" s="156">
        <f t="shared" si="91"/>
        <v>6.1100731938994464E-2</v>
      </c>
      <c r="P93" s="156">
        <f t="shared" si="91"/>
        <v>5.716586131682358E-2</v>
      </c>
      <c r="Q93" s="156">
        <f t="shared" si="91"/>
        <v>3.8906121164683116E-2</v>
      </c>
      <c r="R93" s="156">
        <f t="shared" si="91"/>
        <v>1.173745705160475E-2</v>
      </c>
    </row>
    <row r="105" spans="2:5" ht="16" thickBot="1"/>
    <row r="106" spans="2:5" ht="24">
      <c r="B106" s="126" t="s">
        <v>124</v>
      </c>
      <c r="C106" s="137"/>
      <c r="D106" s="137"/>
      <c r="E106" s="136"/>
    </row>
    <row r="107" spans="2:5" ht="21">
      <c r="B107" s="105" t="s">
        <v>125</v>
      </c>
      <c r="E107" s="134"/>
    </row>
    <row r="108" spans="2:5" ht="24">
      <c r="B108" s="135"/>
      <c r="E108" s="134"/>
    </row>
    <row r="109" spans="2:5">
      <c r="B109" s="133"/>
      <c r="C109" t="s">
        <v>132</v>
      </c>
      <c r="E109" s="134"/>
    </row>
    <row r="110" spans="2:5">
      <c r="B110" s="132" t="s">
        <v>127</v>
      </c>
      <c r="C110">
        <v>0.1321</v>
      </c>
      <c r="D110" s="131">
        <v>150000000000</v>
      </c>
      <c r="E110" s="134">
        <f>D110*C110</f>
        <v>19815000000</v>
      </c>
    </row>
    <row r="111" spans="2:5">
      <c r="B111" s="132" t="s">
        <v>128</v>
      </c>
      <c r="C111">
        <v>53.494</v>
      </c>
      <c r="D111" s="131">
        <v>4500000000</v>
      </c>
      <c r="E111" s="134">
        <f t="shared" ref="E111:E113" si="92">D111*C111</f>
        <v>240723000000</v>
      </c>
    </row>
    <row r="112" spans="2:5">
      <c r="B112" s="132" t="s">
        <v>129</v>
      </c>
      <c r="C112">
        <v>-9.8299999999999998E-2</v>
      </c>
      <c r="D112" s="131">
        <v>70000000000</v>
      </c>
      <c r="E112" s="134">
        <f t="shared" si="92"/>
        <v>-6881000000</v>
      </c>
    </row>
    <row r="113" spans="2:6">
      <c r="B113" s="132" t="s">
        <v>130</v>
      </c>
      <c r="C113">
        <v>4.2968999999999999</v>
      </c>
      <c r="D113" s="131">
        <v>8000000000</v>
      </c>
      <c r="E113" s="134">
        <f t="shared" si="92"/>
        <v>34375200000</v>
      </c>
    </row>
    <row r="114" spans="2:6">
      <c r="B114" s="132" t="s">
        <v>131</v>
      </c>
      <c r="C114" s="130">
        <v>-110300000000</v>
      </c>
      <c r="E114" s="134"/>
    </row>
    <row r="115" spans="2:6" ht="16" thickBot="1">
      <c r="B115" s="129" t="s">
        <v>126</v>
      </c>
      <c r="C115" s="68"/>
      <c r="D115" s="68"/>
      <c r="E115" s="128">
        <f>C114+SUM(E110:E113)</f>
        <v>177732200000</v>
      </c>
    </row>
    <row r="117" spans="2:6" ht="16">
      <c r="B117" s="125" t="s">
        <v>141</v>
      </c>
      <c r="E117" s="103"/>
    </row>
    <row r="118" spans="2:6">
      <c r="B118" s="140" t="s">
        <v>133</v>
      </c>
      <c r="C118" s="124">
        <v>126613817338.8</v>
      </c>
      <c r="D118" s="140" t="s">
        <v>139</v>
      </c>
      <c r="E118" s="41">
        <f>C122-C120</f>
        <v>77204072933.100296</v>
      </c>
    </row>
    <row r="119" spans="2:6">
      <c r="B119" s="140" t="s">
        <v>134</v>
      </c>
      <c r="C119" s="124">
        <v>109250411328.976</v>
      </c>
      <c r="D119" s="140" t="s">
        <v>140</v>
      </c>
      <c r="E119" s="41">
        <f>E118 / 2</f>
        <v>38602036466.550148</v>
      </c>
    </row>
    <row r="120" spans="2:6">
      <c r="B120" s="140" t="s">
        <v>135</v>
      </c>
      <c r="C120" s="124">
        <v>72964086293.786697</v>
      </c>
    </row>
    <row r="121" spans="2:6">
      <c r="B121" s="140" t="s">
        <v>136</v>
      </c>
      <c r="C121" s="124">
        <v>126613817338.8</v>
      </c>
    </row>
    <row r="122" spans="2:6">
      <c r="B122" s="140" t="s">
        <v>137</v>
      </c>
      <c r="C122" s="124">
        <v>150168159226.88699</v>
      </c>
    </row>
    <row r="123" spans="2:6">
      <c r="B123" s="140" t="s">
        <v>138</v>
      </c>
      <c r="C123" s="124">
        <v>103059475450.71201</v>
      </c>
    </row>
    <row r="127" spans="2:6">
      <c r="B127" s="104" t="s">
        <v>126</v>
      </c>
      <c r="C127" s="104">
        <v>2568</v>
      </c>
      <c r="D127" s="104">
        <v>2567</v>
      </c>
      <c r="E127" s="104">
        <v>2566</v>
      </c>
      <c r="F127" s="104">
        <v>2565</v>
      </c>
    </row>
    <row r="129" spans="2:6">
      <c r="B129" s="140" t="s">
        <v>142</v>
      </c>
      <c r="C129">
        <v>6</v>
      </c>
      <c r="D129">
        <v>5.5</v>
      </c>
      <c r="E129">
        <v>5.21</v>
      </c>
      <c r="F129">
        <v>4.63</v>
      </c>
    </row>
    <row r="130" spans="2:6">
      <c r="B130" t="s">
        <v>143</v>
      </c>
      <c r="C130" s="41">
        <f>C121 / (1 - $C$129/100)</f>
        <v>134695550360.42554</v>
      </c>
      <c r="D130" s="41">
        <f>C121 /  (1 - $D$129/100)</f>
        <v>133982875490.79366</v>
      </c>
      <c r="E130" s="41">
        <f>C121 / (1 - $E$129/100)</f>
        <v>133572969025.00264</v>
      </c>
      <c r="F130" s="41">
        <f>C121 / (1 - $F$129/100)</f>
        <v>132760634726.6436</v>
      </c>
    </row>
    <row r="131" spans="2:6">
      <c r="B131" t="s">
        <v>144</v>
      </c>
      <c r="C131" s="41">
        <f>C122 / (1 - $C$129/100)</f>
        <v>159753360879.66702</v>
      </c>
      <c r="D131" s="41">
        <f>C122 /  (1 - $D$129/100)</f>
        <v>158908105001.99683</v>
      </c>
      <c r="E131" s="41">
        <f>C122 / (1 - $E$129/100)</f>
        <v>158421942427.35205</v>
      </c>
      <c r="F131" s="41">
        <f>C122 / (1 - $F$129/100)</f>
        <v>157458487183.48221</v>
      </c>
    </row>
    <row r="132" spans="2:6">
      <c r="B132" t="s">
        <v>145</v>
      </c>
      <c r="C132" s="41">
        <f>C123 / (1 - $C$129/100)</f>
        <v>109637739841.18298</v>
      </c>
      <c r="D132" s="41">
        <f>C123 /  (1 - $D$129/100)</f>
        <v>109057645979.58943</v>
      </c>
      <c r="E132" s="41">
        <f>C123 / (1 - $E$129/100)</f>
        <v>108723995622.65219</v>
      </c>
      <c r="F132" s="41">
        <f>C123 / (1 - $F$129/100)</f>
        <v>108062782269.80392</v>
      </c>
    </row>
    <row r="133" spans="2:6">
      <c r="B133" t="s">
        <v>146</v>
      </c>
      <c r="C133" s="41">
        <f>C118 /  (1 - $C$129/100)</f>
        <v>134695550360.42554</v>
      </c>
      <c r="D133" s="41">
        <f>C118 /  (1 - $D$129/100)</f>
        <v>133982875490.79366</v>
      </c>
      <c r="E133" s="41">
        <f>C118 / (1 - $E$129/100)</f>
        <v>133572969025.00264</v>
      </c>
      <c r="F133" s="41">
        <f>C118 / (1 - $F$129/100)</f>
        <v>132760634726.6436</v>
      </c>
    </row>
    <row r="134" spans="2:6">
      <c r="B134" t="s">
        <v>147</v>
      </c>
      <c r="C134" s="41">
        <f>C119 /  (1 - $C$129/100)</f>
        <v>116223841839.33618</v>
      </c>
      <c r="D134" s="41">
        <f>C119 /  (1 - $D$129/100)</f>
        <v>115608900877.22328</v>
      </c>
      <c r="E134" s="41">
        <f>E119 / (1 - $E$129/100)</f>
        <v>40723743503.059555</v>
      </c>
      <c r="F134" s="41">
        <f>E119 / (1 - $F$129/100)</f>
        <v>40476078920.572662</v>
      </c>
    </row>
    <row r="135" spans="2:6">
      <c r="B135" t="s">
        <v>148</v>
      </c>
      <c r="C135" s="41">
        <f>C120 /  (1 - $C$129/100)</f>
        <v>77621368397.645432</v>
      </c>
      <c r="D135" s="41">
        <f>C120 /  (1 - $D$129/100)</f>
        <v>77210673326.758408</v>
      </c>
      <c r="E135" s="41">
        <f>C120 / (1 - $E$129/100)</f>
        <v>76974455421.232941</v>
      </c>
      <c r="F135" s="41">
        <f>C120 / (1 - $F$129/100)</f>
        <v>76506329342.336899</v>
      </c>
    </row>
    <row r="136" spans="2:6" ht="16" thickBot="1">
      <c r="B136" s="139" t="s">
        <v>149</v>
      </c>
      <c r="C136" s="138">
        <f>E115 / (1 - C129/100)</f>
        <v>189076808510.63831</v>
      </c>
      <c r="D136" s="138">
        <f>E115 / (1 - D129/100)</f>
        <v>188076402116.40213</v>
      </c>
      <c r="E136" s="138">
        <f>E115 / (1 - $E$129/100)</f>
        <v>187501002215.42358</v>
      </c>
      <c r="F136" s="138">
        <f>E115/ (1 - $F$129/100)</f>
        <v>186360700429.90457</v>
      </c>
    </row>
    <row r="138" spans="2:6">
      <c r="B138" t="s">
        <v>150</v>
      </c>
    </row>
    <row r="139" spans="2:6">
      <c r="B139" t="s">
        <v>157</v>
      </c>
    </row>
    <row r="140" spans="2:6">
      <c r="B140" t="s">
        <v>155</v>
      </c>
      <c r="C140" s="41">
        <f>C136-$C$121</f>
        <v>62462991171.838303</v>
      </c>
      <c r="D140" s="41">
        <f>D136-$C$121</f>
        <v>61462584777.602127</v>
      </c>
      <c r="E140" s="41">
        <f>E136-$C$121</f>
        <v>60887184876.623581</v>
      </c>
      <c r="F140" s="41">
        <f>F136-C121</f>
        <v>59746883091.104568</v>
      </c>
    </row>
    <row r="141" spans="2:6">
      <c r="B141" t="s">
        <v>156</v>
      </c>
      <c r="C141" s="41">
        <f>C140-$E$142</f>
        <v>61818744231.838303</v>
      </c>
      <c r="D141" s="41">
        <f>D140-E142</f>
        <v>60818337837.602127</v>
      </c>
      <c r="E141" s="41">
        <f>E140-F142</f>
        <v>60242937936.623581</v>
      </c>
      <c r="F141" s="41">
        <f>F140-F142</f>
        <v>59102636151.104568</v>
      </c>
    </row>
    <row r="142" spans="2:6">
      <c r="B142" t="s">
        <v>154</v>
      </c>
      <c r="C142">
        <v>644246940</v>
      </c>
      <c r="D142">
        <v>644246940</v>
      </c>
      <c r="E142">
        <v>644246940</v>
      </c>
      <c r="F142">
        <v>644246940</v>
      </c>
    </row>
    <row r="143" spans="2:6" ht="16" thickBot="1">
      <c r="B143" s="139" t="s">
        <v>151</v>
      </c>
      <c r="C143" s="106">
        <f>C140/C141</f>
        <v>1.0104215468626132</v>
      </c>
      <c r="D143" s="106">
        <f>D140/D141</f>
        <v>1.0105929718388602</v>
      </c>
      <c r="E143" s="106">
        <f>E140/E141</f>
        <v>1.0106941487594405</v>
      </c>
      <c r="F143" s="106">
        <f>F140/F141</f>
        <v>1.0109004772368002</v>
      </c>
    </row>
    <row r="145" spans="2:6">
      <c r="B145" t="s">
        <v>158</v>
      </c>
    </row>
    <row r="146" spans="2:6">
      <c r="B146" t="s">
        <v>155</v>
      </c>
      <c r="C146" s="41">
        <f>C131 -$C$121</f>
        <v>33139543540.86702</v>
      </c>
      <c r="D146" s="41">
        <f>D131 -$C$121</f>
        <v>32294287663.196823</v>
      </c>
      <c r="E146" s="41">
        <f>E131 -$C$121</f>
        <v>31808125088.552048</v>
      </c>
      <c r="F146" s="41">
        <f>F131 -$C$121</f>
        <v>30844669844.682205</v>
      </c>
    </row>
    <row r="147" spans="2:6">
      <c r="B147" t="s">
        <v>156</v>
      </c>
      <c r="C147" s="41">
        <f>C146 -C148</f>
        <v>32495296600.86702</v>
      </c>
      <c r="D147" s="41">
        <f t="shared" ref="D147:F147" si="93">D146 -D148</f>
        <v>31650040723.196823</v>
      </c>
      <c r="E147" s="41">
        <f t="shared" si="93"/>
        <v>31163878148.552048</v>
      </c>
      <c r="F147" s="41">
        <f t="shared" si="93"/>
        <v>30200422904.682205</v>
      </c>
    </row>
    <row r="148" spans="2:6">
      <c r="B148" t="s">
        <v>154</v>
      </c>
      <c r="C148">
        <v>644246940</v>
      </c>
      <c r="D148">
        <v>644246940</v>
      </c>
      <c r="E148">
        <v>644246940</v>
      </c>
      <c r="F148">
        <v>644246940</v>
      </c>
    </row>
    <row r="149" spans="2:6" ht="16" thickBot="1">
      <c r="B149" s="139" t="s">
        <v>159</v>
      </c>
      <c r="C149" s="139">
        <f>C146/C147</f>
        <v>1.0198258519659984</v>
      </c>
      <c r="D149" s="139">
        <f t="shared" ref="D149:F149" si="94">D146/D147</f>
        <v>1.0203553273638546</v>
      </c>
      <c r="E149" s="139">
        <f t="shared" si="94"/>
        <v>1.0206728744390863</v>
      </c>
      <c r="F149" s="139">
        <f t="shared" si="94"/>
        <v>1.0213323814051662</v>
      </c>
    </row>
    <row r="151" spans="2:6">
      <c r="B151" t="s">
        <v>160</v>
      </c>
    </row>
    <row r="152" spans="2:6">
      <c r="B152" t="s">
        <v>155</v>
      </c>
      <c r="C152" s="41">
        <f>C132 - $C$121</f>
        <v>-16976077497.61702</v>
      </c>
      <c r="D152" s="41">
        <f>D132 - $C$121</f>
        <v>-17556171359.210571</v>
      </c>
      <c r="E152" s="41">
        <f>E132 - $C$121</f>
        <v>-17889821716.147812</v>
      </c>
      <c r="F152" s="41">
        <f>F132 - $C$121</f>
        <v>-18551035068.996078</v>
      </c>
    </row>
    <row r="153" spans="2:6">
      <c r="B153" t="s">
        <v>156</v>
      </c>
      <c r="C153" s="41">
        <f>C152-C154</f>
        <v>-17620324437.61702</v>
      </c>
      <c r="D153" s="41">
        <f t="shared" ref="D153:F153" si="95">D152-D154</f>
        <v>-18200418299.210571</v>
      </c>
      <c r="E153" s="41">
        <f t="shared" si="95"/>
        <v>-18534068656.147812</v>
      </c>
      <c r="F153" s="41">
        <f t="shared" si="95"/>
        <v>-19195282008.996078</v>
      </c>
    </row>
    <row r="154" spans="2:6">
      <c r="B154" t="s">
        <v>154</v>
      </c>
      <c r="C154">
        <v>644246940</v>
      </c>
      <c r="D154">
        <v>644246940</v>
      </c>
      <c r="E154">
        <v>644246940</v>
      </c>
      <c r="F154">
        <v>644246940</v>
      </c>
    </row>
    <row r="155" spans="2:6" ht="16" thickBot="1">
      <c r="B155" s="139" t="s">
        <v>159</v>
      </c>
      <c r="C155" s="139">
        <f>C152/C153</f>
        <v>0.963437282765088</v>
      </c>
      <c r="D155" s="139">
        <f t="shared" ref="D155:F155" si="96">D152/D153</f>
        <v>0.96460263003801716</v>
      </c>
      <c r="E155" s="139">
        <f t="shared" si="96"/>
        <v>0.96523985359327447</v>
      </c>
      <c r="F155" s="139">
        <f t="shared" si="96"/>
        <v>0.96643722453788039</v>
      </c>
    </row>
    <row r="157" spans="2:6">
      <c r="B157" t="s">
        <v>161</v>
      </c>
      <c r="C157" s="71">
        <f>C149 - C155 / C149</f>
        <v>7.5118203196559707E-2</v>
      </c>
      <c r="D157" s="71">
        <f t="shared" ref="D157:F157" si="97">D149 - D155 / D149</f>
        <v>7.4995799982229272E-2</v>
      </c>
      <c r="E157" s="71">
        <f t="shared" si="97"/>
        <v>7.4983145862998812E-2</v>
      </c>
      <c r="F157" s="71">
        <f t="shared" si="97"/>
        <v>7.5080953238128356E-2</v>
      </c>
    </row>
    <row r="160" spans="2:6">
      <c r="B160" t="s">
        <v>165</v>
      </c>
      <c r="C160" s="104">
        <v>2568</v>
      </c>
      <c r="D160" s="104">
        <v>2567</v>
      </c>
      <c r="E160" s="104">
        <v>2566</v>
      </c>
      <c r="F160" s="104">
        <v>2565</v>
      </c>
    </row>
    <row r="161" spans="2:6">
      <c r="B161" s="142" t="s">
        <v>162</v>
      </c>
      <c r="C161" s="41">
        <f>C131 * 82%</f>
        <v>130997755921.32695</v>
      </c>
      <c r="D161" s="41">
        <f>D131 * 80%</f>
        <v>127126484001.59747</v>
      </c>
      <c r="E161" s="41">
        <f>81.53% *H65</f>
        <v>122463861318.5139</v>
      </c>
      <c r="F161" s="41">
        <f>82.65% * I65</f>
        <v>141737951021.73151</v>
      </c>
    </row>
    <row r="162" spans="2:6">
      <c r="B162" s="142" t="s">
        <v>163</v>
      </c>
      <c r="C162" s="41">
        <f>C131 * 17.5%</f>
        <v>27956838153.941727</v>
      </c>
      <c r="D162" s="41">
        <f>D131 * 17.5%</f>
        <v>27808918375.349442</v>
      </c>
      <c r="E162" s="41">
        <f>17.96% *H65</f>
        <v>26977197955.114803</v>
      </c>
      <c r="F162" s="41">
        <f>16.95% * I65</f>
        <v>29067855654.184498</v>
      </c>
    </row>
    <row r="163" spans="2:6">
      <c r="B163" s="142" t="s">
        <v>164</v>
      </c>
      <c r="C163" s="148">
        <f>C131 * 0.5%</f>
        <v>798766804.3983351</v>
      </c>
      <c r="D163" s="148">
        <f>D131 * 2.5%</f>
        <v>3972702625.049921</v>
      </c>
      <c r="E163" s="148">
        <f>0.51% *H65</f>
        <v>766056289.3713001</v>
      </c>
      <c r="F163" s="148">
        <f>0.4%* I65</f>
        <v>685967095.08399999</v>
      </c>
    </row>
    <row r="164" spans="2:6" ht="16" thickBot="1">
      <c r="B164" s="142" t="s">
        <v>166</v>
      </c>
      <c r="C164" s="43">
        <f>SUM(C161:C163)</f>
        <v>159753360879.66702</v>
      </c>
      <c r="D164" s="43">
        <f t="shared" ref="D164" si="98">SUM(D161:D163)</f>
        <v>158908105001.99683</v>
      </c>
      <c r="E164" s="43">
        <f>SUM(E161:E163)</f>
        <v>150207115563</v>
      </c>
      <c r="F164" s="43">
        <f>SUM(F161:F163)</f>
        <v>171491773771.00003</v>
      </c>
    </row>
    <row r="165" spans="2:6" ht="16" thickTop="1">
      <c r="C165" s="41">
        <f>C132 * 82%</f>
        <v>89902946669.770035</v>
      </c>
      <c r="D165" s="41">
        <f>D132 * 80%</f>
        <v>87246116783.671555</v>
      </c>
    </row>
    <row r="166" spans="2:6">
      <c r="C166" s="41">
        <f>C132 * 17.5%</f>
        <v>19186604472.20702</v>
      </c>
      <c r="D166" s="41">
        <f>D132 * 17.5%</f>
        <v>19085088046.42815</v>
      </c>
    </row>
    <row r="167" spans="2:6">
      <c r="C167" s="148">
        <f>C132 * 0.5%</f>
        <v>548188699.20591497</v>
      </c>
      <c r="D167" s="148">
        <f>D132 * 2.5%</f>
        <v>2726441149.4897361</v>
      </c>
      <c r="E167" s="149"/>
      <c r="F167" s="149"/>
    </row>
    <row r="168" spans="2:6" ht="16" thickBot="1">
      <c r="B168" s="142" t="s">
        <v>167</v>
      </c>
      <c r="C168" s="43">
        <f>SUM(C165:C167)</f>
        <v>109637739841.18297</v>
      </c>
      <c r="D168" s="43">
        <f t="shared" ref="D168" si="99">SUM(D165:D167)</f>
        <v>109057645979.58943</v>
      </c>
      <c r="E168" s="147"/>
      <c r="F168" s="147"/>
    </row>
    <row r="169" spans="2:6" ht="16" thickTop="1">
      <c r="C169" s="41">
        <f>C136 * 82%</f>
        <v>155042982978.72339</v>
      </c>
      <c r="D169" s="41">
        <f>D136 * 80%</f>
        <v>150461121693.1217</v>
      </c>
    </row>
    <row r="170" spans="2:6">
      <c r="C170" s="41">
        <f>C136 * 17.5%</f>
        <v>33088441489.361702</v>
      </c>
      <c r="D170" s="41">
        <f>D136 * 17.5%</f>
        <v>32913370370.370369</v>
      </c>
    </row>
    <row r="171" spans="2:6">
      <c r="C171" s="148">
        <f>C136 * 0.5%</f>
        <v>945384042.55319154</v>
      </c>
      <c r="D171" s="148">
        <f>D136 * 2.5%</f>
        <v>4701910052.9100533</v>
      </c>
      <c r="E171" s="149"/>
      <c r="F171" s="149"/>
    </row>
    <row r="172" spans="2:6" ht="16" thickBot="1">
      <c r="B172" s="142" t="s">
        <v>168</v>
      </c>
      <c r="C172" s="43">
        <f>SUM(C169:C171)</f>
        <v>189076808510.63828</v>
      </c>
      <c r="D172" s="43">
        <f t="shared" ref="D172" si="100">SUM(D169:D171)</f>
        <v>188076402116.40213</v>
      </c>
      <c r="E172" s="147"/>
      <c r="F172" s="147"/>
    </row>
    <row r="173" spans="2:6" ht="16" thickTop="1"/>
  </sheetData>
  <conditionalFormatting sqref="D6:G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R1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R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1:I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N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5:AJ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D6E2-0F2C-4C36-9857-A2E17DE541BD}">
  <dimension ref="A1:R67"/>
  <sheetViews>
    <sheetView topLeftCell="A4" zoomScaleNormal="100" workbookViewId="0">
      <selection activeCell="D16" sqref="D16"/>
    </sheetView>
  </sheetViews>
  <sheetFormatPr baseColWidth="10" defaultColWidth="8.83203125" defaultRowHeight="15"/>
  <cols>
    <col min="2" max="2" width="36.5" customWidth="1"/>
    <col min="3" max="3" width="18.1640625" customWidth="1"/>
    <col min="4" max="5" width="24.5" customWidth="1"/>
    <col min="6" max="6" width="23.5" customWidth="1"/>
    <col min="7" max="7" width="22" customWidth="1"/>
    <col min="8" max="8" width="23.33203125" customWidth="1"/>
    <col min="9" max="9" width="21.83203125" customWidth="1"/>
    <col min="10" max="10" width="21.5" customWidth="1"/>
    <col min="11" max="11" width="24.83203125" customWidth="1"/>
    <col min="12" max="12" width="21" customWidth="1"/>
    <col min="13" max="13" width="22.6640625" customWidth="1"/>
    <col min="14" max="14" width="20.6640625" customWidth="1"/>
    <col min="15" max="15" width="23.6640625" customWidth="1"/>
    <col min="18" max="18" width="22.5" customWidth="1"/>
    <col min="19" max="19" width="12.33203125" customWidth="1"/>
  </cols>
  <sheetData>
    <row r="1" spans="1:14" ht="24">
      <c r="A1" s="1" t="s">
        <v>51</v>
      </c>
      <c r="B1" s="1"/>
      <c r="C1" s="1"/>
      <c r="D1" s="10" t="s">
        <v>43</v>
      </c>
      <c r="E1" s="1"/>
      <c r="F1" s="1"/>
      <c r="G1" s="1"/>
    </row>
    <row r="2" spans="1:14" ht="24">
      <c r="A2" s="4" t="s">
        <v>52</v>
      </c>
      <c r="B2" s="1"/>
      <c r="C2" s="1"/>
      <c r="D2" s="9">
        <f>2.27+1.31*(6.94-2.27)</f>
        <v>8.3877000000000006</v>
      </c>
      <c r="E2" s="1"/>
      <c r="F2" s="1"/>
      <c r="G2" s="1"/>
    </row>
    <row r="3" spans="1:14" ht="24">
      <c r="A3" s="1"/>
      <c r="B3" s="1"/>
      <c r="C3" s="1"/>
      <c r="D3" s="1"/>
      <c r="E3" s="1"/>
      <c r="F3" s="1"/>
      <c r="G3" s="1"/>
    </row>
    <row r="4" spans="1:14" ht="24">
      <c r="A4" s="1"/>
      <c r="B4" s="1" t="s">
        <v>53</v>
      </c>
      <c r="C4" s="1"/>
      <c r="D4" s="3"/>
      <c r="E4" s="1"/>
      <c r="F4" s="1"/>
      <c r="G4" s="1"/>
      <c r="H4" s="44" t="s">
        <v>100</v>
      </c>
    </row>
    <row r="5" spans="1:14" ht="24">
      <c r="A5" s="1"/>
      <c r="B5" s="7" t="s">
        <v>9</v>
      </c>
      <c r="C5" s="10"/>
      <c r="D5" s="7" t="s">
        <v>50</v>
      </c>
      <c r="E5" s="7" t="s">
        <v>21</v>
      </c>
      <c r="F5" s="7" t="s">
        <v>49</v>
      </c>
      <c r="G5" s="7" t="s">
        <v>48</v>
      </c>
      <c r="H5" s="57">
        <v>2566</v>
      </c>
      <c r="I5" s="7">
        <v>2565</v>
      </c>
      <c r="J5" s="7">
        <v>2564</v>
      </c>
      <c r="K5" s="7">
        <v>2563</v>
      </c>
      <c r="L5" s="7">
        <v>2562</v>
      </c>
      <c r="M5" s="7">
        <v>2561</v>
      </c>
      <c r="N5" s="7">
        <v>2560</v>
      </c>
    </row>
    <row r="6" spans="1:14" ht="24">
      <c r="A6" s="1"/>
      <c r="B6" s="1" t="s">
        <v>3</v>
      </c>
      <c r="C6" s="5"/>
      <c r="D6" s="30">
        <f>SUM(E6:G6)* (1 + D20)</f>
        <v>306831.52499999997</v>
      </c>
      <c r="E6" s="30">
        <v>141679</v>
      </c>
      <c r="F6" s="26">
        <v>92766</v>
      </c>
      <c r="G6" s="28">
        <v>70860</v>
      </c>
      <c r="H6" s="35">
        <v>1188439</v>
      </c>
      <c r="I6" s="31">
        <v>422079</v>
      </c>
      <c r="J6" s="31">
        <v>233527</v>
      </c>
      <c r="K6" s="31">
        <v>154415</v>
      </c>
      <c r="L6" s="31">
        <v>360065</v>
      </c>
      <c r="M6" s="31">
        <v>137841</v>
      </c>
      <c r="N6" s="31">
        <v>329685</v>
      </c>
    </row>
    <row r="7" spans="1:14" ht="26.25" customHeight="1">
      <c r="A7" s="1"/>
      <c r="B7" s="1" t="s">
        <v>18</v>
      </c>
      <c r="C7" s="5"/>
      <c r="D7" s="30">
        <f>SUM(E7:G7) * (1 + D20)</f>
        <v>708958.15499999991</v>
      </c>
      <c r="E7" s="30">
        <v>356587</v>
      </c>
      <c r="F7" s="27">
        <v>233086</v>
      </c>
      <c r="G7" s="29">
        <v>115758</v>
      </c>
      <c r="H7" s="36">
        <v>440388</v>
      </c>
      <c r="I7" s="34">
        <v>396709</v>
      </c>
      <c r="J7" s="34">
        <v>359758</v>
      </c>
      <c r="K7" s="32">
        <v>341434</v>
      </c>
      <c r="L7" s="32">
        <v>158491</v>
      </c>
      <c r="M7" s="32">
        <v>150606</v>
      </c>
      <c r="N7" s="32">
        <v>138794</v>
      </c>
    </row>
    <row r="8" spans="1:14" ht="23.25" customHeight="1">
      <c r="A8" s="1"/>
      <c r="B8" s="2" t="s">
        <v>5</v>
      </c>
      <c r="C8" s="5"/>
      <c r="D8" s="30">
        <f>SUM(E8:G8) * (1 + D20)</f>
        <v>-506241.61499999993</v>
      </c>
      <c r="E8" s="30">
        <v>-340636</v>
      </c>
      <c r="F8" s="30">
        <v>65160</v>
      </c>
      <c r="G8" s="30">
        <v>-228247</v>
      </c>
      <c r="H8" s="35">
        <v>-762429</v>
      </c>
      <c r="I8" s="34">
        <v>68417</v>
      </c>
      <c r="J8" s="34">
        <v>143557</v>
      </c>
      <c r="K8" s="34">
        <v>-2965</v>
      </c>
      <c r="L8" s="34">
        <v>-196311</v>
      </c>
      <c r="M8" s="32">
        <v>70749</v>
      </c>
      <c r="N8" s="32">
        <v>-126644</v>
      </c>
    </row>
    <row r="9" spans="1:14" ht="24">
      <c r="A9" s="1"/>
      <c r="B9" s="1" t="s">
        <v>4</v>
      </c>
      <c r="C9" s="5"/>
      <c r="D9" s="30">
        <f>SUM(E9:G9) * (1 + D20)</f>
        <v>-745917.02999999991</v>
      </c>
      <c r="E9" s="30">
        <v>-322127</v>
      </c>
      <c r="F9" s="27">
        <v>-278434</v>
      </c>
      <c r="G9" s="27">
        <v>-141645</v>
      </c>
      <c r="H9" s="35">
        <v>300847</v>
      </c>
      <c r="I9" s="34">
        <v>-591242</v>
      </c>
      <c r="J9" s="34">
        <v>-460890</v>
      </c>
      <c r="K9" s="34">
        <v>-233533</v>
      </c>
      <c r="L9" s="34">
        <v>-109553</v>
      </c>
      <c r="M9" s="32">
        <v>-307091</v>
      </c>
      <c r="N9" s="32">
        <v>-227524</v>
      </c>
    </row>
    <row r="10" spans="1:14" ht="24">
      <c r="A10" s="1"/>
      <c r="B10" s="1" t="s">
        <v>0</v>
      </c>
      <c r="C10" s="5"/>
      <c r="D10" s="30">
        <f>SUM(E10:G10) * (1 + D20)</f>
        <v>122225.08499999999</v>
      </c>
      <c r="E10" s="30">
        <v>259414</v>
      </c>
      <c r="F10" s="27">
        <v>-117898</v>
      </c>
      <c r="G10" s="27">
        <v>-19899</v>
      </c>
      <c r="H10" s="35">
        <v>-7393</v>
      </c>
      <c r="I10" s="34">
        <v>436356</v>
      </c>
      <c r="J10" s="34">
        <v>-41876</v>
      </c>
      <c r="K10" s="34">
        <v>-239928</v>
      </c>
      <c r="L10" s="34">
        <v>-264326</v>
      </c>
      <c r="M10" s="32">
        <v>-30725</v>
      </c>
      <c r="N10" s="32">
        <v>-74419</v>
      </c>
    </row>
    <row r="11" spans="1:14" ht="24">
      <c r="A11" s="1"/>
      <c r="B11" s="1" t="s">
        <v>7</v>
      </c>
      <c r="C11" s="5"/>
      <c r="D11" s="26">
        <f t="shared" ref="D11" si="0">D12+D7</f>
        <v>1417638.9299999997</v>
      </c>
      <c r="E11" s="26">
        <f>E12+E7</f>
        <v>697530</v>
      </c>
      <c r="F11" s="26">
        <f t="shared" ref="F11" si="1">F12+F7</f>
        <v>465115</v>
      </c>
      <c r="G11" s="26">
        <f t="shared" ref="G11" si="2">G12+G7</f>
        <v>247941</v>
      </c>
      <c r="H11" s="35">
        <f>H12+H7</f>
        <v>2037106</v>
      </c>
      <c r="I11" s="26">
        <f>I12+I7</f>
        <v>1022271</v>
      </c>
      <c r="J11" s="26">
        <f t="shared" ref="J11" si="3">J12+J7</f>
        <v>730236</v>
      </c>
      <c r="K11" s="26">
        <f t="shared" ref="K11:L11" si="4">K12+K7</f>
        <v>670748</v>
      </c>
      <c r="L11" s="26">
        <f t="shared" si="4"/>
        <v>667009</v>
      </c>
      <c r="M11" s="26">
        <f>M12+M7</f>
        <v>502669</v>
      </c>
      <c r="N11" s="26">
        <f>N12+N7</f>
        <v>540534</v>
      </c>
    </row>
    <row r="12" spans="1:14" ht="24">
      <c r="A12" s="1"/>
      <c r="B12" s="1" t="s">
        <v>8</v>
      </c>
      <c r="C12" s="3"/>
      <c r="D12" s="30">
        <f>SUM(E12:G12)* (1 + D20)</f>
        <v>708680.77499999991</v>
      </c>
      <c r="E12" s="26">
        <v>340943</v>
      </c>
      <c r="F12" s="27">
        <v>232029</v>
      </c>
      <c r="G12" s="27">
        <v>132183</v>
      </c>
      <c r="H12" s="35">
        <v>1596718</v>
      </c>
      <c r="I12" s="26">
        <v>625562</v>
      </c>
      <c r="J12" s="26">
        <v>370478</v>
      </c>
      <c r="K12" s="26">
        <v>329314</v>
      </c>
      <c r="L12" s="26">
        <v>508518</v>
      </c>
      <c r="M12" s="26">
        <v>352063</v>
      </c>
      <c r="N12" s="26">
        <v>401740</v>
      </c>
    </row>
    <row r="13" spans="1:14" ht="24">
      <c r="A13" s="1"/>
      <c r="B13" s="1" t="s">
        <v>10</v>
      </c>
      <c r="C13" s="3"/>
      <c r="D13" s="26">
        <v>0.2</v>
      </c>
      <c r="E13" s="26">
        <v>0.2</v>
      </c>
      <c r="F13" s="26">
        <v>0.2</v>
      </c>
      <c r="G13" s="26">
        <v>0.2</v>
      </c>
      <c r="H13" s="35">
        <v>0.2</v>
      </c>
      <c r="I13" s="26">
        <v>0.2</v>
      </c>
      <c r="J13" s="26">
        <v>0.2</v>
      </c>
      <c r="K13" s="26">
        <v>0.2</v>
      </c>
      <c r="L13" s="26">
        <v>0.2</v>
      </c>
      <c r="M13" s="26">
        <v>0.2</v>
      </c>
      <c r="N13" s="26">
        <v>0.2</v>
      </c>
    </row>
    <row r="14" spans="1:14" ht="24">
      <c r="A14" s="1"/>
      <c r="B14" s="1" t="s">
        <v>16</v>
      </c>
      <c r="C14" s="6"/>
      <c r="D14" s="30">
        <f>SUM(E14:G14) * (1 + D20)</f>
        <v>898332.31499999994</v>
      </c>
      <c r="E14" s="30">
        <v>378778</v>
      </c>
      <c r="F14" s="26">
        <v>511978</v>
      </c>
      <c r="G14" s="33">
        <v>3107</v>
      </c>
      <c r="H14" s="35">
        <v>-125048</v>
      </c>
      <c r="I14" s="34">
        <v>-63323</v>
      </c>
      <c r="J14" s="34">
        <v>743573</v>
      </c>
      <c r="K14" s="34">
        <v>641990</v>
      </c>
      <c r="L14" s="34">
        <v>391848</v>
      </c>
      <c r="M14" s="32">
        <v>558832</v>
      </c>
      <c r="N14" s="32">
        <v>376950</v>
      </c>
    </row>
    <row r="15" spans="1:14" ht="24">
      <c r="A15" s="1"/>
      <c r="B15" s="24"/>
      <c r="C15" s="1"/>
      <c r="D15" s="24"/>
      <c r="E15" s="24"/>
      <c r="F15" s="24"/>
      <c r="G15" s="24"/>
      <c r="H15" s="37"/>
      <c r="I15" s="25"/>
      <c r="J15" s="25"/>
      <c r="K15" s="25"/>
      <c r="L15" s="25"/>
      <c r="M15" s="25"/>
      <c r="N15" s="25"/>
    </row>
    <row r="16" spans="1:14" ht="24">
      <c r="A16" s="1"/>
      <c r="B16" s="22" t="s">
        <v>6</v>
      </c>
      <c r="C16" s="3"/>
      <c r="D16" s="23">
        <f t="shared" ref="D16:L16" si="5">D11-D11*D13+D7-D8-D9</f>
        <v>3095227.9439999992</v>
      </c>
      <c r="E16" s="23">
        <f t="shared" si="5"/>
        <v>1577374</v>
      </c>
      <c r="F16" s="23">
        <f t="shared" si="5"/>
        <v>818452</v>
      </c>
      <c r="G16" s="23">
        <f t="shared" si="5"/>
        <v>684002.8</v>
      </c>
      <c r="H16" s="38">
        <f t="shared" si="5"/>
        <v>2531654.7999999998</v>
      </c>
      <c r="I16" s="23">
        <f t="shared" si="5"/>
        <v>1737350.8</v>
      </c>
      <c r="J16" s="23">
        <f t="shared" si="5"/>
        <v>1261279.8</v>
      </c>
      <c r="K16" s="23">
        <f t="shared" si="5"/>
        <v>1114530.3999999999</v>
      </c>
      <c r="L16" s="23">
        <f t="shared" si="5"/>
        <v>997962.2</v>
      </c>
      <c r="M16" s="23">
        <f>M11-M11*M13+M7-M8-M9</f>
        <v>789083.2</v>
      </c>
      <c r="N16" s="23">
        <f>N11-N11*N13+N7-N8-N9</f>
        <v>925389.2</v>
      </c>
    </row>
    <row r="17" spans="1:15" ht="24">
      <c r="A17" s="1"/>
      <c r="B17" s="1" t="s">
        <v>1</v>
      </c>
      <c r="C17" s="5"/>
      <c r="D17" s="3">
        <f t="shared" ref="D17:L17" si="6">D6+D7-D8-D9+D10</f>
        <v>2390173.4099999997</v>
      </c>
      <c r="E17" s="3">
        <f>E6+E7-E8-E9+E10</f>
        <v>1420443</v>
      </c>
      <c r="F17" s="3">
        <f t="shared" si="6"/>
        <v>421228</v>
      </c>
      <c r="G17" s="3">
        <f t="shared" si="6"/>
        <v>536611</v>
      </c>
      <c r="H17" s="39">
        <f t="shared" si="6"/>
        <v>2083016</v>
      </c>
      <c r="I17" s="3">
        <f t="shared" si="6"/>
        <v>1777969</v>
      </c>
      <c r="J17" s="3">
        <f t="shared" si="6"/>
        <v>868742</v>
      </c>
      <c r="K17" s="3">
        <f>K6+K7-K8-K9+K10</f>
        <v>492419</v>
      </c>
      <c r="L17" s="3">
        <f t="shared" si="6"/>
        <v>560094</v>
      </c>
      <c r="M17" s="3">
        <f>M6+M7-M8-M9+M10</f>
        <v>494064</v>
      </c>
      <c r="N17" s="3">
        <f>N6+N7-N8+N9+N10</f>
        <v>293180</v>
      </c>
    </row>
    <row r="18" spans="1:15" ht="25" thickBot="1">
      <c r="A18" s="1"/>
      <c r="B18" s="20" t="s">
        <v>12</v>
      </c>
      <c r="C18" s="3"/>
      <c r="D18" s="21">
        <f t="shared" ref="D18:L18" si="7">D14-D9</f>
        <v>1644249.3449999997</v>
      </c>
      <c r="E18" s="21">
        <f t="shared" si="7"/>
        <v>700905</v>
      </c>
      <c r="F18" s="21">
        <f t="shared" si="7"/>
        <v>790412</v>
      </c>
      <c r="G18" s="21">
        <f t="shared" si="7"/>
        <v>144752</v>
      </c>
      <c r="H18" s="40">
        <f t="shared" si="7"/>
        <v>-425895</v>
      </c>
      <c r="I18" s="21">
        <f t="shared" si="7"/>
        <v>527919</v>
      </c>
      <c r="J18" s="21">
        <f t="shared" si="7"/>
        <v>1204463</v>
      </c>
      <c r="K18" s="21">
        <f t="shared" si="7"/>
        <v>875523</v>
      </c>
      <c r="L18" s="21">
        <f t="shared" si="7"/>
        <v>501401</v>
      </c>
      <c r="M18" s="21">
        <f>M14-M9</f>
        <v>865923</v>
      </c>
      <c r="N18" s="21">
        <f>N14-N9</f>
        <v>604474</v>
      </c>
    </row>
    <row r="19" spans="1:15">
      <c r="D19" s="44" t="s">
        <v>61</v>
      </c>
      <c r="E19" s="44" t="s">
        <v>62</v>
      </c>
      <c r="F19" s="44" t="s">
        <v>60</v>
      </c>
    </row>
    <row r="20" spans="1:15" ht="24">
      <c r="B20" s="1" t="s">
        <v>54</v>
      </c>
      <c r="D20" s="55">
        <v>5.0000000000000001E-3</v>
      </c>
      <c r="E20" s="42">
        <v>0.1</v>
      </c>
      <c r="F20" s="42">
        <v>0.1</v>
      </c>
      <c r="G20" s="44"/>
      <c r="H20" s="56">
        <v>7</v>
      </c>
      <c r="I20" s="56">
        <v>6</v>
      </c>
      <c r="J20" s="56">
        <v>5</v>
      </c>
      <c r="K20" s="56">
        <v>4</v>
      </c>
      <c r="L20" s="56">
        <v>3</v>
      </c>
      <c r="M20" s="56">
        <v>2</v>
      </c>
      <c r="N20" s="56">
        <v>1</v>
      </c>
    </row>
    <row r="21" spans="1:15" ht="24">
      <c r="B21" s="1" t="s">
        <v>13</v>
      </c>
      <c r="D21" s="41">
        <f>D16 / (1+$D$20) ^ 8</f>
        <v>2974158.7337826858</v>
      </c>
      <c r="E21" s="41">
        <f>E16 / (1+$D$20) ^8</f>
        <v>1515675.3374612629</v>
      </c>
      <c r="F21" s="41">
        <f>F16 / (1+$D$20) ^ 8</f>
        <v>786438.41682178457</v>
      </c>
      <c r="G21" s="41">
        <f>G16 / (1+$D$20) ^ 8</f>
        <v>657248.1698788295</v>
      </c>
      <c r="H21" s="41">
        <f>H16 / (1+$D$20) ^ $H$20</f>
        <v>2444792.7866454325</v>
      </c>
      <c r="I21" s="41">
        <f>I16 / (1+$D$20) ^ $I$20</f>
        <v>1686130.3591750483</v>
      </c>
      <c r="J21" s="41">
        <f>J16 / (1+$D$20) ^ $J$20</f>
        <v>1230215.3215143448</v>
      </c>
      <c r="K21" s="41">
        <f>K16 / (1+$D$20) ^ $K$20</f>
        <v>1092515.6624607628</v>
      </c>
      <c r="L21" s="41">
        <f>L16 / (1+$D$20) ^ $L$20</f>
        <v>983141.22316808847</v>
      </c>
      <c r="M21" s="41">
        <f>M16 / (1+$D$20) ^ $M$20</f>
        <v>781251.15714957565</v>
      </c>
      <c r="N21" s="41">
        <f>N16 / (1+$D$20) ^ $N$20</f>
        <v>920785.27363184083</v>
      </c>
    </row>
    <row r="22" spans="1:15" ht="24">
      <c r="B22" s="1" t="s">
        <v>14</v>
      </c>
      <c r="D22" s="41">
        <f t="shared" ref="D22:D23" si="8">D17 / (1+$D$20) ^ 8</f>
        <v>2296682.2641888908</v>
      </c>
      <c r="E22" s="41">
        <f t="shared" ref="E22:E23" si="9">E17 / (1+$D$20) ^8</f>
        <v>1364882.6615434822</v>
      </c>
      <c r="F22" s="41">
        <f t="shared" ref="F22:F23" si="10">F17 / (1+$D$20) ^ 8</f>
        <v>404751.75262691849</v>
      </c>
      <c r="G22" s="41">
        <f t="shared" ref="G22:G23" si="11">G17 / (1+$D$20) ^ $N$20</f>
        <v>533941.29353233834</v>
      </c>
      <c r="H22" s="41">
        <f t="shared" ref="H22:H23" si="12">H17 / (1+$D$20) ^ $H$20</f>
        <v>2011546.9499502946</v>
      </c>
      <c r="I22" s="41">
        <f t="shared" ref="I22:I23" si="13">I17 / (1+$D$20) ^ $I$20</f>
        <v>1725551.0565696354</v>
      </c>
      <c r="J22" s="41">
        <f t="shared" ref="J22:J23" si="14">J17 / (1+$D$20) ^ $J$20</f>
        <v>847345.46517197439</v>
      </c>
      <c r="K22" s="41">
        <f t="shared" ref="K22:K23" si="15">K17 / (1+$D$20) ^ $K$20</f>
        <v>482692.50438863435</v>
      </c>
      <c r="L22" s="41">
        <f t="shared" ref="L22:L23" si="16">L17 / (1+$D$20) ^ $L$20</f>
        <v>551775.90919686877</v>
      </c>
      <c r="M22" s="41">
        <f t="shared" ref="M22:M23" si="17">M17 / (1+$D$20) ^ $M$20</f>
        <v>489160.16930274013</v>
      </c>
      <c r="N22" s="41">
        <f>N17 / (1+$D$20) ^ $N$20</f>
        <v>291721.39303482592</v>
      </c>
    </row>
    <row r="23" spans="1:15" ht="25" thickBot="1">
      <c r="B23" s="1" t="s">
        <v>15</v>
      </c>
      <c r="D23" s="41">
        <f t="shared" si="8"/>
        <v>1579934.8669708865</v>
      </c>
      <c r="E23" s="41">
        <f t="shared" si="9"/>
        <v>673489.24377052404</v>
      </c>
      <c r="F23" s="41">
        <f t="shared" si="10"/>
        <v>759495.19570718915</v>
      </c>
      <c r="G23" s="41">
        <f t="shared" si="11"/>
        <v>144031.84079601991</v>
      </c>
      <c r="H23" s="43">
        <f t="shared" si="12"/>
        <v>-411282.38489242556</v>
      </c>
      <c r="I23" s="43">
        <f t="shared" si="13"/>
        <v>512354.93320366408</v>
      </c>
      <c r="J23" s="43">
        <f t="shared" si="14"/>
        <v>1174797.8813242964</v>
      </c>
      <c r="K23" s="43">
        <f t="shared" si="15"/>
        <v>858229.25094249065</v>
      </c>
      <c r="L23" s="43">
        <f t="shared" si="16"/>
        <v>493954.5730666981</v>
      </c>
      <c r="M23" s="43">
        <f t="shared" si="17"/>
        <v>857328.28395336773</v>
      </c>
      <c r="N23" s="43">
        <f>N18 / (1+$D$20) ^ $N$20</f>
        <v>601466.66666666674</v>
      </c>
    </row>
    <row r="24" spans="1:15" ht="17" thickTop="1" thickBot="1">
      <c r="B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</row>
    <row r="25" spans="1:15" ht="24">
      <c r="B25" s="1"/>
      <c r="C25" s="1"/>
      <c r="D25" s="58" t="s">
        <v>93</v>
      </c>
      <c r="E25" s="1"/>
      <c r="F25" s="1"/>
      <c r="G25" s="9" t="s">
        <v>94</v>
      </c>
      <c r="H25" s="97">
        <v>8.34</v>
      </c>
      <c r="I25" s="58" t="s">
        <v>91</v>
      </c>
      <c r="J25" s="1"/>
      <c r="K25" s="1"/>
      <c r="L25" s="1"/>
      <c r="M25" s="58" t="s">
        <v>92</v>
      </c>
      <c r="N25" s="1"/>
      <c r="O25" s="1"/>
    </row>
    <row r="26" spans="1:15" ht="25" thickBot="1">
      <c r="C26" s="1"/>
      <c r="D26" s="82" t="s">
        <v>13</v>
      </c>
      <c r="E26" s="82" t="s">
        <v>14</v>
      </c>
      <c r="F26" s="83" t="s">
        <v>15</v>
      </c>
      <c r="G26" s="10" t="s">
        <v>95</v>
      </c>
      <c r="H26" s="46">
        <f>H11 *H25</f>
        <v>16989464.039999999</v>
      </c>
      <c r="I26" s="82" t="s">
        <v>13</v>
      </c>
      <c r="J26" s="82" t="s">
        <v>14</v>
      </c>
      <c r="K26" s="83" t="s">
        <v>15</v>
      </c>
      <c r="L26" s="1"/>
      <c r="M26" s="82" t="s">
        <v>13</v>
      </c>
      <c r="N26" s="82" t="s">
        <v>14</v>
      </c>
      <c r="O26" s="82" t="s">
        <v>15</v>
      </c>
    </row>
    <row r="27" spans="1:15" ht="24">
      <c r="B27" s="10" t="s">
        <v>55</v>
      </c>
      <c r="C27" s="1"/>
      <c r="D27" s="3">
        <f>SUM(H21:N21)</f>
        <v>9138831.7837450933</v>
      </c>
      <c r="E27" s="3">
        <f>SUM(H22:N22)</f>
        <v>6399793.4476149734</v>
      </c>
      <c r="F27" s="3">
        <f>SUM(H23:N23)</f>
        <v>4086849.2042647582</v>
      </c>
      <c r="G27" s="1" t="s">
        <v>96</v>
      </c>
      <c r="H27" s="98"/>
      <c r="I27" s="3">
        <f>SUM(H21:N21)</f>
        <v>9138831.7837450933</v>
      </c>
      <c r="J27" s="3">
        <f>SUM(H22:N22)</f>
        <v>6399793.4476149734</v>
      </c>
      <c r="K27" s="3">
        <f>SUM(H23:N23)</f>
        <v>4086849.2042647582</v>
      </c>
      <c r="L27" s="1"/>
      <c r="M27" s="3">
        <f>SUM(H21:N21)</f>
        <v>9138831.7837450933</v>
      </c>
      <c r="N27" s="3">
        <f>SUM(H22:N22)</f>
        <v>6399793.4476149734</v>
      </c>
      <c r="O27" s="3">
        <f>SUM(H23:N23)</f>
        <v>4086849.2042647582</v>
      </c>
    </row>
    <row r="28" spans="1:15" ht="24">
      <c r="B28" s="10" t="s">
        <v>56</v>
      </c>
      <c r="C28" s="1"/>
      <c r="D28" s="92">
        <f>I27+D21</f>
        <v>12112990.51752778</v>
      </c>
      <c r="E28" s="92">
        <f>J27+D22</f>
        <v>8696475.7118038647</v>
      </c>
      <c r="F28" s="92">
        <f>K27+D23</f>
        <v>5666784.0712356446</v>
      </c>
      <c r="G28" s="1" t="s">
        <v>97</v>
      </c>
      <c r="H28" s="46">
        <f>H26 /(1+F20)^7</f>
        <v>8718281.3965146542</v>
      </c>
      <c r="I28" s="3">
        <f>I27+D21</f>
        <v>12112990.51752778</v>
      </c>
      <c r="J28" s="3">
        <f>J27+D22</f>
        <v>8696475.7118038647</v>
      </c>
      <c r="K28" s="3">
        <f>K27+D23</f>
        <v>5666784.0712356446</v>
      </c>
      <c r="L28" s="1"/>
      <c r="M28" s="3">
        <f>I27+D21</f>
        <v>12112990.51752778</v>
      </c>
      <c r="N28" s="3">
        <f>J27+D22</f>
        <v>8696475.7118038647</v>
      </c>
      <c r="O28" s="3">
        <f>K27+D23</f>
        <v>5666784.0712356446</v>
      </c>
    </row>
    <row r="29" spans="1:15" ht="25" thickBot="1">
      <c r="B29" s="1">
        <v>2.76</v>
      </c>
      <c r="C29" s="1"/>
      <c r="D29" s="10"/>
      <c r="E29" s="10"/>
      <c r="F29" s="10"/>
      <c r="G29" s="1"/>
      <c r="H29" s="98"/>
      <c r="I29" s="82" t="s">
        <v>57</v>
      </c>
      <c r="J29" s="82" t="s">
        <v>58</v>
      </c>
      <c r="K29" s="83" t="s">
        <v>59</v>
      </c>
      <c r="L29" s="1"/>
      <c r="M29" s="82" t="s">
        <v>88</v>
      </c>
      <c r="N29" s="82" t="s">
        <v>89</v>
      </c>
      <c r="O29" s="82" t="s">
        <v>90</v>
      </c>
    </row>
    <row r="30" spans="1:15" ht="25" thickBot="1">
      <c r="B30" s="1">
        <v>1000</v>
      </c>
      <c r="C30" s="1"/>
      <c r="D30" s="1"/>
      <c r="E30" s="1"/>
      <c r="F30" s="1"/>
      <c r="G30" s="1"/>
      <c r="H30" s="98"/>
      <c r="I30" s="47">
        <f>D21 / (F20  - $D$20)</f>
        <v>31306934.039817747</v>
      </c>
      <c r="J30" s="47">
        <f>D22/(D2 - D20)</f>
        <v>273978.82116607903</v>
      </c>
      <c r="K30" s="47">
        <f>D23/ (F20 - D20)</f>
        <v>16630893.336535648</v>
      </c>
      <c r="L30" s="1"/>
      <c r="M30" s="47">
        <f>I30 / (1 + F20)^7</f>
        <v>16065407.359445723</v>
      </c>
      <c r="N30" s="47">
        <f>J30 / (1 + F20)^7</f>
        <v>140594.45630465235</v>
      </c>
      <c r="O30" s="47">
        <f>K30 / (1 + F20)^7</f>
        <v>8534277.9290722273</v>
      </c>
    </row>
    <row r="31" spans="1:15" ht="25" thickTop="1">
      <c r="B31" s="9"/>
      <c r="C31" s="1"/>
      <c r="D31" s="1"/>
      <c r="E31" s="1"/>
      <c r="F31" s="1"/>
      <c r="G31" s="1"/>
      <c r="H31" s="98"/>
      <c r="I31" s="1"/>
      <c r="J31" s="1"/>
      <c r="K31" s="1"/>
      <c r="L31" s="1"/>
      <c r="M31" s="1"/>
      <c r="N31" s="1"/>
      <c r="O31" s="1"/>
    </row>
    <row r="32" spans="1:15" ht="25" thickBot="1">
      <c r="B32" s="1" t="s">
        <v>66</v>
      </c>
      <c r="C32" s="1"/>
      <c r="D32" s="1"/>
      <c r="E32" s="1"/>
      <c r="F32" s="1"/>
      <c r="G32" s="1"/>
      <c r="H32" s="98"/>
      <c r="I32" s="85" t="s">
        <v>6</v>
      </c>
      <c r="J32" s="85" t="s">
        <v>1</v>
      </c>
      <c r="K32" s="85" t="s">
        <v>12</v>
      </c>
      <c r="L32" s="1"/>
      <c r="M32" s="85" t="s">
        <v>6</v>
      </c>
      <c r="N32" s="85" t="s">
        <v>1</v>
      </c>
      <c r="O32" s="85" t="s">
        <v>12</v>
      </c>
    </row>
    <row r="33" spans="2:18" ht="25" thickBot="1">
      <c r="B33" s="9"/>
      <c r="C33" s="1"/>
      <c r="D33" s="47">
        <f>D28 + $H$28</f>
        <v>20831271.914042436</v>
      </c>
      <c r="E33" s="47">
        <f t="shared" ref="E33:F33" si="18">E28 + $H$28</f>
        <v>17414757.108318519</v>
      </c>
      <c r="F33" s="47">
        <f t="shared" si="18"/>
        <v>14385065.4677503</v>
      </c>
      <c r="G33" s="1"/>
      <c r="H33" s="98"/>
      <c r="I33" s="3">
        <f>I28+I30</f>
        <v>43419924.557345524</v>
      </c>
      <c r="J33" s="3">
        <f>J28+J30</f>
        <v>8970454.5329699442</v>
      </c>
      <c r="K33" s="3">
        <f>K28+K30</f>
        <v>22297677.407771293</v>
      </c>
      <c r="L33" s="1"/>
      <c r="M33" s="3">
        <f>M28 +M30</f>
        <v>28178397.876973502</v>
      </c>
      <c r="N33" s="3">
        <f t="shared" ref="N33:O33" si="19">N28 +N30</f>
        <v>8837070.1681085173</v>
      </c>
      <c r="O33" s="3">
        <f t="shared" si="19"/>
        <v>14201062.000307873</v>
      </c>
    </row>
    <row r="34" spans="2:18" ht="26" thickTop="1" thickBot="1">
      <c r="B34" s="1"/>
      <c r="C34" s="1"/>
      <c r="D34" s="84" t="s">
        <v>33</v>
      </c>
      <c r="E34" s="84" t="s">
        <v>34</v>
      </c>
      <c r="F34" s="84" t="s">
        <v>35</v>
      </c>
      <c r="G34" s="1"/>
      <c r="H34" s="98"/>
      <c r="I34" s="84" t="s">
        <v>33</v>
      </c>
      <c r="J34" s="84" t="s">
        <v>34</v>
      </c>
      <c r="K34" s="84" t="s">
        <v>35</v>
      </c>
      <c r="L34" s="1"/>
      <c r="M34" s="84" t="s">
        <v>33</v>
      </c>
      <c r="N34" s="84" t="s">
        <v>34</v>
      </c>
      <c r="O34" s="84" t="s">
        <v>35</v>
      </c>
    </row>
    <row r="35" spans="2:18" ht="25" thickBot="1">
      <c r="B35" s="1"/>
      <c r="C35" s="1"/>
      <c r="D35" s="99">
        <f>D33 - $D$38</f>
        <v>15424400.247375768</v>
      </c>
      <c r="E35" s="99">
        <f t="shared" ref="E35:F35" si="20">E33 - $D$38</f>
        <v>12007885.441651851</v>
      </c>
      <c r="F35" s="99">
        <f t="shared" si="20"/>
        <v>8978193.8010836318</v>
      </c>
      <c r="G35" s="1"/>
      <c r="H35" s="98"/>
      <c r="I35" s="47">
        <f>I33-D38</f>
        <v>38013052.89067886</v>
      </c>
      <c r="J35" s="47">
        <f>J33-D38</f>
        <v>3563582.8663032772</v>
      </c>
      <c r="K35" s="47">
        <f>K33-D38</f>
        <v>16890805.741104625</v>
      </c>
      <c r="L35" s="1"/>
      <c r="M35" s="3">
        <f>M33 -$D$38</f>
        <v>22771526.210306834</v>
      </c>
      <c r="N35" s="3">
        <f t="shared" ref="N35:O35" si="21">N33 -$D$38</f>
        <v>3430198.5014418503</v>
      </c>
      <c r="O35" s="3">
        <f t="shared" si="21"/>
        <v>8794190.333641205</v>
      </c>
    </row>
    <row r="36" spans="2:18" ht="27.75" customHeight="1" thickTop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8" ht="24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8" ht="24">
      <c r="B38" s="1" t="s">
        <v>67</v>
      </c>
      <c r="C38" s="1"/>
      <c r="D38" s="6">
        <f>SUM(E38:G38) * 1/3</f>
        <v>5406871.666666667</v>
      </c>
      <c r="E38" s="6">
        <v>5439422</v>
      </c>
      <c r="F38" s="6">
        <v>5406846</v>
      </c>
      <c r="G38" s="51">
        <v>5374347</v>
      </c>
      <c r="H38" s="6">
        <v>5256121</v>
      </c>
      <c r="I38" s="50">
        <v>4935361</v>
      </c>
      <c r="J38" s="50">
        <v>3268066</v>
      </c>
      <c r="K38" s="50">
        <v>2547203</v>
      </c>
      <c r="L38" s="50">
        <v>2060615</v>
      </c>
      <c r="M38" s="50">
        <v>2291894</v>
      </c>
      <c r="N38" s="50">
        <v>2193611</v>
      </c>
      <c r="O38" s="1"/>
    </row>
    <row r="39" spans="2:18" ht="16" thickBot="1">
      <c r="B39" s="45"/>
      <c r="C39" s="49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 ht="24">
      <c r="B40" s="1" t="s">
        <v>39</v>
      </c>
      <c r="C40" s="1"/>
      <c r="D40" s="10" t="s">
        <v>99</v>
      </c>
      <c r="E40" s="10" t="s">
        <v>75</v>
      </c>
      <c r="F40" s="1"/>
      <c r="G40" s="1"/>
      <c r="H40" s="10" t="s">
        <v>98</v>
      </c>
      <c r="I40" s="48" t="s">
        <v>70</v>
      </c>
      <c r="J40" s="10" t="s">
        <v>74</v>
      </c>
      <c r="K40" s="10" t="s">
        <v>75</v>
      </c>
      <c r="L40" s="10" t="s">
        <v>68</v>
      </c>
      <c r="M40" s="1" t="s">
        <v>73</v>
      </c>
      <c r="N40" s="10" t="s">
        <v>70</v>
      </c>
      <c r="R40" s="10" t="s">
        <v>69</v>
      </c>
    </row>
    <row r="41" spans="2:18" ht="24">
      <c r="B41" s="9" t="s">
        <v>63</v>
      </c>
      <c r="C41" s="1"/>
      <c r="D41" s="3">
        <f>H41 *listed_share</f>
        <v>161.18498258507677</v>
      </c>
      <c r="E41" s="3">
        <f>D41 / 230</f>
        <v>0.7008042721090294</v>
      </c>
      <c r="G41" s="1"/>
      <c r="H41" s="94">
        <f>D35 * 10^-6 / B30</f>
        <v>1.5424400247375767E-2</v>
      </c>
      <c r="I41" s="95">
        <f>(H41 - B29) / B29</f>
        <v>-0.99441144918573354</v>
      </c>
      <c r="J41" s="3">
        <f>M41 *B30</f>
        <v>38.013052890678857</v>
      </c>
      <c r="K41" s="3">
        <f>J41 / 230</f>
        <v>0.16527414300295154</v>
      </c>
      <c r="L41" s="52">
        <f>I33 * 10^-6 / B30</f>
        <v>4.3419924557345523E-2</v>
      </c>
      <c r="M41" s="70">
        <f>I35 * 10^-6 / $B$30</f>
        <v>3.8013052890678856E-2</v>
      </c>
      <c r="N41" s="71">
        <f xml:space="preserve"> ( M41-B29 ) / B29</f>
        <v>-0.98622715474975409</v>
      </c>
      <c r="R41" s="3">
        <v>25.694686000000001</v>
      </c>
    </row>
    <row r="42" spans="2:18" ht="24">
      <c r="B42" s="9" t="s">
        <v>64</v>
      </c>
      <c r="C42" s="1"/>
      <c r="D42" s="3">
        <f>H42 *listed_share</f>
        <v>125.48240286526185</v>
      </c>
      <c r="E42" s="3">
        <f>D42 / 230</f>
        <v>0.54557566463157325</v>
      </c>
      <c r="F42" s="1"/>
      <c r="G42" s="1"/>
      <c r="H42" s="94">
        <f>E35 * 10^-6 / B30</f>
        <v>1.2007885441651852E-2</v>
      </c>
      <c r="I42" s="95">
        <f>(H42 - B29) / B29</f>
        <v>-0.99564931686896674</v>
      </c>
      <c r="J42" s="3">
        <f>M42 *B30</f>
        <v>3.5635828663032769</v>
      </c>
      <c r="K42" s="3">
        <f>J42 / 230</f>
        <v>1.5493838549144682E-2</v>
      </c>
      <c r="L42" s="53">
        <f>J33 * 10^-6 / B30</f>
        <v>8.9704545329699435E-3</v>
      </c>
      <c r="M42" s="70">
        <f>J35 * 10^-6 / $B$30</f>
        <v>3.563582866303277E-3</v>
      </c>
      <c r="N42" s="71">
        <f xml:space="preserve"> ( M42-B29 ) / B29</f>
        <v>-0.99870884678757121</v>
      </c>
      <c r="R42" s="3">
        <v>25.694686000000001</v>
      </c>
    </row>
    <row r="43" spans="2:18" ht="25" thickBot="1">
      <c r="B43" s="19" t="s">
        <v>65</v>
      </c>
      <c r="C43" s="20"/>
      <c r="D43" s="21">
        <f>H43 *listed_share</f>
        <v>93.822125221323944</v>
      </c>
      <c r="E43" s="21">
        <f>D43 / 230</f>
        <v>0.40792228357097365</v>
      </c>
      <c r="F43" s="20"/>
      <c r="G43" s="20"/>
      <c r="H43" s="69">
        <f>F35 * 10^-6 /B30</f>
        <v>8.9781938010836306E-3</v>
      </c>
      <c r="I43" s="96">
        <f>(H43 - B29) / B29</f>
        <v>-0.99674703123149144</v>
      </c>
      <c r="J43" s="21">
        <f>M43 *B30</f>
        <v>16.890805741104625</v>
      </c>
      <c r="K43" s="21">
        <f>J43 / 230</f>
        <v>7.3438285830889669E-2</v>
      </c>
      <c r="L43" s="54">
        <f>K33 *10^-6 / B30</f>
        <v>2.2297677407771291E-2</v>
      </c>
      <c r="M43" s="69">
        <f>K35 * 10^-6 / $B$30</f>
        <v>1.6890805741104624E-2</v>
      </c>
      <c r="N43" s="67">
        <f xml:space="preserve"> ( M43-B29 ) / B29</f>
        <v>-0.99388014284742587</v>
      </c>
      <c r="O43" s="68"/>
      <c r="P43" s="20"/>
      <c r="Q43" s="20"/>
      <c r="R43" s="21">
        <v>25.694686000000001</v>
      </c>
    </row>
    <row r="47" spans="2:18" ht="24">
      <c r="E47" s="100"/>
      <c r="F47" s="10"/>
      <c r="G47" s="10"/>
    </row>
    <row r="48" spans="2:18" ht="24">
      <c r="E48" s="3"/>
      <c r="F48" s="3"/>
      <c r="G48" s="3"/>
    </row>
    <row r="49" spans="2:7" ht="24">
      <c r="E49" s="3"/>
      <c r="F49" s="3"/>
      <c r="G49" s="3"/>
    </row>
    <row r="50" spans="2:7" ht="24">
      <c r="E50" s="10"/>
      <c r="F50" s="10"/>
      <c r="G50" s="10"/>
    </row>
    <row r="51" spans="2:7" ht="24">
      <c r="E51" s="1"/>
      <c r="F51" s="1"/>
      <c r="G51" s="1"/>
    </row>
    <row r="52" spans="2:7" ht="24">
      <c r="E52" s="3"/>
      <c r="F52" s="3"/>
      <c r="G52" s="3"/>
    </row>
    <row r="53" spans="2:7" ht="24">
      <c r="E53" s="9"/>
      <c r="F53" s="9"/>
      <c r="G53" s="9"/>
    </row>
    <row r="54" spans="2:7" ht="24">
      <c r="E54" s="3"/>
      <c r="F54" s="3"/>
      <c r="G54" s="3"/>
    </row>
    <row r="57" spans="2:7">
      <c r="E57" s="41"/>
    </row>
    <row r="59" spans="2:7">
      <c r="B59" t="s">
        <v>103</v>
      </c>
    </row>
    <row r="63" spans="2:7">
      <c r="B63" t="s">
        <v>105</v>
      </c>
    </row>
    <row r="65" spans="2:2">
      <c r="B65" t="s">
        <v>101</v>
      </c>
    </row>
    <row r="67" spans="2:2">
      <c r="B67" t="s">
        <v>104</v>
      </c>
    </row>
  </sheetData>
  <conditionalFormatting sqref="D6:G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:N1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:N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1:M4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CCET (alpha)</vt:lpstr>
      <vt:lpstr>CCET</vt:lpstr>
      <vt:lpstr>SUSCO</vt:lpstr>
      <vt:lpstr>listed_share</vt:lpstr>
      <vt:lpstr>Market_Price</vt:lpstr>
      <vt:lpstr>r_e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TRIPHOP MAHITHITARMMATORN</dc:creator>
  <cp:lastModifiedBy>TRIPHOP MAHITHITARMMATORN</cp:lastModifiedBy>
  <dcterms:created xsi:type="dcterms:W3CDTF">2024-12-16T09:13:55Z</dcterms:created>
  <dcterms:modified xsi:type="dcterms:W3CDTF">2025-01-09T15:16:36Z</dcterms:modified>
</cp:coreProperties>
</file>