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892" activeTab="2"/>
  </bookViews>
  <sheets>
    <sheet name="Bảng chính trình TV" sheetId="1" r:id="rId1"/>
    <sheet name="THEO DÕI RÚT CÂN ĐỐI, MỤC TIEU " sheetId="2" r:id="rId2"/>
    <sheet name="THEO DÕI RÚT CÂN ĐỐI, MỤC TI(2)"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0">'[1]PNT-QUOT-#3'!#REF!</definedName>
    <definedName name="_\d">#REF!</definedName>
    <definedName name="_\e">#REF!</definedName>
    <definedName name="_\f">#REF!</definedName>
    <definedName name="_\g">#REF!</definedName>
    <definedName name="_\h">#REF!</definedName>
    <definedName name="_\i">#REF!</definedName>
    <definedName name="_\j">#REF!</definedName>
    <definedName name="_\k">#REF!</definedName>
    <definedName name="_\l">#REF!</definedName>
    <definedName name="_\m">#REF!</definedName>
    <definedName name="_\n">#REF!</definedName>
    <definedName name="_\o">#REF!</definedName>
    <definedName name="_\z">'[1]COAT&amp;WRAP-QIOT-#3'!#REF!</definedName>
    <definedName name="_1">#N/A</definedName>
    <definedName name="_1000A01">#N/A</definedName>
    <definedName name="_2">#N/A</definedName>
    <definedName name="_Builtin0">[56]XL4Poppy!$C$4</definedName>
    <definedName name="_Fill" hidden="1">#REF!</definedName>
    <definedName name="_Order1" hidden="1">255</definedName>
    <definedName name="_Order2" hidden="1">255</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277Print_Titles">#REF!</definedName>
    <definedName name="A35_">#REF!</definedName>
    <definedName name="A50_">#REF!</definedName>
    <definedName name="A70_">#REF!</definedName>
    <definedName name="A95_">#REF!</definedName>
    <definedName name="AA">#REF!</definedName>
    <definedName name="AC120_">#REF!</definedName>
    <definedName name="AC35_">#REF!</definedName>
    <definedName name="AC50_">#REF!</definedName>
    <definedName name="AC70_">#REF!</definedName>
    <definedName name="AC95_">#REF!</definedName>
    <definedName name="ag15F80">#REF!</definedName>
    <definedName name="All_Item">#REF!</definedName>
    <definedName name="ALPIN">#N/A</definedName>
    <definedName name="ALPJYOU">#N/A</definedName>
    <definedName name="ALPTOI">#N/A</definedName>
    <definedName name="Bang_cly">#REF!</definedName>
    <definedName name="Bang_CVC">#REF!</definedName>
    <definedName name="bang_gia">#REF!</definedName>
    <definedName name="Bang_travl">#REF!</definedName>
    <definedName name="bangchu">#REF!</definedName>
    <definedName name="BB">#REF!</definedName>
    <definedName name="bd">[10]gVL!$N$12</definedName>
    <definedName name="bengam">#REF!</definedName>
    <definedName name="benuoc">#REF!</definedName>
    <definedName name="_boi1">#REF!</definedName>
    <definedName name="_boi2">#REF!</definedName>
    <definedName name="BOQ">#REF!</definedName>
    <definedName name="BT">#REF!</definedName>
    <definedName name="btai">[9]gvl!$Q$63</definedName>
    <definedName name="Bust">[56]XL4Poppy!$C$31</definedName>
    <definedName name="BVCISUMMARY">#REF!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ABLE2">'[11]MTO REV.0'!$A$1:$Q$570</definedName>
    <definedName name="cao">#REF!</definedName>
    <definedName name="_cao1">#REF!</definedName>
    <definedName name="_cao2">#REF!</definedName>
    <definedName name="_cao3">#REF!</definedName>
    <definedName name="_cao4">#REF!</definedName>
    <definedName name="_cao5">#REF!</definedName>
    <definedName name="_cao6">#REF!</definedName>
    <definedName name="CAPNHAP">#REF!</definedName>
    <definedName name="Category_All">#REF!</definedName>
    <definedName name="CATIN">#N/A</definedName>
    <definedName name="CATJYOU">#N/A</definedName>
    <definedName name="CATREC">#N/A</definedName>
    <definedName name="CATSYU">#N/A</definedName>
    <definedName name="cc">[10]gVL!$N$38</definedName>
    <definedName name="cd">[10]gVL!$N$15</definedName>
    <definedName name="cddd1p">'[6]TONG HOP VL-NC'!$C$3</definedName>
    <definedName name="cddd3p">'[6]TONG HOP VL-NC'!$C$2</definedName>
    <definedName name="CK">#REF!</definedName>
    <definedName name="clvc1">[6]chitiet!$D$3</definedName>
    <definedName name="CLVC3">0.1</definedName>
    <definedName name="CLVCTB">#REF!</definedName>
    <definedName name="CN3p">'[6]TONGKE3p '!$X$295</definedName>
    <definedName name="Co">#REF!</definedName>
    <definedName name="coc">[10]gVL!$N$25</definedName>
    <definedName name="cocbtct">#REF!</definedName>
    <definedName name="cocot">#REF!</definedName>
    <definedName name="cocott">#REF!</definedName>
    <definedName name="Cöï_ly_vaän_chuyeãn">#REF!</definedName>
    <definedName name="CÖÏ_LY_VAÄN_CHUYEÅN">#REF!</definedName>
    <definedName name="COMMON">#REF!</definedName>
    <definedName name="comong">#REF!</definedName>
    <definedName name="CON_EQP_COS">#REF!</definedName>
    <definedName name="CON_EQP_COST">#REF!</definedName>
    <definedName name="_CON1">#REF!</definedName>
    <definedName name="_CON2">#REF!</definedName>
    <definedName name="Cong_HM_DTCT">#REF!</definedName>
    <definedName name="Cong_M_DTCT">#REF!</definedName>
    <definedName name="Cong_NC_DTCT">#REF!</definedName>
    <definedName name="Cong_VL_DTCT">#REF!</definedName>
    <definedName name="congbengam">#REF!</definedName>
    <definedName name="congbenuoc">#REF!</definedName>
    <definedName name="congcoc">#REF!</definedName>
    <definedName name="congcocot">#REF!</definedName>
    <definedName name="congcocott">#REF!</definedName>
    <definedName name="congcomong">#REF!</definedName>
    <definedName name="congcottron">#REF!</definedName>
    <definedName name="congcotvuong">#REF!</definedName>
    <definedName name="congdam">#REF!</definedName>
    <definedName name="congdan1">#REF!</definedName>
    <definedName name="congdan2">#REF!</definedName>
    <definedName name="congdandusan">#REF!</definedName>
    <definedName name="conglanhto">#REF!</definedName>
    <definedName name="congmong">#REF!</definedName>
    <definedName name="congmongbang">#REF!</definedName>
    <definedName name="congmongdon">#REF!</definedName>
    <definedName name="congpanen">#REF!</definedName>
    <definedName name="congsan">#REF!</definedName>
    <definedName name="congthang">#REF!</definedName>
    <definedName name="CONST_EQ">#REF!</definedName>
    <definedName name="Continue">[56]XL4Poppy!$C$9</definedName>
    <definedName name="cot">[14]gVL!$Q$64</definedName>
    <definedName name="Cot_thep">[15]Du_lieu!$C$19</definedName>
    <definedName name="cottron">#REF!</definedName>
    <definedName name="cotvuong">#REF!</definedName>
    <definedName name="COVER">#REF!</definedName>
    <definedName name="cpd">[16]gVL!$Q$20</definedName>
    <definedName name="cpdd">[17]gVL!$P$14</definedName>
    <definedName name="cpdd2">[17]gVL!$P$19</definedName>
    <definedName name="CPVC100">#REF!</definedName>
    <definedName name="CPVC1KM">'[6]TH VL, NC, DDHT Thanhphuoc'!$J$19</definedName>
    <definedName name="CPVCDN">'[6]#REF'!$K$33</definedName>
    <definedName name="CRD">#REF!</definedName>
    <definedName name="CRITINST">#REF!</definedName>
    <definedName name="CRITPURC">#REF!</definedName>
    <definedName name="CR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_CT250">'[6]dongia (2)'!#REF!</definedName>
    <definedName name="ctiep">#REF!</definedName>
    <definedName name="cu_ly_1">'[19]tra-vat-lieu'!$A$219:$A$319</definedName>
    <definedName name="cui">[10]gVL!$N$39</definedName>
    <definedName name="Cuoc_vc_1">'[19]tra-vat-lieu'!$B$219:$G$319</definedName>
    <definedName name="CURRENCY">#REF!</definedName>
    <definedName name="cv">[20]gvl!$N$17</definedName>
    <definedName name="CX">#REF!</definedName>
    <definedName name="D_7101A_B">#REF!</definedName>
    <definedName name="D_Gia">'[21]Don gia'!$A$3:$F$240</definedName>
    <definedName name="_dai1">#REF!</definedName>
    <definedName name="_dai2">#REF!</definedName>
    <definedName name="_dai3">#REF!</definedName>
    <definedName name="_dai4">#REF!</definedName>
    <definedName name="_dai5">#REF!</definedName>
    <definedName name="_dai6">#REF!</definedName>
    <definedName name="dam">#REF!</definedName>
    <definedName name="_dan1">#REF!</definedName>
    <definedName name="_dan2">#REF!</definedName>
    <definedName name="danducsan">#REF!</definedName>
    <definedName name="db">[9]gvl!$Q$67</definedName>
    <definedName name="dcc">[16]gVL!$Q$50</definedName>
    <definedName name="dcl">[10]gVL!$N$32</definedName>
    <definedName name="dd0.5x1">[16]gVL!$Q$10</definedName>
    <definedName name="dd1pnc">[6]chitiet!$G$404</definedName>
    <definedName name="dd1pvl">[6]chitiet!$G$383</definedName>
    <definedName name="dd1x2">[20]gvl!$N$9</definedName>
    <definedName name="dd2x4">[16]gVL!$Q$12</definedName>
    <definedName name="dd4x6">[10]gVL!$N$10</definedName>
    <definedName name="dday">[10]gVL!$N$48</definedName>
    <definedName name="ddia">[10]gVL!$N$41</definedName>
    <definedName name="ddien">[16]gVL!$Q$51</definedName>
    <definedName name="_ddn400">#REF!</definedName>
    <definedName name="_ddn600">#REF!</definedName>
    <definedName name="den_bu">#REF!</definedName>
    <definedName name="DG">'[21]Don gia'!$B$3:$G$195</definedName>
    <definedName name="dg67_1">#REF!</definedName>
    <definedName name="DGM">[6]DONGIA!$A$453:$F$459</definedName>
    <definedName name="dgnc">#REF!</definedName>
    <definedName name="DGTH1">[6]DONGIA!$A$414:$G$452</definedName>
    <definedName name="dgth2">[6]DONGIA!$A$414:$G$439</definedName>
    <definedName name="DGTR">[6]DONGIA!$A$472:$I$521</definedName>
    <definedName name="dgvl">#REF!</definedName>
    <definedName name="DGVL1">[6]DONGIA!$A$5:$F$235</definedName>
    <definedName name="DGVT">'[6]DON GIA'!$C$5:$G$137</definedName>
    <definedName name="dh">[10]gVL!$N$11</definedName>
    <definedName name="dientichck">#REF!</definedName>
    <definedName name="dmz">[16]gVL!$Q$45</definedName>
    <definedName name="dno">[16]gVL!$Q$49</definedName>
    <definedName name="doan1">#REF!</definedName>
    <definedName name="doan2">#REF!</definedName>
    <definedName name="doan3">#REF!</definedName>
    <definedName name="doan4">#REF!</definedName>
    <definedName name="doan5">#REF!</definedName>
    <definedName name="doan6">#REF!</definedName>
    <definedName name="Document_array">{"Thuxm2.xls","Sheet1"}</definedName>
    <definedName name="Documents_array">[56]XL4Poppy!$B$1:$B$16</definedName>
    <definedName name="dongia">[6]DG!$A$4:$I$567</definedName>
    <definedName name="dongia1">[6]DG!$A$4:$H$606</definedName>
    <definedName name="ds1pnc">#REF!</definedName>
    <definedName name="ds1pvl">#REF!</definedName>
    <definedName name="DSUMDATA">#REF!</definedName>
    <definedName name="dtich1">#REF!</definedName>
    <definedName name="dtich2">#REF!</definedName>
    <definedName name="dtich3">#REF!</definedName>
    <definedName name="dtich4">#REF!</definedName>
    <definedName name="dtich5">#REF!</definedName>
    <definedName name="dtich6">#REF!</definedName>
    <definedName name="emb">#REF!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x">#REF!</definedName>
    <definedName name="FACTOR">#REF!</definedName>
    <definedName name="fsf">#REF!</definedName>
    <definedName name="gc">[28]gvl!$N$28</definedName>
    <definedName name="gcHT">'[29]TT04'!$J$37</definedName>
    <definedName name="gd">[10]gVL!$N$29</definedName>
    <definedName name="geo">#REF!</definedName>
    <definedName name="gia">[30]Gia!$A$1:$H$387</definedName>
    <definedName name="gia_tien">#REF!</definedName>
    <definedName name="_GID1">'[6]LKVL-CK-HT-GD1'!$A$4</definedName>
    <definedName name="gl3p">#REF!</definedName>
    <definedName name="GTXL">#REF!</definedName>
    <definedName name="gv">[10]gVL!$N$22</definedName>
    <definedName name="gvl">[33]GVL!$A$6:$F$131</definedName>
    <definedName name="gvt">[34]GVT!$B$7:$H$106</definedName>
    <definedName name="h" hidden="1">{"'Sheet1'!$L$16"}</definedName>
    <definedName name="Ha">#REF!</definedName>
    <definedName name="HCM">#REF!</definedName>
    <definedName name="Heä_soá_laép_xaø_H">1.7</definedName>
    <definedName name="heä_soá_sình_laày">#REF!</definedName>
    <definedName name="Hello">[56]XL4Poppy!$A$15</definedName>
    <definedName name="hien">#REF!</definedName>
    <definedName name="HOME_MANP">#REF!</definedName>
    <definedName name="HOMEOFFICE_COST">#REF!</definedName>
    <definedName name="HSCT3">0.1</definedName>
    <definedName name="hsdc1">#REF!</definedName>
    <definedName name="HSDN">2.5</definedName>
    <definedName name="HSHH">#REF!</definedName>
    <definedName name="HSHHUT">#REF!</definedName>
    <definedName name="hskk1">[6]chitiet!$D$4</definedName>
    <definedName name="HSNC">[15]Du_lieu!$C$6</definedName>
    <definedName name="HSSL">#REF!</definedName>
    <definedName name="HSVC1">#REF!</definedName>
    <definedName name="HSVC2">#REF!</definedName>
    <definedName name="H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_LAB">#REF!</definedName>
    <definedName name="INDMANP">#REF!</definedName>
    <definedName name="j">#REF!</definedName>
    <definedName name="j356C8">#REF!</definedName>
    <definedName name="k">#REF!</definedName>
    <definedName name="kcong">#REF!</definedName>
    <definedName name="_km190">#REF!</definedName>
    <definedName name="_km191">#REF!</definedName>
    <definedName name="_km192">#REF!</definedName>
    <definedName name="kno">[9]gvl!$Q$59</definedName>
    <definedName name="l">#REF!</definedName>
    <definedName name="lanhto">#REF!</definedName>
    <definedName name="Lmk">#REF!</definedName>
    <definedName name="m">#REF!</definedName>
    <definedName name="M10aa1p">#REF!</definedName>
    <definedName name="M12ba3p">#REF!</definedName>
    <definedName name="M12bb1p">#REF!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_MAC12">#REF!</definedName>
    <definedName name="_MAC46">#REF!</definedName>
    <definedName name="MAJ_CON_EQP">#REF!</definedName>
    <definedName name="MakeIt">[56]XL4Poppy!$A$26</definedName>
    <definedName name="matit">[9]gvl!$Q$69</definedName>
    <definedName name="Mba1p">#REF!</definedName>
    <definedName name="Mba3p">#REF!</definedName>
    <definedName name="Mbb3p">#REF!</definedName>
    <definedName name="Mbn1p">#REF!</definedName>
    <definedName name="mc">#REF!</definedName>
    <definedName name="MG_A">#REF!</definedName>
    <definedName name="mongbang">#REF!</definedName>
    <definedName name="mongdon">#REF!</definedName>
    <definedName name="Morning">[56]XL4Poppy!$C$39</definedName>
    <definedName name="MTCHC">[6]TNHCHINH!$K$38</definedName>
    <definedName name="MTMAC12">#REF!</definedName>
    <definedName name="mtram">#REF!</definedName>
    <definedName name="N1IN">'[6]TONGKE3p '!$U$295</definedName>
    <definedName name="nc1p">#REF!</definedName>
    <definedName name="NCHC">[6]TNHCHINH!$J$38</definedName>
    <definedName name="nctram">#REF!</definedName>
    <definedName name="NCVC100">#REF!</definedName>
    <definedName name="NCVC200">#REF!</definedName>
    <definedName name="NCVC250">#REF!</definedName>
    <definedName name="NCVC3P">#REF!</definedName>
    <definedName name="nd">[10]gVL!$N$27</definedName>
    <definedName name="NET">#REF!</definedName>
    <definedName name="NET_1">#REF!</definedName>
    <definedName name="NET_ANA">#REF!</definedName>
    <definedName name="NET_ANA_1">#REF!</definedName>
    <definedName name="NET_ANA_2">#REF!</definedName>
    <definedName name="_NET2">#REF!</definedName>
    <definedName name="NH">#REF!</definedName>
    <definedName name="NHot">#REF!</definedName>
    <definedName name="NIG13p">'[6]TONGKE3p '!$T$295</definedName>
    <definedName name="nig1p">#REF!</definedName>
    <definedName name="nig3p">#REF!</definedName>
    <definedName name="nignc1p">#REF!</definedName>
    <definedName name="nignc3p">'[6]CHITIET VL-NC'!$G$107</definedName>
    <definedName name="nigvl1p">#REF!</definedName>
    <definedName name="nigvl3p">'[6]CHITIET VL-NC'!$G$99</definedName>
    <definedName name="nin1903p">#REF!</definedName>
    <definedName name="nin2903p">#REF!</definedName>
    <definedName name="nin3p">#REF!</definedName>
    <definedName name="nind1p">#REF!</definedName>
    <definedName name="nind3p">#REF!</definedName>
    <definedName name="nindnc1p">#REF!</definedName>
    <definedName name="nindvl1p">#REF!</definedName>
    <definedName name="ning1p">#REF!</definedName>
    <definedName name="ningnc1p">#REF!</definedName>
    <definedName name="ningvl1p">#REF!</definedName>
    <definedName name="nint1p">#REF!</definedName>
    <definedName name="nintnc1p">#REF!</definedName>
    <definedName name="nintvl1p">#REF!</definedName>
    <definedName name="nl3p">#REF!</definedName>
    <definedName name="nlnc3p">#REF!</definedName>
    <definedName name="nlnc3pha">#REF!</definedName>
    <definedName name="NLTK1p">#REF!</definedName>
    <definedName name="nlvl1">[6]chitiet!$G$302</definedName>
    <definedName name="nlvl3p">#REF!</definedName>
    <definedName name="nn3p">#REF!</definedName>
    <definedName name="No">#REF!</definedName>
    <definedName name="nuoc">[20]gvl!$N$38</definedName>
    <definedName name="o" hidden="1">{"'Sheet1'!$L$16"}</definedName>
    <definedName name="panen">#REF!</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phu_luc_vua">#REF!</definedName>
    <definedName name="PK">[37]DATA!$C$6:$P$119</definedName>
    <definedName name="PM">[38]IBASE!$AH$16:$AV$110</definedName>
    <definedName name="Poppy">[56]XL4Poppy!$C$27</definedName>
    <definedName name="PRICE">#REF!</definedName>
    <definedName name="PRICE1">#REF!</definedName>
    <definedName name="_xlnm.Print_Area">#REF!</definedName>
    <definedName name="Print_Area_MI">[39]ESTI.!$A$1:$U$52</definedName>
    <definedName name="Print_Titles_MI">#REF!</definedName>
    <definedName name="PRINTA">#REF!</definedName>
    <definedName name="PRINTB">#REF!</definedName>
    <definedName name="PRINTC">#REF!</definedName>
    <definedName name="PROPOSAL">#REF!</definedName>
    <definedName name="PT_Duong">#REF!</definedName>
    <definedName name="ptdg">#REF!</definedName>
    <definedName name="PTDG_cau">#REF!</definedName>
    <definedName name="PTNC">'[6]DON GIA'!$G$227</definedName>
    <definedName name="pvd">#REF!</definedName>
    <definedName name="qh">[10]gVL!$N$40</definedName>
    <definedName name="ra11p">#REF!</definedName>
    <definedName name="ra13p">#REF!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ong1">#REF!</definedName>
    <definedName name="rong2">#REF!</definedName>
    <definedName name="rong3">#REF!</definedName>
    <definedName name="rong4">#REF!</definedName>
    <definedName name="rong5">#REF!</definedName>
    <definedName name="rong6">#REF!</definedName>
    <definedName name="san">#REF!</definedName>
    <definedName name="sand">#REF!</definedName>
    <definedName name="SB">[38]IBASE!$AH$7:$AL$14</definedName>
    <definedName name="_sc1">#REF!</definedName>
    <definedName name="_SC2">#REF!</definedName>
    <definedName name="_sc3">#REF!</definedName>
    <definedName name="SCH">#REF!</definedName>
    <definedName name="scr">[41]gVL!$Q$33</definedName>
    <definedName name="scv">#REF!</definedName>
    <definedName name="SDMONG">#REF!</definedName>
    <definedName name="sdo">[28]gvl!$N$35</definedName>
    <definedName name="SIZE">#REF!</definedName>
    <definedName name="skd">[16]gVL!$Q$37</definedName>
    <definedName name="SL_CRD">#REF!</definedName>
    <definedName name="SL_CRS">#REF!</definedName>
    <definedName name="SL_CS">#REF!</definedName>
    <definedName name="SL_DD">#REF!</definedName>
    <definedName name="slg">#REF!</definedName>
    <definedName name="_slg1">#REF!</definedName>
    <definedName name="_slg2">#REF!</definedName>
    <definedName name="_slg3">#REF!</definedName>
    <definedName name="_slg4">#REF!</definedName>
    <definedName name="_slg5">#REF!</definedName>
    <definedName name="_slg6">#REF!</definedName>
    <definedName name="soc3p">#REF!</definedName>
    <definedName name="SORT">#REF!</definedName>
    <definedName name="SORT_AREA">'[39]DI-ESTI'!$A$8:$R$489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r">[28]gvl!$N$34</definedName>
    <definedName name="sub">#REF!</definedName>
    <definedName name="SUMMARY">#REF!</definedName>
    <definedName name="sur">#REF!</definedName>
    <definedName name="T">#REF!</definedName>
    <definedName name="t10nc1p">#REF!</definedName>
    <definedName name="t10vl1p">#REF!</definedName>
    <definedName name="t12nc3p">'[6]CHITIET VL-NC'!$G$38</definedName>
    <definedName name="t12vl3p">'[6]CHITIET VL-NC'!$G$34</definedName>
    <definedName name="t14nc3p">#REF!</definedName>
    <definedName name="t14vl3p">#REF!</definedName>
    <definedName name="Taikhoan">'[42]Tai khoan'!$A$3:$C$93</definedName>
    <definedName name="TaxTV">10%</definedName>
    <definedName name="TaxXL">5%</definedName>
    <definedName name="tb">[10]gVL!$N$26</definedName>
    <definedName name="TBA">#REF!</definedName>
    <definedName name="tbtram">#REF!</definedName>
    <definedName name="TC_NHANH1">#REF!</definedName>
    <definedName name="_tct3">[10]gVL!$N$18</definedName>
    <definedName name="_tct5">[10]gVL!$N$19</definedName>
    <definedName name="tdnc1p">#REF!</definedName>
    <definedName name="tdnc3p">'[6]CHITIET VL-NC'!$G$28</definedName>
    <definedName name="tdtr2cnc">#REF!</definedName>
    <definedName name="tdtr2cvl">#REF!</definedName>
    <definedName name="tdvl1p">#REF!</definedName>
    <definedName name="tdvl3p">'[6]CHITIET VL-NC'!$G$23</definedName>
    <definedName name="tenck">#REF!</definedName>
    <definedName name="Test5">[56]XL4Test5!$C$11</definedName>
    <definedName name="th">[10]gVL!$N$20</definedName>
    <definedName name="thang">#REF!</definedName>
    <definedName name="thanhtien">#REF!</definedName>
    <definedName name="thepban">#REF!</definedName>
    <definedName name="thetichck">#REF!</definedName>
    <definedName name="THGO1pnc">#REF!</definedName>
    <definedName name="thht">#REF!</definedName>
    <definedName name="thinh">[28]gvl!$N$23</definedName>
    <definedName name="thtich1">#REF!</definedName>
    <definedName name="thtich2">#REF!</definedName>
    <definedName name="thtich3">#REF!</definedName>
    <definedName name="thtich4">#REF!</definedName>
    <definedName name="thtich5">#REF!</definedName>
    <definedName name="thtich6">#REF!</definedName>
    <definedName name="thtt">#REF!</definedName>
    <definedName name="thucthanh">'[44]Thuc thanh'!$E$29</definedName>
    <definedName name="Tien">#REF!</definedName>
    <definedName name="Tiepdia">[6]Tiepdia!$A$1:$IV$65536</definedName>
    <definedName name="TITAN">#REF!</definedName>
    <definedName name="_TK1">[45]Tongke!$B$7:$U$128</definedName>
    <definedName name="TKYB">"TKYB"</definedName>
    <definedName name="_TL1">#REF!</definedName>
    <definedName name="_TL2">#REF!</definedName>
    <definedName name="_TLA120">#REF!</definedName>
    <definedName name="_TLA35">#REF!</definedName>
    <definedName name="_TLA50">#REF!</definedName>
    <definedName name="_TLA70">#REF!</definedName>
    <definedName name="_TLA95">#REF!</definedName>
    <definedName name="TLAC120">#REF!</definedName>
    <definedName name="TLAC35">#REF!</definedName>
    <definedName name="TLAC50">#REF!</definedName>
    <definedName name="TLAC70">#REF!</definedName>
    <definedName name="TLAC95">#REF!</definedName>
    <definedName name="Tle">#REF!</definedName>
    <definedName name="tno">[16]gVL!$Q$47</definedName>
    <definedName name="tongbt">#REF!</definedName>
    <definedName name="tongcong">#REF!</definedName>
    <definedName name="tongdientich">#REF!</definedName>
    <definedName name="tongthep">#REF!</definedName>
    <definedName name="tongthetich">#REF!</definedName>
    <definedName name="TPLRP">#REF!</definedName>
    <definedName name="Tra_DM_su_dung">#REF!</definedName>
    <definedName name="Tra_don_gia_KS">#REF!</definedName>
    <definedName name="Tra_DTCT">#REF!</definedName>
    <definedName name="Tra_GTXLST">[47]DTCT!$C$10:$J$438</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1">'[49]tra-vat-lieu'!$G$4:$J$193</definedName>
    <definedName name="tra_VL_1">'[19]tra-vat-lieu'!$A$201:$H$215</definedName>
    <definedName name="TRADE2">#REF!</definedName>
    <definedName name="TraTH">'[50]dtct cong'!$A$9:$A$649</definedName>
    <definedName name="TT_1P">#REF!</definedName>
    <definedName name="TT_3p">#REF!</definedName>
    <definedName name="ttam">[10]gVL!$N$21</definedName>
    <definedName name="TTDD">[6]TDTKP!$E$44+[6]TDTKP!$F$44+[6]TDTKP!$G$44</definedName>
    <definedName name="tthi">#REF!</definedName>
    <definedName name="TTK3p">'[6]TONGKE3p '!$C$295</definedName>
    <definedName name="ttronmk">#REF!</definedName>
    <definedName name="tv75nc">#REF!</definedName>
    <definedName name="tv75vl">#REF!</definedName>
    <definedName name="ty_le">#REF!</definedName>
    <definedName name="Ty_le1">#REF!</definedName>
    <definedName name="VARIINST">#REF!</definedName>
    <definedName name="VARIPURC">#REF!</definedName>
    <definedName name="VCHT">#REF!</definedName>
    <definedName name="VCTT">#REF!</definedName>
    <definedName name="VCVBT1">'[6]VCV-BE-TONG'!$G$11</definedName>
    <definedName name="VCVBT2">'[6]VCV-BE-TONG'!$G$17</definedName>
    <definedName name="vcxa">'[29]TT04'!$J$20</definedName>
    <definedName name="vd3p">#REF!</definedName>
    <definedName name="vdkt">[16]gVL!$Q$55</definedName>
    <definedName name="vkh">[51]chiettinh!$I$11</definedName>
    <definedName name="vl1p">#REF!</definedName>
    <definedName name="vldn400">#REF!</definedName>
    <definedName name="vldn600">#REF!</definedName>
    <definedName name="VLHC">[6]TNHCHINH!$I$38</definedName>
    <definedName name="vltram">#REF!</definedName>
    <definedName name="vr3p">#REF!</definedName>
    <definedName name="W">#REF!</definedName>
    <definedName name="wrn.chi._.tiÆt." hidden="1">{#N/A,#N/A,FALSE,"Chi tiÆt"}</definedName>
    <definedName name="X">#REF!</definedName>
    <definedName name="XCCT">0.5</definedName>
    <definedName name="xfco3p">#REF!</definedName>
    <definedName name="xfconc3p">'[6]CHITIET VL-NC'!$G$94</definedName>
    <definedName name="xfcotnc">#REF!</definedName>
    <definedName name="xfcotvl">#REF!</definedName>
    <definedName name="xfcovl3p">'[6]CHITIET VL-NC'!$G$90</definedName>
    <definedName name="xh">#REF!</definedName>
    <definedName name="xig1p">#REF!</definedName>
    <definedName name="xig3p">#REF!</definedName>
    <definedName name="xiggnc">'[6]CHITIET VL-NC'!$G$57</definedName>
    <definedName name="xiggvl">'[6]CHITIET VL-NC'!$G$53</definedName>
    <definedName name="xin1903p">#REF!</definedName>
    <definedName name="xin190nc3p">'[6]CHITIET VL-NC'!$G$76</definedName>
    <definedName name="xin190vl3p">'[6]CHITIET VL-NC'!$G$72</definedName>
    <definedName name="xin2903p">#REF!</definedName>
    <definedName name="xin3p">#REF!</definedName>
    <definedName name="xind1p">#REF!</definedName>
    <definedName name="xind3p">#REF!</definedName>
    <definedName name="xindnc1p">#REF!</definedName>
    <definedName name="xindnc3p">'[6]CHITIET VL-NC'!$G$85</definedName>
    <definedName name="xindvl1p">#REF!</definedName>
    <definedName name="xindvl3p">'[6]CHITIET VL-NC'!$G$80</definedName>
    <definedName name="xing1p">#REF!</definedName>
    <definedName name="xingnc1p">#REF!</definedName>
    <definedName name="xingvl1p">#REF!</definedName>
    <definedName name="xint1p">#REF!</definedName>
    <definedName name="xit1p">#REF!</definedName>
    <definedName name="xit23p">#REF!</definedName>
    <definedName name="xit3p">#REF!</definedName>
    <definedName name="xittnc">'[6]CHITIET VL-NC'!$G$48</definedName>
    <definedName name="xittvl">'[6]CHITIET VL-NC'!$G$44</definedName>
    <definedName name="xm">[53]gvl!$N$16</definedName>
    <definedName name="xn">#REF!</definedName>
    <definedName name="Xuat_hien1">[54]DTCT!$A$7:$A$238</definedName>
    <definedName name="ZYX">#REF!</definedName>
    <definedName name="ZZZ">#REF!</definedName>
    <definedName name="__\0" localSheetId="0">'[1]PNT-QUOT-#3'!#REF!</definedName>
    <definedName name="__\d" localSheetId="0">#REF!</definedName>
    <definedName name="__\e" localSheetId="0">#REF!</definedName>
    <definedName name="__\f" localSheetId="0">#REF!</definedName>
    <definedName name="__\g" localSheetId="0">#REF!</definedName>
    <definedName name="__\h" localSheetId="0">#REF!</definedName>
    <definedName name="__\i" localSheetId="0">#REF!</definedName>
    <definedName name="__\j" localSheetId="0">#REF!</definedName>
    <definedName name="__\k" localSheetId="0">#REF!</definedName>
    <definedName name="__\l" localSheetId="0">#REF!</definedName>
    <definedName name="__\m" localSheetId="0">#REF!</definedName>
    <definedName name="__\n" localSheetId="0">#REF!</definedName>
    <definedName name="__\o" localSheetId="0">#REF!</definedName>
    <definedName name="__\z" localSheetId="0">'[1]COAT&amp;WRAP-QIOT-#3'!#REF!</definedName>
    <definedName name="_3N" localSheetId="0">[2]Tongke!#REF!</definedName>
    <definedName name="_Key1" localSheetId="0" hidden="1">#REF!</definedName>
    <definedName name="_Key2" localSheetId="0" hidden="1">#REF!</definedName>
    <definedName name="_Sort" localSheetId="0" hidden="1">#REF!</definedName>
    <definedName name="A" localSheetId="0">'[3]PNT-QUOT-#3'!#REF!</definedName>
    <definedName name="_A65700" localSheetId="0">'[4]MTO REV.2(ARMOR)'!#REF!</definedName>
    <definedName name="_A65800" localSheetId="0">'[4]MTO REV.2(ARMOR)'!#REF!</definedName>
    <definedName name="_A66000" localSheetId="0">'[4]MTO REV.2(ARMOR)'!#REF!</definedName>
    <definedName name="_A67000" localSheetId="0">'[4]MTO REV.2(ARMOR)'!#REF!</definedName>
    <definedName name="_A68000" localSheetId="0">'[4]MTO REV.2(ARMOR)'!#REF!</definedName>
    <definedName name="_A70000" localSheetId="0">'[4]MTO REV.2(ARMOR)'!#REF!</definedName>
    <definedName name="_A75000" localSheetId="0">'[4]MTO REV.2(ARMOR)'!#REF!</definedName>
    <definedName name="_A85000" localSheetId="0">'[4]MTO REV.2(ARMOR)'!#REF!</definedName>
    <definedName name="AAA" localSheetId="0">'[5]MTL$-INTER'!#REF!</definedName>
    <definedName name="_abb91" localSheetId="0">[7]chitimc!#REF!</definedName>
    <definedName name="æ76" localSheetId="0">[8]chitiet!#REF!</definedName>
    <definedName name="ag142X42" localSheetId="0">[7]chitimc!#REF!</definedName>
    <definedName name="ag267N59" localSheetId="0">[7]chitimc!#REF!</definedName>
    <definedName name="amiang" localSheetId="0">[9]gvl!#REF!</definedName>
    <definedName name="B" localSheetId="0">'[3]PNT-QUOT-#3'!#REF!</definedName>
    <definedName name="b_240" localSheetId="0">'[6]THPDMoi  (2)'!#REF!</definedName>
    <definedName name="b_280" localSheetId="0">'[6]THPDMoi  (2)'!#REF!</definedName>
    <definedName name="b_320" localSheetId="0">'[6]THPDMoi  (2)'!#REF!</definedName>
    <definedName name="ban" localSheetId="0">#REF!</definedName>
    <definedName name="bangciti" localSheetId="0">'[6]dongia (2)'!#REF!</definedName>
    <definedName name="bangtinh" localSheetId="0">#REF!</definedName>
    <definedName name="bdht15nc" localSheetId="0">[6]gtrinh!#REF!</definedName>
    <definedName name="bdht15vl" localSheetId="0">[6]gtrinh!#REF!</definedName>
    <definedName name="bdht25nc" localSheetId="0">[6]gtrinh!#REF!</definedName>
    <definedName name="bdht25vl" localSheetId="0">[6]gtrinh!#REF!</definedName>
    <definedName name="bdht325nc" localSheetId="0">[6]gtrinh!#REF!</definedName>
    <definedName name="bdht325vl" localSheetId="0">[6]gtrinh!#REF!</definedName>
    <definedName name="CAPDAT" localSheetId="0">[6]phuluc1!#REF!</definedName>
    <definedName name="CCS" localSheetId="0">#REF!</definedName>
    <definedName name="CDD" localSheetId="0">#REF!</definedName>
    <definedName name="CDDD" localSheetId="0">'[6]THPDMoi  (2)'!#REF!</definedName>
    <definedName name="cgionc" localSheetId="0">'[6]lam-moi'!#REF!</definedName>
    <definedName name="cgiovl" localSheetId="0">'[6]lam-moi'!#REF!</definedName>
    <definedName name="CH" localSheetId="0">[12]TN!#REF!</definedName>
    <definedName name="chhtnc" localSheetId="0">'[6]lam-moi'!#REF!</definedName>
    <definedName name="chhtvl" localSheetId="0">'[6]lam-moi'!#REF!</definedName>
    <definedName name="chnc" localSheetId="0">'[6]lam-moi'!#REF!</definedName>
    <definedName name="Chu" localSheetId="0">[12]ND!#REF!</definedName>
    <definedName name="chvl" localSheetId="0">'[6]lam-moi'!#REF!</definedName>
    <definedName name="citidd" localSheetId="0">'[6]dongia (2)'!#REF!</definedName>
    <definedName name="cknc" localSheetId="0">'[6]lam-moi'!#REF!</definedName>
    <definedName name="ckvl" localSheetId="0">'[6]lam-moi'!#REF!</definedName>
    <definedName name="cly" localSheetId="0">[13]chitimc!#REF!</definedName>
    <definedName name="COAT" localSheetId="0">'[3]PNT-QUOT-#3'!#REF!</definedName>
    <definedName name="cong1x15" localSheetId="0">[6]giathanh1!#REF!</definedName>
    <definedName name="CS" localSheetId="0">#REF!</definedName>
    <definedName name="__CT250" localSheetId="0">'[6]dongia (2)'!#REF!</definedName>
    <definedName name="cti3x15" localSheetId="0">[6]giathanh1!#REF!</definedName>
    <definedName name="culy1" localSheetId="0">[6]DONGIA!#REF!</definedName>
    <definedName name="culy2" localSheetId="0">[6]DONGIA!#REF!</definedName>
    <definedName name="culy3" localSheetId="0">[6]DONGIA!#REF!</definedName>
    <definedName name="culy4" localSheetId="0">[6]DONGIA!#REF!</definedName>
    <definedName name="culy5" localSheetId="0">[6]DONGIA!#REF!</definedName>
    <definedName name="cuoc" localSheetId="0">[6]DONGIA!#REF!</definedName>
    <definedName name="cxhtnc" localSheetId="0">'[6]lam-moi'!#REF!</definedName>
    <definedName name="cxhtvl" localSheetId="0">'[6]lam-moi'!#REF!</definedName>
    <definedName name="cxnc" localSheetId="0">'[6]lam-moi'!#REF!</definedName>
    <definedName name="cxvl" localSheetId="0">'[6]lam-moi'!#REF!</definedName>
    <definedName name="cxxnc" localSheetId="0">'[6]lam-moi'!#REF!</definedName>
    <definedName name="cxxvl" localSheetId="0">'[6]lam-moi'!#REF!</definedName>
    <definedName name="D1x49" localSheetId="0">[7]chitimc!#REF!</definedName>
    <definedName name="D1x49x49" localSheetId="0">[7]chitimc!#REF!</definedName>
    <definedName name="d24nc" localSheetId="0">'[6]lam-moi'!#REF!</definedName>
    <definedName name="d24vl" localSheetId="0">'[6]lam-moi'!#REF!</definedName>
    <definedName name="da0.5x1" localSheetId="0">[22]ctbetong!#REF!</definedName>
    <definedName name="Database" localSheetId="0" hidden="1">#REF!</definedName>
    <definedName name="DataFilter" localSheetId="0">[23]!DataFilter</definedName>
    <definedName name="DataSort" localSheetId="0">[23]!DataSort</definedName>
    <definedName name="DD" localSheetId="0">#REF!</definedName>
    <definedName name="dd3pctnc" localSheetId="0">'[6]lam-moi'!#REF!</definedName>
    <definedName name="dd3pctvl" localSheetId="0">'[6]lam-moi'!#REF!</definedName>
    <definedName name="dd3plmvl" localSheetId="0">'[6]lam-moi'!#REF!</definedName>
    <definedName name="dd3pnc" localSheetId="0">'[6]lam-moi'!#REF!</definedName>
    <definedName name="dd3pvl" localSheetId="0">'[6]lam-moi'!#REF!</definedName>
    <definedName name="ddhtnc" localSheetId="0">'[6]lam-moi'!#REF!</definedName>
    <definedName name="ddhtvl" localSheetId="0">'[6]lam-moi'!#REF!</definedName>
    <definedName name="ddt2nc" localSheetId="0">[6]gtrinh!#REF!</definedName>
    <definedName name="ddt2vl" localSheetId="0">[6]gtrinh!#REF!</definedName>
    <definedName name="ddtd3pnc" localSheetId="0">'[6]thao-go'!#REF!</definedName>
    <definedName name="ddtt1pnc" localSheetId="0">[6]gtrinh!#REF!</definedName>
    <definedName name="ddtt1pvl" localSheetId="0">[6]gtrinh!#REF!</definedName>
    <definedName name="ddtt3pnc" localSheetId="0">[6]gtrinh!#REF!</definedName>
    <definedName name="ddtt3pvl" localSheetId="0">[6]gtrinh!#REF!</definedName>
    <definedName name="DGCTI592" localSheetId="0">#REF!</definedName>
    <definedName name="_dgt100" localSheetId="0">'[6]dongia (2)'!#REF!</definedName>
    <definedName name="DGTH" localSheetId="0">[6]DONGIA!#REF!</definedName>
    <definedName name="DL15HT" localSheetId="0">'[6]TONGKE-HT'!#REF!</definedName>
    <definedName name="DL16HT" localSheetId="0">'[6]TONGKE-HT'!#REF!</definedName>
    <definedName name="DL19HT" localSheetId="0">'[6]TONGKE-HT'!#REF!</definedName>
    <definedName name="DL20HT" localSheetId="0">'[6]TONGKE-HT'!#REF!</definedName>
    <definedName name="ds3pnc" localSheetId="0">#REF!</definedName>
    <definedName name="ds3pvl" localSheetId="0">#REF!</definedName>
    <definedName name="dsct3pnc" localSheetId="0">'[6]#REF'!#REF!</definedName>
    <definedName name="dsct3pvl" localSheetId="0">'[6]#REF'!#REF!</definedName>
    <definedName name="duong1" localSheetId="0">[6]DONGIA!#REF!</definedName>
    <definedName name="duong2" localSheetId="0">[6]DONGIA!#REF!</definedName>
    <definedName name="duong3" localSheetId="0">[6]DONGIA!#REF!</definedName>
    <definedName name="duong4" localSheetId="0">[6]DONGIA!#REF!</definedName>
    <definedName name="duong5" localSheetId="0">[6]DONGIA!#REF!</definedName>
    <definedName name="dztramtt" localSheetId="0">[24]chitimc!#REF!</definedName>
    <definedName name="ë" localSheetId="0">[8]chitiet!#REF!</definedName>
    <definedName name="ë74" localSheetId="0">[8]chitiet!#REF!</definedName>
    <definedName name="f" localSheetId="0">#REF!</definedName>
    <definedName name="f82E46" localSheetId="0">#REF!</definedName>
    <definedName name="f92F56" localSheetId="0">[25]dtxl!#REF!</definedName>
    <definedName name="FP" localSheetId="0">'[3]COAT&amp;WRAP-QIOT-#3'!#REF!</definedName>
    <definedName name="g" localSheetId="0">'[26]DG '!#REF!</definedName>
    <definedName name="g40g40" localSheetId="0">[27]tuong!#REF!</definedName>
    <definedName name="gia_tien_BTN" localSheetId="0">#REF!</definedName>
    <definedName name="GoBack" localSheetId="0">[23]KLHT!GoBack</definedName>
    <definedName name="goc" localSheetId="0">[31]ctTBA!#REF!</definedName>
    <definedName name="GPT_GROUNDING_PT" localSheetId="0">'[32]NEW-PANEL'!#REF!</definedName>
    <definedName name="HH15HT" localSheetId="0">'[6]TONGKE-HT'!#REF!</definedName>
    <definedName name="HH16HT" localSheetId="0">'[6]TONGKE-HT'!#REF!</definedName>
    <definedName name="HH19HT" localSheetId="0">'[6]TONGKE-HT'!#REF!</definedName>
    <definedName name="HH20HT" localSheetId="0">'[6]TONGKE-HT'!#REF!</definedName>
    <definedName name="hhcv" localSheetId="0">[35]TTTram!#REF!</definedName>
    <definedName name="hhda4x6" localSheetId="0">[35]TTTram!#REF!</definedName>
    <definedName name="hhxm" localSheetId="0">[35]TTTram!#REF!</definedName>
    <definedName name="HSDD" localSheetId="0">[6]phuluc1!#REF!</definedName>
    <definedName name="HSVC3" localSheetId="0">#REF!</definedName>
    <definedName name="ht25nc" localSheetId="0">'[6]lam-moi'!#REF!</definedName>
    <definedName name="ht25vl" localSheetId="0">'[6]lam-moi'!#REF!</definedName>
    <definedName name="ht325nc" localSheetId="0">'[6]lam-moi'!#REF!</definedName>
    <definedName name="ht325vl" localSheetId="0">'[6]lam-moi'!#REF!</definedName>
    <definedName name="ht37k" localSheetId="0">'[6]lam-moi'!#REF!</definedName>
    <definedName name="ht37nc" localSheetId="0">'[6]lam-moi'!#REF!</definedName>
    <definedName name="ht50nc" localSheetId="0">'[6]lam-moi'!#REF!</definedName>
    <definedName name="ht50vl" localSheetId="0">'[6]lam-moi'!#REF!</definedName>
    <definedName name="HTNC" localSheetId="0">#REF!</definedName>
    <definedName name="HTVL" localSheetId="0">#REF!</definedName>
    <definedName name="I_A" localSheetId="0">#REF!</definedName>
    <definedName name="I_B" localSheetId="0">#REF!</definedName>
    <definedName name="I_c" localSheetId="0">#REF!</definedName>
    <definedName name="I2É6" localSheetId="0">[7]chitimc!#REF!</definedName>
    <definedName name="II_A" localSheetId="0">#REF!</definedName>
    <definedName name="II_B" localSheetId="0">#REF!</definedName>
    <definedName name="II_c" localSheetId="0">#REF!</definedName>
    <definedName name="III_a" localSheetId="0">#REF!</definedName>
    <definedName name="III_B" localSheetId="0">#REF!</definedName>
    <definedName name="III_c" localSheetId="0">#REF!</definedName>
    <definedName name="IO" localSheetId="0">'[3]COAT&amp;WRAP-QIOT-#3'!#REF!</definedName>
    <definedName name="k2b" localSheetId="0">'[6]THPDMoi  (2)'!#REF!</definedName>
    <definedName name="kj" localSheetId="0">'[36]lam-moi'!#REF!</definedName>
    <definedName name="kldd1p" localSheetId="0">'[6]#REF'!#REF!</definedName>
    <definedName name="kldd3p" localSheetId="0">'[6]lam-moi'!#REF!</definedName>
    <definedName name="km" localSheetId="0">#REF!</definedName>
    <definedName name="_KM188" localSheetId="0">#REF!</definedName>
    <definedName name="_km189" localSheetId="0">#REF!</definedName>
    <definedName name="_km193" localSheetId="0">#REF!</definedName>
    <definedName name="_km194" localSheetId="0">#REF!</definedName>
    <definedName name="_km195" localSheetId="0">#REF!</definedName>
    <definedName name="_km196" localSheetId="0">#REF!</definedName>
    <definedName name="_km197" localSheetId="0">#REF!</definedName>
    <definedName name="_km198" localSheetId="0">#REF!</definedName>
    <definedName name="kmong" localSheetId="0">[6]giathanh1!#REF!</definedName>
    <definedName name="kp1ph" localSheetId="0">#REF!</definedName>
    <definedName name="lam" localSheetId="0">'[36]lam-moi'!#REF!</definedName>
    <definedName name="m102bnnc" localSheetId="0">'[6]lam-moi'!#REF!</definedName>
    <definedName name="m102bnvl" localSheetId="0">'[6]lam-moi'!#REF!</definedName>
    <definedName name="m10aamtc" localSheetId="0">'[6]t-h HA THE'!#REF!</definedName>
    <definedName name="m10aanc" localSheetId="0">'[6]lam-moi'!#REF!</definedName>
    <definedName name="m10aavl" localSheetId="0">'[6]lam-moi'!#REF!</definedName>
    <definedName name="m10anc" localSheetId="0">'[6]lam-moi'!#REF!</definedName>
    <definedName name="m10avl" localSheetId="0">'[6]lam-moi'!#REF!</definedName>
    <definedName name="m10banc" localSheetId="0">'[6]lam-moi'!#REF!</definedName>
    <definedName name="m10bavl" localSheetId="0">'[6]lam-moi'!#REF!</definedName>
    <definedName name="m122bnnc" localSheetId="0">'[6]lam-moi'!#REF!</definedName>
    <definedName name="m122bnvl" localSheetId="0">'[6]lam-moi'!#REF!</definedName>
    <definedName name="m12aanc" localSheetId="0">'[6]lam-moi'!#REF!</definedName>
    <definedName name="m12aavl" localSheetId="0">'[6]lam-moi'!#REF!</definedName>
    <definedName name="m12anc" localSheetId="0">'[6]lam-moi'!#REF!</definedName>
    <definedName name="m12avl" localSheetId="0">'[6]lam-moi'!#REF!</definedName>
    <definedName name="m12banc" localSheetId="0">'[6]lam-moi'!#REF!</definedName>
    <definedName name="m12bavl" localSheetId="0">'[6]lam-moi'!#REF!</definedName>
    <definedName name="m12bbnc" localSheetId="0">'[6]lam-moi'!#REF!</definedName>
    <definedName name="m12bbvl" localSheetId="0">'[6]lam-moi'!#REF!</definedName>
    <definedName name="M12bnnc" localSheetId="0">'[6]#REF'!#REF!</definedName>
    <definedName name="M12bnvl" localSheetId="0">'[6]#REF'!#REF!</definedName>
    <definedName name="M12cbnc" localSheetId="0">#REF!</definedName>
    <definedName name="M12cbvl" localSheetId="0">#REF!</definedName>
    <definedName name="m142bnnc" localSheetId="0">'[6]lam-moi'!#REF!</definedName>
    <definedName name="m142bnvl" localSheetId="0">'[6]lam-moi'!#REF!</definedName>
    <definedName name="m14bbnc" localSheetId="0">'[6]lam-moi'!#REF!</definedName>
    <definedName name="M14bbvc" localSheetId="0">'[6]CHITIET VL-NC-TT -1p'!#REF!</definedName>
    <definedName name="m14bbvl" localSheetId="0">'[6]lam-moi'!#REF!</definedName>
    <definedName name="M8a" localSheetId="0">'[6]THPDMoi  (2)'!#REF!</definedName>
    <definedName name="M8aa" localSheetId="0">'[6]THPDMoi  (2)'!#REF!</definedName>
    <definedName name="m8amtc" localSheetId="0">'[6]t-h HA THE'!#REF!</definedName>
    <definedName name="m8anc" localSheetId="0">'[6]lam-moi'!#REF!</definedName>
    <definedName name="m8avl" localSheetId="0">'[6]lam-moi'!#REF!</definedName>
    <definedName name="MAT" localSheetId="0">'[3]COAT&amp;WRAP-QIOT-#3'!#REF!</definedName>
    <definedName name="mbnc" localSheetId="0">'[6]lam-moi'!#REF!</definedName>
    <definedName name="mbvl" localSheetId="0">'[6]lam-moi'!#REF!</definedName>
    <definedName name="MF" localSheetId="0">'[3]COAT&amp;WRAP-QIOT-#3'!#REF!</definedName>
    <definedName name="mmm" localSheetId="0">[6]giathanh1!#REF!</definedName>
    <definedName name="mong" localSheetId="0">'[36]lam-moi'!#REF!</definedName>
    <definedName name="mp1x25" localSheetId="0">'[6]dongia (2)'!#REF!</definedName>
    <definedName name="MTC1P" localSheetId="0">'[6]TONG HOP VL-NC TT'!#REF!</definedName>
    <definedName name="MTC3P" localSheetId="0">'[6]TONG HOP VL-NC TT'!#REF!</definedName>
    <definedName name="MTCMB" localSheetId="0">'[6]#REF'!#REF!</definedName>
    <definedName name="mtr" localSheetId="0">'[6]TH XL'!#REF!</definedName>
    <definedName name="n" localSheetId="0">#REF!</definedName>
    <definedName name="n1pig" localSheetId="0">#REF!</definedName>
    <definedName name="n1pignc" localSheetId="0">'[6]lam-moi'!#REF!</definedName>
    <definedName name="n1pigvl" localSheetId="0">'[6]lam-moi'!#REF!</definedName>
    <definedName name="n1pind" localSheetId="0">#REF!</definedName>
    <definedName name="n1pindnc" localSheetId="0">'[6]lam-moi'!#REF!</definedName>
    <definedName name="n1pindvl" localSheetId="0">'[6]lam-moi'!#REF!</definedName>
    <definedName name="n1ping" localSheetId="0">#REF!</definedName>
    <definedName name="n1pingnc" localSheetId="0">'[6]lam-moi'!#REF!</definedName>
    <definedName name="n1pingvl" localSheetId="0">'[6]lam-moi'!#REF!</definedName>
    <definedName name="n1pint" localSheetId="0">#REF!</definedName>
    <definedName name="n1pintnc" localSheetId="0">'[6]lam-moi'!#REF!</definedName>
    <definedName name="n1pintvl" localSheetId="0">'[6]lam-moi'!#REF!</definedName>
    <definedName name="n24nc" localSheetId="0">'[6]lam-moi'!#REF!</definedName>
    <definedName name="n24vl" localSheetId="0">'[6]lam-moi'!#REF!</definedName>
    <definedName name="n2mignc" localSheetId="0">'[6]lam-moi'!#REF!</definedName>
    <definedName name="n2migvl" localSheetId="0">'[6]lam-moi'!#REF!</definedName>
    <definedName name="n2min1nc" localSheetId="0">'[6]lam-moi'!#REF!</definedName>
    <definedName name="n2min1vl" localSheetId="0">'[6]lam-moi'!#REF!</definedName>
    <definedName name="nc1nc" localSheetId="0">'[6]lam-moi'!#REF!</definedName>
    <definedName name="nc1vl" localSheetId="0">'[6]lam-moi'!#REF!</definedName>
    <definedName name="nc24nc" localSheetId="0">'[6]lam-moi'!#REF!</definedName>
    <definedName name="nc24vl" localSheetId="0">'[6]lam-moi'!#REF!</definedName>
    <definedName name="nc3p" localSheetId="0">#REF!</definedName>
    <definedName name="NCBD100" localSheetId="0">#REF!</definedName>
    <definedName name="NCBD200" localSheetId="0">#REF!</definedName>
    <definedName name="NCBD250" localSheetId="0">#REF!</definedName>
    <definedName name="ncdd" localSheetId="0">'[6]TH XL'!#REF!</definedName>
    <definedName name="NCDD2" localSheetId="0">'[6]TH XL'!#REF!</definedName>
    <definedName name="_NCL100" localSheetId="0">#REF!</definedName>
    <definedName name="_NCL200" localSheetId="0">#REF!</definedName>
    <definedName name="_NCL250" localSheetId="0">#REF!</definedName>
    <definedName name="nctr" localSheetId="0">'[6]TH XL'!#REF!</definedName>
    <definedName name="nhn" localSheetId="0">#REF!</definedName>
    <definedName name="nhnnc" localSheetId="0">'[6]lam-moi'!#REF!</definedName>
    <definedName name="nhnvl" localSheetId="0">'[6]lam-moi'!#REF!</definedName>
    <definedName name="nig" localSheetId="0">#REF!</definedName>
    <definedName name="nightnc" localSheetId="0">[6]gtrinh!#REF!</definedName>
    <definedName name="nightvl" localSheetId="0">[6]gtrinh!#REF!</definedName>
    <definedName name="nin" localSheetId="0">#REF!</definedName>
    <definedName name="nin14nc3p" localSheetId="0">#REF!</definedName>
    <definedName name="nin14vl3p" localSheetId="0">#REF!</definedName>
    <definedName name="_nin190" localSheetId="0">#REF!</definedName>
    <definedName name="nin190nc" localSheetId="0">'[6]lam-moi'!#REF!</definedName>
    <definedName name="nin190nc3p" localSheetId="0">#REF!</definedName>
    <definedName name="nin190vl" localSheetId="0">'[6]lam-moi'!#REF!</definedName>
    <definedName name="nin190vl3p" localSheetId="0">#REF!</definedName>
    <definedName name="nin1pnc" localSheetId="0">'[6]lam-moi'!#REF!</definedName>
    <definedName name="nin1pvl" localSheetId="0">'[6]lam-moi'!#REF!</definedName>
    <definedName name="nin290nc3p" localSheetId="0">#REF!</definedName>
    <definedName name="nin290vl3p" localSheetId="0">#REF!</definedName>
    <definedName name="nind" localSheetId="0">#REF!</definedName>
    <definedName name="nindnc" localSheetId="0">'[6]lam-moi'!#REF!</definedName>
    <definedName name="nindnc3p" localSheetId="0">#REF!</definedName>
    <definedName name="nindvl" localSheetId="0">'[6]lam-moi'!#REF!</definedName>
    <definedName name="nindvl3p" localSheetId="0">#REF!</definedName>
    <definedName name="ninnc" localSheetId="0">'[6]lam-moi'!#REF!</definedName>
    <definedName name="ninnc3p" localSheetId="0">#REF!</definedName>
    <definedName name="ninvl" localSheetId="0">'[6]lam-moi'!#REF!</definedName>
    <definedName name="ninvl3p" localSheetId="0">#REF!</definedName>
    <definedName name="nl" localSheetId="0">#REF!</definedName>
    <definedName name="NL12nc" localSheetId="0">'[6]#REF'!#REF!</definedName>
    <definedName name="NL12vl" localSheetId="0">'[6]#REF'!#REF!</definedName>
    <definedName name="nl1p" localSheetId="0">#REF!</definedName>
    <definedName name="nlht" localSheetId="0">'[6]THPDMoi  (2)'!#REF!</definedName>
    <definedName name="nlmtc" localSheetId="0">'[6]t-h HA THE'!#REF!</definedName>
    <definedName name="nlnc" localSheetId="0">'[6]lam-moi'!#REF!</definedName>
    <definedName name="nlvl" localSheetId="0">'[6]lam-moi'!#REF!</definedName>
    <definedName name="nn" localSheetId="0">#REF!</definedName>
    <definedName name="nn1p" localSheetId="0">#REF!</definedName>
    <definedName name="nnnc" localSheetId="0">'[6]lam-moi'!#REF!</definedName>
    <definedName name="nnnc3p" localSheetId="0">#REF!</definedName>
    <definedName name="nnvl" localSheetId="0">'[6]lam-moi'!#REF!</definedName>
    <definedName name="nnvl3p" localSheetId="0">#REF!</definedName>
    <definedName name="nx" localSheetId="0">'[6]THPDMoi  (2)'!#REF!</definedName>
    <definedName name="nxmtc" localSheetId="0">'[6]t-h HA THE'!#REF!</definedName>
    <definedName name="osc" localSheetId="0">'[6]THPDMoi  (2)'!#REF!</definedName>
    <definedName name="OTHER_PANEL" localSheetId="0">'[32]NEW-PANEL'!#REF!</definedName>
    <definedName name="_oto10" localSheetId="0">[12]VL!#REF!</definedName>
    <definedName name="Óu75" localSheetId="0">[8]chitiet!#REF!</definedName>
    <definedName name="P" localSheetId="0">'[3]PNT-QUOT-#3'!#REF!</definedName>
    <definedName name="PEJM" localSheetId="0">'[1]COAT&amp;WRAP-QIOT-#3'!#REF!</definedName>
    <definedName name="PF" localSheetId="0">'[1]PNT-QUOT-#3'!#REF!</definedName>
    <definedName name="PL_指示燈___P.B.___REST_P.B._壓扣開關" localSheetId="0">'[32]NEW-PANEL'!#REF!</definedName>
    <definedName name="_xlnm.Print_Titles" localSheetId="0">'Bảng chính trình TV'!$5:$9</definedName>
    <definedName name="Q" localSheetId="0">[6]giathanh1!#REF!</definedName>
    <definedName name="rack1" localSheetId="0">'[6]THPDMoi  (2)'!#REF!</definedName>
    <definedName name="rack2" localSheetId="0">'[6]THPDMoi  (2)'!#REF!</definedName>
    <definedName name="rack3" localSheetId="0">'[6]THPDMoi  (2)'!#REF!</definedName>
    <definedName name="rack4" localSheetId="0">'[6]THPDMoi  (2)'!#REF!</definedName>
    <definedName name="RT" localSheetId="0">'[1]COAT&amp;WRAP-QIOT-#3'!#REF!</definedName>
    <definedName name="s75F29" localSheetId="0">[8]chitiet!#REF!</definedName>
    <definedName name="sat" localSheetId="0">[35]TTTram!#REF!</definedName>
    <definedName name="satu" localSheetId="0">[40]ctTBA!#REF!</definedName>
    <definedName name="sd3p" localSheetId="0">'[6]lam-moi'!#REF!</definedName>
    <definedName name="sgnc" localSheetId="0">[6]gtrinh!#REF!</definedName>
    <definedName name="sgvl" localSheetId="0">[6]gtrinh!#REF!</definedName>
    <definedName name="sht" localSheetId="0">'[6]THPDMoi  (2)'!#REF!</definedName>
    <definedName name="sht3p" localSheetId="0">'[6]lam-moi'!#REF!</definedName>
    <definedName name="_SN3" localSheetId="0">#REF!</definedName>
    <definedName name="SP" localSheetId="0">'[1]PNT-QUOT-#3'!#REF!</definedName>
    <definedName name="spk1p" localSheetId="0">'[6]#REF'!#REF!</definedName>
    <definedName name="spk3p" localSheetId="0">'[6]lam-moi'!#REF!</definedName>
    <definedName name="st3p" localSheetId="0">'[6]lam-moi'!#REF!</definedName>
    <definedName name="t101p" localSheetId="0">#REF!</definedName>
    <definedName name="t103p" localSheetId="0">#REF!</definedName>
    <definedName name="t105mnc" localSheetId="0">'[6]thao-go'!#REF!</definedName>
    <definedName name="t10m" localSheetId="0">'[6]lam-moi'!#REF!</definedName>
    <definedName name="t10nc" localSheetId="0">'[6]lam-moi'!#REF!</definedName>
    <definedName name="t10ncm" localSheetId="0">'[6]lam-moi'!#REF!</definedName>
    <definedName name="t10vl" localSheetId="0">'[6]lam-moi'!#REF!</definedName>
    <definedName name="t121p" localSheetId="0">#REF!</definedName>
    <definedName name="t123p" localSheetId="0">#REF!</definedName>
    <definedName name="t12m" localSheetId="0">'[6]lam-moi'!#REF!</definedName>
    <definedName name="t12mnc" localSheetId="0">'[6]thao-go'!#REF!</definedName>
    <definedName name="t12nc" localSheetId="0">'[6]lam-moi'!#REF!</definedName>
    <definedName name="t12ncm" localSheetId="0">'[6]lam-moi'!#REF!</definedName>
    <definedName name="t12vl" localSheetId="0">'[6]lam-moi'!#REF!</definedName>
    <definedName name="t141p" localSheetId="0">#REF!</definedName>
    <definedName name="t143p" localSheetId="0">#REF!</definedName>
    <definedName name="t14m" localSheetId="0">'[6]lam-moi'!#REF!</definedName>
    <definedName name="t14mnc" localSheetId="0">'[6]thao-go'!#REF!</definedName>
    <definedName name="t14nc" localSheetId="0">'[6]lam-moi'!#REF!</definedName>
    <definedName name="t14ncm" localSheetId="0">'[6]lam-moi'!#REF!</definedName>
    <definedName name="T14vc" localSheetId="0">'[6]CHITIET VL-NC-TT -1p'!#REF!</definedName>
    <definedName name="t14vl" localSheetId="0">'[6]lam-moi'!#REF!</definedName>
    <definedName name="T203P" localSheetId="0">[6]VC!#REF!</definedName>
    <definedName name="t20m" localSheetId="0">'[6]lam-moi'!#REF!</definedName>
    <definedName name="t20ncm" localSheetId="0">'[6]lam-moi'!#REF!</definedName>
    <definedName name="t7m" localSheetId="0">'[6]THPDMoi  (2)'!#REF!</definedName>
    <definedName name="t7nc" localSheetId="0">'[6]lam-moi'!#REF!</definedName>
    <definedName name="t7vl" localSheetId="0">'[6]lam-moi'!#REF!</definedName>
    <definedName name="t84mnc" localSheetId="0">'[6]thao-go'!#REF!</definedName>
    <definedName name="t8m" localSheetId="0">'[6]THPDMoi  (2)'!#REF!</definedName>
    <definedName name="t8nc" localSheetId="0">'[6]lam-moi'!#REF!</definedName>
    <definedName name="t8vl" localSheetId="0">'[6]lam-moi'!#REF!</definedName>
    <definedName name="tbdd1p" localSheetId="0">'[6]lam-moi'!#REF!</definedName>
    <definedName name="tbdd3p" localSheetId="0">'[6]lam-moi'!#REF!</definedName>
    <definedName name="tbddsdl" localSheetId="0">'[6]lam-moi'!#REF!</definedName>
    <definedName name="TBI" localSheetId="0">'[6]TH XL'!#REF!</definedName>
    <definedName name="tbtr" localSheetId="0">'[6]TH XL'!#REF!</definedName>
    <definedName name="TC" localSheetId="0">#REF!</definedName>
    <definedName name="tcxxnc" localSheetId="0">'[6]thao-go'!#REF!</definedName>
    <definedName name="td" localSheetId="0">'[6]THPDMoi  (2)'!#REF!</definedName>
    <definedName name="td10vl" localSheetId="0">'[6]#REF'!#REF!</definedName>
    <definedName name="td12nc" localSheetId="0">'[6]#REF'!#REF!</definedName>
    <definedName name="td1cnc" localSheetId="0">'[6]lam-moi'!#REF!</definedName>
    <definedName name="td1cvl" localSheetId="0">'[6]lam-moi'!#REF!</definedName>
    <definedName name="td1p" localSheetId="0">#REF!</definedName>
    <definedName name="TD1pnc" localSheetId="0">'[6]CHITIET VL-NC-TT -1p'!#REF!</definedName>
    <definedName name="TD1pvl" localSheetId="0">'[6]CHITIET VL-NC-TT -1p'!#REF!</definedName>
    <definedName name="td3p" localSheetId="0">#REF!</definedName>
    <definedName name="tdc84nc" localSheetId="0">'[6]thao-go'!#REF!</definedName>
    <definedName name="tdcnc" localSheetId="0">'[6]thao-go'!#REF!</definedName>
    <definedName name="tdgnc" localSheetId="0">'[6]lam-moi'!#REF!</definedName>
    <definedName name="tdgvl" localSheetId="0">'[6]lam-moi'!#REF!</definedName>
    <definedName name="tdhtnc" localSheetId="0">'[6]lam-moi'!#REF!</definedName>
    <definedName name="tdhtvl" localSheetId="0">'[6]lam-moi'!#REF!</definedName>
    <definedName name="tdnc" localSheetId="0">[6]gtrinh!#REF!</definedName>
    <definedName name="tdt1pnc" localSheetId="0">[6]gtrinh!#REF!</definedName>
    <definedName name="tdt1pvl" localSheetId="0">[6]gtrinh!#REF!</definedName>
    <definedName name="tdt2cnc" localSheetId="0">'[6]lam-moi'!#REF!</definedName>
    <definedName name="tdt2cvl" localSheetId="0">[6]chitiet!#REF!</definedName>
    <definedName name="tdtrnc" localSheetId="0">[6]gtrinh!#REF!</definedName>
    <definedName name="tdtrvl" localSheetId="0">[6]gtrinh!#REF!</definedName>
    <definedName name="tdvl" localSheetId="0">[6]gtrinh!#REF!</definedName>
    <definedName name="_th100" localSheetId="0">'[6]dongia (2)'!#REF!</definedName>
    <definedName name="_TH160" localSheetId="0">'[6]dongia (2)'!#REF!</definedName>
    <definedName name="th3x15" localSheetId="0">[6]giathanh1!#REF!</definedName>
    <definedName name="ThanhXuan110" localSheetId="0">'[43]KH-Q1,Q2,01'!#REF!</definedName>
    <definedName name="THK" localSheetId="0">'[1]COAT&amp;WRAP-QIOT-#3'!#REF!</definedName>
    <definedName name="THKP160" localSheetId="0">'[6]dongia (2)'!#REF!</definedName>
    <definedName name="thkp3" localSheetId="0">#REF!</definedName>
    <definedName name="thtr15" localSheetId="0">[6]giathanh1!#REF!</definedName>
    <definedName name="thxlk" localSheetId="0">'[36]thao-go'!#REF!</definedName>
    <definedName name="TL" localSheetId="0">[12]ND!#REF!</definedName>
    <definedName name="_TL3" localSheetId="0">#REF!</definedName>
    <definedName name="tn1pinnc" localSheetId="0">'[6]thao-go'!#REF!</definedName>
    <definedName name="tn2mhnnc" localSheetId="0">'[6]thao-go'!#REF!</definedName>
    <definedName name="TNCM" localSheetId="0">'[6]CHITIET VL-NC-TT-3p'!#REF!</definedName>
    <definedName name="tnhnnc" localSheetId="0">'[6]thao-go'!#REF!</definedName>
    <definedName name="tnignc" localSheetId="0">'[6]thao-go'!#REF!</definedName>
    <definedName name="tnin190nc" localSheetId="0">'[6]thao-go'!#REF!</definedName>
    <definedName name="tnlnc" localSheetId="0">'[6]thao-go'!#REF!</definedName>
    <definedName name="tnnnc" localSheetId="0">'[6]thao-go'!#REF!</definedName>
    <definedName name="tongdt" localSheetId="0">[46]BO!#REF!</definedName>
    <definedName name="TR15HT" localSheetId="0">'[6]TONGKE-HT'!#REF!</definedName>
    <definedName name="TR16HT" localSheetId="0">'[6]TONGKE-HT'!#REF!</definedName>
    <definedName name="TR19HT" localSheetId="0">'[6]TONGKE-HT'!#REF!</definedName>
    <definedName name="tr1x15" localSheetId="0">[6]giathanh1!#REF!</definedName>
    <definedName name="TR20HT" localSheetId="0">'[6]TONGKE-HT'!#REF!</definedName>
    <definedName name="_TR250" localSheetId="0">'[6]dongia (2)'!#REF!</definedName>
    <definedName name="_tr375" localSheetId="0">[6]giathanh1!#REF!</definedName>
    <definedName name="tr3x100" localSheetId="0">'[6]dongia (2)'!#REF!</definedName>
    <definedName name="Tra_phan_tram" localSheetId="0">[48]Tra_bang!#REF!</definedName>
    <definedName name="tram100" localSheetId="0">'[6]dongia (2)'!#REF!</definedName>
    <definedName name="tram1x25" localSheetId="0">'[6]dongia (2)'!#REF!</definedName>
    <definedName name="TRANSFORMER" localSheetId="0">'[32]NEW-PANEL'!#REF!</definedName>
    <definedName name="tru10mtc" localSheetId="0">'[6]t-h HA THE'!#REF!</definedName>
    <definedName name="tru8mtc" localSheetId="0">'[6]t-h HA THE'!#REF!</definedName>
    <definedName name="tt1pnc" localSheetId="0">'[6]lam-moi'!#REF!</definedName>
    <definedName name="tt1pvl" localSheetId="0">'[6]lam-moi'!#REF!</definedName>
    <definedName name="tt3pnc" localSheetId="0">'[6]lam-moi'!#REF!</definedName>
    <definedName name="tt3pvl" localSheetId="0">'[6]lam-moi'!#REF!</definedName>
    <definedName name="TTDD3P" localSheetId="0">[6]TDTKP1!#REF!</definedName>
    <definedName name="TTDDCT3p" localSheetId="0">[6]TDTKP1!#REF!</definedName>
    <definedName name="tx1pignc" localSheetId="0">'[6]thao-go'!#REF!</definedName>
    <definedName name="tx1pindnc" localSheetId="0">'[6]thao-go'!#REF!</definedName>
    <definedName name="tx1pingnc" localSheetId="0">'[6]thao-go'!#REF!</definedName>
    <definedName name="tx1pintnc" localSheetId="0">'[6]thao-go'!#REF!</definedName>
    <definedName name="tx1pitnc" localSheetId="0">'[6]thao-go'!#REF!</definedName>
    <definedName name="tx2mhnnc" localSheetId="0">'[6]thao-go'!#REF!</definedName>
    <definedName name="tx2mitnc" localSheetId="0">'[6]thao-go'!#REF!</definedName>
    <definedName name="txhnnc" localSheetId="0">'[6]thao-go'!#REF!</definedName>
    <definedName name="txig1nc" localSheetId="0">'[6]thao-go'!#REF!</definedName>
    <definedName name="txin190nc" localSheetId="0">'[6]thao-go'!#REF!</definedName>
    <definedName name="txinnc" localSheetId="0">'[6]thao-go'!#REF!</definedName>
    <definedName name="txit1nc" localSheetId="0">'[6]thao-go'!#REF!</definedName>
    <definedName name="ty_le_BTN" localSheetId="0">#REF!</definedName>
    <definedName name="_tz593" localSheetId="0">#REF!</definedName>
    <definedName name="VA" localSheetId="0">[12]ND!#REF!</definedName>
    <definedName name="VCDD3p" localSheetId="0">'[6]KPVC-BD '!#REF!</definedName>
    <definedName name="_VL100" localSheetId="0">#REF!</definedName>
    <definedName name="_VL200" localSheetId="0">#REF!</definedName>
    <definedName name="_VL250" localSheetId="0">#REF!</definedName>
    <definedName name="vl3p" localSheetId="0">#REF!</definedName>
    <definedName name="vldd" localSheetId="0">'[6]TH XL'!#REF!</definedName>
    <definedName name="vltr" localSheetId="0">'[6]TH XL'!#REF!</definedName>
    <definedName name="vt1pbs" localSheetId="0">'[6]lam-moi'!#REF!</definedName>
    <definedName name="vtbs" localSheetId="0">'[6]lam-moi'!#REF!</definedName>
    <definedName name="x17dnc" localSheetId="0">[6]chitiet!#REF!</definedName>
    <definedName name="x17dvl" localSheetId="0">[6]chitiet!#REF!</definedName>
    <definedName name="x17knc" localSheetId="0">[6]chitiet!#REF!</definedName>
    <definedName name="x17kvl" localSheetId="0">[6]chitiet!#REF!</definedName>
    <definedName name="X1pFCOnc" localSheetId="0">'[6]CHITIET VL-NC-TT -1p'!#REF!</definedName>
    <definedName name="X1pFCOvc" localSheetId="0">'[6]CHITIET VL-NC-TT -1p'!#REF!</definedName>
    <definedName name="X1pFCOvl" localSheetId="0">'[6]CHITIET VL-NC-TT -1p'!#REF!</definedName>
    <definedName name="x1pignc" localSheetId="0">'[6]lam-moi'!#REF!</definedName>
    <definedName name="X1pIGvc" localSheetId="0">'[6]CHITIET VL-NC-TT -1p'!#REF!</definedName>
    <definedName name="x1pigvl" localSheetId="0">'[6]lam-moi'!#REF!</definedName>
    <definedName name="x1pind" localSheetId="0">#REF!</definedName>
    <definedName name="x1pindnc" localSheetId="0">'[6]lam-moi'!#REF!</definedName>
    <definedName name="x1pindvl" localSheetId="0">'[6]lam-moi'!#REF!</definedName>
    <definedName name="x1ping" localSheetId="0">#REF!</definedName>
    <definedName name="x1pingnc" localSheetId="0">'[6]lam-moi'!#REF!</definedName>
    <definedName name="x1pingvl" localSheetId="0">'[6]lam-moi'!#REF!</definedName>
    <definedName name="x1pint" localSheetId="0">#REF!</definedName>
    <definedName name="x1pintnc" localSheetId="0">'[6]lam-moi'!#REF!</definedName>
    <definedName name="X1pINTvc" localSheetId="0">'[6]CHITIET VL-NC-TT -1p'!#REF!</definedName>
    <definedName name="x1pintvl" localSheetId="0">'[6]lam-moi'!#REF!</definedName>
    <definedName name="x1pitnc" localSheetId="0">'[6]lam-moi'!#REF!</definedName>
    <definedName name="X1pITvc" localSheetId="0">'[6]CHITIET VL-NC-TT -1p'!#REF!</definedName>
    <definedName name="x1pitvl" localSheetId="0">'[6]lam-moi'!#REF!</definedName>
    <definedName name="x20knc" localSheetId="0">[6]chitiet!#REF!</definedName>
    <definedName name="x20kvl" localSheetId="0">[6]chitiet!#REF!</definedName>
    <definedName name="x22knc" localSheetId="0">[6]chitiet!#REF!</definedName>
    <definedName name="x22kvl" localSheetId="0">[6]chitiet!#REF!</definedName>
    <definedName name="x2mig1nc" localSheetId="0">'[6]lam-moi'!#REF!</definedName>
    <definedName name="x2mig1vl" localSheetId="0">'[6]lam-moi'!#REF!</definedName>
    <definedName name="x2min1nc" localSheetId="0">'[6]lam-moi'!#REF!</definedName>
    <definedName name="x2min1vl" localSheetId="0">'[6]lam-moi'!#REF!</definedName>
    <definedName name="x2mit1vl" localSheetId="0">'[6]lam-moi'!#REF!</definedName>
    <definedName name="x2mitnc" localSheetId="0">'[6]lam-moi'!#REF!</definedName>
    <definedName name="xa" localSheetId="0">[35]TTTram!#REF!</definedName>
    <definedName name="xdsnc" localSheetId="0">[6]gtrinh!#REF!</definedName>
    <definedName name="xdsvl" localSheetId="0">[6]gtrinh!#REF!</definedName>
    <definedName name="xfco" localSheetId="0">#REF!</definedName>
    <definedName name="xfconc" localSheetId="0">'[6]lam-moi'!#REF!</definedName>
    <definedName name="xfcovl" localSheetId="0">'[6]lam-moi'!#REF!</definedName>
    <definedName name="xfnc" localSheetId="0">'[6]lam-moi'!#REF!</definedName>
    <definedName name="xfvl" localSheetId="0">'[6]lam-moi'!#REF!</definedName>
    <definedName name="xhn" localSheetId="0">#REF!</definedName>
    <definedName name="xhnnc" localSheetId="0">'[6]lam-moi'!#REF!</definedName>
    <definedName name="xhnvl" localSheetId="0">'[6]lam-moi'!#REF!</definedName>
    <definedName name="xig" localSheetId="0">#REF!</definedName>
    <definedName name="xig1" localSheetId="0">#REF!</definedName>
    <definedName name="xig1nc" localSheetId="0">'[6]lam-moi'!#REF!</definedName>
    <definedName name="xig1pnc" localSheetId="0">'[6]lam-moi'!#REF!</definedName>
    <definedName name="xig1pvl" localSheetId="0">'[6]lam-moi'!#REF!</definedName>
    <definedName name="xig1vl" localSheetId="0">'[6]lam-moi'!#REF!</definedName>
    <definedName name="xig2nc" localSheetId="0">'[6]lam-moi'!#REF!</definedName>
    <definedName name="xig2vl" localSheetId="0">'[6]lam-moi'!#REF!</definedName>
    <definedName name="xignc" localSheetId="0">'[6]lam-moi'!#REF!</definedName>
    <definedName name="xignc3p" localSheetId="0">#REF!</definedName>
    <definedName name="xigvl" localSheetId="0">'[6]lam-moi'!#REF!</definedName>
    <definedName name="xigvl3p" localSheetId="0">#REF!</definedName>
    <definedName name="xin" localSheetId="0">#REF!</definedName>
    <definedName name="xin190" localSheetId="0">#REF!</definedName>
    <definedName name="xin190nc" localSheetId="0">'[6]lam-moi'!#REF!</definedName>
    <definedName name="xin190vl" localSheetId="0">'[6]lam-moi'!#REF!</definedName>
    <definedName name="xin290nc3p" localSheetId="0">#REF!</definedName>
    <definedName name="xin290vl3p" localSheetId="0">#REF!</definedName>
    <definedName name="xin901nc" localSheetId="0">'[6]lam-moi'!#REF!</definedName>
    <definedName name="xin901vl" localSheetId="0">'[6]lam-moi'!#REF!</definedName>
    <definedName name="xind" localSheetId="0">#REF!</definedName>
    <definedName name="xind1pnc" localSheetId="0">'[6]lam-moi'!#REF!</definedName>
    <definedName name="xind1pvl" localSheetId="0">'[6]lam-moi'!#REF!</definedName>
    <definedName name="xindnc" localSheetId="0">'[6]lam-moi'!#REF!</definedName>
    <definedName name="xindvl" localSheetId="0">'[6]lam-moi'!#REF!</definedName>
    <definedName name="xing1pnc" localSheetId="0">'[6]lam-moi'!#REF!</definedName>
    <definedName name="xing1pvl" localSheetId="0">'[6]lam-moi'!#REF!</definedName>
    <definedName name="xinnc" localSheetId="0">'[6]lam-moi'!#REF!</definedName>
    <definedName name="xinnc3p" localSheetId="0">#REF!</definedName>
    <definedName name="xinvl" localSheetId="0">'[6]lam-moi'!#REF!</definedName>
    <definedName name="xinvl3p" localSheetId="0">#REF!</definedName>
    <definedName name="xit" localSheetId="0">#REF!</definedName>
    <definedName name="xit1" localSheetId="0">#REF!</definedName>
    <definedName name="xit1nc" localSheetId="0">'[6]lam-moi'!#REF!</definedName>
    <definedName name="xit1pnc" localSheetId="0">'[6]lam-moi'!#REF!</definedName>
    <definedName name="xit1pvl" localSheetId="0">'[6]lam-moi'!#REF!</definedName>
    <definedName name="xit1vl" localSheetId="0">'[6]lam-moi'!#REF!</definedName>
    <definedName name="xit2nc" localSheetId="0">'[6]lam-moi'!#REF!</definedName>
    <definedName name="xit2nc3p" localSheetId="0">#REF!</definedName>
    <definedName name="xit2vl" localSheetId="0">'[6]lam-moi'!#REF!</definedName>
    <definedName name="xit2vl3p" localSheetId="0">#REF!</definedName>
    <definedName name="xitnc" localSheetId="0">'[6]lam-moi'!#REF!</definedName>
    <definedName name="xitnc3p" localSheetId="0">#REF!</definedName>
    <definedName name="xitvl" localSheetId="0">'[6]lam-moi'!#REF!</definedName>
    <definedName name="xitvl3p" localSheetId="0">#REF!</definedName>
    <definedName name="xl" localSheetId="0">[52]chitimc!#REF!</definedName>
    <definedName name="xr1nc" localSheetId="0">'[6]lam-moi'!#REF!</definedName>
    <definedName name="xr1vl" localSheetId="0">'[6]lam-moi'!#REF!</definedName>
    <definedName name="xtr3pnc" localSheetId="0">[6]gtrinh!#REF!</definedName>
    <definedName name="xtr3pvl" localSheetId="0">[6]gtrinh!#REF!</definedName>
    <definedName name="_xlnm.Criteria" localSheetId="0">[18]SILICATE!#REF!</definedName>
    <definedName name="_xlnm.Extract" localSheetId="0">[18]SILICATE!#REF!</definedName>
  </definedNames>
  <calcPr calcId="144525"/>
</workbook>
</file>

<file path=xl/comments1.xml><?xml version="1.0" encoding="utf-8"?>
<comments xmlns="http://schemas.openxmlformats.org/spreadsheetml/2006/main">
  <authors>
    <author>TGDD</author>
  </authors>
  <commentList>
    <comment ref="B212" authorId="0">
      <text>
        <r>
          <rPr>
            <b/>
            <sz val="9"/>
            <rFont val="Times New Roman"/>
            <charset val="0"/>
          </rPr>
          <t>TGDD:</t>
        </r>
        <r>
          <rPr>
            <sz val="9"/>
            <rFont val="Times New Roman"/>
            <charset val="0"/>
          </rPr>
          <t xml:space="preserve">
nâng lên 1,6 tỷ</t>
        </r>
      </text>
    </comment>
    <comment ref="B258" authorId="0">
      <text>
        <r>
          <rPr>
            <sz val="9"/>
            <rFont val="Times New Roman"/>
            <charset val="0"/>
          </rPr>
          <t xml:space="preserve">Đã bố trí kp khám ngoài tỉnh 50 triệu
</t>
        </r>
      </text>
    </comment>
    <comment ref="G357" authorId="0">
      <text>
        <r>
          <rPr>
            <sz val="9"/>
            <rFont val="Times New Roman"/>
            <charset val="0"/>
          </rPr>
          <t xml:space="preserve">cấp theo tỉnh
</t>
        </r>
      </text>
    </comment>
    <comment ref="L363" authorId="0">
      <text>
        <r>
          <rPr>
            <sz val="9"/>
            <rFont val="Times New Roman"/>
            <charset val="0"/>
          </rPr>
          <t xml:space="preserve">Dự kiến 2 tỷ tiên lương tăng khối xã
</t>
        </r>
      </text>
    </comment>
    <comment ref="B564" authorId="0">
      <text>
        <r>
          <rPr>
            <sz val="9"/>
            <rFont val="Times New Roman"/>
            <charset val="0"/>
          </rPr>
          <t xml:space="preserve">Bố trí 3 tỷ cho công tác kiến thiết thị chính. Chuyển 3 tỷ sang đầu tư công
</t>
        </r>
      </text>
    </comment>
  </commentList>
</comments>
</file>

<file path=xl/sharedStrings.xml><?xml version="1.0" encoding="utf-8"?>
<sst xmlns="http://schemas.openxmlformats.org/spreadsheetml/2006/main" count="628" uniqueCount="449">
  <si>
    <t>DỰ TOÁN CHI NGÂN SÁCH NĂM 2021</t>
  </si>
  <si>
    <t xml:space="preserve">(Kèm theo Tờ trình số:     /TT-UBND ngày      tháng       năm 2020 của Uỷ ban nhân dân huyện Mang Yang)  </t>
  </si>
  <si>
    <t>DỰ THẢO</t>
  </si>
  <si>
    <t>Đơn vị tính: đồng</t>
  </si>
  <si>
    <t>STT</t>
  </si>
  <si>
    <t>NỘI DUNG</t>
  </si>
  <si>
    <t>DỰ TOÁN NGÂN SÁCH TỈNH</t>
  </si>
  <si>
    <t xml:space="preserve">DỰ TOÁN HUYỆN GIAO </t>
  </si>
  <si>
    <t>Ngân sách cấp huyện</t>
  </si>
  <si>
    <t>Ngân sách cấp xã</t>
  </si>
  <si>
    <t>Ghi chú</t>
  </si>
  <si>
    <t>Toång ngaân saùch huyeän</t>
  </si>
  <si>
    <t>Ngaân saùch caáp xaõ</t>
  </si>
  <si>
    <t>Chỉ tiêu cơ bản</t>
  </si>
  <si>
    <t>Định mức</t>
  </si>
  <si>
    <t>Tổng cộng</t>
  </si>
  <si>
    <t>Tiết kiệm 10% chi TX thực hiện CCTL và 1,5% chi TX để lập quỹ khen thưởng</t>
  </si>
  <si>
    <t>Tổng số kinh phí giao đơn vị sau khi trừ TK</t>
  </si>
  <si>
    <t>A</t>
  </si>
  <si>
    <t>B</t>
  </si>
  <si>
    <t>7=5-6</t>
  </si>
  <si>
    <t>12=10-11</t>
  </si>
  <si>
    <t>CHI ĐẦU TƯ XÂY DỰNG CƠ BẢN</t>
  </si>
  <si>
    <t>Vốn xây dựng cơ bản tập trung (tỉnh phân cấp)</t>
  </si>
  <si>
    <t xml:space="preserve"> Trong đó: Chi cho Giáo dục - Đào tạo</t>
  </si>
  <si>
    <t>Chi đầu tư từ nguồn thu tiền sử dụng đất</t>
  </si>
  <si>
    <t xml:space="preserve"> 30% từ nguồn tiền thuê đất cho quỹ phát triển</t>
  </si>
  <si>
    <t>10% tiền thuê đất chi cho công tác đo đạc, đăng ký đất đai, lập cơ sở dữ liệu hồ sơ địa chính và cấp Giấy chứng nhận quyền SSDĐ</t>
  </si>
  <si>
    <t xml:space="preserve">CHI THƯỜNG XUYÊN </t>
  </si>
  <si>
    <t>I</t>
  </si>
  <si>
    <t>CHI SỰ NGHIỆP GIÁO DỤC - ĐT</t>
  </si>
  <si>
    <t>Đối với số BC hiện đã giao chỉ tiêu nhưng chưa tuyển được chỉ tính 9 tháng và cấp thêm cho mỗi trường 30 triệu đồng</t>
  </si>
  <si>
    <t>I.1</t>
  </si>
  <si>
    <t xml:space="preserve">Khối Mẫu giáo </t>
  </si>
  <si>
    <t xml:space="preserve"> Trường Mầm non thị trấn Kon Dơng</t>
  </si>
  <si>
    <t xml:space="preserve"> - Hệ số lương, phụ cấp, các khoản đóng góp bq </t>
  </si>
  <si>
    <t xml:space="preserve"> - Chi hoạt động</t>
  </si>
  <si>
    <t>Trường Mẫu giáo Đăk Yă</t>
  </si>
  <si>
    <t>Trường Mẫu giáo Ayun</t>
  </si>
  <si>
    <t>Trường Mẫu giáo Hà ra</t>
  </si>
  <si>
    <t>Trường Mẫu giáo Đăk Djrăng</t>
  </si>
  <si>
    <t>Trường Mẫu giáo 17/3</t>
  </si>
  <si>
    <t>Trường Mẫu giáo Lơ Pang</t>
  </si>
  <si>
    <t>Trường Mẫu giáo Kon Thụp</t>
  </si>
  <si>
    <t>Trường Mẫu giáo Đê Ar</t>
  </si>
  <si>
    <t>Trường Mẫu giáo Kon Chiêng</t>
  </si>
  <si>
    <t>Trường Mẫu giáo Đăk Trôi</t>
  </si>
  <si>
    <t>Trường Mẫu giáo Đak Ta Ley</t>
  </si>
  <si>
    <t>Trường Mẫu giáo Đak Jơ Ta</t>
  </si>
  <si>
    <t>I.2</t>
  </si>
  <si>
    <t xml:space="preserve">Khối Tiểu học </t>
  </si>
  <si>
    <t>Trường Tiểu học thị trấn  Kon Dỡng số 1</t>
  </si>
  <si>
    <t>Trường Tiểu học thị trấn  Kon Dỡng số 2</t>
  </si>
  <si>
    <t>Trường TH&amp;THCS Đăk Yă</t>
  </si>
  <si>
    <t>Trường TH&amp;THCS Đak Ta Ley</t>
  </si>
  <si>
    <t>Trường Tiểu học Đăk Djrăng</t>
  </si>
  <si>
    <t>Trường Tiểu học Ayun số 1</t>
  </si>
  <si>
    <t>Trường Tiểu học Ayun số 2</t>
  </si>
  <si>
    <t>Trường Tiểu học Hà ra số 1</t>
  </si>
  <si>
    <t>Trường Tiểu học Hà ra số 2</t>
  </si>
  <si>
    <t>Trường TH&amp;THCS Đak Jơ Ta</t>
  </si>
  <si>
    <t>Trường Tiểu học Lơ Pang</t>
  </si>
  <si>
    <t>Trường Tiểu học Kon Thụp</t>
  </si>
  <si>
    <t>Trường Tiểu học Kon Chiêng</t>
  </si>
  <si>
    <t>Trường Tiểu học Đê Ar</t>
  </si>
  <si>
    <t>Trường TH &amp;THCS Đăk Trôi</t>
  </si>
  <si>
    <t>Trường TH &amp;THCS Kon Chiêng</t>
  </si>
  <si>
    <t>I.3</t>
  </si>
  <si>
    <t>Khối THCS</t>
  </si>
  <si>
    <t>Trường THCS Chu Văn An</t>
  </si>
  <si>
    <t>Trường THCS Lê Quí Đôn</t>
  </si>
  <si>
    <t>Trường THCS Ayun</t>
  </si>
  <si>
    <t>Trường PTDT BT THCS Lơ Pang</t>
  </si>
  <si>
    <t>Trường PTDT BT THCS  Đê Ar</t>
  </si>
  <si>
    <t>Trường THCS Hà ra</t>
  </si>
  <si>
    <t>Trường TH &amp;THCS Đak Ta Ley</t>
  </si>
  <si>
    <t>Trường THCS Kon Chiêng</t>
  </si>
  <si>
    <t>Trường THCS Dân tộc Nội trú</t>
  </si>
  <si>
    <t xml:space="preserve"> -  Chi học bổng cho học sinh nội trú</t>
  </si>
  <si>
    <t xml:space="preserve"> - Chế độ chi hoạt động cho học sinh theo Thông tư 109 </t>
  </si>
  <si>
    <t>I.4</t>
  </si>
  <si>
    <t>Trung tâm BDCT</t>
  </si>
  <si>
    <t xml:space="preserve">  Sự nghiệp đào tạo</t>
  </si>
  <si>
    <t>I.5</t>
  </si>
  <si>
    <t>Trung tâm dạy nghề &amp; giáo dục thường xuyên</t>
  </si>
  <si>
    <t xml:space="preserve"> - Hợp đồng Nghị định 68/NĐ-CP</t>
  </si>
  <si>
    <t xml:space="preserve"> - Hỗ trợ lớp bổ túc văn hóa gắn với đào tạo nghề năm học 2020-2021</t>
  </si>
  <si>
    <t xml:space="preserve"> - Sự nghiệp dạy nghề</t>
  </si>
  <si>
    <t>I.6</t>
  </si>
  <si>
    <t xml:space="preserve"> Kinh phí triển khai thực hiện hội nghị sơ kết học tập và làm theo tấm gương đạo đức HCM</t>
  </si>
  <si>
    <t>I.7</t>
  </si>
  <si>
    <t>Hỗ trợ tiền ăn trưa cho trẻ em học mẫu giáo 3,4,5 tuổi</t>
  </si>
  <si>
    <t>I.8</t>
  </si>
  <si>
    <t>Hỗ trợ học sinh và trường phổ thông ở xã, thôn ĐBKK theo Nghị định số 116/2016/NĐ-CP</t>
  </si>
  <si>
    <t>I.9</t>
  </si>
  <si>
    <t>Học bổng và mua sắm phương tiện, ĐDHT cho người khuyết tật theo TTLT số 42/2013</t>
  </si>
  <si>
    <t xml:space="preserve">                                                                                                                                                                   </t>
  </si>
  <si>
    <t>I.10</t>
  </si>
  <si>
    <t>Cấp bù miễn giảm học phí, chi phí học tập theo Nghị định 86/2015/NĐ-CP</t>
  </si>
  <si>
    <t>I.11</t>
  </si>
  <si>
    <t>Hỗ trợ chi phí học tập đối với sinh viên là người dân tộc thiểu số tại các cơ sở giáo dục đại học theo Quyết định số 66/2013/QĐ-TTg</t>
  </si>
  <si>
    <t>I.12</t>
  </si>
  <si>
    <t>Hỗ trợ cho học sinh, sinh viên học cao đẳng, trung cấp theo Quyết định số 53/2015/QĐ-TTg</t>
  </si>
  <si>
    <t>I.13</t>
  </si>
  <si>
    <t>Hỗ trợ kinh phí bán trú dân nuôi xã Đak Jơ Ta</t>
  </si>
  <si>
    <t>I.14</t>
  </si>
  <si>
    <t xml:space="preserve"> Hội khuyến học (Hội đặc thù theo QĐ 30/QĐ-TTg)</t>
  </si>
  <si>
    <t xml:space="preserve"> - Thù lao và các hoạt động Hội khuyến học</t>
  </si>
  <si>
    <t xml:space="preserve"> - Triển khai kiểm tra, hướng dẫn hoạt động Hội khuyến học cơ sở, triển trai các nhiệm vụ năm học mới</t>
  </si>
  <si>
    <t>I.15</t>
  </si>
  <si>
    <t>Kinh phí tăng lương thường xuyên định kỳ và các hoạt khác phát sinh trong năm của ngành giáo dục; Phụ cấp phát sinh cho số số biên chế chưa tuyển đủ đầu năm</t>
  </si>
  <si>
    <t>I.16</t>
  </si>
  <si>
    <t>Kinh phí mua sách giáo khoa lớp 2 và lớp 6</t>
  </si>
  <si>
    <t>I.17</t>
  </si>
  <si>
    <t>Kinh phí phổ cập giáo dục và bổ túc văn hóa năm học 2020-2021</t>
  </si>
  <si>
    <t>I.18</t>
  </si>
  <si>
    <t>Hỗ trợ hoạt động giáo dục cấp xã; Hội khuyến học cấp xã</t>
  </si>
  <si>
    <t>I.19</t>
  </si>
  <si>
    <t>Kinh phí hoạt động chung sự nghiệp giáo dục cấp cho phòng Giáo dục &amp;ĐT để chi các nhiệm vụ trong năm</t>
  </si>
  <si>
    <t>I.20</t>
  </si>
  <si>
    <t>Kinh phí sửa chữa trường lớp và mua sắm TSCĐ</t>
  </si>
  <si>
    <t>I.21</t>
  </si>
  <si>
    <t>Kinh phí cho các Trung tâm học tập cộng đồng, công tác phổ cập giáo dục cấp xã</t>
  </si>
  <si>
    <t>II</t>
  </si>
  <si>
    <t>CHI SỰ NGHIỆP Y TẾ</t>
  </si>
  <si>
    <t xml:space="preserve"> Y tế thôn ,bản</t>
  </si>
  <si>
    <t xml:space="preserve">  Hệ số phụ cấp y tế thôn, bản </t>
  </si>
  <si>
    <t>III</t>
  </si>
  <si>
    <t xml:space="preserve">CHI SN VĂN HOÁ - TT </t>
  </si>
  <si>
    <t>SN Văn hoá - TT, đội thông tin LĐ</t>
  </si>
  <si>
    <t xml:space="preserve"> - Các hoạt động VHTT ( Tham gia lễ hội cồng chiêng và trò chơi dân gian cấp tỉnh; Tổ chức ngày hội văn hóa dân gian; Tổ chức ngày hội đọc sách; Sưu tầm hiện vật)</t>
  </si>
  <si>
    <t xml:space="preserve"> - Hội thi văn hóa cồng chiêng cấp huyện</t>
  </si>
  <si>
    <t xml:space="preserve"> - Phụ cấp kiêm nhiệm và nhuận bút trang thông tin điện tử</t>
  </si>
  <si>
    <t xml:space="preserve"> - Hỗ trợ các hoạt động chung cho đơn vị có trụ sở riêng</t>
  </si>
  <si>
    <t xml:space="preserve"> - Hợp đồng Nghị định 68 sự nghiệp văn hóa</t>
  </si>
  <si>
    <t>Chi văn hóa thôn tin cơ sở và VH KDC vùng khó khăn</t>
  </si>
  <si>
    <t>Chi hoạt động văn hóa,  thể thao</t>
  </si>
  <si>
    <t>Chi hoạt động khu dân cư văn hoá thôn, làng</t>
  </si>
  <si>
    <t>IV</t>
  </si>
  <si>
    <t>CHI SN THỂ DỤC - THỂ THAO</t>
  </si>
  <si>
    <t xml:space="preserve"> - Đại hội thể dục thể thao cấp huyện</t>
  </si>
  <si>
    <t xml:space="preserve"> - Hội thi thể thao các dân tộc thiểu số toàn tỉnh</t>
  </si>
  <si>
    <t xml:space="preserve"> - Các hoạt động TDTT (Hội thao văn hóa, thể thao và du lịch; Giải bóng đá thiếu niên và nhi đồng; Giải vô địch võ cổ truyền; Giải việt dã báo Gia Lai...)</t>
  </si>
  <si>
    <t>V</t>
  </si>
  <si>
    <t>CHI SN PHÁT THANH - TRUYỀN HÌNH</t>
  </si>
  <si>
    <t xml:space="preserve"> - Chương trình phát thanh tiếng Barnah cho đồng bào DTTS</t>
  </si>
  <si>
    <t xml:space="preserve"> - Thực hiện trang truyền hình trên sóng đài tỉnh</t>
  </si>
  <si>
    <t>VI</t>
  </si>
  <si>
    <t>CHI SN KINH TẾ</t>
  </si>
  <si>
    <t xml:space="preserve">SN Nông nghiệp, khuyến nông </t>
  </si>
  <si>
    <t xml:space="preserve"> - Kinh phí  thực hiện các mô hình; hỗ trợ sản xuất nông nghiệp (ưu tiên cây dược liệu, cây rau quả); tập huấn kỹ thuật; (ưu tiên thực hiện các mô hình cho 2 làng nghèo: làng PYầu xã Lơ Pang, làng Đê Bơ Tưk xã Đak Jơ Ta )</t>
  </si>
  <si>
    <t xml:space="preserve"> - Kinh phí thực hiện chính sách bảo vệ và phát triển đất trồng lúa</t>
  </si>
  <si>
    <t xml:space="preserve">  + Đầu tư, nâng cấp đường đi khu sản xuất các xã</t>
  </si>
  <si>
    <t xml:space="preserve">   + Hỗ trợ cho người trồng lúa để áp dụng giống mới, tiến bộ KHKT công nghệ mới trong sản xuất lúa, hỗ trợ liên kết sản xuất, tiêu thụ sản phẩm</t>
  </si>
  <si>
    <t xml:space="preserve"> Kiến thiết thị chính</t>
  </si>
  <si>
    <t xml:space="preserve"> - Tiền điện chiếu sáng các tuyến đường nội thị trên địa bàn thị trấn và Quốc lộ 19 thuộc địa bàn huyện ( bao gồm tiền điện, sửa chữa thay thế hệ thống điện trong năm, lương và các khoản đóng góp cho nhân viên vận hành, lái xe đa năng)</t>
  </si>
  <si>
    <t>Công tác Chỉnh trang đô thị (đô thị loại V)</t>
  </si>
  <si>
    <t>Hỗ trợ môi trường, Kiến thiết thị chính (tỉnh hỗ trợ)</t>
  </si>
  <si>
    <t>Sự nghiệp giao thông</t>
  </si>
  <si>
    <t xml:space="preserve"> - Sửa chữa các tuyến đường giao thông hư hỏng trong năm trên địa bàn các xã, thị trấn</t>
  </si>
  <si>
    <t>Chi hỗ trợ ủy thác cho đối tượng chính sách vay vốn theo Chỉ thị 40-CT/TW</t>
  </si>
  <si>
    <t>Kinh phí thực hiện giao rừng, cho thuê rừng</t>
  </si>
  <si>
    <t>Hỗ trợ kinh phí thực hiện di dời các hộ xây dựng nhà nhà và lều quán khu vực rừng trồng thôn Nhơn Tân, xã Đak Ta Ley, huyện Mang Yang</t>
  </si>
  <si>
    <t>Trung tâm dịch vụ nông nghiệp</t>
  </si>
  <si>
    <t xml:space="preserve"> - Kinh phí công tiêm vắc xin lở mồm long móng</t>
  </si>
  <si>
    <t>VII</t>
  </si>
  <si>
    <t xml:space="preserve">CHI SỰ NGHIỆP MÔI TRƯỜNG </t>
  </si>
  <si>
    <t xml:space="preserve"> - Mua thùng rác, xe đẩy rác phục vụ công tác vệ sinh môi trường</t>
  </si>
  <si>
    <t xml:space="preserve"> - Xử lý bãi chôn lấp rác thải cho các xã</t>
  </si>
  <si>
    <t xml:space="preserve"> - Xây dựng nhà vệ sinh, giếng nước nhà sinh hoạt cộng đồng các làng Nông thôn mới (dự kiến 3 làng)</t>
  </si>
  <si>
    <t xml:space="preserve"> -Xử lý môi trường 3 làng ĐBDTTS trên địa bàn thị trấn</t>
  </si>
  <si>
    <t xml:space="preserve"> - Trồng cây xanh phân tán trên địa bàn huyện</t>
  </si>
  <si>
    <t xml:space="preserve"> - Xây dựng nhà vệ sinh giếng nước cho các trường học, trụ sở cơ quan</t>
  </si>
  <si>
    <t xml:space="preserve"> - Sửa chữa thay thế các tấm đan (nắp hố ga) bị hỏng ở tuyến đường nội thị</t>
  </si>
  <si>
    <t xml:space="preserve"> - Nâng cấp, sửa chữa cải tạo một số hạng mục tại Nghĩa trang nhân dân của huyện: Hạng mục cổng, hàng rào, đường nội bộ, cây xanh</t>
  </si>
  <si>
    <t xml:space="preserve"> - Hỗ trợ xử lý môi trường tại bãi rác của huyện</t>
  </si>
  <si>
    <t xml:space="preserve"> - Hỗ trợ thu gom các bể chứa bao thuốc bảo vệ thực vật</t>
  </si>
  <si>
    <t xml:space="preserve">  - Kiểm tra công tác bảo vệ môi trường và khai thác khoáng sản, làm panô, viết bài tuyên truyền trên báo</t>
  </si>
  <si>
    <t>Ayun 20, Đak jơ Ta 15, Lơ Pang 20, Đăk ya 10, Đăk răng 15, kon chiêng 10, Đăk Trôi 10, Kon Thụp 10</t>
  </si>
  <si>
    <t xml:space="preserve"> - Hỗ trợ 01 hợp đồng lao động làm công tác bảo vệ môi trường</t>
  </si>
  <si>
    <t>CHI SỰ NGHIỆP KHOA HỌC CN</t>
  </si>
  <si>
    <t>Ĩ</t>
  </si>
  <si>
    <t>CHI QLHC</t>
  </si>
  <si>
    <t>a</t>
  </si>
  <si>
    <t>Khối Đảng</t>
  </si>
  <si>
    <t xml:space="preserve">  Huyện uỷ</t>
  </si>
  <si>
    <t xml:space="preserve"> - Bổ sung định mức chi TX cán bộ tăng cường khối đảng </t>
  </si>
  <si>
    <t xml:space="preserve"> - Chi đặc thù công tác của Văn phòng Huyện ủy</t>
  </si>
  <si>
    <t xml:space="preserve"> - Hỗ trợ chi 4 Ban khối đảng dưới 8 biên chế</t>
  </si>
  <si>
    <t xml:space="preserve"> - Hợp đồng NĐ 68/NĐ-CP</t>
  </si>
  <si>
    <t xml:space="preserve"> Chi hoạt động đăc thù của Thường trực Huyện uỷ</t>
  </si>
  <si>
    <t xml:space="preserve"> Chế độ chi tiêu hoạt động của Huyện uỷ theo Qui định 856- QĐ-TU (trang phục, phụ cấp, XD báo cáo, kiểm tra giám sát, hội họp . . .)</t>
  </si>
  <si>
    <t xml:space="preserve"> Chi công tác phát động quần chúng </t>
  </si>
  <si>
    <t xml:space="preserve"> Chi Ban chỉ đạo thực hiện qui chế dân chủ cơ sở</t>
  </si>
  <si>
    <t xml:space="preserve"> Phụ cấp Ban bảo vệ chăm sóc sức khoẻ</t>
  </si>
  <si>
    <t xml:space="preserve"> Phụ cấp trách nhiệm và hoạt động báo cáo viên</t>
  </si>
  <si>
    <t xml:space="preserve"> Chi phụ cấp uỷ viên BCH đảng bộ huyện, xã</t>
  </si>
  <si>
    <t xml:space="preserve"> Chi phụ cấp UV các chi bộ trực thuộc và hoạt động công tác đảng</t>
  </si>
  <si>
    <t xml:space="preserve"> Chi quỹ chính sách cán bộ</t>
  </si>
  <si>
    <t>Chi công tác bảo vệ chính trị nội bộ</t>
  </si>
  <si>
    <t>Chi công tác cải cách thủ tục hành chính trong đảng</t>
  </si>
  <si>
    <t xml:space="preserve"> Chi hoạt động của chi bộ đơn vị hành chính và đảng bộ CS</t>
  </si>
  <si>
    <t>Tùy số ĐV</t>
  </si>
  <si>
    <t>Hỗ trợ hoạt động UBKT Huyện ủy, đi kiểm tra cơ sở</t>
  </si>
  <si>
    <t xml:space="preserve">Kinh phí khám bệnh, chăm sóc cán bộ </t>
  </si>
  <si>
    <t>Trang phục của các Đ/c ủy viên BCH Đảng bộ huyện nhiệm kỳ 2020-2025</t>
  </si>
  <si>
    <t>Hoạt động cộng tác viên dư luận xã hội</t>
  </si>
  <si>
    <t>Tổng kết công tác dân vận các LLVT đứng chân trên địa bàn; Công tác phụ trách làng</t>
  </si>
  <si>
    <t>Ban chỉ đạo 35 của Huyện ủy</t>
  </si>
  <si>
    <t>Phụ cấp của Ban chỉ đạo 35 của Huyện ủy</t>
  </si>
  <si>
    <t>Hoạt động của Ban chỉ đạo 35 của Huyện ủy</t>
  </si>
  <si>
    <t>Dự phòng 5% tổng chi thường xuyên ngân sách đảng theo Thông tư liên tịch 216</t>
  </si>
  <si>
    <t>Kinh phí tổ chức cuộc thi tìm hiểu Nghị quyết đại hội đảng bộ Tỉnh Gia Lai lần thứ XVI và Nghị quyết đại hội Đảng bộ huyện Mang Yang lần thứ XVII</t>
  </si>
  <si>
    <t xml:space="preserve"> Báo cho các chi bộ Đảng</t>
  </si>
  <si>
    <t>b</t>
  </si>
  <si>
    <t>Khối QLNN</t>
  </si>
  <si>
    <t xml:space="preserve"> Văn phòng HĐND &amp;UBND, khối qlnn cấp xã</t>
  </si>
  <si>
    <t xml:space="preserve">  - Hệ số lương, phụ cấp, các khoản đóng góp bq </t>
  </si>
  <si>
    <t xml:space="preserve">  -  Chi hoạt động</t>
  </si>
  <si>
    <t xml:space="preserve">  - Chi đặc thù công tác của Văn phòng HĐND &amp;UBND</t>
  </si>
  <si>
    <t xml:space="preserve">  - Hợp đồng NĐ 68</t>
  </si>
  <si>
    <t xml:space="preserve"> - Cước phí Internet cáp quang, địa chỉ IP tĩnh</t>
  </si>
  <si>
    <t xml:space="preserve"> - Chi hoạt động đặc thù của Thường trực UBND huyện</t>
  </si>
  <si>
    <t xml:space="preserve"> - Lắp đặt thiết bị bảo mật cho Hệ thống máy chủ của huyện (thiết bị tường lửa)</t>
  </si>
  <si>
    <t xml:space="preserve"> - Tiền điện, nước sạch dùng chung cho Trụ sở Hội trường, phòng họp, nhà công vụ </t>
  </si>
  <si>
    <t xml:space="preserve"> - Lắp đặt bảng LED sân khấu hội trường UBND huyện</t>
  </si>
  <si>
    <t xml:space="preserve"> - Chi hoạt động HĐND huyện, xã</t>
  </si>
  <si>
    <t xml:space="preserve"> + Hệ số lương, phụ cấp, các khoản đóng góp bq </t>
  </si>
  <si>
    <t xml:space="preserve"> + Chi hoạt động</t>
  </si>
  <si>
    <t xml:space="preserve"> + Bổ sung hoạt động của đại biểu HĐND</t>
  </si>
  <si>
    <t xml:space="preserve"> + Kinh phí thực hiện Nghị quyết 89/2018/NQ-HĐND </t>
  </si>
  <si>
    <t xml:space="preserve"> + Chi hoạt động thường trực HĐND</t>
  </si>
  <si>
    <t xml:space="preserve"> + Chi học tập trao đổi kinh nghiệm</t>
  </si>
  <si>
    <t xml:space="preserve">   Phòng Nông nghiệp &amp; PTNT</t>
  </si>
  <si>
    <t xml:space="preserve"> - Kinh phí mua cây xanh trồng cây nhớ ơn Bác</t>
  </si>
  <si>
    <t xml:space="preserve">   Phòng Kinh tế &amp; Hạ tầng</t>
  </si>
  <si>
    <t xml:space="preserve"> - Kinh phí thực hiện nhiệm vụ đảm bảo trật tự ATGT (trong đó có tổ chức Hội thi ATGT)</t>
  </si>
  <si>
    <t xml:space="preserve"> - Kinh phí cho Đoàn kiểm tra liên ngành vệ sinh ATTP năm 2021</t>
  </si>
  <si>
    <t xml:space="preserve">  Phòng Tài nguyên - MT</t>
  </si>
  <si>
    <t xml:space="preserve">  Phòng Lao động TBXH</t>
  </si>
  <si>
    <t xml:space="preserve">   Phòng Giáo dục - Đào tạo</t>
  </si>
  <si>
    <t xml:space="preserve"> -  Hệ số lương, phụ cấp, các khoản đóng góp bq </t>
  </si>
  <si>
    <t xml:space="preserve">  Phòng Văn hoá thông tin - TT</t>
  </si>
  <si>
    <t xml:space="preserve"> - BCĐ xây dựng chính quyền điện tử</t>
  </si>
  <si>
    <t xml:space="preserve"> - Phong trào toàn dân đoàn kết XDĐSVH </t>
  </si>
  <si>
    <t xml:space="preserve"> - Hỗ trợ viết bài trên báo Gia Lai</t>
  </si>
  <si>
    <t xml:space="preserve"> - Chi công tác tuyên truyền truyền thông</t>
  </si>
  <si>
    <t xml:space="preserve"> - Hỗ trợ hoạt động thúc đẩy phát triển du lịch trên địa bàn huyện và triển khai lập hồ sơ di tích nhà họa sĩ Xu Man</t>
  </si>
  <si>
    <t xml:space="preserve"> - Lập Đề án đặt tên đường các tuyến đường trên địa bàn thị trấn</t>
  </si>
  <si>
    <t xml:space="preserve"> - Hỗ trợ các hoạt động công tác gia đình </t>
  </si>
  <si>
    <t xml:space="preserve"> - Lễ công bố Quyết định di tích lịch sử cấp tỉnh địa điểm căn cứ cách mạng khu 6 làng Ktu xã Kon Chiêng</t>
  </si>
  <si>
    <t xml:space="preserve">   Phòng Nội vụ </t>
  </si>
  <si>
    <t xml:space="preserve"> - Chi công tác tôn giáo </t>
  </si>
  <si>
    <t xml:space="preserve"> - Chi công tác cải cách thủ tục hành chính</t>
  </si>
  <si>
    <t xml:space="preserve"> - Hoạt động cho Cụm trưởng Cụm thi đua số 2</t>
  </si>
  <si>
    <t xml:space="preserve">  - Sự nghiệp lưu trử</t>
  </si>
  <si>
    <t xml:space="preserve">   Phòng y tế</t>
  </si>
  <si>
    <t xml:space="preserve"> - Hỗ trợ công tác tuyên truyền các ngày lễ lớn ngành y tế</t>
  </si>
  <si>
    <t xml:space="preserve">   Thanh tra huyện</t>
  </si>
  <si>
    <t xml:space="preserve"> - Công tác tuyên truyền, hướng dẫn hoạt động phòng chống tham nhũng trên địa bàn huyện </t>
  </si>
  <si>
    <t xml:space="preserve"> - Hỗ trợ hoạt động thanh tra </t>
  </si>
  <si>
    <t xml:space="preserve"> - Trang phục thanh tra</t>
  </si>
  <si>
    <t xml:space="preserve">  Phòng Tư pháp</t>
  </si>
  <si>
    <t xml:space="preserve"> - Chi công tác theo dõi thi hành pháp luật, quản lý xử phạt hành chính và xây dựng hoàn thiện văn bản QPPL</t>
  </si>
  <si>
    <t xml:space="preserve"> - Chi công tác phổ biến giáo dục pháp luật; Đánh giá tiếp cận pháp luật</t>
  </si>
  <si>
    <t xml:space="preserve"> - Công tác hòa giải cơ sở</t>
  </si>
  <si>
    <t xml:space="preserve">  Phòng Tài chính - KH</t>
  </si>
  <si>
    <t xml:space="preserve"> - Hỗ trợ các HTX, doanh nghiệp thành lập mới; Đối thoại doanh nghiệp, biểu dương doanh nghiệp, HTX, hộ kinh doanh và gặp mặt ngày doanh nhân Việt Nam</t>
  </si>
  <si>
    <t xml:space="preserve"> - Duy tu bảo dường, cước phí hệ thống phần mềm Tabmis</t>
  </si>
  <si>
    <t xml:space="preserve"> Phòng Dân tộc</t>
  </si>
  <si>
    <t xml:space="preserve"> - Tuyên truyền, vận động phổ biến giáo dục pháp luật, hỗ trợ hoạt động về bình đẳng giới vùng ĐBDTTS và miền núi  giai đoạn 2018-2025; Tuyên truyền giảm thiểu tình trạng tảo hôn và hôn nhân cận huyết thống</t>
  </si>
  <si>
    <t xml:space="preserve"> - Hỗ trợ kinh phí chi cho người có uy tín trong đồng bào dân tộc thiểu số</t>
  </si>
  <si>
    <t xml:space="preserve"> - Hoàn trả tạm ứng kinh phí hỗ trợ tổ chức Đại hội đại biểu các dân tộc thiểu số năm 2019</t>
  </si>
  <si>
    <t xml:space="preserve"> - Kinh phí đối ứng của huyện để thực hiện Dự án bố trí ổn định dân di cư tự do tập trung tại làng Dơ Nâu xã Kon Thụp</t>
  </si>
  <si>
    <t xml:space="preserve"> Chi hỗ trợ cán bộ tăng cường cơ sở</t>
  </si>
  <si>
    <t xml:space="preserve"> Tủ sách pháp luật, biểu mẫu hộ tịch</t>
  </si>
  <si>
    <t xml:space="preserve"> Cán bộ chuyên trách, công chức xã</t>
  </si>
  <si>
    <t xml:space="preserve"> - Bổ sung định mức chi TX cán bộ tăng cường khối ủy ban</t>
  </si>
  <si>
    <t xml:space="preserve"> Chi cho cán bộ xã nghỉ việc</t>
  </si>
  <si>
    <t xml:space="preserve"> Chi báo chí thôn bản, tổ dân phố</t>
  </si>
  <si>
    <t>Kinh phí hỗ trợ chính sách miễn thu thủy lợi phí</t>
  </si>
  <si>
    <t xml:space="preserve"> Các khoản chi phát sinh trong năm huyện xã</t>
  </si>
  <si>
    <t>Kinh phí phục vụ tết Nguyên đán và đảm bảo ANCT trong dịp tết</t>
  </si>
  <si>
    <t>Mua sắm, sửa chữa TSCĐ cấp huyện, cấp xã</t>
  </si>
  <si>
    <t xml:space="preserve"> Kinh phí chuyển giao dịch vụ Hành chính công tại bộ phận một cửa của huyện và 2 xã</t>
  </si>
  <si>
    <t xml:space="preserve"> Chi hỗ trợ hoạt động ban thanh tra nhân dân</t>
  </si>
  <si>
    <t xml:space="preserve"> Chi ban giám sát cộng đồng</t>
  </si>
  <si>
    <t>Hỗ trợ hoạt động Ban chỉ đạo giảm nghèo,  Nông thôn mới, Chương trình MTQG</t>
  </si>
  <si>
    <t>Hỗ trợ hoạt động Ban chỉ đạo thu hồi diện tích đất rừng bị lấn chiếm, Ban chỉ đạo phòng chống lụt bão</t>
  </si>
  <si>
    <t xml:space="preserve"> Hỗ trợ thêm cho các đơn vị dưới 8 biên chế</t>
  </si>
  <si>
    <t xml:space="preserve">Hoạt động Ban tiếp dân; Chi công tác tiếp dân (huyện, xã) </t>
  </si>
  <si>
    <t>Kinh phí công tác quản trang các xã, hỗ trợ bảo vệ chợ Ayun</t>
  </si>
  <si>
    <t>c</t>
  </si>
  <si>
    <t>Khối dân</t>
  </si>
  <si>
    <t xml:space="preserve"> Uỷ ban Mặt trận TQVN </t>
  </si>
  <si>
    <t xml:space="preserve"> -  Hệ số lương, phụ cấp, các khoản đóng góp bq  </t>
  </si>
  <si>
    <t xml:space="preserve"> -  Chi hoạt động</t>
  </si>
  <si>
    <t xml:space="preserve"> -  Hợp đồng Nghị định  68/NĐ-CP</t>
  </si>
  <si>
    <t xml:space="preserve"> -  Chi hoạt động đặc thù của Mặt trận</t>
  </si>
  <si>
    <t xml:space="preserve"> -  Hội nghị biểu dương già làng, trưởng thôn, người uy tín, cá nhân tiêu biểu</t>
  </si>
  <si>
    <t xml:space="preserve"> - Hỗ trợ tổ chức xây dựng các mô hình, cách làm hay trong thực hiện cuộc vận động "Làm thay đổi nếp nghĩ cách làm trong vùng đồng bào DTTS để từng bước vươn lên thoát nghèo bền vững", sơ kết tổng kết</t>
  </si>
  <si>
    <t xml:space="preserve"> - Sinh hoạt phí của UVMT không hưởng lương cấp huyện</t>
  </si>
  <si>
    <t xml:space="preserve"> - Hoạt động Ban quản lý quỹ vì người nghèo; Hoạt động của Hội đồng tư vấn, ban tư vấn</t>
  </si>
  <si>
    <t xml:space="preserve"> - Tổ chức Phát động tháng cao điểm vì người nghèo; ngày hội đại đoàn kết; phát động quần chúng tại các làng trọng điểm và các hoạt động khác trong năm (tổ chức hội thi CB làm công tác Mặt trận giỏi...); Triển khai phong trào "Đoàn kết sáng tạo, nâng cao năng suất, chất lượng, hiệu quả, hội nhập quốc tế.</t>
  </si>
  <si>
    <t xml:space="preserve"> - Kinh phí hỗ trợ lực lượng cốt cán tôn giáo</t>
  </si>
  <si>
    <t xml:space="preserve"> - Công tác giám sát, phản biện xã hội</t>
  </si>
  <si>
    <t xml:space="preserve"> - Hỗ trợ công tác vận động cá biệt, đấu tranh xóa bỏ tà đạo Hà mòn</t>
  </si>
  <si>
    <t xml:space="preserve"> - Chi chế độ đón tiếp, thăm hỏi, chúc mừng đối với đối tượng do UBMT huyện thực hiện</t>
  </si>
  <si>
    <t xml:space="preserve">   Đoàn thanh niên CSHCM</t>
  </si>
  <si>
    <t xml:space="preserve"> -  Tổ chức hoạt động tháng thanh niên; Hoạt động chào mừng kỷ niệm 90 năm thành lập Đoàn TNCS Hồ Chí Minh</t>
  </si>
  <si>
    <t xml:space="preserve"> -  Tham gia Trại hè và Hội thi tin học trẻ cấp tỉnh</t>
  </si>
  <si>
    <t xml:space="preserve"> - Hoạt động mừng Đảng, mừng xuân, tuyển quân và xuân tình nguyện</t>
  </si>
  <si>
    <t xml:space="preserve"> - Tổ chức hoạt động hè và chiến dịch SVTN mùa hè xanh</t>
  </si>
  <si>
    <t xml:space="preserve"> - Tổ chức liên hoan tuyên truyền ca khúc cách mạng cấp huyện; Liên hoan các đội tuyên truyền măng non về Luật trẻ em</t>
  </si>
  <si>
    <t xml:space="preserve"> - Tổ chức chương trình Tiếp xúc, đối thoại giữa đại biểu HĐND với trẻ em và Thắp nến tri ân ngày 27/7</t>
  </si>
  <si>
    <t xml:space="preserve"> - Công tác giám sát phản biện, xã hội</t>
  </si>
  <si>
    <t xml:space="preserve"> - Hỗ trợ công tác dân vận, đấu tranh xóa bỏ tà đạo Hà mòn</t>
  </si>
  <si>
    <t xml:space="preserve"> - Hoạt động về nguồn. Chương trình đêm hội trăng rằm; Hội thi Bí thư chi đoàn giỏi; Tổ chức các hoạt động về nguồn </t>
  </si>
  <si>
    <t xml:space="preserve">  Hội Phụ nữ</t>
  </si>
  <si>
    <t xml:space="preserve"> - Tổ chức ngày hội phụ nữ khởi nghiệp và Hội chợ kết nối sản phảm</t>
  </si>
  <si>
    <t xml:space="preserve"> - Tổ chức các hoạt động triển khai và tổng kết Cuộc vận động xây dựng gia đình 5 không 3 sạch; tổ chức gặp mặt gia nhiều thế hệ nhân dịp kỷ niệm 20 năm ngày GĐ Việt nam; Các hoạt động Hội thao tại cơ sở chào mừng các ngày kỷ niệm 1981 năm ngày khởi nghĩa Hai Bà Trưng và 111 năm Ngày Quốc tế phụ nữ; Tổ chức truyên truyền các Đề án </t>
  </si>
  <si>
    <t xml:space="preserve"> - Đại hội đại biểu phụ nữ cấp huyện, xã lần thứ V nhiệm kỳ 2016-2021</t>
  </si>
  <si>
    <t xml:space="preserve"> - Tổ chức giải bóng chuyền nữ truyền thống lần thứ IV</t>
  </si>
  <si>
    <t xml:space="preserve">  Hội Nông dân </t>
  </si>
  <si>
    <t xml:space="preserve"> -  Chi hoạt động </t>
  </si>
  <si>
    <t xml:space="preserve"> -  Sơ kết giữa nhiệm kỳ thực hiện Nghị quyết Đại hội Hội nông dân; Sơ kết 5 năm Văn bản thỏa thuận liên ngành 01, Nghị định 55/2015/NĐ-CP; Nghị quyết 29-NQHNDTW </t>
  </si>
  <si>
    <t>Sơ kết và nhân rộng mô hình nông dân thi đua SXKD giỏi</t>
  </si>
  <si>
    <t xml:space="preserve"> -  Hỗ trợ Ban chỉ đạo thực hiện QĐ 81/2014/QĐ-TTg và hoạt động của Ban điều hành Đề án 61</t>
  </si>
  <si>
    <t xml:space="preserve"> - Đưa sản phẩm đặc trưng tiêu biểu của huyện tham gia quảng bá sản phẩm và tham gia phiên chợ nông sản lần II do Hội nông dân tỉnh tổ chức</t>
  </si>
  <si>
    <t xml:space="preserve"> - Tổ chức giải bông lúa vàng lần thứ III chào mừng ngày thành lập Hội nông dân Việt Nam và tham gia Hội thi nhà nông đua tài lần thứ IV tại tỉnh</t>
  </si>
  <si>
    <t xml:space="preserve"> - Quỹ hỗ trợ nông dân cấp huyện</t>
  </si>
  <si>
    <t xml:space="preserve">   Hội Cựu chiến binh</t>
  </si>
  <si>
    <t xml:space="preserve"> - Phụ cấp và hoạt động của Hội CCB Dân-Chính-Đảng</t>
  </si>
  <si>
    <t xml:space="preserve"> - Tổng kết phong trào "Cựu chiến binh giúp nhau giảm nghèo, làm kinh tế giỏi" lần thứ V</t>
  </si>
  <si>
    <t xml:space="preserve"> - Công tác giám sát,  phản biện xã hội</t>
  </si>
  <si>
    <t xml:space="preserve">  Hoạt động Ban vì sự tiến bộ phụ nữ</t>
  </si>
  <si>
    <t xml:space="preserve">  Hội người cao tuổi</t>
  </si>
  <si>
    <t xml:space="preserve"> - Thù lao Hội người cao tuổi và các hoạt động của Hội người cao tuổi</t>
  </si>
  <si>
    <t xml:space="preserve"> - Đại hội Hội NCT nhiệm kỳ 2021-2026</t>
  </si>
  <si>
    <t xml:space="preserve"> - Tham gia Hội thao Người cao tuổi tỉnh Gia Lai lần thứ VII</t>
  </si>
  <si>
    <t xml:space="preserve"> - Tọa đàm kỷ niệm 30 năm ngày thành lập Hội người cao tuổi</t>
  </si>
  <si>
    <t xml:space="preserve"> - Công tác tổ chức mừng thọ Hội người cao tuổi cấp xã và công tác tuyên truyền tháng hành động vì người cao tuổi</t>
  </si>
  <si>
    <t>Hỗ trợ các chi hội thuộc xã đặc biệt khó khăn</t>
  </si>
  <si>
    <t>Khoán chi theo NĐ 34/2019/NĐ-CP</t>
  </si>
  <si>
    <t>Khoán quĩ phụ cấp</t>
  </si>
  <si>
    <t xml:space="preserve"> - Phụ cấp cán bộ không chuyên trách xã</t>
  </si>
  <si>
    <t xml:space="preserve"> - Phụ cấp cán bộ không chuyên trách thôn, làng</t>
  </si>
  <si>
    <t>Bồi dưỡng hàng tháng đối với CB không chuyên trách</t>
  </si>
  <si>
    <t xml:space="preserve"> - Phó BT chi bộ</t>
  </si>
  <si>
    <t xml:space="preserve"> - Tổ chức chính trị - xã hội ở thôn, làng</t>
  </si>
  <si>
    <t xml:space="preserve"> - Công an viên</t>
  </si>
  <si>
    <t>Khoán kinh phí hỗ trợ chi hoạt động và các chế độ chính sách khác</t>
  </si>
  <si>
    <t>XI</t>
  </si>
  <si>
    <t>CHI AN NINH</t>
  </si>
  <si>
    <t xml:space="preserve"> - Chi công tác an ninh</t>
  </si>
  <si>
    <t xml:space="preserve"> - Kinh phí đấu tranh xóa bỏ tà đạo Hà Mòn, vận động quần chúng; Sơ kết, tổng kết.</t>
  </si>
  <si>
    <t xml:space="preserve"> - Hỗ trợ Công tác kiểm tra phòng cháy chữa cháy; Hỗ trợ công tác phòng chống tội phạm.</t>
  </si>
  <si>
    <t xml:space="preserve"> - Tuyên truyền; phổ biến; giáo dục pháp luật và hỗ trợ triển khai các biện pháp phòng chống tệ nạn ma túy</t>
  </si>
  <si>
    <t xml:space="preserve"> - Kinh phí phục vụ công tác tuyển quân năm 2022</t>
  </si>
  <si>
    <t xml:space="preserve"> - Kinh phí phục vụ công tác đấu tranh, ngăn chặn người đồng bào DTTS trốn ra nước ngoài; Phòng ngừa, ngăn chặn, hoạt động tái phục hồi và quản lý, giáo dục đối tượng Fulro, "TLĐG"</t>
  </si>
  <si>
    <t xml:space="preserve"> - Trợ cấp một lần cho phó Công an xã</t>
  </si>
  <si>
    <t xml:space="preserve"> - Hỗ trợ kinh phí xây dựng, nâng cấp sửa chữa  nhà làm việc công an xã</t>
  </si>
  <si>
    <t xml:space="preserve"> - Công tác phụ trách làng trọng điểm và làm nhiệm vụ cơ sở</t>
  </si>
  <si>
    <t>XII</t>
  </si>
  <si>
    <t>CHI QUỐC PHÒNG</t>
  </si>
  <si>
    <t xml:space="preserve"> - Chi công tác quốc phòng quân sự địa phương</t>
  </si>
  <si>
    <t xml:space="preserve"> - Hỗ trợ công tác quốc phòng an ninh trên địa bàn huyện</t>
  </si>
  <si>
    <t xml:space="preserve"> - Chế độ phụ cấp chức vụ , phụ cấp hằng tháng, trợ cấp tiền ăn, ngày công cho dân quân tự vệ theo Nghị định 72 Luật dân quân tự vệ</t>
  </si>
  <si>
    <t xml:space="preserve"> - Hỗ trợ tiểu đội dân quân thường trực</t>
  </si>
  <si>
    <t xml:space="preserve"> - Kinh phí huấn luyện dân quân tự vệ (Trong đó, huấn luyện DQ năm nhất do Ban CHQS huyện đảm nhận)</t>
  </si>
  <si>
    <t xml:space="preserve"> - Kinh phí huấn luyện dự bị động viên (chi phụ cấp, tiền lương, tiền ăn trợ cấp gia đình)</t>
  </si>
  <si>
    <t xml:space="preserve"> - Kinh phí phục vụ đăng ký, kiểm tra, phúc tra tuổi 17, đăng ký quân nhân dự bị</t>
  </si>
  <si>
    <t xml:space="preserve"> - Đảm bảo tiền ăn, vật chất giao quân nhân và kinh phí đi giao quân</t>
  </si>
  <si>
    <t xml:space="preserve"> - Thăm tặng quà lễ tuyên thệ chiến sỹ mới và đón quân nhân xuất ngũ </t>
  </si>
  <si>
    <t xml:space="preserve"> - Hỗ trợ công tác tuyển quân huyện, xã; hỗ trợ hội đồng nghĩa vụ quân sự huyện</t>
  </si>
  <si>
    <t xml:space="preserve"> - Truy lĩnh phụ cấp thâm niên, đặc thù quốc phòng quân sự</t>
  </si>
  <si>
    <t xml:space="preserve"> - Xây tường rào Ban chỉ huy quân sự (phần còn lại)</t>
  </si>
  <si>
    <t xml:space="preserve"> - Xây dựng khu vực luyện tập chuyển trạng thái SSCĐ, thay thế sửa chữa thiết bị hội trường thao trường (điện, quạt, âm thanh, ánh sáng) và hạng mục khác</t>
  </si>
  <si>
    <t xml:space="preserve"> - Báo quân đội nhân dân cho BCH quân sự xã</t>
  </si>
  <si>
    <t>XIII</t>
  </si>
  <si>
    <t>CHI ĐẢM BẢO XÃ HỘI</t>
  </si>
  <si>
    <t>Phòng Lao động TB&amp;XH</t>
  </si>
  <si>
    <t xml:space="preserve"> - Kinh phí thực hiện chính sách bảo trợ xã hội, người cao tuổi, người khuyết tật</t>
  </si>
  <si>
    <t xml:space="preserve"> - Kinh phí thăm, tăng quà tết Nguyên đán và ngày TBLS</t>
  </si>
  <si>
    <t xml:space="preserve"> - Kinh phí hoạt động hỗ trợ cho trẻ em có hoàn cảnh đặc biệt</t>
  </si>
  <si>
    <t xml:space="preserve"> - Phụ cấp hàng tháng cộng tác viên giảm nghèo theo Nghị quyết số 83/2018/NQ-HĐND</t>
  </si>
  <si>
    <t xml:space="preserve"> - Hỗ trợ điều tra hộ nghèo, cận nghèo năm 2021</t>
  </si>
  <si>
    <t xml:space="preserve"> - Hỗ trợ một số vật dụng và sửa chữa nhỏ Đền tưởng niệm</t>
  </si>
  <si>
    <t xml:space="preserve"> - Kinh phí thờ cúng 2 Đài tưởng niệm các anh hùng liệt sỹ của huyện </t>
  </si>
  <si>
    <t xml:space="preserve">  - Quản trang 2 Đài tưởng niệm </t>
  </si>
  <si>
    <t xml:space="preserve"> Hội Cựu thanh niên xung phong (Hội đặc thù theo QĐ 30/QĐ-TTg)</t>
  </si>
  <si>
    <t xml:space="preserve"> - Thù lao và các hoạt động trong năm</t>
  </si>
  <si>
    <t xml:space="preserve"> - Thăm tặng quà tết, ngày 27/7 cho Hội viên</t>
  </si>
  <si>
    <t xml:space="preserve"> - Kỷ niệm 71 năm ngày truyền thống lực lượng TNXP</t>
  </si>
  <si>
    <t xml:space="preserve"> - Chi sơ kết, tổng kết</t>
  </si>
  <si>
    <t xml:space="preserve"> Ban liên lạc cựu tù chính trị (Hội đặc thù theo QĐ 30/QĐ-TTg)</t>
  </si>
  <si>
    <t>Hội nạn nhân chất độc da cam di o xin (Hội đặc thù theo QĐ 30/QĐ-TTg)</t>
  </si>
  <si>
    <t xml:space="preserve"> - Thăm tặng quà các ngày lễ tết, ngày thảm họa da cam Việt Nam</t>
  </si>
  <si>
    <t xml:space="preserve"> - Tọa đàm 60 năm thảm họa da cam Việt Nam</t>
  </si>
  <si>
    <t xml:space="preserve"> - Tổ chức Đại hội thành lập 2 Hội cơ sở xã và Hỗ trợ nạn nhân đi giải độc tại tỉnh</t>
  </si>
  <si>
    <t xml:space="preserve"> - Chi sơ kết công tác cụm phía đông, tổng kết </t>
  </si>
  <si>
    <t>Hội chữ thập đỏ</t>
  </si>
  <si>
    <t xml:space="preserve"> - Thù lao, tiền công Hội chữ thập đỏ </t>
  </si>
  <si>
    <t xml:space="preserve"> - Chi hoạt động </t>
  </si>
  <si>
    <t xml:space="preserve"> - Hoạt động xây dựng tổ chức Hội; Tuyên truyền. Công tác xã hội; Chăm sóc sức khỏe nhân dân</t>
  </si>
  <si>
    <t xml:space="preserve"> - Đại hội hội Chữ thập đỏ cấp huyện, xã nhiệm kỳ 2021-2016</t>
  </si>
  <si>
    <t xml:space="preserve"> - Tham dự Đại hội Chữ thập đỏ cấp tỉnh</t>
  </si>
  <si>
    <t xml:space="preserve"> - Tổ chức hiến máu tình nguyện 2 đợt trong năm 2021</t>
  </si>
  <si>
    <t xml:space="preserve"> - Tổ chức lễ tôn vinh hiến máu tình nguyện</t>
  </si>
  <si>
    <t>Hỗ trợ tiền điện hộ nghèo chính sách</t>
  </si>
  <si>
    <t>C</t>
  </si>
  <si>
    <t>DỰ PHÒNG</t>
  </si>
  <si>
    <t>D</t>
  </si>
  <si>
    <t>CHI QL QUA QUỸ NGÂN SÁCH</t>
  </si>
  <si>
    <t>TỔNG CHI (A+B+C+D)</t>
  </si>
  <si>
    <t xml:space="preserve">TM. ỦY BAN NHÂN DÂN </t>
  </si>
  <si>
    <t>CHỦ TỊCH</t>
  </si>
  <si>
    <t>Tiết kiệm chi thường xuyên 10%:</t>
  </si>
  <si>
    <t xml:space="preserve">Chi khen thưởng: </t>
  </si>
  <si>
    <t>Tổng chi TK và khen thưởng</t>
  </si>
  <si>
    <t xml:space="preserve">Cắt xã </t>
  </si>
  <si>
    <t>Cát NVps mới</t>
  </si>
  <si>
    <t>SN GT</t>
  </si>
  <si>
    <t xml:space="preserve"> +</t>
  </si>
  <si>
    <t xml:space="preserve">Báo chí </t>
  </si>
  <si>
    <t>Tiền điện</t>
  </si>
  <si>
    <t>Hệ thống trực tuyến</t>
  </si>
  <si>
    <t xml:space="preserve"> - Khung đèn Led, hoa led trang trí các tuyến đường nội thị (đường Trần Hưng Đạo)</t>
  </si>
  <si>
    <t xml:space="preserve">  - Bổ sung hệ thống điện chiếu sáng khu trung tâm hành chính</t>
  </si>
  <si>
    <t xml:space="preserve"> - Mua hoa nhân các ngày lễ lớn và Tết Nguyên đán trong năm 2021</t>
  </si>
  <si>
    <t xml:space="preserve"> - Quyét vôi bó vỉa các gốc cây tại khuôn viên Huyện ủy, UBND huyện, UBMTTQVN huyện, các hoa viên tuyến đường trên địa bàn thị trấn  Kon Dơng</t>
  </si>
  <si>
    <t xml:space="preserve"> - Lát gạch Block vỉa hè đường đường Trần Hưng Đạo, Trần Phú và các tuyến đường nội thị</t>
  </si>
  <si>
    <t xml:space="preserve"> - Nâng cấp thay thế bảng điện tử, thay bộ bóng đèn Sodium hiện có bằng bộ bóng đèn Pha Led tại Đảo giao thông ngã 3 thị trấn Kon Dơng</t>
  </si>
  <si>
    <t xml:space="preserve"> - Nâng cấp, mở rộng hệ thống điện chiếu sáng các tuyến đường nội thị và khu trung tâm hành chính</t>
  </si>
  <si>
    <t xml:space="preserve"> - Chi công tác cắt cỏ, tỉa cây, cắt cành , rửa dải phân cách, dọn vệ sinh tại Khu trung tâm hành chính, hoa viên, công viên; Khu vực Đền tưởng niệm; Đài tưởng niệm; Quản trang</t>
  </si>
  <si>
    <t xml:space="preserve"> - Kinh phí phục vụ ứng dụng công nghệ thông tin năm 2021 (phần mềm giao việc cho các phòng, ban và các xã, thị trấn)</t>
  </si>
  <si>
    <t>Hỗ trợ hoạt động Ban chỉ đạo thực hiện Nghị quyết của Huyện ủy về đẩy mạnh thu hút các nguồn lực đầu tư cho phát triển nông nghiệp, công nghiệp chế biến và du lịch, nhiệm kỳ 2020-2025</t>
  </si>
  <si>
    <t>Hỗ trợ hoạt động Ban chỉ đạo thực hiện Nghị quyết của Huyện ủy về tập trung xây dụng hệ thống chính trị vững mạnh, đội ngũ CBCC các cấp đạt chuẩn nhiệm kỳ 2020-2025</t>
  </si>
  <si>
    <t xml:space="preserve"> - Triển khai phong trào "Đoàn kết sáng tạo, nâng cao năng suất, chất lượng, hiệu quả, hội nhập quốc tế.</t>
  </si>
  <si>
    <t xml:space="preserve">  + Đường đi khu sản xuất làng Đăk Trôk xã Đăk Yă</t>
  </si>
  <si>
    <t>DỰ TOÁN NĂM 2021</t>
  </si>
  <si>
    <t>NGÀY THÁNG</t>
  </si>
  <si>
    <t>CÂN ĐỐI</t>
  </si>
  <si>
    <t>MỤC TIÊU</t>
  </si>
  <si>
    <t>TỔNG CỘNG</t>
  </si>
  <si>
    <t>RÚT DỰ TOÁN QUÝ I</t>
  </si>
  <si>
    <t>TỔNG DỰ TOÁN ĐƯỢC GIAO</t>
  </si>
  <si>
    <t>CHÊNH LỆCH</t>
  </si>
  <si>
    <t>Lưu ý: đỏ là kiểm tra lại</t>
  </si>
</sst>
</file>

<file path=xl/styles.xml><?xml version="1.0" encoding="utf-8"?>
<styleSheet xmlns="http://schemas.openxmlformats.org/spreadsheetml/2006/main">
  <numFmts count="7">
    <numFmt numFmtId="176" formatCode="_-* #,##0.00\ _€_-;\-* #,##0.00\ _€_-;_-* &quot;-&quot;??\ _€_-;_-@_-"/>
    <numFmt numFmtId="177" formatCode="_-* #,##0\ _€_-;\-* #,##0\ _€_-;_-* &quot;-&quot;??\ _€_-;_-@_-"/>
    <numFmt numFmtId="178" formatCode="_-* #,##0.00\ &quot;₫&quot;_-;\-* #,##0.00\ &quot;₫&quot;_-;_-* &quot;-&quot;??\ &quot;₫&quot;_-;_-@_-"/>
    <numFmt numFmtId="179" formatCode="_ * #,##0_ ;_ * \-#,##0_ ;_ * &quot;-&quot;_ ;_ @_ "/>
    <numFmt numFmtId="180" formatCode="_-* #,##0\ &quot;₫&quot;_-;\-* #,##0\ &quot;₫&quot;_-;_-* &quot;-&quot;\ &quot;₫&quot;_-;_-@_-"/>
    <numFmt numFmtId="181" formatCode="#,##0_);[Red]\(#,##0\)"/>
    <numFmt numFmtId="182" formatCode="_(* #,##0_);_(* \(#,##0\);_(* &quot;-&quot;??_);_(@_)"/>
  </numFmts>
  <fonts count="44">
    <font>
      <sz val="10"/>
      <name val="Arial"/>
      <charset val="0"/>
    </font>
    <font>
      <b/>
      <sz val="14"/>
      <name val="Times New Roman"/>
      <charset val="0"/>
    </font>
    <font>
      <sz val="14"/>
      <name val="Times New Roman"/>
      <charset val="0"/>
    </font>
    <font>
      <b/>
      <sz val="16"/>
      <name val="Times New Roman"/>
      <charset val="0"/>
    </font>
    <font>
      <sz val="14"/>
      <color rgb="FF0070C0"/>
      <name val="Times New Roman"/>
      <charset val="0"/>
    </font>
    <font>
      <sz val="12"/>
      <color theme="1"/>
      <name val="Times New Roman"/>
      <charset val="0"/>
    </font>
    <font>
      <b/>
      <sz val="12"/>
      <color theme="1"/>
      <name val="Times New Roman"/>
      <charset val="0"/>
    </font>
    <font>
      <i/>
      <sz val="12"/>
      <color theme="1"/>
      <name val="Times New Roman"/>
      <charset val="0"/>
    </font>
    <font>
      <b/>
      <i/>
      <sz val="12"/>
      <color theme="1"/>
      <name val="Times New Roman"/>
      <charset val="0"/>
    </font>
    <font>
      <sz val="13"/>
      <color theme="1"/>
      <name val="Times New Roman"/>
      <charset val="0"/>
    </font>
    <font>
      <b/>
      <sz val="12"/>
      <color indexed="8"/>
      <name val="Times New Roman"/>
      <charset val="0"/>
    </font>
    <font>
      <sz val="12"/>
      <color rgb="FFFF0000"/>
      <name val="Times New Roman"/>
      <charset val="0"/>
    </font>
    <font>
      <sz val="12"/>
      <color indexed="8"/>
      <name val="Times New Roman"/>
      <charset val="0"/>
    </font>
    <font>
      <sz val="12"/>
      <name val="Times New Roman"/>
      <charset val="0"/>
    </font>
    <font>
      <b/>
      <sz val="13"/>
      <color theme="1"/>
      <name val="Times New Roman"/>
      <charset val="0"/>
    </font>
    <font>
      <b/>
      <sz val="13"/>
      <name val="Times New Roman"/>
      <charset val="0"/>
    </font>
    <font>
      <sz val="13"/>
      <name val="Times New Roman"/>
      <charset val="0"/>
    </font>
    <font>
      <i/>
      <sz val="13"/>
      <color theme="1"/>
      <name val="Times New Roman"/>
      <charset val="0"/>
    </font>
    <font>
      <b/>
      <i/>
      <sz val="13"/>
      <color theme="1"/>
      <name val="Times New Roman"/>
      <charset val="0"/>
    </font>
    <font>
      <sz val="13"/>
      <color rgb="FFFF0000"/>
      <name val="Times New Roman"/>
      <charset val="0"/>
    </font>
    <font>
      <i/>
      <sz val="13"/>
      <color rgb="FFFF0000"/>
      <name val="Times New Roman"/>
      <charset val="0"/>
    </font>
    <font>
      <b/>
      <sz val="12"/>
      <name val="Times New Roman"/>
      <charset val="0"/>
    </font>
    <font>
      <b/>
      <sz val="11"/>
      <color theme="3"/>
      <name val="Calibri"/>
      <charset val="134"/>
      <scheme val="minor"/>
    </font>
    <font>
      <sz val="11"/>
      <color theme="1"/>
      <name val="Calibri"/>
      <charset val="0"/>
      <scheme val="minor"/>
    </font>
    <font>
      <sz val="11"/>
      <color theme="1"/>
      <name val="Calibri"/>
      <charset val="134"/>
      <scheme val="minor"/>
    </font>
    <font>
      <sz val="11"/>
      <color rgb="FF9C0006"/>
      <name val="Calibri"/>
      <charset val="0"/>
      <scheme val="minor"/>
    </font>
    <font>
      <sz val="11"/>
      <color rgb="FFFA7D00"/>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9"/>
      <name val="Times New Roman"/>
      <charset val="0"/>
    </font>
    <font>
      <sz val="9"/>
      <name val="Times New Roman"/>
      <charset val="0"/>
    </font>
  </fonts>
  <fills count="34">
    <fill>
      <patternFill patternType="none"/>
    </fill>
    <fill>
      <patternFill patternType="gray125"/>
    </fill>
    <fill>
      <patternFill patternType="solid">
        <fgColor indexed="9"/>
        <bgColor indexed="64"/>
      </patternFill>
    </fill>
    <fill>
      <patternFill patternType="solid">
        <fgColor theme="4" tint="0.599993896298105"/>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
      <patternFill patternType="solid">
        <fgColor theme="7" tint="0.799981688894314"/>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medium">
        <color auto="1"/>
      </bottom>
      <diagonal/>
    </border>
    <border>
      <left/>
      <right/>
      <top style="dotted">
        <color auto="1"/>
      </top>
      <bottom style="medium">
        <color auto="1"/>
      </bottom>
      <diagonal/>
    </border>
    <border>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3" fillId="3" borderId="0" applyNumberFormat="0" applyBorder="0" applyAlignment="0" applyProtection="0">
      <alignment vertical="center"/>
    </xf>
    <xf numFmtId="176" fontId="0" fillId="0" borderId="0" applyFont="0" applyFill="0" applyBorder="0" applyAlignment="0" applyProtection="0"/>
    <xf numFmtId="179" fontId="24" fillId="0" borderId="0" applyFont="0" applyFill="0" applyBorder="0" applyAlignment="0" applyProtection="0">
      <alignment vertical="center"/>
    </xf>
    <xf numFmtId="180" fontId="24" fillId="0" borderId="0" applyFont="0" applyFill="0" applyBorder="0" applyAlignment="0" applyProtection="0">
      <alignment vertical="center"/>
    </xf>
    <xf numFmtId="178"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7" fillId="0" borderId="0" applyNumberFormat="0" applyFill="0" applyBorder="0" applyAlignment="0" applyProtection="0">
      <alignment vertical="center"/>
    </xf>
    <xf numFmtId="0" fontId="28" fillId="9" borderId="0" applyNumberFormat="0" applyBorder="0" applyAlignment="0" applyProtection="0">
      <alignment vertical="center"/>
    </xf>
    <xf numFmtId="0" fontId="29" fillId="0" borderId="0" applyNumberFormat="0" applyFill="0" applyBorder="0" applyAlignment="0" applyProtection="0">
      <alignment vertical="center"/>
    </xf>
    <xf numFmtId="0" fontId="31" fillId="14" borderId="28" applyNumberFormat="0" applyAlignment="0" applyProtection="0">
      <alignment vertical="center"/>
    </xf>
    <xf numFmtId="0" fontId="32" fillId="0" borderId="29" applyNumberFormat="0" applyFill="0" applyAlignment="0" applyProtection="0">
      <alignment vertical="center"/>
    </xf>
    <xf numFmtId="0" fontId="24" fillId="15" borderId="30" applyNumberFormat="0" applyFont="0" applyAlignment="0" applyProtection="0">
      <alignment vertical="center"/>
    </xf>
    <xf numFmtId="0" fontId="23" fillId="17" borderId="0" applyNumberFormat="0" applyBorder="0" applyAlignment="0" applyProtection="0">
      <alignment vertical="center"/>
    </xf>
    <xf numFmtId="0" fontId="33" fillId="0" borderId="0" applyNumberFormat="0" applyFill="0" applyBorder="0" applyAlignment="0" applyProtection="0">
      <alignment vertical="center"/>
    </xf>
    <xf numFmtId="0" fontId="23" fillId="21" borderId="0" applyNumberFormat="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29" applyNumberFormat="0" applyFill="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38" fillId="22" borderId="27" applyNumberFormat="0" applyAlignment="0" applyProtection="0">
      <alignment vertical="center"/>
    </xf>
    <xf numFmtId="0" fontId="28" fillId="26" borderId="0" applyNumberFormat="0" applyBorder="0" applyAlignment="0" applyProtection="0">
      <alignment vertical="center"/>
    </xf>
    <xf numFmtId="0" fontId="39" fillId="27" borderId="0" applyNumberFormat="0" applyBorder="0" applyAlignment="0" applyProtection="0">
      <alignment vertical="center"/>
    </xf>
    <xf numFmtId="0" fontId="41" fillId="13" borderId="32" applyNumberFormat="0" applyAlignment="0" applyProtection="0">
      <alignment vertical="center"/>
    </xf>
    <xf numFmtId="0" fontId="23" fillId="29" borderId="0" applyNumberFormat="0" applyBorder="0" applyAlignment="0" applyProtection="0">
      <alignment vertical="center"/>
    </xf>
    <xf numFmtId="0" fontId="30" fillId="13" borderId="27" applyNumberFormat="0" applyAlignment="0" applyProtection="0">
      <alignment vertical="center"/>
    </xf>
    <xf numFmtId="0" fontId="26" fillId="0" borderId="25" applyNumberFormat="0" applyFill="0" applyAlignment="0" applyProtection="0">
      <alignment vertical="center"/>
    </xf>
    <xf numFmtId="0" fontId="37" fillId="0" borderId="31" applyNumberFormat="0" applyFill="0" applyAlignment="0" applyProtection="0">
      <alignment vertical="center"/>
    </xf>
    <xf numFmtId="0" fontId="25" fillId="4" borderId="0" applyNumberFormat="0" applyBorder="0" applyAlignment="0" applyProtection="0">
      <alignment vertical="center"/>
    </xf>
    <xf numFmtId="0" fontId="40" fillId="28" borderId="0" applyNumberFormat="0" applyBorder="0" applyAlignment="0" applyProtection="0">
      <alignment vertical="center"/>
    </xf>
    <xf numFmtId="0" fontId="28" fillId="5" borderId="0" applyNumberFormat="0" applyBorder="0" applyAlignment="0" applyProtection="0">
      <alignment vertical="center"/>
    </xf>
    <xf numFmtId="0" fontId="23" fillId="20" borderId="0" applyNumberFormat="0" applyBorder="0" applyAlignment="0" applyProtection="0">
      <alignment vertical="center"/>
    </xf>
    <xf numFmtId="0" fontId="28" fillId="8" borderId="0" applyNumberFormat="0" applyBorder="0" applyAlignment="0" applyProtection="0">
      <alignment vertical="center"/>
    </xf>
    <xf numFmtId="0" fontId="28" fillId="7"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8" fillId="32" borderId="0" applyNumberFormat="0" applyBorder="0" applyAlignment="0" applyProtection="0">
      <alignment vertical="center"/>
    </xf>
    <xf numFmtId="0" fontId="28" fillId="11" borderId="0" applyNumberFormat="0" applyBorder="0" applyAlignment="0" applyProtection="0">
      <alignment vertical="center"/>
    </xf>
    <xf numFmtId="0" fontId="23" fillId="16" borderId="0" applyNumberFormat="0" applyBorder="0" applyAlignment="0" applyProtection="0">
      <alignment vertical="center"/>
    </xf>
    <xf numFmtId="0" fontId="28" fillId="31"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8" fillId="30" borderId="0" applyNumberFormat="0" applyBorder="0" applyAlignment="0" applyProtection="0">
      <alignment vertical="center"/>
    </xf>
    <xf numFmtId="0" fontId="23" fillId="6" borderId="0" applyNumberFormat="0" applyBorder="0" applyAlignment="0" applyProtection="0">
      <alignment vertical="center"/>
    </xf>
    <xf numFmtId="0" fontId="28" fillId="23" borderId="0" applyNumberFormat="0" applyBorder="0" applyAlignment="0" applyProtection="0">
      <alignment vertical="center"/>
    </xf>
    <xf numFmtId="0" fontId="28" fillId="10" borderId="0" applyNumberFormat="0" applyBorder="0" applyAlignment="0" applyProtection="0">
      <alignment vertical="center"/>
    </xf>
    <xf numFmtId="0" fontId="23" fillId="19" borderId="0" applyNumberFormat="0" applyBorder="0" applyAlignment="0" applyProtection="0">
      <alignment vertical="center"/>
    </xf>
    <xf numFmtId="0" fontId="28" fillId="18" borderId="0" applyNumberFormat="0" applyBorder="0" applyAlignment="0" applyProtection="0">
      <alignment vertical="center"/>
    </xf>
  </cellStyleXfs>
  <cellXfs count="179">
    <xf numFmtId="0" fontId="0" fillId="0" borderId="0" xfId="0"/>
    <xf numFmtId="0" fontId="1" fillId="0" borderId="0" xfId="0" applyFont="1" applyAlignment="1">
      <alignment horizontal="center"/>
    </xf>
    <xf numFmtId="0" fontId="2" fillId="0" borderId="0" xfId="0" applyFont="1"/>
    <xf numFmtId="177" fontId="2" fillId="0" borderId="0" xfId="2" applyNumberFormat="1" applyFont="1"/>
    <xf numFmtId="0" fontId="3" fillId="0" borderId="0" xfId="0" applyFont="1" applyAlignment="1">
      <alignment horizontal="center"/>
    </xf>
    <xf numFmtId="177" fontId="3" fillId="0" borderId="0" xfId="2" applyNumberFormat="1" applyFont="1" applyAlignment="1">
      <alignment horizontal="center"/>
    </xf>
    <xf numFmtId="0" fontId="2" fillId="0" borderId="0" xfId="0" applyFont="1" applyAlignment="1">
      <alignment horizontal="center"/>
    </xf>
    <xf numFmtId="177" fontId="2" fillId="0" borderId="0" xfId="2" applyNumberFormat="1" applyFont="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177" fontId="1" fillId="0" borderId="1" xfId="2" applyNumberFormat="1" applyFont="1" applyBorder="1" applyAlignment="1">
      <alignment horizontal="center"/>
    </xf>
    <xf numFmtId="0" fontId="2" fillId="0" borderId="2" xfId="0" applyFont="1" applyBorder="1"/>
    <xf numFmtId="58" fontId="2" fillId="0" borderId="2" xfId="0" applyNumberFormat="1" applyFont="1" applyBorder="1"/>
    <xf numFmtId="177" fontId="2" fillId="0" borderId="2" xfId="2" applyNumberFormat="1" applyFont="1" applyBorder="1"/>
    <xf numFmtId="0" fontId="2" fillId="0" borderId="3" xfId="0" applyFont="1" applyBorder="1"/>
    <xf numFmtId="177" fontId="2" fillId="0" borderId="3" xfId="2" applyNumberFormat="1" applyFont="1"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177" fontId="1" fillId="0" borderId="7" xfId="2" applyNumberFormat="1" applyFont="1" applyBorder="1"/>
    <xf numFmtId="0" fontId="1" fillId="0" borderId="8" xfId="0" applyFont="1" applyBorder="1" applyAlignment="1">
      <alignment horizontal="center"/>
    </xf>
    <xf numFmtId="177" fontId="2" fillId="0" borderId="8" xfId="2" applyNumberFormat="1" applyFont="1" applyBorder="1"/>
    <xf numFmtId="0" fontId="1" fillId="0" borderId="9" xfId="0" applyFont="1" applyBorder="1" applyAlignment="1">
      <alignment horizontal="center"/>
    </xf>
    <xf numFmtId="181" fontId="2" fillId="0" borderId="9" xfId="2" applyNumberFormat="1" applyFont="1" applyBorder="1"/>
    <xf numFmtId="0" fontId="4" fillId="0" borderId="0" xfId="0" applyFont="1"/>
    <xf numFmtId="0" fontId="5" fillId="0" borderId="0" xfId="0" applyFont="1"/>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5" fillId="2" borderId="0" xfId="0" applyFont="1" applyFill="1" applyAlignment="1">
      <alignment vertical="center"/>
    </xf>
    <xf numFmtId="0" fontId="9" fillId="2" borderId="0" xfId="0" applyFont="1" applyFill="1" applyAlignment="1">
      <alignment vertical="center"/>
    </xf>
    <xf numFmtId="0" fontId="6" fillId="0" borderId="1" xfId="0" applyFont="1" applyBorder="1"/>
    <xf numFmtId="0" fontId="6" fillId="0" borderId="0" xfId="0" applyFont="1" applyBorder="1"/>
    <xf numFmtId="0" fontId="10" fillId="0" borderId="0" xfId="0" applyFont="1"/>
    <xf numFmtId="0" fontId="11" fillId="0" borderId="0" xfId="0" applyFont="1" applyAlignment="1">
      <alignment vertical="center"/>
    </xf>
    <xf numFmtId="0" fontId="12" fillId="0" borderId="0" xfId="0" applyFont="1"/>
    <xf numFmtId="0" fontId="12" fillId="0" borderId="0" xfId="0" applyFont="1" applyAlignment="1">
      <alignment wrapText="1"/>
    </xf>
    <xf numFmtId="3" fontId="12" fillId="0" borderId="0" xfId="0" applyNumberFormat="1" applyFont="1"/>
    <xf numFmtId="0" fontId="13" fillId="0" borderId="0" xfId="0" applyFont="1"/>
    <xf numFmtId="3" fontId="13" fillId="0" borderId="0" xfId="0" applyNumberFormat="1" applyFont="1"/>
    <xf numFmtId="177" fontId="12" fillId="0" borderId="0" xfId="2" applyNumberFormat="1" applyFont="1"/>
    <xf numFmtId="0" fontId="14" fillId="0" borderId="0" xfId="0" applyFont="1" applyAlignment="1">
      <alignment horizontal="center"/>
    </xf>
    <xf numFmtId="0" fontId="14" fillId="0" borderId="0" xfId="0" applyFont="1" applyAlignment="1">
      <alignment horizontal="center" wrapText="1"/>
    </xf>
    <xf numFmtId="0" fontId="9" fillId="0" borderId="0" xfId="0" applyFont="1" applyAlignment="1">
      <alignment horizontal="center"/>
    </xf>
    <xf numFmtId="0" fontId="9" fillId="0" borderId="0" xfId="0" applyFont="1" applyAlignment="1">
      <alignment horizontal="center" wrapText="1"/>
    </xf>
    <xf numFmtId="3" fontId="14" fillId="0" borderId="0" xfId="0" applyNumberFormat="1" applyFont="1" applyAlignment="1">
      <alignment horizontal="left"/>
    </xf>
    <xf numFmtId="3" fontId="14" fillId="0" borderId="0" xfId="0" applyNumberFormat="1" applyFont="1" applyAlignment="1">
      <alignment horizontal="left" wrapText="1"/>
    </xf>
    <xf numFmtId="177" fontId="9" fillId="0" borderId="0" xfId="2" applyNumberFormat="1" applyFont="1" applyAlignment="1">
      <alignment horizontal="center"/>
    </xf>
    <xf numFmtId="3" fontId="9" fillId="0" borderId="0" xfId="0" applyNumberFormat="1" applyFont="1" applyAlignment="1">
      <alignment horizontal="center"/>
    </xf>
    <xf numFmtId="0" fontId="9" fillId="0" borderId="0" xfId="0" applyFont="1"/>
    <xf numFmtId="3" fontId="9" fillId="0" borderId="0" xfId="0" applyNumberFormat="1" applyFont="1" applyAlignment="1">
      <alignment wrapText="1"/>
    </xf>
    <xf numFmtId="176" fontId="9" fillId="0" borderId="10" xfId="2" applyFont="1" applyBorder="1" applyAlignment="1">
      <alignment horizontal="center"/>
    </xf>
    <xf numFmtId="3" fontId="9" fillId="0" borderId="10" xfId="0" applyNumberFormat="1" applyFont="1" applyBorder="1" applyAlignment="1">
      <alignment horizontal="center"/>
    </xf>
    <xf numFmtId="3" fontId="9" fillId="0" borderId="0" xfId="0" applyNumberFormat="1" applyFont="1" applyBorder="1" applyAlignment="1">
      <alignment horizontal="center"/>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2" xfId="0" applyFont="1" applyBorder="1" applyAlignment="1">
      <alignment vertical="center"/>
    </xf>
    <xf numFmtId="0" fontId="14" fillId="0" borderId="2" xfId="0" applyFont="1" applyBorder="1" applyAlignment="1">
      <alignment vertical="center" wrapText="1"/>
    </xf>
    <xf numFmtId="3" fontId="14" fillId="0" borderId="2" xfId="0" applyNumberFormat="1" applyFont="1" applyBorder="1" applyAlignment="1">
      <alignment vertical="center"/>
    </xf>
    <xf numFmtId="0" fontId="9" fillId="0" borderId="3" xfId="0" applyFont="1" applyBorder="1" applyAlignment="1">
      <alignment vertical="center"/>
    </xf>
    <xf numFmtId="0" fontId="9" fillId="0" borderId="3" xfId="0" applyFont="1" applyBorder="1" applyAlignment="1">
      <alignment vertical="center" wrapText="1"/>
    </xf>
    <xf numFmtId="3" fontId="9" fillId="0" borderId="3" xfId="0" applyNumberFormat="1" applyFont="1" applyBorder="1" applyAlignment="1">
      <alignment vertical="center"/>
    </xf>
    <xf numFmtId="9" fontId="9" fillId="0" borderId="3" xfId="0" applyNumberFormat="1" applyFont="1" applyBorder="1" applyAlignment="1">
      <alignment horizontal="left" vertical="center" wrapText="1"/>
    </xf>
    <xf numFmtId="0" fontId="14" fillId="0" borderId="3" xfId="0" applyFont="1" applyBorder="1" applyAlignment="1">
      <alignment vertical="center"/>
    </xf>
    <xf numFmtId="0" fontId="14" fillId="0" borderId="3" xfId="0" applyFont="1" applyBorder="1" applyAlignment="1">
      <alignment vertical="center" wrapText="1"/>
    </xf>
    <xf numFmtId="3" fontId="14" fillId="0" borderId="3" xfId="0" applyNumberFormat="1" applyFont="1" applyBorder="1" applyAlignment="1">
      <alignment vertical="center"/>
    </xf>
    <xf numFmtId="3" fontId="14" fillId="0" borderId="3" xfId="2" applyNumberFormat="1" applyFont="1" applyBorder="1" applyAlignment="1">
      <alignment vertical="center"/>
    </xf>
    <xf numFmtId="3" fontId="9" fillId="0" borderId="3" xfId="2" applyNumberFormat="1" applyFont="1" applyBorder="1" applyAlignment="1">
      <alignment vertical="center"/>
    </xf>
    <xf numFmtId="2" fontId="9" fillId="0" borderId="3" xfId="0" applyNumberFormat="1" applyFont="1" applyBorder="1" applyAlignment="1">
      <alignment vertical="center"/>
    </xf>
    <xf numFmtId="182" fontId="9" fillId="0" borderId="3" xfId="2" applyNumberFormat="1" applyFont="1" applyBorder="1" applyAlignment="1">
      <alignment vertical="center"/>
    </xf>
    <xf numFmtId="0" fontId="15" fillId="0" borderId="0" xfId="0" applyFont="1" applyAlignment="1">
      <alignment horizontal="center"/>
    </xf>
    <xf numFmtId="177" fontId="9" fillId="0" borderId="0" xfId="2" applyNumberFormat="1" applyFont="1"/>
    <xf numFmtId="0" fontId="16" fillId="0" borderId="0" xfId="0" applyFont="1" applyAlignment="1">
      <alignment horizontal="center"/>
    </xf>
    <xf numFmtId="0" fontId="16" fillId="0" borderId="0" xfId="0" applyFont="1" applyAlignment="1"/>
    <xf numFmtId="3" fontId="9" fillId="0" borderId="0" xfId="0" applyNumberFormat="1" applyFont="1"/>
    <xf numFmtId="0" fontId="16" fillId="0" borderId="0" xfId="0" applyFont="1"/>
    <xf numFmtId="3" fontId="16" fillId="0" borderId="10" xfId="0" applyNumberFormat="1" applyFont="1" applyBorder="1" applyAlignment="1">
      <alignment horizontal="center"/>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177" fontId="14" fillId="0" borderId="21" xfId="2" applyNumberFormat="1" applyFont="1" applyBorder="1" applyAlignment="1">
      <alignment horizontal="center" vertical="center" wrapText="1"/>
    </xf>
    <xf numFmtId="0" fontId="14" fillId="0" borderId="22" xfId="0" applyFont="1" applyBorder="1" applyAlignment="1">
      <alignment horizontal="center" vertical="center" wrapText="1"/>
    </xf>
    <xf numFmtId="0" fontId="14" fillId="0" borderId="16" xfId="0" applyFont="1" applyBorder="1" applyAlignment="1">
      <alignment vertical="center" wrapText="1"/>
    </xf>
    <xf numFmtId="0" fontId="14" fillId="0" borderId="14" xfId="0" applyFont="1" applyBorder="1" applyAlignment="1">
      <alignment vertical="center" wrapText="1"/>
    </xf>
    <xf numFmtId="0" fontId="14" fillId="0" borderId="1" xfId="0" applyFont="1" applyBorder="1" applyAlignment="1">
      <alignment horizontal="center" vertical="center" wrapText="1"/>
    </xf>
    <xf numFmtId="177" fontId="14" fillId="0" borderId="0" xfId="2" applyNumberFormat="1" applyFont="1" applyBorder="1" applyAlignment="1">
      <alignment horizontal="center" vertical="center" wrapText="1"/>
    </xf>
    <xf numFmtId="3" fontId="14" fillId="0" borderId="23" xfId="0" applyNumberFormat="1" applyFont="1" applyBorder="1" applyAlignment="1">
      <alignment vertical="center"/>
    </xf>
    <xf numFmtId="177" fontId="14" fillId="0" borderId="0" xfId="2" applyNumberFormat="1" applyFont="1" applyAlignment="1">
      <alignment vertical="center"/>
    </xf>
    <xf numFmtId="177" fontId="9" fillId="0" borderId="0" xfId="2" applyNumberFormat="1" applyFont="1" applyAlignment="1">
      <alignment vertical="center"/>
    </xf>
    <xf numFmtId="177" fontId="9" fillId="0" borderId="0" xfId="0" applyNumberFormat="1" applyFont="1"/>
    <xf numFmtId="0" fontId="14" fillId="0" borderId="0" xfId="0" applyFont="1" applyAlignment="1">
      <alignment vertical="center"/>
    </xf>
    <xf numFmtId="3" fontId="14" fillId="0" borderId="0" xfId="0" applyNumberFormat="1" applyFont="1" applyAlignment="1">
      <alignment vertical="center"/>
    </xf>
    <xf numFmtId="0" fontId="9" fillId="0" borderId="0" xfId="0" applyFont="1" applyAlignment="1">
      <alignment vertical="center"/>
    </xf>
    <xf numFmtId="0" fontId="14" fillId="0" borderId="0" xfId="0" applyFont="1" applyAlignment="1">
      <alignment horizontal="center" vertical="center"/>
    </xf>
    <xf numFmtId="0" fontId="6" fillId="0" borderId="0" xfId="0" applyFont="1" applyAlignment="1">
      <alignment horizontal="center" vertical="center"/>
    </xf>
    <xf numFmtId="3" fontId="9" fillId="0" borderId="0" xfId="0" applyNumberFormat="1" applyFont="1" applyAlignment="1">
      <alignment vertical="center"/>
    </xf>
    <xf numFmtId="3" fontId="5" fillId="0" borderId="0" xfId="0" applyNumberFormat="1" applyFont="1" applyAlignment="1">
      <alignment vertical="center"/>
    </xf>
    <xf numFmtId="3" fontId="6" fillId="0" borderId="0" xfId="0" applyNumberFormat="1" applyFont="1" applyAlignment="1">
      <alignment vertical="center"/>
    </xf>
    <xf numFmtId="177" fontId="9" fillId="0" borderId="0" xfId="0" applyNumberFormat="1" applyFont="1" applyAlignment="1">
      <alignment vertical="center"/>
    </xf>
    <xf numFmtId="177" fontId="14" fillId="0" borderId="0" xfId="0" applyNumberFormat="1" applyFont="1" applyAlignment="1">
      <alignment vertical="center"/>
    </xf>
    <xf numFmtId="182" fontId="14" fillId="0" borderId="3" xfId="2" applyNumberFormat="1" applyFont="1" applyBorder="1" applyAlignment="1">
      <alignment vertical="center"/>
    </xf>
    <xf numFmtId="3" fontId="9" fillId="0" borderId="3" xfId="0" applyNumberFormat="1" applyFont="1" applyBorder="1" applyAlignment="1">
      <alignment horizontal="left" vertical="center"/>
    </xf>
    <xf numFmtId="182" fontId="9" fillId="0" borderId="3" xfId="0" applyNumberFormat="1" applyFont="1" applyBorder="1" applyAlignment="1">
      <alignment vertical="center"/>
    </xf>
    <xf numFmtId="0" fontId="9" fillId="0" borderId="3" xfId="0" applyFont="1" applyBorder="1" applyAlignment="1">
      <alignment horizontal="left" vertical="center" wrapText="1"/>
    </xf>
    <xf numFmtId="177" fontId="9" fillId="0" borderId="3" xfId="2" applyNumberFormat="1" applyFont="1" applyBorder="1" applyAlignment="1">
      <alignment vertical="center"/>
    </xf>
    <xf numFmtId="177" fontId="9" fillId="0" borderId="3" xfId="0" applyNumberFormat="1" applyFont="1" applyBorder="1" applyAlignment="1">
      <alignment vertical="center"/>
    </xf>
    <xf numFmtId="0" fontId="17" fillId="0" borderId="3" xfId="0" applyFont="1" applyBorder="1" applyAlignment="1">
      <alignment horizontal="left" vertical="center" wrapText="1"/>
    </xf>
    <xf numFmtId="3" fontId="17" fillId="0" borderId="3" xfId="0" applyNumberFormat="1" applyFont="1" applyBorder="1" applyAlignment="1">
      <alignment vertical="center"/>
    </xf>
    <xf numFmtId="0" fontId="17" fillId="0" borderId="3" xfId="0" applyFont="1" applyBorder="1" applyAlignment="1">
      <alignment vertical="center"/>
    </xf>
    <xf numFmtId="0" fontId="14" fillId="0" borderId="3" xfId="0" applyFont="1" applyBorder="1" applyAlignment="1">
      <alignment horizontal="left" vertical="center" wrapText="1"/>
    </xf>
    <xf numFmtId="0" fontId="18" fillId="0" borderId="3" xfId="0" applyFont="1" applyBorder="1" applyAlignment="1">
      <alignment vertical="center"/>
    </xf>
    <xf numFmtId="0" fontId="18" fillId="0" borderId="3" xfId="0" applyFont="1" applyBorder="1" applyAlignment="1">
      <alignment vertical="center" wrapText="1"/>
    </xf>
    <xf numFmtId="3" fontId="18" fillId="0" borderId="3" xfId="0" applyNumberFormat="1" applyFont="1" applyBorder="1" applyAlignment="1">
      <alignment vertical="center"/>
    </xf>
    <xf numFmtId="177" fontId="17" fillId="0" borderId="0" xfId="2" applyNumberFormat="1" applyFont="1" applyAlignment="1">
      <alignment vertical="center"/>
    </xf>
    <xf numFmtId="177" fontId="18" fillId="0" borderId="0" xfId="2" applyNumberFormat="1" applyFont="1" applyAlignment="1">
      <alignment vertical="center"/>
    </xf>
    <xf numFmtId="176" fontId="9" fillId="0" borderId="3" xfId="2" applyFont="1" applyBorder="1" applyAlignment="1">
      <alignment vertical="center"/>
    </xf>
    <xf numFmtId="0" fontId="17" fillId="0" borderId="0" xfId="0" applyFont="1" applyAlignment="1">
      <alignment vertical="center"/>
    </xf>
    <xf numFmtId="0" fontId="18" fillId="0" borderId="0" xfId="0" applyFont="1" applyAlignment="1">
      <alignment vertical="center"/>
    </xf>
    <xf numFmtId="0" fontId="17" fillId="0" borderId="3" xfId="0" applyFont="1" applyBorder="1" applyAlignment="1">
      <alignment vertical="center" wrapText="1"/>
    </xf>
    <xf numFmtId="0" fontId="9" fillId="2" borderId="3" xfId="0" applyFont="1" applyFill="1" applyBorder="1" applyAlignment="1">
      <alignment vertical="center"/>
    </xf>
    <xf numFmtId="0" fontId="9" fillId="2" borderId="3" xfId="0" applyFont="1" applyFill="1" applyBorder="1" applyAlignment="1">
      <alignment vertical="center" wrapText="1"/>
    </xf>
    <xf numFmtId="3" fontId="9" fillId="2" borderId="3" xfId="0" applyNumberFormat="1" applyFont="1" applyFill="1" applyBorder="1" applyAlignment="1">
      <alignment vertical="center"/>
    </xf>
    <xf numFmtId="2" fontId="9" fillId="2" borderId="3" xfId="0" applyNumberFormat="1" applyFont="1" applyFill="1" applyBorder="1" applyAlignment="1">
      <alignment vertical="center"/>
    </xf>
    <xf numFmtId="182" fontId="9" fillId="2" borderId="3" xfId="2" applyNumberFormat="1" applyFont="1" applyFill="1" applyBorder="1" applyAlignment="1">
      <alignment vertical="center"/>
    </xf>
    <xf numFmtId="0" fontId="9" fillId="2" borderId="3" xfId="0" applyFont="1" applyFill="1" applyBorder="1" applyAlignment="1">
      <alignment horizontal="left" vertical="center" wrapText="1"/>
    </xf>
    <xf numFmtId="177" fontId="9" fillId="2" borderId="0" xfId="2" applyNumberFormat="1" applyFont="1" applyFill="1" applyAlignment="1">
      <alignment vertical="center"/>
    </xf>
    <xf numFmtId="2" fontId="9" fillId="0" borderId="3" xfId="0" applyNumberFormat="1" applyFont="1" applyBorder="1" applyAlignment="1">
      <alignment horizontal="right" vertical="center"/>
    </xf>
    <xf numFmtId="177" fontId="17" fillId="0" borderId="3" xfId="2" applyNumberFormat="1" applyFont="1" applyBorder="1" applyAlignment="1">
      <alignment vertical="center"/>
    </xf>
    <xf numFmtId="0" fontId="14" fillId="0" borderId="24" xfId="0" applyFont="1" applyBorder="1" applyAlignment="1">
      <alignment vertical="center"/>
    </xf>
    <xf numFmtId="0" fontId="14" fillId="0" borderId="24" xfId="0" applyFont="1" applyBorder="1" applyAlignment="1">
      <alignment vertical="center" wrapText="1"/>
    </xf>
    <xf numFmtId="3" fontId="14" fillId="0" borderId="24" xfId="0" applyNumberFormat="1" applyFont="1" applyBorder="1" applyAlignment="1">
      <alignment vertical="center"/>
    </xf>
    <xf numFmtId="176" fontId="9" fillId="0" borderId="0" xfId="2" applyFont="1" applyAlignment="1">
      <alignment vertical="center"/>
    </xf>
    <xf numFmtId="0" fontId="14" fillId="0" borderId="0" xfId="0" applyFont="1" applyBorder="1" applyAlignment="1">
      <alignment vertical="center"/>
    </xf>
    <xf numFmtId="0" fontId="6" fillId="0" borderId="0" xfId="0" applyFont="1" applyBorder="1" applyAlignment="1">
      <alignment vertical="center"/>
    </xf>
    <xf numFmtId="0" fontId="14" fillId="0" borderId="1" xfId="0" applyFont="1" applyBorder="1"/>
    <xf numFmtId="0" fontId="14" fillId="0" borderId="1" xfId="0" applyFont="1" applyBorder="1" applyAlignment="1">
      <alignment wrapText="1"/>
    </xf>
    <xf numFmtId="3" fontId="14" fillId="0" borderId="1" xfId="0" applyNumberFormat="1" applyFont="1" applyBorder="1"/>
    <xf numFmtId="0" fontId="14" fillId="0" borderId="0" xfId="0" applyFont="1" applyBorder="1"/>
    <xf numFmtId="0" fontId="14" fillId="0" borderId="0" xfId="0" applyFont="1" applyBorder="1" applyAlignment="1">
      <alignment wrapText="1"/>
    </xf>
    <xf numFmtId="3" fontId="14" fillId="0" borderId="0" xfId="0" applyNumberFormat="1" applyFont="1" applyBorder="1"/>
    <xf numFmtId="0" fontId="9" fillId="0" borderId="0" xfId="0" applyFont="1" applyAlignment="1">
      <alignment wrapText="1"/>
    </xf>
    <xf numFmtId="176" fontId="12" fillId="0" borderId="0" xfId="2" applyFont="1" applyAlignment="1">
      <alignment wrapText="1"/>
    </xf>
    <xf numFmtId="177" fontId="12" fillId="0" borderId="0" xfId="2" applyNumberFormat="1" applyFont="1" applyAlignment="1">
      <alignment horizontal="center"/>
    </xf>
    <xf numFmtId="0" fontId="10" fillId="0" borderId="0" xfId="0" applyFont="1" applyAlignment="1">
      <alignment wrapText="1"/>
    </xf>
    <xf numFmtId="3" fontId="10" fillId="0" borderId="0" xfId="0" applyNumberFormat="1" applyFont="1"/>
    <xf numFmtId="177" fontId="12" fillId="0" borderId="0" xfId="0" applyNumberFormat="1" applyFont="1" applyAlignment="1">
      <alignment wrapText="1"/>
    </xf>
    <xf numFmtId="177" fontId="12" fillId="0" borderId="0" xfId="0" applyNumberFormat="1" applyFont="1" applyAlignment="1">
      <alignment horizontal="center"/>
    </xf>
    <xf numFmtId="177" fontId="12" fillId="0" borderId="0" xfId="0" applyNumberFormat="1" applyFont="1"/>
    <xf numFmtId="0" fontId="12" fillId="0" borderId="0" xfId="0" applyFont="1" applyAlignment="1">
      <alignment horizontal="right" wrapText="1"/>
    </xf>
    <xf numFmtId="0" fontId="19" fillId="0" borderId="3" xfId="0" applyFont="1" applyBorder="1" applyAlignment="1">
      <alignment vertical="center"/>
    </xf>
    <xf numFmtId="0" fontId="20" fillId="0" borderId="3" xfId="0" applyFont="1" applyBorder="1" applyAlignment="1">
      <alignment horizontal="left" vertical="center" wrapText="1"/>
    </xf>
    <xf numFmtId="3" fontId="20" fillId="0" borderId="3" xfId="0" applyNumberFormat="1" applyFont="1" applyBorder="1" applyAlignment="1">
      <alignment vertical="center"/>
    </xf>
    <xf numFmtId="0" fontId="20" fillId="0" borderId="3" xfId="0" applyFont="1" applyBorder="1" applyAlignment="1">
      <alignment vertical="center"/>
    </xf>
    <xf numFmtId="0" fontId="17" fillId="0" borderId="3" xfId="0" applyFont="1" applyBorder="1" applyAlignment="1">
      <alignment horizontal="justify" vertical="center" wrapText="1"/>
    </xf>
    <xf numFmtId="3" fontId="15" fillId="0" borderId="0" xfId="0" applyNumberFormat="1" applyFont="1" applyAlignment="1">
      <alignment horizontal="center"/>
    </xf>
    <xf numFmtId="3" fontId="21" fillId="0" borderId="0" xfId="0" applyNumberFormat="1" applyFont="1" applyAlignment="1">
      <alignment horizontal="center"/>
    </xf>
    <xf numFmtId="0" fontId="21" fillId="0" borderId="0" xfId="0" applyFont="1" applyAlignment="1"/>
    <xf numFmtId="177" fontId="21" fillId="0" borderId="0" xfId="0" applyNumberFormat="1" applyFont="1" applyAlignment="1"/>
    <xf numFmtId="3" fontId="21" fillId="0" borderId="0" xfId="0" applyNumberFormat="1" applyFont="1" applyAlignment="1"/>
    <xf numFmtId="3" fontId="10" fillId="0" borderId="0" xfId="0" applyNumberFormat="1" applyFont="1" applyAlignment="1"/>
    <xf numFmtId="3" fontId="10" fillId="0" borderId="0" xfId="0" applyNumberFormat="1" applyFont="1" applyAlignment="1">
      <alignment horizontal="right"/>
    </xf>
    <xf numFmtId="3" fontId="21" fillId="0" borderId="0" xfId="0" applyNumberFormat="1" applyFont="1"/>
    <xf numFmtId="0" fontId="21" fillId="0" borderId="0" xfId="0" applyFont="1"/>
    <xf numFmtId="177" fontId="10" fillId="0" borderId="0" xfId="2" applyNumberFormat="1" applyFont="1"/>
    <xf numFmtId="0" fontId="16" fillId="0" borderId="3" xfId="0" applyFont="1" applyBorder="1" applyAlignment="1">
      <alignment vertical="center"/>
    </xf>
    <xf numFmtId="3" fontId="16" fillId="0" borderId="3" xfId="0" applyNumberFormat="1" applyFont="1" applyBorder="1" applyAlignment="1">
      <alignment vertical="center"/>
    </xf>
    <xf numFmtId="177" fontId="19" fillId="0" borderId="0" xfId="2" applyNumberFormat="1" applyFont="1" applyAlignment="1">
      <alignment vertical="center"/>
    </xf>
    <xf numFmtId="176" fontId="9" fillId="0" borderId="0" xfId="2" applyFont="1" applyBorder="1"/>
    <xf numFmtId="0" fontId="9" fillId="0" borderId="0" xfId="0" applyFont="1" applyBorder="1"/>
    <xf numFmtId="0" fontId="12" fillId="0" borderId="0" xfId="0" applyFont="1" applyBorder="1"/>
    <xf numFmtId="3" fontId="12" fillId="0" borderId="0" xfId="0" applyNumberFormat="1" applyFont="1" applyBorder="1"/>
    <xf numFmtId="0" fontId="19" fillId="0" borderId="0" xfId="0" applyFont="1" applyAlignment="1">
      <alignment vertical="center"/>
    </xf>
    <xf numFmtId="0" fontId="9" fillId="0" borderId="3" xfId="0" applyFont="1" applyBorder="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2" Type="http://schemas.openxmlformats.org/officeDocument/2006/relationships/sharedStrings" Target="sharedStrings.xml"/><Relationship Id="rId61" Type="http://schemas.openxmlformats.org/officeDocument/2006/relationships/styles" Target="styles.xml"/><Relationship Id="rId60" Type="http://schemas.openxmlformats.org/officeDocument/2006/relationships/theme" Target="theme/theme1.xml"/><Relationship Id="rId6" Type="http://schemas.openxmlformats.org/officeDocument/2006/relationships/externalLink" Target="externalLinks/externalLink3.xml"/><Relationship Id="rId59" Type="http://schemas.openxmlformats.org/officeDocument/2006/relationships/externalLink" Target="externalLinks/externalLink56.xml"/><Relationship Id="rId58" Type="http://schemas.openxmlformats.org/officeDocument/2006/relationships/externalLink" Target="externalLinks/externalLink55.xml"/><Relationship Id="rId57" Type="http://schemas.openxmlformats.org/officeDocument/2006/relationships/externalLink" Target="externalLinks/externalLink54.xml"/><Relationship Id="rId56" Type="http://schemas.openxmlformats.org/officeDocument/2006/relationships/externalLink" Target="externalLinks/externalLink53.xml"/><Relationship Id="rId55" Type="http://schemas.openxmlformats.org/officeDocument/2006/relationships/externalLink" Target="externalLinks/externalLink52.xml"/><Relationship Id="rId54" Type="http://schemas.openxmlformats.org/officeDocument/2006/relationships/externalLink" Target="externalLinks/externalLink51.xml"/><Relationship Id="rId53" Type="http://schemas.openxmlformats.org/officeDocument/2006/relationships/externalLink" Target="externalLinks/externalLink50.xml"/><Relationship Id="rId52" Type="http://schemas.openxmlformats.org/officeDocument/2006/relationships/externalLink" Target="externalLinks/externalLink49.xml"/><Relationship Id="rId51" Type="http://schemas.openxmlformats.org/officeDocument/2006/relationships/externalLink" Target="externalLinks/externalLink48.xml"/><Relationship Id="rId50" Type="http://schemas.openxmlformats.org/officeDocument/2006/relationships/externalLink" Target="externalLinks/externalLink47.xml"/><Relationship Id="rId5" Type="http://schemas.openxmlformats.org/officeDocument/2006/relationships/externalLink" Target="externalLinks/externalLink2.xml"/><Relationship Id="rId49" Type="http://schemas.openxmlformats.org/officeDocument/2006/relationships/externalLink" Target="externalLinks/externalLink46.xml"/><Relationship Id="rId48" Type="http://schemas.openxmlformats.org/officeDocument/2006/relationships/externalLink" Target="externalLinks/externalLink45.xml"/><Relationship Id="rId47" Type="http://schemas.openxmlformats.org/officeDocument/2006/relationships/externalLink" Target="externalLinks/externalLink44.xml"/><Relationship Id="rId46" Type="http://schemas.openxmlformats.org/officeDocument/2006/relationships/externalLink" Target="externalLinks/externalLink43.xml"/><Relationship Id="rId45" Type="http://schemas.openxmlformats.org/officeDocument/2006/relationships/externalLink" Target="externalLinks/externalLink42.xml"/><Relationship Id="rId44" Type="http://schemas.openxmlformats.org/officeDocument/2006/relationships/externalLink" Target="externalLinks/externalLink41.xml"/><Relationship Id="rId43" Type="http://schemas.openxmlformats.org/officeDocument/2006/relationships/externalLink" Target="externalLinks/externalLink40.xml"/><Relationship Id="rId42" Type="http://schemas.openxmlformats.org/officeDocument/2006/relationships/externalLink" Target="externalLinks/externalLink39.xml"/><Relationship Id="rId41" Type="http://schemas.openxmlformats.org/officeDocument/2006/relationships/externalLink" Target="externalLinks/externalLink38.xml"/><Relationship Id="rId40" Type="http://schemas.openxmlformats.org/officeDocument/2006/relationships/externalLink" Target="externalLinks/externalLink37.xml"/><Relationship Id="rId4" Type="http://schemas.openxmlformats.org/officeDocument/2006/relationships/externalLink" Target="externalLinks/externalLink1.xml"/><Relationship Id="rId39" Type="http://schemas.openxmlformats.org/officeDocument/2006/relationships/externalLink" Target="externalLinks/externalLink36.xml"/><Relationship Id="rId38" Type="http://schemas.openxmlformats.org/officeDocument/2006/relationships/externalLink" Target="externalLinks/externalLink35.xml"/><Relationship Id="rId37" Type="http://schemas.openxmlformats.org/officeDocument/2006/relationships/externalLink" Target="externalLinks/externalLink34.xml"/><Relationship Id="rId36" Type="http://schemas.openxmlformats.org/officeDocument/2006/relationships/externalLink" Target="externalLinks/externalLink33.xml"/><Relationship Id="rId35" Type="http://schemas.openxmlformats.org/officeDocument/2006/relationships/externalLink" Target="externalLinks/externalLink32.xml"/><Relationship Id="rId34" Type="http://schemas.openxmlformats.org/officeDocument/2006/relationships/externalLink" Target="externalLinks/externalLink31.xml"/><Relationship Id="rId33" Type="http://schemas.openxmlformats.org/officeDocument/2006/relationships/externalLink" Target="externalLinks/externalLink30.xml"/><Relationship Id="rId32" Type="http://schemas.openxmlformats.org/officeDocument/2006/relationships/externalLink" Target="externalLinks/externalLink29.xml"/><Relationship Id="rId31" Type="http://schemas.openxmlformats.org/officeDocument/2006/relationships/externalLink" Target="externalLinks/externalLink28.xml"/><Relationship Id="rId30" Type="http://schemas.openxmlformats.org/officeDocument/2006/relationships/externalLink" Target="externalLinks/externalLink27.xml"/><Relationship Id="rId3" Type="http://schemas.openxmlformats.org/officeDocument/2006/relationships/worksheet" Target="worksheets/sheet3.xml"/><Relationship Id="rId29" Type="http://schemas.openxmlformats.org/officeDocument/2006/relationships/externalLink" Target="externalLinks/externalLink26.xml"/><Relationship Id="rId28" Type="http://schemas.openxmlformats.org/officeDocument/2006/relationships/externalLink" Target="externalLinks/externalLink25.xml"/><Relationship Id="rId27" Type="http://schemas.openxmlformats.org/officeDocument/2006/relationships/externalLink" Target="externalLinks/externalLink24.xml"/><Relationship Id="rId26" Type="http://schemas.openxmlformats.org/officeDocument/2006/relationships/externalLink" Target="externalLinks/externalLink23.xml"/><Relationship Id="rId25" Type="http://schemas.openxmlformats.org/officeDocument/2006/relationships/externalLink" Target="externalLinks/externalLink22.xml"/><Relationship Id="rId24" Type="http://schemas.openxmlformats.org/officeDocument/2006/relationships/externalLink" Target="externalLinks/externalLink21.xml"/><Relationship Id="rId23" Type="http://schemas.openxmlformats.org/officeDocument/2006/relationships/externalLink" Target="externalLinks/externalLink20.xml"/><Relationship Id="rId22" Type="http://schemas.openxmlformats.org/officeDocument/2006/relationships/externalLink" Target="externalLinks/externalLink19.xml"/><Relationship Id="rId21" Type="http://schemas.openxmlformats.org/officeDocument/2006/relationships/externalLink" Target="externalLinks/externalLink18.xml"/><Relationship Id="rId20" Type="http://schemas.openxmlformats.org/officeDocument/2006/relationships/externalLink" Target="externalLinks/externalLink17.xml"/><Relationship Id="rId2" Type="http://schemas.openxmlformats.org/officeDocument/2006/relationships/worksheet" Target="worksheets/sheet2.xml"/><Relationship Id="rId19" Type="http://schemas.openxmlformats.org/officeDocument/2006/relationships/externalLink" Target="externalLinks/externalLink16.xml"/><Relationship Id="rId18" Type="http://schemas.openxmlformats.org/officeDocument/2006/relationships/externalLink" Target="externalLinks/externalLink15.xml"/><Relationship Id="rId17" Type="http://schemas.openxmlformats.org/officeDocument/2006/relationships/externalLink" Target="externalLinks/externalLink14.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ach%20Ttoan\Tach%20TT5-KBNN\Km357\HUONG\HCM_BVTC\DT-cac%20co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cuments%20and%20Settings\NGUYEN%20VAN%20TAY\Desktop\Dung%20Quat\Nhom%20GC\New%20Folder\My%20Documents\3533\99Q\99Q3657\99Q3299(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oan\c\N&#168;m%202002\DIEUCHIN\CAPITAL\220nb-th\CAPITAL\220DTXL\PLQN9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May12\c\KA\phapvan\dt-tkkttc1-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Startup" Target="Luu_Tru\Ltb_ktkh\DZ220KV_Dau_Noi_sau_tram_500kV_Ha_Tinh\Gia_thau.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Le%20hoang%20ha\du%20toan\HUONG\QL21\dtTKKT-98-10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ay5\d\THUYF\BACGIANG\lxa-CX\dt-CX-G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HUONGLAM\Lam%20(E)\Lam\Du%20toan\Kon%20tum\BVTCsda\TKEMOI\TKE\Song%20D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ocuments%20and%20Settings\NGUYEN%20VAN%20TAY\Desktop\My%20Documents\hung\hnhung\HCM\phong%20nen\DT-THL7.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OAN\C\nam2003\KHUONG\My%20Documents\&#167;Z-Y&#213;n\l&#181;ocai-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uyen\c\MHOAN\500DQ-DN\fan2\CAPITAL\220DTXL\PLQN99.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Startup" Target="Ha\ThieuKhanh\CAPITAL\110TKKT\dongxua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ay%209\d\PH99\BACNAM\BVTCMOI\dutoan\500-507\PHUTRO5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209\d\PH99\BACNAM\TKKT\DTOAN\dtk48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Thanhvinh\dutoan\MINH\DU%20TOAN\G2\DT-th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NGUYEN%20VAN%20TAY\Desktop\Dung%20Quat\Goi3\PNT-P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V:\My%20Documents\Ialy\QToan%208%20TBA%20Dong%20D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Kehoach2\c\thao\Nghean\benthu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Documents%20and%20Settings\NGUYEN%20VAN%20TAY\Desktop\Dung%20Quat\Nhom%20GC\New%20Folder\My%20Documents\3533\96Q\96q2588\PANEL.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Bi\unzipped\DIEN18\Dongia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Kehoach2\c\thao\Namdinh\tranlam.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Huyen\c\Congviec\T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Huyen\c\N&#168;m%202002\DA-GL\Chem-NDo\Chem-NDo.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Bi\Phuong1\CS3408\Standard\RP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NGUYEN%20VAN%20TAY\Desktop\Dung%20Quat\Nhom%20GC\New%20Folder\My%20Documents\3533\99Q\99Q3657\99Q3299(REV.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Kehoach2\c\thao\Nghean\Thai%20Hoa%202.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My%20Documents\DucThuan\TT.SoNN\PleiToKol\Du%20toan%20trinh\B-CAOQ~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ay%201\c\My%20Documents\EXCEL\TTNOIBO\DIACHAT\Q3-01-duye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Huyen\c\KHUYEN\110\TKKTTC\TAN\Naduong-Tienyen\TKKT\AnhTuan\Tongke.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Nhan\c\TIEN\hoasenbosung.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NGUYEN%20VAN%20TAY\Desktop\DOCUMENT\DAUTHAU\Dungquat\GOI3\DUNGQUAT-6.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HOAN\C\nam2003\KHUONG\My%20Documents\HSTh&#199;u-Yen\Tr&#185;mBA\nh&#184;nh220X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OAN\C\CAPITAL\220nb-th\CAPITAL\220DTXL\PLQN99.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Tach%20Ttoan\Tach%20TT5-KBNN\Km357\phong%20nen\DT-THL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NG&#194;N%20S&#193;CH%202021\D&#7920;%20TO&#193;N%202021%20GIAO%20RA\B&#7842;NG%20D&#7920;%20TO&#193;N%20CHI%20TI&#7870;T%202021%20GIAO%20C&#193;C%20&#272;&#416;N%20V&#788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D&#7920;%20TO&#193;N%20CHI%202021%20TH&#7842;O%20LU&#7852;N%20NG&#192;Y%202.12.20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ongviec\Tam.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Startup" Target="Ha\ThieuKhanh\TU\500KV\PL500-3\CAPITAL\220nb-th\CAPITAL\220DTXL\PLQN99.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Startup" Target="Ha\ThieuKhanh\Lam\Ke hoach\TH 6 thang Lam dong\Thuc hien\500KV\DN-TBINH.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00000000"/>
      <sheetName val="So Do"/>
      <sheetName val="KTTSCD - DLNA"/>
      <sheetName val="Sheet1"/>
      <sheetName val="quÝ1"/>
      <sheetName val="10000000"/>
      <sheetName val="20000000"/>
      <sheetName val="30000000"/>
      <sheetName val="40000000"/>
      <sheetName val="50000000"/>
      <sheetName val="6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T4"/>
      <sheetName val="T5"/>
      <sheetName val="T6"/>
      <sheetName val="T.7"/>
      <sheetName val="T.8"/>
      <sheetName val="T8 (2)"/>
      <sheetName val="T.9"/>
      <sheetName val="T.10"/>
      <sheetName val="T.11"/>
      <sheetName val="T.12"/>
      <sheetName val="T10"/>
      <sheetName val="T11 "/>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tong hop"/>
      <sheetName val="phan tich DG"/>
      <sheetName val="gia vat lieu"/>
      <sheetName val="gia xe may"/>
      <sheetName val="gia nhan cong"/>
      <sheetName val="XL4Test5"/>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CamPha"/>
      <sheetName val="MongCai"/>
      <sheetName val="70000000"/>
      <sheetName val="TH  goi 4-x"/>
      <sheetName val="fOOD"/>
      <sheetName val="FORM hc"/>
      <sheetName val="FORM pc"/>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kl m m d"/>
      <sheetName val="kl vt tho"/>
      <sheetName val="kl dat"/>
      <sheetName val="Sheet4"/>
      <sheetName val="xin kinh phi"/>
      <sheetName val="lan trai"/>
      <sheetName val="thuoc no"/>
      <sheetName val="so thuc pham"/>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Oð mai 279"/>
      <sheetName val="mau kiem ke"/>
      <sheetName val="quyet toan HD 2000"/>
      <sheetName val="quyet toan hoa don 2001"/>
      <sheetName val="kiem ke hoa don 2001"/>
      <sheetName val="QUY III 02"/>
      <sheetName val="QUY IV 02"/>
      <sheetName val="QUYET TOAN 02"/>
      <sheetName val="Sheet15"/>
      <sheetName val="ȴ0000000"/>
      <sheetName val="BangTH"/>
      <sheetName val="Xaylap "/>
      <sheetName val="Nhan cong"/>
      <sheetName val="Thietbi"/>
      <sheetName val="Diengiai"/>
      <sheetName val="Vanchuyen"/>
      <sheetName val="XLÇ_x0015_oppy"/>
      <sheetName val="Thang06-2002"/>
      <sheetName val="Thang07-2002"/>
      <sheetName val="Thang08-2002"/>
      <sheetName val="Thang09-2002"/>
      <sheetName val="Thang10-2002 "/>
      <sheetName val="Thang11-2002"/>
      <sheetName val="Thang12-2002"/>
      <sheetName val="Sheet1 (3)"/>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Cong ban 1,5_x0013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ong (op"/>
      <sheetName val="Coc 4ieu"/>
      <sheetName val="SOLIEU"/>
      <sheetName val="TINHTOAN"/>
      <sheetName val="Shedt1"/>
      <sheetName val="_x0012_0000000"/>
      <sheetName val="XXXXX_XX"/>
      <sheetName val="CV di ngoai to~g"/>
      <sheetName val="nghi dinhmCP"/>
      <sheetName val="CVpden trong tong"/>
      <sheetName val="5 nam (tach) x2)"/>
      <sheetName val="BKLBD"/>
      <sheetName val="PTDG"/>
      <sheetName val="DTCT"/>
      <sheetName val="vlct"/>
      <sheetName val="Sheet11"/>
      <sheetName val="Sheet12"/>
      <sheetName val="Sheet13"/>
      <sheetName val="Sheet14"/>
      <sheetName val="T_x000b_331"/>
      <sheetName val="p0000000"/>
      <sheetName val=""/>
      <sheetName val="cocB40 5B"/>
      <sheetName val="cocD50 9A"/>
      <sheetName val="cocD75 16"/>
      <sheetName val="coc B80 TD25"/>
      <sheetName val="P27 B80"/>
      <sheetName val="Coc23 B80"/>
      <sheetName val="cong B80 C4"/>
      <sheetName val="Kѭ284"/>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Km&quot;80"/>
      <sheetName val="Lap ®at ®hÖn"/>
      <sheetName val="0304"/>
      <sheetName val="0904"/>
      <sheetName val="1204"/>
      <sheetName val="80000000"/>
      <sheetName val="90000000"/>
      <sheetName val="a0000000"/>
      <sheetName val="b0000000"/>
      <sheetName val="c0000000"/>
      <sheetName val="ADKT"/>
      <sheetName val="Áo"/>
      <sheetName val="xdcb 01-2003"/>
      <sheetName val="TL33-13.14"/>
      <sheetName val="tlđm190337,8"/>
      <sheetName val="GC190337,8"/>
      <sheetName val="033,7,8"/>
      <sheetName val="TL033 ,2,4"/>
      <sheetName val="TL 0331,2"/>
      <sheetName val="033-1,4"/>
      <sheetName val="TL033,19,5"/>
      <sheetName val="Km283 - Jm284"/>
      <sheetName val="Don gia"/>
      <sheetName val="Nhap du lieu"/>
      <sheetName val="Macro1"/>
      <sheetName val="Macro2"/>
      <sheetName val="Macro3"/>
      <sheetName val="TNghiªm T_x0002_ "/>
      <sheetName val="tt-_x0014_BA"/>
      <sheetName val="TD_x0014_"/>
      <sheetName val="_x0014_.12"/>
      <sheetName val="QD c5a HDQT (2)"/>
      <sheetName val="_x0003_hart1"/>
      <sheetName val="TAU"/>
      <sheetName val="KHACH"/>
      <sheetName val="BC1"/>
      <sheetName val="BC2"/>
      <sheetName val="BAO CAO AN"/>
      <sheetName val="BANGKEKHACH"/>
      <sheetName val="Du tnan chi tiet coc nuoc"/>
      <sheetName val="Baocao"/>
      <sheetName val="UT"/>
      <sheetName val="TongHopHD"/>
      <sheetName val="K43"/>
      <sheetName val="THKL"/>
      <sheetName val="PL43"/>
      <sheetName val="K43+0.00 - 338 Trai"/>
      <sheetName val="thaß26"/>
      <sheetName val="Sÿÿÿÿ"/>
      <sheetName val="quÿÿ"/>
      <sheetName val="Khac DP"/>
      <sheetName val="Khoi than "/>
      <sheetName val="B3_208_than"/>
      <sheetName val="B3_208_TU"/>
      <sheetName val="B3_208_TW"/>
      <sheetName val="B3_208_DP"/>
      <sheetName val="B3_208_khac"/>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_PNT-P3.xlsUTong hop (2)"/>
      <sheetName val="Km276 - Ke277"/>
      <sheetName val="_PNT-P3.xlsUKm279 - Km280"/>
      <sheetName val="ct luong "/>
      <sheetName val="Nhap 6T"/>
      <sheetName val="baocaochinh(qui1.05) (DC)"/>
      <sheetName val="Ctuluongq.1.05"/>
      <sheetName val="BANG PHAN BO qui1.05(DC)"/>
      <sheetName val="BANG PHAN BO quiII.05"/>
      <sheetName val="bao cac cinh Qui II-2005"/>
      <sheetName val="gìIÏÝ_x001c_Ã_x0008_ç¾{è"/>
      <sheetName val="ESTI."/>
      <sheetName val="DI-ESTI"/>
      <sheetName val="Song ban 0,7x0,7"/>
      <sheetName val="Cong ban 0,8x ,8"/>
      <sheetName val="TNghiÖ- VL"/>
      <sheetName val="Package1"/>
      <sheetName val="BCDSPS"/>
      <sheetName val="BCDKT"/>
      <sheetName val="XNxlva sxthanKCIÉ"/>
      <sheetName val="_x000b_luong phu"/>
      <sheetName val="GS02-thu0TM"/>
      <sheetName val="ၔong hop QL48 - 2"/>
      <sheetName val="gVL"/>
      <sheetName val="Thang8-02"/>
      <sheetName val="Thang9-02"/>
      <sheetName val="Thang10-02"/>
      <sheetName val="Thang11-02"/>
      <sheetName val="Thang12-02"/>
      <sheetName val="Thang01-03"/>
      <sheetName val="Thang02-03"/>
      <sheetName val="7000 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Dong$bac"/>
      <sheetName val="30100000"/>
      <sheetName val="TDT-TBࡁ"/>
      <sheetName val="Op mai 2_x000c_"/>
      <sheetName val="k, vt tho"/>
      <sheetName val="Km_x0012_77 "/>
      <sheetName val="K-280 - Km281"/>
      <sheetName val="Km280 ࠭ Km281"/>
      <sheetName val="CV den trong to_g"/>
      <sheetName val="_0000000"/>
      <sheetName val="Diem mon hoc"/>
      <sheetName val="Tong hop diem"/>
      <sheetName val="HoTen-khong duoc xoa"/>
      <sheetName val="FORM jc"/>
      <sheetName val="Ton 31.1"/>
      <sheetName val="NhapT.2"/>
      <sheetName val="Xuat T.2"/>
      <sheetName val="Ton 28.2"/>
      <sheetName val="H.Tra"/>
      <sheetName val="Hang CTY TRA LAI"/>
      <sheetName val="Hang NV Tra Lai"/>
      <sheetName val="Thang 07"/>
      <sheetName val="T10-05"/>
      <sheetName val="T9-05"/>
      <sheetName val="t805"/>
      <sheetName val="11T"/>
      <sheetName val="9T"/>
      <sheetName val="Km266"/>
      <sheetName val="Shaet13"/>
      <sheetName val="mua vao"/>
      <sheetName val="chi phi "/>
      <sheetName val="ban ra 10%"/>
      <sheetName val="__-BLDG"/>
      <sheetName val="Cong ban 1,5„—_x0013_"/>
      <sheetName val="bc"/>
      <sheetName val="K.O"/>
      <sheetName val="xang _clc"/>
      <sheetName val="X¡NG_td"/>
      <sheetName val="MaZUT"/>
      <sheetName val="DIESEL"/>
      <sheetName val="120"/>
      <sheetName val="IFAD"/>
      <sheetName val="CVHN"/>
      <sheetName val="TCVM"/>
      <sheetName val="RIDP"/>
      <sheetName val="LDNN"/>
      <sheetName val="Dimu"/>
      <sheetName val="Klct"/>
      <sheetName val="Covi"/>
      <sheetName val="Nlvt"/>
      <sheetName val="Innl"/>
      <sheetName val="Invt"/>
      <sheetName val="Chon"/>
      <sheetName val="Qtnv"/>
      <sheetName val="Bqtn"/>
      <sheetName val="Bqtv"/>
      <sheetName val="Giao"/>
      <sheetName val="Dcap"/>
      <sheetName val="Nlie"/>
      <sheetName val="Mnli"/>
      <sheetName val="Mp mai 275"/>
      <sheetName val="CVden nw8ai TCT (1)"/>
      <sheetName val="ADKTKT02"/>
      <sheetName val="K_284"/>
      <sheetName val="Mix-Tarpaulin"/>
      <sheetName val="Tarpaulin"/>
      <sheetName val="Price"/>
      <sheetName val="Monthly"/>
      <sheetName val="For Summary"/>
      <sheetName val="For Summary(KG)"/>
      <sheetName val="PP Cloth"/>
      <sheetName val="Mix-PP Cloth"/>
      <sheetName val="Material Price-PP"/>
      <sheetName val="CDPS3"/>
      <sheetName val="Xa9lap "/>
      <sheetName val="_x000c_"/>
      <sheetName val="gia x"/>
      <sheetName val="Giao nhiem fu"/>
      <sheetName val="QDcea TGD (2)"/>
      <sheetName val="Giao nhie- vu"/>
      <sheetName val="Cong ban 0,7p0,7"/>
      <sheetName val="Km275 - Ke276"/>
      <sheetName val="Km280 - Km2(1"/>
      <sheetName val="Km282 - Kl283"/>
      <sheetName val="Tong hop Op m!i"/>
      <sheetName val="tuong"/>
      <sheetName val="Cong baj 2x1,5"/>
      <sheetName val="FUONDER TAN UYEN T12"/>
      <sheetName val=" CHIEU XA  T01"/>
      <sheetName val="ANH KHANH DONG NAI T12 (2)"/>
      <sheetName val="XANG DAU K5"/>
      <sheetName val="ANH HAI T01"/>
      <sheetName val="NAVITRAN T1"/>
      <sheetName val="VAN PHU T01"/>
      <sheetName val="DUONG BDT 11  823282ms Hao"/>
      <sheetName val="CKTANDINHT1 782346 Huong (2)"/>
      <sheetName val="UNZAT01743972- Phuong(vp) (2)"/>
      <sheetName val="LONGVANT12 759469 Ms Van (2)"/>
      <sheetName val="Cong ban 1,5_x0013__"/>
      <sheetName val="DŃ02"/>
      <sheetName val="gìIÏÝ_x001c_齘_x0013_龜_x0013_ꗃ〒"/>
      <sheetName val="I"/>
      <sheetName val="PNT-P3"/>
      <sheetName val="DG "/>
      <sheetName val="_x0003_h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ong"/>
      <sheetName val="vua"/>
      <sheetName val="gVL"/>
      <sheetName val="dtoan"/>
      <sheetName val="goithau-so4"/>
      <sheetName val="tk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_.g"/>
      <sheetName val="CHTT"/>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NLANCONGduong"/>
      <sheetName val="ဳ0000000"/>
      <sheetName val="VaoMavaKL"/>
      <sheetName val="VaoSL"/>
      <sheetName val="KQPTVL"/>
      <sheetName val="KQPTVLNgang"/>
      <sheetName val="DMCTDoiDonVi"/>
      <sheetName val="CMa"/>
      <sheetName val="NC"/>
      <sheetName val="MTC"/>
      <sheetName val="Tra_bang"/>
      <sheetName val="XL_x0014_Poppy"/>
      <sheetName val="DTCT"/>
      <sheetName val="XL4Poppy (2䀁"/>
      <sheetName val="_0000000"/>
      <sheetName val="XL4Poppy (2_"/>
      <sheetName val="NHALCONGdu_x000f_ng"/>
      <sheetName val="Nha_x000e_ cong`#_.g"/>
      <sheetName val="FHANCONGduong"/>
      <sheetName val="N`an cong cong"/>
      <sheetName val="DGduong"/>
      <sheetName val="PhatsiûÎ"/>
      <sheetName val="TT35"/>
      <sheetName val="TT"/>
      <sheetName val="THM"/>
      <sheetName val="THAT"/>
      <sheetName val="THTN"/>
      <sheetName val="THGC"/>
      <sheetName val="GCTL"/>
      <sheetName val="Tai khoan"/>
      <sheetName val="CTGS"/>
      <sheetName val="DONGIA"/>
      <sheetName val="CHITIET"/>
      <sheetName val="GIAVL"/>
      <sheetName val="lam-moi"/>
      <sheetName val="thao-go"/>
      <sheetName val="TH XL"/>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Bang_tra"/>
      <sheetName val="²"/>
      <sheetName val="gvl"/>
      <sheetName val="Shegt6"/>
      <sheetName val="Shget7"/>
      <sheetName val="Sjeet8"/>
      <sheetName val="Sheeu15"/>
      <sheetName val="XXXYXXXX"/>
      <sheetName val="Sh_x0003_"/>
      <sheetName val="THPD ±µ_x0008_&quot;"/>
      <sheetName val="NHALCOJGduong"/>
      <sheetName val="TPAN-TRUONGXUAN"/>
      <sheetName val="S(eet12"/>
      <sheetName val="Dieuchinh"/>
      <sheetName val="tra_vat_lieu"/>
      <sheetName val="Cp&gt;10-Ln&lt;10"/>
      <sheetName val="Ln&lt;20"/>
      <sheetName val="EIRR&gt;1&lt;1"/>
      <sheetName val="EIRR&gt; 2"/>
      <sheetName val="EIRR&lt;2"/>
      <sheetName val="Chiet tinh dz35"/>
      <sheetName val="vlieu"/>
      <sheetName val="HE SO"/>
      <sheetName val="MTO REV.2(ARMOR)"/>
      <sheetName val="Nhan ckng cong"/>
      <sheetName val="10_x0010_00000"/>
      <sheetName val="XL4Pop0y (2)"/>
      <sheetName val="Nhan cong`_x0003__.g"/>
      <sheetName val="NHALÃONGduong"/>
      <sheetName val="Óheet1"/>
      <sheetName val="CÈTT"/>
      <sheetName val="TRAN-TÒUONGXUAN"/>
      <sheetName val="XXHXXXXX"/>
      <sheetName val="V!oSL"/>
      <sheetName val="ÄMCTDoiDonVi"/>
      <sheetName val="NHANCONGduo.g"/>
      <sheetName val="TSCD"/>
      <sheetName val="Coc 32 m(Cho mo)"/>
      <sheetName val="²__t4"/>
      <sheetName val="Nhan_cong_cong"/>
      <sheetName val="XL4Poppy_(2)"/>
      <sheetName val="Nhan_cong`#__g"/>
      <sheetName val="PHU_XUAN"/>
      <sheetName val="PHU_XUAN_(2)"/>
      <sheetName val="TRAN-TRUONGXUAN_(2)"/>
      <sheetName val="HOA_AN_(2)"/>
      <sheetName val="XL4Poppy_(2䀁"/>
      <sheetName val="XLPoppy"/>
      <sheetName val="N`an_cong_cong"/>
      <sheetName val="NHALCONGdung"/>
      <sheetName val="Nha_cong`#__g"/>
      <sheetName val="Sh_x0003__t3"/>
      <sheetName val="XL4Test5S"/>
      <sheetName val="MTL$-INTER"/>
      <sheetName val="²__€t4"/>
      <sheetName val="SUMMARY"/>
      <sheetName val="2000_x0010_000"/>
      <sheetName val="Overview"/>
      <sheetName val="CLa"/>
      <sheetName val="HL4Poppy"/>
      <sheetName val="Chi phi khac 4.3KH-CP"/>
      <sheetName val="Nhatkychung"/>
      <sheetName val="Nhatkychung - cu"/>
      <sheetName val="KQPTRLNgang"/>
      <sheetName val="DTCP"/>
      <sheetName val="Tra KS"/>
      <sheetName val="nhan cong"/>
      <sheetName val="Truot_nen"/>
      <sheetName val="Luong+may"/>
      <sheetName val="uniBase"/>
      <sheetName val="vniBase"/>
      <sheetName val="abcBase"/>
      <sheetName val="TRAN-TRUONG塅䕃⹌塅E(2)"/>
      <sheetName val="TRAN-TRUONG____E(2)"/>
      <sheetName val="XL4Poppy_(2_"/>
      <sheetName val="NEW-PANEL"/>
      <sheetName val="tra-vat-lieu"/>
      <sheetName val="DAMNEN KHONG HC"/>
      <sheetName val="DAM NEN HC"/>
      <sheetName val="T_NG HOP VL-NC TT"/>
      <sheetName val="NHALCO_x000e_Gduong"/>
      <sheetName val="DT32"/>
      <sheetName val="M_x0014_C"/>
      <sheetName val="chitimc"/>
      <sheetName val="Chiet_tinh_dz35"/>
      <sheetName val="THPD ±µ_x0008_&quot;___"/>
      <sheetName val="XL4Po`py (2_"/>
      <sheetName val="chiet tinh"/>
      <sheetName val="N`an cgng cong"/>
      <sheetName val="XL4Po`py (2䀁"/>
      <sheetName val="Sheet!3"/>
      <sheetName val="chu chuong"/>
      <sheetName val="Chart1"/>
      <sheetName val="CPTNo"/>
      <sheetName val=""/>
      <sheetName val="Quan Ly Ban Ve TKTC"/>
      <sheetName val="CODE"/>
      <sheetName val="Phatsi��"/>
      <sheetName val="�"/>
      <sheetName val="�__�t4"/>
      <sheetName val="KKKKKKKK"/>
      <sheetName val="BXLDL"/>
      <sheetName val="FA-LISTING"/>
      <sheetName val="tuong"/>
      <sheetName val="QMCT"/>
      <sheetName val="XXX೼"/>
      <sheetName val="@SO"/>
      <sheetName val="XN'4"/>
      <sheetName val="Input"/>
      <sheetName val="cvc"/>
      <sheetName val="Phatsi__"/>
      <sheetName val="________"/>
      <sheetName val="________ (2)"/>
      <sheetName val="________ (2_"/>
      <sheetName val="__x0010______"/>
      <sheetName val="XXX೼_XXX"/>
      <sheetName val="JD"/>
      <sheetName val="_x0004_"/>
      <sheetName val="____t4"/>
      <sheetName val="_"/>
      <sheetName val="2      0"/>
      <sheetName val="TTDN"/>
      <sheetName val="CHT_x0014_"/>
      <sheetName val="luong06"/>
      <sheetName val="KKKKKKKK (2)"/>
      <sheetName val="KKKKKKKK (2_"/>
      <sheetName val="XL_x005f_x0014_Poppy"/>
      <sheetName val="NHALCONGdu_x005f_x000f_ng"/>
      <sheetName val="Nha_x005f_x000e_ cong`#_.g"/>
      <sheetName val="Parem"/>
      <sheetName val="S`eet13"/>
      <sheetName val="Pricing Notes"/>
      <sheetName val="MTO REV.0"/>
      <sheetName val="O-B"/>
      <sheetName val="S-B"/>
      <sheetName val="V-B"/>
      <sheetName val="²_x005f_x0000__x005f_x0000_t4"/>
      <sheetName val="bang tien luong"/>
      <sheetName val="________BLDG"/>
      <sheetName val="10_x005f_x0010_00000"/>
      <sheetName val="Nhan cong`_x005f_x0003__.g"/>
      <sheetName val="Sh_x005f_x0003__x005f_x0000_t3"/>
      <sheetName val="Sh_x005f_x0003__t3"/>
      <sheetName val="Sh_x005f_x0003_"/>
      <sheetName val="2000_x005f_x0010_000"/>
      <sheetName val="²_x005f_x0000__x005f_x0000_€t4"/>
      <sheetName val="M_x005f_x0014_C"/>
      <sheetName val="�_x005f_x0000__x005f_x0000_�t4"/>
      <sheetName val="PCDH-KMV"/>
      <sheetName val="T.Tinh"/>
      <sheetName val="X2.xls_x0002_"/>
      <sheetName val="Cp_10_Ln_10"/>
      <sheetName val="Ln_20"/>
      <sheetName val="EIRR_1_1"/>
      <sheetName val="EIRR_ 2"/>
      <sheetName val="EIRR_2"/>
      <sheetName val="_________(2)"/>
      <sheetName val="_x0004__"/>
      <sheetName val="_DT32.xls__DT32.xls_Nhan cong`#"/>
      <sheetName val="_DT32.xls__DT32.xls_Nha_x000e_ cong`#"/>
      <sheetName val="_DT32.xls__DT32.xls_Nhan cong`_x0003_"/>
      <sheetName val="_DT32.xls__DT32.xls_Nhan_cong`#"/>
      <sheetName val="_DT32.xls__DT32.xls__DT32.xls_N"/>
      <sheetName val="_DT32.xls__DT32.xls_Nha_cong`#_"/>
      <sheetName val="_DT32.xls_Nhan cong`#_.g"/>
      <sheetName val="_DT32.xls_Nha_x000e_ cong`#_.g"/>
      <sheetName val="_DT32.xls_Nhan cong`_x0003__.g"/>
      <sheetName val="_DT32.xls_Nhan_cong`#__g"/>
      <sheetName val="_DT32.xls_Nha_cong`#__g"/>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GTTBA"/>
      <sheetName val="Shemt10"/>
      <sheetName val="Tri_bang"/>
      <sheetName val="CT_x0002_"/>
      <sheetName val="TD"/>
      <sheetName val="dtxl"/>
      <sheetName val="XL_x005f_x005f_x005f_x005f_x005f_x005f_x005f_x005f_x005"/>
      <sheetName val="Sh_x005f_x005f_x005f_x005f_x005f_x005f_x005f_x005f_x005"/>
      <sheetName val="Nha_x005f_x005f_x005f_x005f_x005f_x005f_x005f_x005f_x00"/>
      <sheetName val="IBASE"/>
      <sheetName val="_DT32.xls__DT32.xls_Nha_x005f_x000e_ "/>
      <sheetName val="_DT32.xls__DT32.xls_Nhan cong`_"/>
      <sheetName val="25D(1-10)"/>
      <sheetName val="Lç khoan LK1"/>
      <sheetName val="LME"/>
      <sheetName val="Aux"/>
      <sheetName val="Detailed"/>
      <sheetName val="BO 09"/>
      <sheetName val="_DT32.xls_Nha_x005f_x005f_x005f_x000e_ cong"/>
      <sheetName val="_DT32.xls_Nha_x005f_x000e_ cong`#_.g"/>
      <sheetName val="_DT32.xls_Nhan cong`_x005f_x0003__.g"/>
      <sheetName val="KKKKKKKK_(2)"/>
      <sheetName val="Gen."/>
      <sheetName val="ctbetong"/>
      <sheetName val="²_x005f_x005f_x005f_x005f_x005f_x005f_x005f_x005f_x005f"/>
      <sheetName val="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hitimc"/>
      <sheetName val="dtxl"/>
      <sheetName val="thopxlc"/>
      <sheetName val="thxlk"/>
      <sheetName val="vldien"/>
      <sheetName val="vlcaqu"/>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gVL"/>
      <sheetName val="nen"/>
      <sheetName val="mat"/>
      <sheetName val="atgt"/>
      <sheetName val="cong"/>
      <sheetName val="vua"/>
      <sheetName val="dtoan"/>
      <sheetName val="dtct"/>
      <sheetName val="t-dtoan"/>
      <sheetName val="cpkhac"/>
      <sheetName val="gpmb"/>
      <sheetName val="Sheet1"/>
      <sheetName val="XL4Poppy"/>
      <sheetName val="Vatu"/>
      <sheetName val="khluongconlai"/>
      <sheetName val="Bao cao"/>
      <sheetName val="00000000"/>
      <sheetName val="TG TSCD - OK"/>
      <sheetName val="TM"/>
      <sheetName val="KQKD-OK"/>
      <sheetName val="LC tien te"/>
      <sheetName val="GTGT"/>
      <sheetName val="DT-CP"/>
      <sheetName val="QT TNDN"/>
      <sheetName val="Trang bia"/>
      <sheetName val="Sheet3"/>
      <sheetName val="Sheet2"/>
      <sheetName val="CD tai khoan"/>
      <sheetName val="CDKT - OK"/>
      <sheetName val="Chi tieu ngoai bang - OK"/>
      <sheetName val="THTHNVnn-OK"/>
      <sheetName val="GTGT duoc KT, hoan lai, mien0k "/>
      <sheetName val="Bang ke chi phi"/>
      <sheetName val="Phai thu - OK"/>
      <sheetName val="Phai tra - OK"/>
      <sheetName val="Tam ung"/>
      <sheetName val="XNT - OK"/>
      <sheetName val="Thu noi bo"/>
      <sheetName val="Phai tra noi bo"/>
      <sheetName val="Tinh hinh thu nhap CBCNV - OK"/>
      <sheetName val="10000000"/>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XXXXXXXX"/>
      <sheetName val="XXXXXXX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tkhai"/>
      <sheetName val="muavao"/>
      <sheetName val="banra"/>
      <sheetName val="BCSDHDNam"/>
      <sheetName val="SDHDThang"/>
      <sheetName val="Bang khoi luong"/>
      <sheetName val="Bang phan tich"/>
      <sheetName val="TH vat tu"/>
      <sheetName val="TH kinh phi"/>
      <sheetName val="TH May TC"/>
      <sheetName val="TH nhan cong"/>
      <sheetName val="Thong ke thiet bi"/>
      <sheetName val="Dinh muc CP KTCB khac"/>
      <sheetName val="DTCT-tuyen chinh"/>
      <sheetName val="K²__OK"/>
      <sheetName val="THmp03"/>
      <sheetName val="dtkt"/>
      <sheetName val="m doc"/>
      <sheetName val="ngn"/>
      <sheetName val="tl_khovt"/>
      <sheetName val="Chi tieu ngoak bang - OK"/>
      <sheetName val="CtietQK"/>
      <sheetName val="Thong ke thigt bi"/>
      <sheetName val="QUY TIEN MAT"/>
      <sheetName val="Tongcongchixdnha"/>
      <sheetName val="QUY XAY DUNG NHA HANG"/>
      <sheetName val="Dinh muc CP KTCB kêac"/>
      <sheetName val="Luong T1- 03"/>
      <sheetName val="Luong T2- 03"/>
      <sheetName val="Luong T3- 03"/>
      <sheetName val="truc tiep"/>
      <sheetName val="Bke(10"/>
      <sheetName val="00000080"/>
      <sheetName val="giathanh1"/>
      <sheetName val="dt-tkkttc1-1"/>
      <sheetName val="410-goc"/>
      <sheetName val="420-goc"/>
      <sheetName val="430-goc"/>
      <sheetName val="44-goc"/>
      <sheetName val="45-goc"/>
      <sheetName val="410"/>
      <sheetName val="420"/>
      <sheetName val="430"/>
      <sheetName val="440"/>
      <sheetName val="450"/>
      <sheetName val="~         "/>
      <sheetName val="RECAP"/>
      <sheetName val="Cho giao"/>
      <sheetName val="Ban"/>
      <sheetName val="Cadencier 410"/>
      <sheetName val="Cadencier 420"/>
      <sheetName val="Stock"/>
      <sheetName val="Car"/>
      <sheetName val="soban"/>
      <sheetName val="220"/>
      <sheetName val="230"/>
      <sheetName val="250"/>
      <sheetName val="240"/>
      <sheetName val="choban"/>
      <sheetName val="NC"/>
      <sheetName val="tra-vat-lieu"/>
      <sheetName val="Vat tu"/>
      <sheetName val="MTO REV.0"/>
      <sheetName val="CC.huyen"/>
      <sheetName val="coctuatrenda"/>
      <sheetName val="K²"/>
      <sheetName val="PNT_QUOT__3"/>
      <sheetName val="COAT_WRAP_QIOT__3"/>
      <sheetName val="K²__€OK"/>
      <sheetName val="Sheet26"/>
      <sheetName val="TOONG HOP"/>
      <sheetName val="ten ncc"/>
      <sheetName val="cho g iao"/>
      <sheetName val="0204"/>
      <sheetName val="ton "/>
      <sheetName val="0000000000"/>
      <sheetName val="CISCO"/>
      <sheetName val="THop 3"/>
      <sheetName val="Bao_cao"/>
      <sheetName val="TG_TSCD_-_OK"/>
      <sheetName val="LC_tien_te"/>
      <sheetName val="QT_TNDN"/>
      <sheetName val="Trang_bia"/>
      <sheetName val="CD_tai_khoan"/>
      <sheetName val="CDKT_-_OK"/>
      <sheetName val="Chi_tieu_ngoai_bang_-_OK"/>
      <sheetName val="GTGT_duoc_KT,_hoan_lai,_mien0k_"/>
      <sheetName val="Bang_ke_chi_phi"/>
      <sheetName val="Phai_thu_-_OK"/>
      <sheetName val="Phai_tra_-_OK"/>
      <sheetName val="Tam_ung"/>
      <sheetName val="XNT_-_OK"/>
      <sheetName val="Thu_noi_bo"/>
      <sheetName val="Phai_tra_noi_bo"/>
      <sheetName val="Tinh_hinh_thu_nhap_CBCNV_-_OK"/>
      <sheetName val="C_tietTH6T"/>
      <sheetName val="C_tiet_05"/>
      <sheetName val="Den_31,7"/>
      <sheetName val="Bke_10"/>
      <sheetName val="UOc_T10"/>
      <sheetName val="Bke_11"/>
      <sheetName val="Uoc_2005"/>
      <sheetName val="Bke_12"/>
      <sheetName val="Bang_khoi_luong"/>
      <sheetName val="Bang_phan_tich"/>
      <sheetName val="TH_vat_tu"/>
      <sheetName val="TH_kinh_phi"/>
      <sheetName val="TH_May_TC"/>
      <sheetName val="TH_nhan_cong"/>
      <sheetName val="Thong_ke_thiet_bi"/>
      <sheetName val="Dinh_muc_CP_KTCB_khac"/>
      <sheetName val="Can"/>
      <sheetName val="LEGEND"/>
      <sheetName val="C4iet11"/>
      <sheetName val="Phai tra - OC"/>
      <sheetName val="Intl with Acq"/>
      <sheetName val="IMT"/>
      <sheetName val="DAILY"/>
      <sheetName val="CY FCST"/>
      <sheetName val="CY PLAN"/>
      <sheetName val="INT'L DAILY"/>
      <sheetName val="CLIENT"/>
      <sheetName val="INTL 03"/>
      <sheetName val="2002 ACT"/>
      <sheetName val="2003 ACT"/>
      <sheetName val="M&amp;A"/>
      <sheetName val="Mexico"/>
      <sheetName val="Intl Nomex"/>
      <sheetName val="Intl Nomex Noweb"/>
      <sheetName val="OV (2)"/>
      <sheetName val="Wu.com"/>
      <sheetName val="Wu.com Mex"/>
      <sheetName val="INTL 02"/>
      <sheetName val="DGchitiet "/>
      <sheetName val="Bag cao"/>
      <sheetName val="Sÿÿÿÿÿÿ"/>
      <sheetName val="Payment"/>
      <sheetName val="Agg-Require-Asphalt"/>
      <sheetName val="________"/>
      <sheetName val="t-dt_an"/>
      <sheetName val="X_x000c_4Poppy"/>
      <sheetName val=""/>
      <sheetName val="m_doc"/>
      <sheetName val="DTCT-tuyen_chinh"/>
      <sheetName val="QUY_TIEN_MAT"/>
      <sheetName val="QUY_XAY_DUNG_NHA_HANG"/>
      <sheetName val="truc_tiep"/>
      <sheetName val="Chi_tieu_ngoak_bang_-_OK"/>
      <sheetName val="Thong_ke_thigt_bi"/>
      <sheetName val="~_________"/>
      <sheetName val="Luong_T1-_03"/>
      <sheetName val="Luong_T2-_03"/>
      <sheetName val="Luong_T3-_03"/>
      <sheetName val="Cho_giao"/>
      <sheetName val="Cadencier_410"/>
      <sheetName val="Cadencier_420"/>
      <sheetName val="Dinh_muc_CP_KTCB_kêac"/>
      <sheetName val="Vat_tu"/>
      <sheetName val="CdietQII"/>
      <sheetName val="List of 2 digit codes"/>
      <sheetName val="B`ng phan tich"/>
      <sheetName val="TH khnh phi"/>
      <sheetName val="Dinh mub CP KTCB khac"/>
      <sheetName val="px2,tb,tl"/>
      <sheetName val="Sheet00"/>
      <sheetName val="QU_ TIEN MAT"/>
      <sheetName val="THop12___________Ɽ̖__x0004________xd928_̕__"/>
      <sheetName val="ND"/>
      <sheetName val="K²_OK"/>
      <sheetName val="CANDOI"/>
      <sheetName val="Nhap VT oto"/>
      <sheetName val="KKKKKKKK"/>
      <sheetName val="K²_x005f_x0000__x005f_x0000_OK"/>
      <sheetName val="K²_x005f_x0000__x005f_x0000_€OK"/>
      <sheetName val="ThongSo"/>
      <sheetName val="ESTI."/>
      <sheetName val="DI-ESTI"/>
      <sheetName val="IBASE"/>
      <sheetName val="K²_x005f_x005f_x005f_x0000__x005f_x005f_x005f_x0000_OK"/>
      <sheetName val="K²_x005f_x005f_x005f_x0000__x005f_x005f_x005f_x0000_€OK"/>
      <sheetName val="K²_x005f_x005f_x005f_x005f_x005f_x005f_x005f_x0000__x00"/>
      <sheetName val="CD tah khoan"/>
      <sheetName val="C "/>
      <sheetName val="nc-m"/>
      <sheetName val="_Ctiet12"/>
      <sheetName val="_dt-tkkttc1-1.xl"/>
      <sheetName val="DG"/>
      <sheetName val="tl_khovt_________ _䀠Ԗ__x0004_______ᓰԗ"/>
      <sheetName val="Giavl"/>
      <sheetName val="_dt-tkkttc1-1.xls__dt-tkkttc1-1"/>
      <sheetName val="TONGKE3p "/>
      <sheetName val="TDTKP"/>
      <sheetName val="_dt-tkkttc1-1.xls_tl_khovt"/>
      <sheetName val="_dt-tkkttc1-1.xls_t-dt_an"/>
      <sheetName val="K²_€OK"/>
      <sheetName val="Thuc tha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TSCD DUNG CHUNG "/>
      <sheetName val="KHKHAUHAOTSCHUNG"/>
      <sheetName val="TSCDTOAN NHA MAY"/>
      <sheetName val="CPSXTOAN BO SP"/>
      <sheetName val="PBCPCHUNG CHO CAC DTUONG"/>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Congty"/>
      <sheetName val="VPPN"/>
      <sheetName val="XN74"/>
      <sheetName val="XN54"/>
      <sheetName val="XN33"/>
      <sheetName val="NK96"/>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YEU TO CONG"/>
      <sheetName val="TD 3DIEM"/>
      <sheetName val="TD 2DIEM"/>
      <sheetName val="Sheet1"/>
      <sheetName val="Sheet2"/>
      <sheetName val="Sheet3"/>
      <sheetName val="dn"/>
      <sheetName val="DU TOAN"/>
      <sheetName val="CHI TIET"/>
      <sheetName val="KLnt"/>
      <sheetName val="PHAN TICH"/>
      <sheetName val=""/>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ptvl0-1"/>
      <sheetName val="0-1"/>
      <sheetName val="ptvl4-5"/>
      <sheetName val="4-5"/>
      <sheetName val="ptvl3-4"/>
      <sheetName val="3-4"/>
      <sheetName val="ptvl2-3"/>
      <sheetName val="2-3"/>
      <sheetName val="vlcong"/>
      <sheetName val="ptvl1-2"/>
      <sheetName val="1-2"/>
      <sheetName val="dt-iphi"/>
      <sheetName val="ìtoan"/>
      <sheetName val="Sheet3 (2)"/>
      <sheetName val="Kluong"/>
      <sheetName val="Giatri"/>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rph (2)"/>
      <sheetName val="dap"/>
      <sheetName val="gpmb"/>
      <sheetName val="dt-kphi-iso-tong"/>
      <sheetName val="dt-kphi-iso-ctiet"/>
      <sheetName val="Sheet_x0001_1"/>
      <sheetName val="FPPN"/>
      <sheetName val="CHI"/>
      <sheetName val="ESTI."/>
      <sheetName val="DI-ESTI"/>
      <sheetName val="gia"/>
      <sheetName val="sut&lt;100"/>
      <sheetName val="sut duong"/>
      <sheetName val="sut am"/>
      <sheetName val="bu lun"/>
      <sheetName val="xoi lo chan ke"/>
      <sheetName val="GTXL"/>
      <sheetName val="TDT"/>
      <sheetName val="Don gia chi tiet"/>
      <sheetName val="Du thau"/>
      <sheetName val="Tro giup"/>
      <sheetName val="CRC"/>
      <sheetName val="GIATRI-DAILY"/>
      <sheetName val="NVBH KHAC"/>
      <sheetName val="NVBH HOAN"/>
      <sheetName val="TONKHODAILY"/>
      <sheetName val="gvt"/>
      <sheetName val="ATGT"/>
      <sheetName val="DG-TH"/>
      <sheetName val="Tuong-chan"/>
      <sheetName val="Dau-cong"/>
      <sheetName val="dtoan (4)"/>
      <sheetName val="tmdtu"/>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DGCT_x0006_"/>
      <sheetName val="tra-vat-lie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P3-PanAn-Factored"/>
      <sheetName val="dam"/>
      <sheetName val="Mocantho"/>
      <sheetName val="MoQL91"/>
      <sheetName val="tru"/>
      <sheetName val="dg"/>
      <sheetName val="10mduongsaumo"/>
      <sheetName val="ctt"/>
      <sheetName val="thanmkhao"/>
      <sheetName val="monho"/>
      <sheetName val="HK1"/>
      <sheetName val="HK2"/>
      <sheetName val="CANAM"/>
      <sheetName val="NhapSl"/>
      <sheetName val="Nluc"/>
      <sheetName val="Tohop"/>
      <sheetName val="KT_Tthan"/>
      <sheetName val="Tra_TTTD"/>
      <sheetName val="bao cao ngay 13-02"/>
      <sheetName val="CBG"/>
      <sheetName val="PTCT"/>
      <sheetName val="T1"/>
      <sheetName val="T2"/>
      <sheetName val="T3"/>
      <sheetName val="T4"/>
      <sheetName val="T5"/>
      <sheetName val="T6"/>
      <sheetName val="T7"/>
      <sheetName val="T8"/>
      <sheetName val="T9"/>
      <sheetName val="T10"/>
      <sheetName val="T11"/>
      <sheetName val="T12"/>
      <sheetName val="t1.3"/>
      <sheetName val="tuong"/>
      <sheetName val="SPL4"/>
      <sheetName val="Nhap don gia VL dia _x0003_"/>
      <sheetName val="Phan tich don gia chi Uet"/>
      <sheetName val="GiaVL"/>
      <sheetName val="sut&lt;1 0"/>
      <sheetName val="PBCPCHUNG CHO CAC _x0007_{WÑNG"/>
      <sheetName val="Du_lieu"/>
      <sheetName val="nhan cong"/>
      <sheetName val="ma-pt"/>
      <sheetName val="`u lun"/>
      <sheetName val="She"/>
      <sheetName val="TT_35NH"/>
      <sheetName val="coc duc"/>
      <sheetName val="IBASE"/>
      <sheetName val="tai"/>
      <sheetName val="hoang"/>
      <sheetName val="hoang (2)"/>
      <sheetName val="hoang (3)"/>
      <sheetName val="NHAP"/>
      <sheetName val="dv-kphi-cviet"/>
      <sheetName val="bvh-kphi"/>
      <sheetName val="PCCPCHUNG CHO CAC DTUONG"/>
      <sheetName val="Piers of Main Flyower (1)"/>
      <sheetName val="TN"/>
      <sheetName val="ND"/>
      <sheetName val="Ё"/>
      <sheetName val="0"/>
      <sheetName val="Số liệu"/>
      <sheetName val="TKKYI"/>
      <sheetName val="TKKYII"/>
      <sheetName val="Tổng hợp theo học sinh"/>
      <sheetName val="XL4Test5 (2)"/>
      <sheetName val="ktduong"/>
      <sheetName val="cu"/>
      <sheetName val="KTcau2004"/>
      <sheetName val="KT2004XL#moi"/>
      <sheetName val="denbu"/>
      <sheetName val="thop"/>
      <sheetName val="Du toan chi tiet"/>
      <sheetName val="He so"/>
      <sheetName val="PL Vua"/>
      <sheetName val="DPD"/>
      <sheetName val="DgDuong"/>
      <sheetName val="dgmo-tru"/>
      <sheetName val="dgdam"/>
      <sheetName val="Dam-Mo-Tru"/>
      <sheetName val="DTDuong"/>
      <sheetName val="GTXLc"/>
      <sheetName val="CPXLk"/>
      <sheetName val="KPTH"/>
      <sheetName val="Bang KL ket cau"/>
      <sheetName val="CTC_x000f_NG_02"/>
      <sheetName val="_x0004_GCong"/>
      <sheetName val="ctTBA"/>
      <sheetName val="Khu xu ly nuoc THiep-XD"/>
      <sheetName val="Box-Girder"/>
      <sheetName val="Dbþgia"/>
      <sheetName val="Thuc thanh"/>
      <sheetName val="bth-kpha"/>
      <sheetName val="IN__x000e_X"/>
      <sheetName val="md5!-52"/>
      <sheetName val="coctuatrenda"/>
      <sheetName val="dtct cong"/>
      <sheetName val="_"/>
      <sheetName val="Phan tich don gia chi ˆUet"/>
      <sheetName val="_____x0001_"/>
      <sheetName val="NHTN"/>
      <sheetName val="QLDD"/>
      <sheetName val="Moi truong"/>
      <sheetName val="KHĐ"/>
      <sheetName val="3cau"/>
      <sheetName val="266+623"/>
      <sheetName val="TXL(266+623"/>
      <sheetName val="DDCT"/>
      <sheetName val="M"/>
      <sheetName val="vln"/>
      <sheetName val="CHI_TIET"/>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dt-kphi-ÿÿo-ctiet"/>
      <sheetName val="________x0001_______x0001_______x0001_______x0001_H-___"/>
      <sheetName val="She_t9"/>
      <sheetName val="10mduongsa{ío"/>
      <sheetName val="Sheet3ٺ_x0001_2)"/>
      <sheetName val="Pier"/>
      <sheetName val="Pile"/>
      <sheetName val="ptvì0-1"/>
      <sheetName val="NVBH(HOAN"/>
      <sheetName val="dt-cphi-ctieT"/>
      <sheetName val="Piers of Main Flylyer (1)"/>
      <sheetName val="TinhToan"/>
      <sheetName val="____x0001____x0001_______x0001____x0001_H-__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Giai trinh"/>
      <sheetName val="GTGT"/>
      <sheetName val="Mua vao TT"/>
      <sheetName val="Mua vao GTGT"/>
      <sheetName val="Bra"/>
      <sheetName val="BC HDon"/>
      <sheetName val="BC HDon Qui"/>
      <sheetName val="KE KHAI HDONG"/>
      <sheetName val="Recovered_Sheet1"/>
      <sheetName val="Recovered_Sheet2"/>
      <sheetName val="Don gia"/>
      <sheetName val="CDPS"/>
      <sheetName val="CPVUE_03"/>
      <sheetName val="T_x0004_ 3DIEM"/>
      <sheetName val="Rheet10"/>
      <sheetName val="KLD_x0007_TT&lt;120%"/>
      <sheetName val="dt-k0hi (2)"/>
      <sheetName val="DT_x0003_T_02"/>
      <sheetName val="S²"/>
      <sheetName val="fej"/>
      <sheetName val="DT1__x0010_3"/>
      <sheetName val="DGKE_00"/>
      <sheetName val="P4-T`nAn-Factored"/>
      <sheetName val="NKC"/>
      <sheetName val="SoCaiT"/>
      <sheetName val="THDU"/>
      <sheetName val="MTO REV.2(ARMOR)"/>
      <sheetName val="Nhatkychung"/>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TH_11"/>
      <sheetName val="CUAHANG"/>
      <sheetName val="MAKHACH"/>
      <sheetName val="XXXXXXX3"/>
      <sheetName val="XXXXXXX2"/>
      <sheetName val="_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INV"/>
      <sheetName val="XXXXXXX4"/>
      <sheetName val="KLDGTT&lt;1ü_x000c_"/>
      <sheetName val="DEF"/>
      <sheetName val="0__ﱸ͕__x0004_______͕________列͕___x0013____"/>
      <sheetName val="TM_JCTC"/>
      <sheetName val="KLDGTT&lt;1ü_x000c___(2)"/>
      <sheetName val="She%t11"/>
      <sheetName val="Nhap don gia VL dia áhuong"/>
      <sheetName val="uong mot ngay cong xay lap"/>
      <sheetName val="_dtTKKT-98-106.xlsၝTHCDS11"/>
      <sheetName val="_dtTKKT-98-106.xls_THCDS11"/>
      <sheetName val="Giathanh1m3BT"/>
      <sheetName val="Tuong-ٺ_x0001_an"/>
      <sheetName val="ma_pt"/>
      <sheetName val="COC KHOAN0T5"/>
      <sheetName val="CHI TI"/>
      <sheetName val="TD &quot;DIEM"/>
      <sheetName val="Du toan chi tiet coc juoc"/>
      <sheetName val="dt-kphi_x0010_øÿet"/>
      <sheetName val="S_ li_u"/>
      <sheetName val="Eodule1"/>
      <sheetName val="T²"/>
      <sheetName val="Sheet1 (3)"/>
      <sheetName val="Sheet1 (2)"/>
      <sheetName val="tra"/>
      <sheetName val="DG೼�_02"/>
      <sheetName val="TT"/>
      <sheetName val="Piers of Mai. Flyover (1)"/>
      <sheetName val="T_ng h_p theo h_c sinh"/>
      <sheetName val="sat"/>
      <sheetName val="ptvt"/>
      <sheetName val="Gca may Buu dien"/>
      <sheetName val="882"/>
      <sheetName val="Giam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nen"/>
      <sheetName val="mat"/>
      <sheetName val="cong"/>
      <sheetName val="vua"/>
      <sheetName val="gVL"/>
      <sheetName val="dtoan"/>
      <sheetName val="dap"/>
      <sheetName val="GTXL-duong"/>
      <sheetName val="tkphi"/>
      <sheetName val="bth"/>
      <sheetName val="vattu"/>
      <sheetName val="T1"/>
      <sheetName val="T2"/>
      <sheetName val="T3"/>
      <sheetName val="THQui 1"/>
      <sheetName val="T4"/>
      <sheetName val="T5"/>
      <sheetName val="T6"/>
      <sheetName val="THQui 2"/>
      <sheetName val="T7"/>
      <sheetName val="T8"/>
      <sheetName val="T9"/>
      <sheetName val="THQui 3"/>
      <sheetName val="T10"/>
      <sheetName val="THQui 4"/>
      <sheetName val="TH nam 2003"/>
      <sheetName val="Sheet6"/>
      <sheetName val="XL4Test5"/>
      <sheetName val="tong hop"/>
      <sheetName val="phan tich DG"/>
      <sheetName val="gia vat lieu"/>
      <sheetName val="gia xe may"/>
      <sheetName val="gia nhan cong"/>
      <sheetName val="gvt"/>
      <sheetName val="ATGT"/>
      <sheetName val="DG-TH"/>
      <sheetName val="Tuong-chan"/>
      <sheetName val="Dau-cong"/>
      <sheetName val="dtoan (4)"/>
      <sheetName val="GTXL"/>
      <sheetName val="tmdtu"/>
      <sheetName val="gpmb"/>
      <sheetName val="Sheet3"/>
      <sheetName val="Vatu"/>
      <sheetName val="khluongconlai"/>
      <sheetName val="Bao cao"/>
      <sheetName val="00000000"/>
      <sheetName val="Vp"/>
      <sheetName val="Taichinh"/>
      <sheetName val="NN-PTNT"/>
      <sheetName val="TC-LD"/>
      <sheetName val="KH-DT"/>
      <sheetName val="Tu phap"/>
      <sheetName val="T.TRA"/>
      <sheetName val="QLKTTH"/>
      <sheetName val="QLDA"/>
      <sheetName val="Dan so"/>
      <sheetName val=""/>
      <sheetName val="DTCT"/>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Sheet1"/>
      <sheetName val="Tuong-#han"/>
      <sheetName val="dtct cong"/>
      <sheetName val="TT_10KV"/>
      <sheetName val="tra-vat-lieu"/>
      <sheetName val="IBASE"/>
      <sheetName val="DTCT-tuyen chinh"/>
      <sheetName val="tuong"/>
      <sheetName val="Sheet2"/>
      <sheetName val="DG "/>
      <sheetName val="Chart1"/>
      <sheetName val="Chart2"/>
      <sheetName val=" 8"/>
      <sheetName val="XL4Poppy"/>
      <sheetName val="Du_lieu"/>
      <sheetName val="Giai trinh"/>
      <sheetName val="GPXL-duong"/>
      <sheetName val="Tra_bang"/>
      <sheetName val="Tra KS"/>
      <sheetName val="dap__ƌ__x0004_______㝌ƌ________ƌ___x0007__"/>
      <sheetName val="DLDT"/>
      <sheetName val="_____x0004______________________x0007______"/>
      <sheetName val="Sheet4"/>
      <sheetName val="nhiemvu2006"/>
      <sheetName val="RutTM"/>
      <sheetName val="10000000"/>
      <sheetName val="20000000"/>
      <sheetName val="30000000"/>
      <sheetName val="tong_hop"/>
      <sheetName val="phan_tich_DG"/>
      <sheetName val="gia_vat_lieu"/>
      <sheetName val="gia_xe_may"/>
      <sheetName val="gia_nhan_cong"/>
      <sheetName val="THQui_1"/>
      <sheetName val="THQui_2"/>
      <sheetName val="THQui_3"/>
      <sheetName val="THQui_4"/>
      <sheetName val="TH_nam_2003"/>
      <sheetName val="Bao_cao"/>
      <sheetName val="dtoan_(4)"/>
      <sheetName val="Tu_phap"/>
      <sheetName val="T_TRA"/>
      <sheetName val="Dan_so"/>
      <sheetName val="B-n_(2)"/>
      <sheetName val="TH-t_toan"/>
      <sheetName val="Tro_giup"/>
      <sheetName val="GiaVL"/>
      <sheetName val="dap______x0004______________________x0007__"/>
      <sheetName val="dtct_cong"/>
      <sheetName val="dapƌ㝌ƌƌ"/>
      <sheetName val="__"/>
      <sheetName val="Gia"/>
      <sheetName val="g)a vat lieu"/>
      <sheetName val="Thuc thanh"/>
      <sheetName val="DG-TH_ǲ__________ẜǰ__x0004_______ǰ__"/>
      <sheetName val="Gia KS"/>
      <sheetName val="gihaxe may"/>
      <sheetName val="LEGEND"/>
      <sheetName val="____x0004_________x0007__"/>
      <sheetName val="Giai trũnh"/>
      <sheetName val="KKKKKKKK"/>
      <sheetName val="PutTM"/>
      <sheetName val="DTCT-tuyen_chinh"/>
      <sheetName val="Tra_KS"/>
      <sheetName val="_8"/>
      <sheetName val="DG_"/>
      <sheetName val="Giai_trinh"/>
      <sheetName val="dap_ƌ__x0004__㝌ƌ_ƌ__x0007__"/>
      <sheetName val="____x0004________x0007__"/>
      <sheetName val="dap_____x0004_________x0007__"/>
      <sheetName val="QLKTÔH"/>
      <sheetName val="tong_hop1"/>
      <sheetName val="phan_tich_DG1"/>
      <sheetName val="gia_vat_lieu1"/>
      <sheetName val="gia_xe_may1"/>
      <sheetName val="gia_nhan_cong1"/>
      <sheetName val="THQui_11"/>
      <sheetName val="THQui_21"/>
      <sheetName val="THQui_31"/>
      <sheetName val="THQui_41"/>
      <sheetName val="TH_nam_20031"/>
      <sheetName val="Bao_cao1"/>
      <sheetName val="dtoan_(4)1"/>
      <sheetName val="Tu_phap1"/>
      <sheetName val="T_TRA1"/>
      <sheetName val="Dan_so1"/>
      <sheetName val="B-n_(2)1"/>
      <sheetName val="TH-t_toan1"/>
      <sheetName val="Tro_giup1"/>
      <sheetName val="______"/>
      <sheetName val="_____________________________"/>
      <sheetName val="Package1"/>
      <sheetName val="MTO REV.2(ARMOR)"/>
      <sheetName val="g)a_vat_lieu"/>
      <sheetName val="dap__ƌ_______㝌ƌ________ƌ___"/>
      <sheetName val="dap_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Sheet1"/>
      <sheetName val="Sheet2"/>
      <sheetName val="Sheet3"/>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XL4Poppy"/>
      <sheetName val="Outlets"/>
      <sheetName val="PGs"/>
      <sheetName val="KH LDTL"/>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T6"/>
      <sheetName val="Mau"/>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Q1-02"/>
      <sheetName val="Q2-02"/>
      <sheetName val="Q3-02"/>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C45"/>
      <sheetName val="C47A"/>
      <sheetName val="C47B"/>
      <sheetName val="C46"/>
      <sheetName val="DsachYT"/>
      <sheetName val="00"/>
      <sheetName val="Bhxhoi"/>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TAI"/>
      <sheetName val="BANLE"/>
      <sheetName val="t.kho"/>
      <sheetName val="CLB"/>
      <sheetName val="phong"/>
      <sheetName val="hoat"/>
      <sheetName val="tong BH"/>
      <sheetName val="nhapkho"/>
      <sheetName val="SILICAT_x0003_"/>
      <sheetName val="1-12"/>
      <sheetName val="LUONG CHO HUU"/>
      <sheetName val="thu BHXH,YT"/>
      <sheetName val="Phan bo"/>
      <sheetName val="SP-KH"/>
      <sheetName val="Xuatkho"/>
      <sheetName val="PT"/>
      <sheetName val="Pivot(Silica|e)"/>
      <sheetName val="Pi6ot(Urethan)"/>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Summary"/>
      <sheetName val="Design &amp; Applications"/>
      <sheetName val="Building Summary"/>
      <sheetName val="Building"/>
      <sheetName val="External Works"/>
      <sheetName val="Piwot(Silicate)"/>
      <sheetName val="TH QT"/>
      <sheetName val="KE QT"/>
      <sheetName val="MTL$-INTER"/>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ROCK WO_x0003_"/>
      <sheetName val="TH VL, NC, DDHT Thanhphuoc"/>
      <sheetName val="__-BLDG"/>
      <sheetName val=""/>
      <sheetName val="Macro1"/>
      <sheetName val="Macro2"/>
      <sheetName val="Macro3"/>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Chiet tinh dz22"/>
      <sheetName val="gvl"/>
      <sheetName val="S¶_x001d_et2"/>
      <sheetName val="INSUL"/>
      <sheetName val="_______-BLDG"/>
      <sheetName val="Sheed4"/>
      <sheetName val="TH_x0001_NG2"/>
      <sheetName val="DU TRU LUONG 06 TH@NG"/>
      <sheetName val="AN CA DH 10"/>
      <sheetName val="TAM UNG LNC TH 08"/>
      <sheetName val="Leong thoi gian th 10"/>
      <sheetName val="Luong thoa gian th 11"/>
      <sheetName val="at lns th 10"/>
      <sheetName val="tam ung DNS th 11"/>
      <sheetName val="XL4Test4"/>
      <sheetName val="TH T19"/>
      <sheetName val="Dieu chinh"/>
      <sheetName val="So -03"/>
      <sheetName val="SoLD"/>
      <sheetName val="So-02"/>
      <sheetName val="báo cáo thang11 m_i"/>
      <sheetName val="vi_du_n"/>
      <sheetName val="vi_du"/>
      <sheetName val="Bieu 2"/>
      <sheetName val="biªu 3"/>
      <sheetName val="bieu1 CTy"/>
      <sheetName val="b2 cty"/>
      <sheetName val="b 3 cty"/>
      <sheetName val="bieu 7"/>
      <sheetName val="bieu 9"/>
      <sheetName val="b14"/>
      <sheetName val="Sheet12"/>
      <sheetName val="Pivot(RckWool)"/>
      <sheetName val="Du_lieu"/>
      <sheetName val="Pivot(_x0007_lass Wool)"/>
      <sheetName val="NEW-PANEL"/>
      <sheetName val="뜃맟뭁돽띿맟_-BLDG"/>
      <sheetName val="CAT_5"/>
      <sheetName val="현장관리비"/>
      <sheetName val="실행내역"/>
      <sheetName val="#REF"/>
      <sheetName val="적용환율"/>
      <sheetName val="合成単価作成表-BLDG"/>
      <sheetName val="Sheev6"/>
      <sheetName val="Nhap fon gia VL dia phuong"/>
      <sheetName val="thong tin cty"/>
      <sheetName val="TK-in"/>
      <sheetName val="TKTH"/>
      <sheetName val="BR"/>
      <sheetName val="MV"/>
      <sheetName val="mvtt"/>
      <sheetName val="HDKT"/>
      <sheetName val="Linh tinh"/>
      <sheetName val="nk"/>
      <sheetName val="N"/>
      <sheetName val="X"/>
      <sheetName val="PACK"/>
      <sheetName val="INV"/>
      <sheetName val="TK-XUAT"/>
      <sheetName val="TK-NHAP"/>
      <sheetName val="DT 1"/>
      <sheetName val="DT 2"/>
      <sheetName val="DT 3"/>
      <sheetName val="DM"/>
      <sheetName val="SP"/>
      <sheetName val="NPL"/>
      <sheetName val="CT Thang Mo"/>
      <sheetName val="CT  PL"/>
      <sheetName val="Chi tiet"/>
      <sheetName val="ctTBA"/>
      <sheetName val="bcôhang"/>
      <sheetName val="RDP013"/>
      <sheetName val="Giai trinh"/>
      <sheetName val="Tong hop QL4( - 3"/>
      <sheetName val="TT_10KV"/>
      <sheetName val="Luong moÿÿngay cong khao sat"/>
      <sheetName val="Q2-00"/>
      <sheetName val="tong l²"/>
      <sheetName val="_x0010_iwot(Silicate)"/>
      <sheetName val="SILICCTE"/>
      <sheetName val="100000P0"/>
      <sheetName val="RFP0_x0010_6"/>
      <sheetName val="RFP_x0010_07"/>
      <sheetName val="RFP_x0011_1(2)"/>
      <sheetName val="Q_x0012_-02"/>
      <sheetName val="Q_x0013_-02"/>
      <sheetName val="Nhap"/>
      <sheetName val="Luong mot ngay Cong xay"/>
      <sheetName val="DU TRU LUONG"/>
      <sheetName val="PP tinh Thue thu"/>
      <sheetName val="Luong TG thang _x0010_9"/>
      <sheetName val="QT LUONG NS"/>
      <sheetName val="TAM"/>
      <sheetName val="공통가설"/>
      <sheetName val="Pivnt(RockWool)"/>
      <sheetName val="@ivot(Form Glass)"/>
      <sheetName val="Pivot(Gl!ss Wool)"/>
      <sheetName val="ROCK WOKL"/>
      <sheetName val="He co"/>
      <sheetName val="Bhitieu-dam cac loai"/>
      <sheetName val="EQUIPMENT -2"/>
      <sheetName val="전차선로 물량표"/>
      <sheetName val="PBS"/>
      <sheetName val="간접비내역-1"/>
      <sheetName val="Basic"/>
      <sheetName val="DESIGN CRITERIA"/>
      <sheetName val="용기"/>
      <sheetName val="ፌ"/>
      <sheetName val="⁁䡃⁉䥔呅"/>
      <sheetName val="呅吠ь"/>
      <sheetName val="㔳_x000c_吀⁈畱敹瑴慯ծ"/>
      <sheetName val="ࡍ"/>
      <sheetName val="䥔久䈠佁_x000b_吀⁈䡎偁"/>
      <sheetName val="⁈䡎偁吠乏_x0006_吀⁈"/>
      <sheetName val="䨀湡в"/>
      <sheetName val="湡г"/>
      <sheetName val="д"/>
      <sheetName val="慊㡮_x0004_䨀湡Թ"/>
      <sheetName val="㥮_x0005_䨀湡〱_x0005_䨀"/>
      <sheetName val="_x0005_䨀湡ㄱ_x0005_䨀"/>
      <sheetName val="䨀湡㐱_x0005_䨀湡"/>
      <sheetName val="慊ㅮԵ"/>
      <sheetName val="ㅮԷ"/>
      <sheetName val="㠱_x0005_䨀湡〲_x0005_"/>
      <sheetName val="԰"/>
      <sheetName val="_x0005_䨀湡㈲_x0005_䨀"/>
      <sheetName val="湡㐲_x0005_䨀湡㔲_x0005_"/>
      <sheetName val="㔲_x0005_䨀"/>
      <sheetName val="湡㘱_x0005_䨀湡㜱"/>
      <sheetName val="Gia vat tu"/>
      <sheetName val="THVT"/>
      <sheetName val="PTDM"/>
      <sheetName val="MTO REV.0"/>
      <sheetName val="Phan tich don ႀ￸a chi tiet"/>
      <sheetName val="T.Tinh"/>
      <sheetName val="²"/>
      <sheetName val="MTO REV.2(ARMOR)"/>
      <sheetName val="TH VL_ NC_ DDHT Thanhphuoc"/>
      <sheetName val="_uong mot ngay cong xay lap"/>
      <sheetName val="Luong mot ngay conw0khao sat"/>
      <sheetName val="thu BHXH&lt;YT"/>
      <sheetName val="PNT-QUOT-#3"/>
      <sheetName val="COAT&amp;WRAP-QIOT-#3"/>
      <sheetName val="DG"/>
      <sheetName val="_x0010_ivot(Glass Wool)"/>
      <sheetName val="She%t1"/>
      <sheetName val="XL4Pop`y"/>
      <sheetName val="Chitieu-dam c!c loai"/>
      <sheetName val="@Gdg"/>
      <sheetName val="CocKJ1m"/>
      <sheetName val="TA²"/>
      <sheetName val="SN C£GNV"/>
      <sheetName val="______"/>
      <sheetName val="ROCK WO_x0003__"/>
      <sheetName val="hoat_࣭________ _᭬࣫__x0004_______ᑜ࣭___"/>
      <sheetName val="TH4___________ℨʢ__x0004_______崬ʢ_____"/>
      <sheetName val="DGdW"/>
      <sheetName val="To~g hop"/>
      <sheetName val="TXANG7"/>
      <sheetName val="Sxeet4"/>
      <sheetName val="To~g hop Q_47"/>
      <sheetName val="BCDTK"/>
      <sheetName val="soktmay"/>
      <sheetName val="hoat_࣭_ ᭬࣫__x0004__ᑜ࣭_ڬ࣫_"/>
      <sheetName val="_____ _____x0004_____________________"/>
      <sheetName val="hoat__________ _____x0004____________"/>
      <sheetName val="Coc$0x40cm"/>
      <sheetName val="&quot;0ngay"/>
      <sheetName val="báo cák thang11 mới"/>
      <sheetName val="THANG_"/>
      <sheetName val="CN"/>
      <sheetName val="BCN"/>
      <sheetName val="Q TOAN"/>
      <sheetName val="NO MUA"/>
      <sheetName val="VO CHAI"/>
      <sheetName val="VC THU HOI"/>
      <sheetName val="hoat___ ____x0004________"/>
      <sheetName val="ፌ_佄⁎䥇⁁䡃"/>
      <sheetName val="呅吠ь_䑄㔳_x0005_吀䅂㔳_x000c_吀⁈畱敹"/>
      <sheetName val="㔳_x000c_吀⁈畱敹瑴慯ծ_楢兡͔_䭔"/>
      <sheetName val="_楢兡͔_䭔ͥ_䅎э_啈䝎_x0003_䠀䥁_x0003_"/>
      <sheetName val="_啈䝎_x0003_䠀䥁_x0003_䰀䵁_x0008_䈀湡⁧楧"/>
      <sheetName val="ࡍ_慂杮朠慩&#13;䠀乁⁇䥔久䈠佁_x000b_吀⁈"/>
      <sheetName val="_䡔䈠乁_x0005_䐀"/>
      <sheetName val="_敄㍣б_慊"/>
      <sheetName val="䨀湡в_慊㍮"/>
      <sheetName val="湡г_慊㑮_x0004_"/>
      <sheetName val="д_慊㙮_x0004_䨀"/>
      <sheetName val="_慊㝮_x0004_䨀湡"/>
      <sheetName val="_慊ㅮԳ_慊"/>
      <sheetName val="慊ㅮԵ_慊ㅮ"/>
      <sheetName val="ㅮԷ_慊ㅮԸ"/>
      <sheetName val="԰_慊㉮Ա_"/>
      <sheetName val="_慊㉮Գ_慊㉮Դ"/>
      <sheetName val="tong l²__ ban"/>
      <sheetName val="LABTOTAL"/>
      <sheetName val="적용률"/>
      <sheetName val="d' cOng"/>
      <sheetName val="CAPTHOAP"/>
      <sheetName val=" t`oat nuoc nc"/>
      <sheetName val="TKP"/>
      <sheetName val="PTDGDT"/>
      <sheetName val="TK"/>
      <sheetName val="BRCT"/>
      <sheetName val="SDHD"/>
      <sheetName val="SDHD QUY"/>
      <sheetName val="GTGT135"/>
      <sheetName val="BRCN135"/>
      <sheetName val="MV135"/>
      <sheetName val="SDHDCN"/>
      <sheetName val="SDHDCN quy"/>
      <sheetName val="NXT.CN03"/>
      <sheetName val="bl"/>
      <sheetName val="20000000"/>
      <sheetName val="dongia (2)"/>
      <sheetName val="LKVL-CK-HT-GD1"/>
      <sheetName val="giathanh1"/>
      <sheetName val="lam-moi"/>
      <sheetName val="TONG HOP VL-NC"/>
      <sheetName val="thao-go"/>
      <sheetName val="THPDMoi  (2)"/>
      <sheetName val="gtrinh"/>
      <sheetName val="phuluc1"/>
      <sheetName val="chitiet"/>
      <sheetName val="TONGKE3p "/>
      <sheetName val="DONGIA"/>
      <sheetName val="DON GIA"/>
      <sheetName val="TONGKE-HT"/>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ruy"/>
      <sheetName val="_____"/>
      <sheetName val="____"/>
      <sheetName val="POWER"/>
      <sheetName val="견적조건"/>
      <sheetName val="BQ_Equip_Pipe"/>
      <sheetName val="BLR-S"/>
      <sheetName val="Est-Hotpp"/>
      <sheetName val="PipWT"/>
      <sheetName val="COA-17"/>
      <sheetName val="C-18"/>
      <sheetName val="piping"/>
      <sheetName val="재료비"/>
      <sheetName val="BREAKDOWN(철거설치)"/>
      <sheetName val="BQ List"/>
      <sheetName val="PIPE"/>
      <sheetName val="FLANGE"/>
      <sheetName val="VALVE"/>
      <sheetName val="Mech_1030"/>
      <sheetName val="TA²__NH"/>
      <sheetName val="G䁄MN.2"/>
      <sheetName val="POTAL"/>
      <sheetName val=" thoau nuoc nc"/>
      <sheetName val=" thoat nuog nc"/>
      <sheetName val="Luo _x0008__x0010_"/>
      <sheetName val="Tro giup"/>
      <sheetName val="TSCD"/>
      <sheetName val="ࡍ_慂杮朠慩_䠀乁⁇䥔久䈠佁_x000b_吀⁈"/>
      <sheetName val="KL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HDT"/>
      <sheetName val="DM-Goc"/>
      <sheetName val="Gia-CT"/>
      <sheetName val="PTCP"/>
      <sheetName val="cphoi"/>
      <sheetName val="XL4Poppy"/>
      <sheetName val=""/>
      <sheetName val="tra_vat_lieu"/>
      <sheetName val="CQD"/>
      <sheetName val="HGAD"/>
      <sheetName val="HGAM1"/>
      <sheetName val="HGAL2"/>
      <sheetName val="HGAL3"/>
      <sheetName val="tcm"/>
      <sheetName val="tieunang"/>
      <sheetName val="TTTA"/>
      <sheetName val="TNTA"/>
      <sheetName val="TMTTH"/>
      <sheetName val="TNBH"/>
      <sheetName val="Sheet4"/>
      <sheetName val="tt"/>
      <sheetName val="TLsannen"/>
      <sheetName val="Sheet1"/>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Sheet3"/>
      <sheetName val="Sheet2"/>
      <sheetName val="dongia"/>
      <sheetName val="PLTK"/>
      <sheetName val="00000000"/>
      <sheetName val="10000000"/>
      <sheetName val="tonghoptt"/>
      <sheetName val="ximang"/>
      <sheetName val="da 1x2"/>
      <sheetName val="cat vang"/>
      <sheetName val="phugia555"/>
      <sheetName val="phugia561"/>
      <sheetName val="Tai khoan"/>
      <sheetName val="DTCT"/>
      <sheetName val="PNT-QUOT-#3"/>
      <sheetName val="COAT&amp;WRAP-QIO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20000000"/>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30000000"/>
      <sheetName val="40000000"/>
      <sheetName val="50000000"/>
      <sheetName val="60000000"/>
      <sheetName val="70000000"/>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gvl"/>
      <sheetName val="Mau NT cho doi"/>
      <sheetName val="THDG- Nha VS"/>
      <sheetName val="THDG- Mong thiet bi"/>
      <sheetName val="Gia KS"/>
      <sheetName val="DTCT-TB"/>
      <sheetName val="Tong hop phan bo nhien lieu"/>
      <sheetName val="XD Ninh Quang"/>
      <sheetName val="K10"/>
      <sheetName val="PB chi tiet"/>
      <sheetName val="tong hop phan bo nhien lieu "/>
      <sheetName val="_TKKT_15Alan1-dg.xlsYPTDG"/>
      <sheetName val="tong hgp"/>
      <sheetName val="YL4Test5"/>
      <sheetName val="ESTI."/>
      <sheetName val="DI-ESTI"/>
      <sheetName val="cat vaɮѧ"/>
      <sheetName val="THCT"/>
      <sheetName val="THDZ0,4"/>
      <sheetName val="TH DZ35"/>
      <sheetName val="MTL$-INTER"/>
      <sheetName val="402"/>
      <sheetName val="cat va__"/>
      <sheetName val="THTram"/>
      <sheetName val="SILICATE"/>
      <sheetName val="ႀ￸B"/>
      <sheetName val="_TKKT_15Alan1-dg.xls࡝DTCTNÀNG"/>
      <sheetName val="CANDOI"/>
      <sheetName val="GT"/>
      <sheetName val="GITHICH"/>
      <sheetName val="KQ"/>
      <sheetName val="GT KQ"/>
      <sheetName val="NS"/>
      <sheetName val="GT NS"/>
      <sheetName val="CNO"/>
      <sheetName val="CHITIEU"/>
      <sheetName val="_HKP22-46"/>
      <sheetName val="Bu_vat_lieu"/>
      <sheetName val="TNBH_ͧ_x001f__TKKT_15Alan1-dg.xls_tls"/>
      <sheetName val="¢çeet9"/>
      <sheetName val="CHITIET"/>
      <sheetName val="&#13;BTA"/>
      <sheetName val="D_x0014_CTQD"/>
      <sheetName val="_x0004_TCT22-46"/>
      <sheetName val="_x0007_XL"/>
      <sheetName val="_x0013_heet2"/>
      <sheetName val="to.ghoptt"/>
      <sheetName val="_BTA"/>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__B"/>
      <sheetName val="GiaVL"/>
      <sheetName val="TK"/>
      <sheetName val="Giaitrinh"/>
      <sheetName val="M02"/>
      <sheetName val="M03"/>
      <sheetName val="M5"/>
      <sheetName val="hd01"/>
      <sheetName val="TH khoan ha_"/>
      <sheetName val="FD"/>
      <sheetName val="GI"/>
      <sheetName val="EE (3)"/>
      <sheetName val="PAVEMENT"/>
      <sheetName val="TRAFFIC"/>
      <sheetName val="Gia"/>
      <sheetName val="¸TCT30+8"/>
      <sheetName val="CT35"/>
      <sheetName val="VL,NC"/>
      <sheetName val="_TKKT_15Ala"/>
      <sheetName val="_TKKT_15Alan1-dg.xls_DTCTNÀNG"/>
      <sheetName val="chiet tifh khoan son "/>
      <sheetName val="Du_lieu"/>
      <sheetName val="TH_DZ35"/>
      <sheetName val="#REF"/>
      <sheetName val="chiet tinh Khoan gib cong"/>
      <sheetName val="TH VL, NC, DDHT Thanhphuoc"/>
      <sheetName val="ctdg"/>
      <sheetName val="Lç khoan LK1"/>
      <sheetName val="Don gia kꦤoan son "/>
      <sheetName val="Sheeô4"/>
      <sheetName val="__________________±____________"/>
      <sheetName val="ESUI."/>
      <sheetName val="TKKT_15Alan1-dg"/>
      <sheetName val="dbgt(tuyan)"/>
      <sheetName val="DATA"/>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_TKKT_15Alan1-dg_xlsYPTDG"/>
      <sheetName val="tong_hgp"/>
      <sheetName val="cat_vaɮѧ"/>
      <sheetName val="_TKKT_15Alan1-dg_xls࡝DTCTNÀNG"/>
      <sheetName val="GT_KQ"/>
      <sheetName val="GT_NS"/>
      <sheetName val="cat_va__"/>
      <sheetName val="DCTQD"/>
      <sheetName val="TCT22-46"/>
      <sheetName val="XL"/>
      <sheetName val="heet2"/>
      <sheetName val="to_ghoptt"/>
      <sheetName val="CTTra"/>
      <sheetName val="DTKPSADUONO"/>
      <sheetName val="chiet tinh Khoan gia cono"/>
      <sheetName val="BANGTRA"/>
      <sheetName val="TH-XL"/>
      <sheetName val="TH khoan`han"/>
      <sheetName val="Tai khgan"/>
      <sheetName val="DTCTFÀNG"/>
      <sheetName val="Tongh_p"/>
      <sheetName val="C䁑D"/>
      <sheetName val="_ra_bang"/>
      <sheetName val="chiet tGh khoan son "/>
      <sheetName val="_TKKT_15Alan1-䡤g.xlsYPTDG"/>
      <sheetName val="RA"/>
      <sheetName val="VAO"/>
      <sheetName val="dtct cong"/>
      <sheetName val="tra,vat-lieu"/>
      <sheetName val="ND"/>
      <sheetName val="Sheet02"/>
      <sheetName val="VAB"/>
      <sheetName val="chi tiet Khoan GB+HTP"/>
      <sheetName val="400000p0"/>
      <sheetName val="t#m"/>
      <sheetName val="²__hoan GC+HTP"/>
      <sheetName val="²"/>
      <sheetName val="VL"/>
      <sheetName val="Da tmn_dung"/>
      <sheetName val="Tra_x001f_bang"/>
      <sheetName val="lt-4l"/>
      <sheetName val="px#&#13;tl"/>
      <sheetName val="_TKKT_1_x0015_Alan1-dg.xlsYPTDG"/>
      <sheetName val="_HKP22-4&amp;"/>
      <sheetName val="_TKKT_15Alan1-dg.xlsࠝDTC_x0014_NÀNG"/>
      <sheetName val="_HKP22%46"/>
      <sheetName val="_TKKT_15Alan1-dg.xls࡝DTC_x0014_NÀNG"/>
      <sheetName val="TM_KhoanWHAN"/>
      <sheetName val="tc_than_tich_don_gia"/>
      <sheetName val="chiet_tinh_khoan_sgn_"/>
      <sheetName val="TH_x001f_khoan_son"/>
      <sheetName val="TONG_HOPVAT_TU_MO "/>
      <sheetName val="TH khoan ha"/>
      <sheetName val="Da tmn"/>
      <sheetName val="cad vang"/>
      <sheetName val="TNBH___x001f__TKKT_15Alan1-dg.xls_tls"/>
      <sheetName val="KKKKKKKK"/>
      <sheetName val="chiet tinh Khoan gia cofg"/>
      <sheetName val="chi tiet Kho`n GC+HTP"/>
      <sheetName val="BO"/>
      <sheetName val="tc_Bia_TC_(3-"/>
      <sheetName val="TH_khoan_GC+@TP"/>
      <sheetName val="Dongia_khoan_gia_cong"/>
      <sheetName val="DongiaK_lap_TB"/>
      <sheetName val="ES_I_"/>
      <sheetName val="Mau_NT_cho_doy"/>
      <sheetName val="ၛTKKT_15Alan1-dg.xls_THKPTNANG"/>
      <sheetName val="_TKKT_15Alan1-dg.xls䁝GXL"/>
      <sheetName val="373 ²"/>
      <sheetName val="Thuc thanh"/>
      <sheetName val="caࡴ vaɮѧ"/>
      <sheetName val="TJGTXL05"/>
      <sheetName val="px#_tl"/>
      <sheetName val="BKTH"/>
      <sheetName val="nhap_xuat_ton"/>
      <sheetName val="373 ²_"/>
      <sheetName val="Don gia k_oan son "/>
      <sheetName val="TVL"/>
      <sheetName val="Level Checking Form(cat)"/>
      <sheetName val="TONG_HOPVAT_TU_MO "/>
      <sheetName val="_TKKT_15Alan1-_g.xlsYPTDG"/>
      <sheetName val="Bang chiet tinh TBA"/>
      <sheetName val="dtct cau"/>
      <sheetName val="T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 (2)"/>
      <sheetName val="Nhap"/>
      <sheetName val="Su"/>
      <sheetName val="Tongke"/>
      <sheetName val="Sheet2"/>
      <sheetName val="Sheet4"/>
      <sheetName val="a"/>
      <sheetName val="Sheet1"/>
      <sheetName val="TKCQ"/>
      <sheetName val="Lietke"/>
      <sheetName val="00000000"/>
      <sheetName val="10000000"/>
      <sheetName val="20000000"/>
      <sheetName val="XL4Tes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u_lieu"/>
      <sheetName val="Du bao LL xe"/>
      <sheetName val="K.Tra do vong dan hoi"/>
      <sheetName val="Tinh truot"/>
      <sheetName val="Tinh Keo uon"/>
      <sheetName val="Cac bang tra"/>
      <sheetName val="Abou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SILICATE"/>
      <sheetName val="HC"/>
      <sheetName val="QLN"/>
      <sheetName val="KTHUAT"/>
      <sheetName val="KT"/>
      <sheetName val="CN"/>
      <sheetName val="DLo"/>
      <sheetName val="BDa"/>
      <sheetName val="CDong"/>
      <sheetName val="KTang"/>
      <sheetName val="PBat"/>
      <sheetName val="TThuy"/>
      <sheetName val="CXa"/>
      <sheetName val="THop"/>
      <sheetName val="ctdz35"/>
      <sheetName val="DGKV1"/>
      <sheetName val="GVTKV1"/>
      <sheetName val="M@-2"/>
      <sheetName val="13.BANG CT"/>
      <sheetName val="14.MMUS GIUA NHIP"/>
      <sheetName val="4.HSPBngang"/>
      <sheetName val="6.Tinh tai"/>
      <sheetName val="2 NSl"/>
      <sheetName val="17.US CHU tho a_b"/>
      <sheetName val="15.MMUS GOI"/>
      <sheetName val="5.BANG I"/>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DG_QUANG NINH"/>
      <sheetName val="Hướng dẫn"/>
      <sheetName val="Ví dụ hàm Vlookup"/>
      <sheetName val="Gvl_QN"/>
      <sheetName val="Gvlks_QN"/>
      <sheetName val="chitimc"/>
      <sheetName val="dtxl"/>
      <sheetName val="KH-Q1,Q2,01"/>
      <sheetName val="Tien lumng MB-2"/>
      <sheetName val="Tien lumng MB-5"/>
      <sheetName val="DM tt van DZ 35 kV"/>
      <sheetName val="MTO REV.0"/>
      <sheetName val="dieuchinh"/>
      <sheetName val="Thep dia"/>
      <sheetName val="THDT DZ 010 kV"/>
      <sheetName val="XL4Poppy"/>
      <sheetName val="LKVL_CK_HT_GD1"/>
      <sheetName val="CHITIET VL_NC"/>
      <sheetName val="VCV_BE_TONG"/>
      <sheetName val="gtrin⁨"/>
      <sheetName val="Hu_ng d_n"/>
      <sheetName val="Ví d_ hàm Vlookup"/>
      <sheetName val="CT -THVLNC"/>
      <sheetName val="     ien 110 kV"/>
      <sheetName val="NC Day su      ien"/>
      <sheetName val="     ien 35 kV"/>
      <sheetName val="VL-NCf 35 KV"/>
      <sheetName val="cot_xa"/>
      <sheetName val="Mong"/>
      <sheetName val="gvl____________쉘ž__x0004_______॔ǥ____"/>
      <sheetName val="NHATKY"/>
      <sheetName val="Income Statement"/>
      <sheetName val="Shareholders' Equity"/>
      <sheetName val="PTDG (2)"/>
      <sheetName val="MTL$-INTER"/>
      <sheetName val="gtrin_"/>
      <sheetName val="tonghop"/>
      <sheetName val="Revenue"/>
      <sheetName val="Hoá Ðon NV"/>
      <sheetName val="TTDZ22"/>
      <sheetName val="Chiettinh dz0,4"/>
      <sheetName val="DE tu van"/>
      <sheetName val="Tien luonc LB-2"/>
      <sheetName val="Tien luong MB%4"/>
      <sheetName val="Tien luong LBK"/>
      <sheetName val="Tien duong MP-12"/>
      <sheetName val="ML18-6"/>
      <sheetName val="Sheut2"/>
      <sheetName val="gaathanh1"/>
      <sheetName val="THCT"/>
      <sheetName val="THDZ0,4"/>
      <sheetName val="TH DZ35"/>
      <sheetName val="THTram"/>
      <sheetName val="kinh phí XD"/>
      <sheetName val="TTVanChuyen"/>
      <sheetName val="ctdg"/>
      <sheetName val="DG_LANG SON"/>
      <sheetName val="Gvl_LS"/>
      <sheetName val="Gvlks_LS"/>
      <sheetName val="____________J_DZ110K~1.XLS_THPD"/>
      <sheetName val="gvl_______________x0004________g____"/>
      <sheetName val="Hý_ng d_n"/>
      <sheetName val="Hoá Ðõn NV"/>
      <sheetName val="Tie~ luong M4T-1"/>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gvl_쉘ž__x0004__॔ǥ_쌄ž_O_J_DZ110K~1.XLS"/>
      <sheetName val="ÿhaoÿgo"/>
      <sheetName val="Phu kiej 35 kV"/>
      <sheetName val="Ti%n luong L4T-2"/>
      <sheetName val="Tidn luong MB-2"/>
      <sheetName val="Tien huong MB-3"/>
      <sheetName val="MP&#13;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xl"/>
      <sheetName val="dt"/>
      <sheetName val="cl"/>
      <sheetName val="sl"/>
      <sheetName val="dth"/>
      <sheetName val="vt"/>
      <sheetName val="vc1"/>
      <sheetName val="vc2"/>
      <sheetName val="db"/>
      <sheetName val="nl"/>
      <sheetName val="tra2"/>
      <sheetName val="MP_12"/>
      <sheetName val="BK-C T"/>
      <sheetName val="Balance Sheet"/>
      <sheetName val="PTVT"/>
      <sheetName val="DGKS"/>
      <sheetName val="KSTK"/>
      <sheetName val="THKP"/>
      <sheetName val="DTCT"/>
      <sheetName val="PTDG"/>
      <sheetName val="GiaTB"/>
      <sheetName val="THMayTC"/>
      <sheetName val="THVT"/>
      <sheetName val="NC Dai su Phu kien"/>
      <sheetName val="ru4Test5"/>
      <sheetName val=""/>
      <sheetName val="Sheet4"/>
      <sheetName val="KHAU TRU 6%"/>
      <sheetName val="TRUY LUONG 350000"/>
      <sheetName val="00000001"/>
      <sheetName val="T_x000f_NG HOP VL-NC TT"/>
      <sheetName val="TONG_x000b_E3p "/>
      <sheetName val="_iathanh1"/>
      <sheetName val="CHITIE_x0004_ VL-NC-_x0004_T -1p"/>
      <sheetName val="CHITIET _x0016_L-NC"/>
      <sheetName val="_x0006_C"/>
      <sheetName val="KP_x0016_C-BD "/>
      <sheetName val="VL,NC,MTC"/>
      <sheetName val="BK04"/>
      <sheetName val="T01"/>
      <sheetName val="T02"/>
      <sheetName val="T03"/>
      <sheetName val="T5"/>
      <sheetName val="T6"/>
      <sheetName val="T7"/>
      <sheetName val="T8"/>
      <sheetName val="T9"/>
      <sheetName val="T10"/>
      <sheetName val="T11"/>
      <sheetName val="T12"/>
      <sheetName val="DI-ESTI"/>
      <sheetName val="T_xffff_T.5"/>
      <sheetName val="KB"/>
      <sheetName val="DZ 0.4"/>
      <sheetName val="VL-NCfƒ 35 KV"/>
      <sheetName val="CT_LCGT"/>
      <sheetName val="CT_LCTT"/>
      <sheetName val="TM_ChenhLechCT"/>
      <sheetName val="DM"/>
      <sheetName val="Dieu_chinh"/>
      <sheetName val="Danh_muc"/>
      <sheetName val="Tong_hop"/>
      <sheetName val="Bao_cao"/>
      <sheetName val="Phan_bo"/>
      <sheetName val="Thong_tin"/>
      <sheetName val="LJVL-CK-HT-GD1"/>
      <sheetName val="DGVT"/>
      <sheetName val="Phu kien 1_0 kV"/>
      <sheetName val="gvl____________쉘ž__x005f_x0004_______"/>
      <sheetName val="gvl_______________x005f_x0004_______"/>
      <sheetName val="gvl________________x0004_____________"/>
      <sheetName val="Gia_GC_Satthep"/>
      <sheetName val="gvl_x005f_x0000__x005f_x0000__x005f_x0000__x005f_x0000_"/>
      <sheetName val="_x005f_x0000__x005f_x0000__x005f_x0000__x005f_x0000__x0"/>
      <sheetName val="dtct cong"/>
      <sheetName val="tᮧ hỵp"/>
      <sheetName val="Tbuoc thue)"/>
      <sheetName val="_DZ110K~1.XLS}MB-6"/>
      <sheetName val="DM_tu_van_DZ_110_kV1"/>
      <sheetName val="DM_tu_van_DZ_35_kV1"/>
      <sheetName val="DM_tu_van1"/>
      <sheetName val="Don_gia1"/>
      <sheetName val="táng_hîp1"/>
      <sheetName val="THDT_DZ_110_kV1"/>
      <sheetName val="VL-NC-M_110_KV1"/>
      <sheetName val="Phu_kien_110_kV1"/>
      <sheetName val="NC_Day_su_Phu_kien1"/>
      <sheetName val="THDT_DZ_35_kV1"/>
      <sheetName val="VL-NC-M_35_KV1"/>
      <sheetName val="Phu_kien_35_kV1"/>
      <sheetName val="Tiep_dia1"/>
      <sheetName val="Tien_luong_M4T-11"/>
      <sheetName val="Tien_luong_M4T-21"/>
      <sheetName val="Tien_luong_M4T-31"/>
      <sheetName val="Tien_luong_MB-11"/>
      <sheetName val="Tien_luong_MB-21"/>
      <sheetName val="Tien_luong_MB-31"/>
      <sheetName val="Tien_luong_MB-41"/>
      <sheetName val="Tien_luong_MB-51"/>
      <sheetName val="Tien_luong_MBK1"/>
      <sheetName val="Gia_thanh_chuoi_su1"/>
      <sheetName val="Tien_luong_MB-61"/>
      <sheetName val="Tien_luong_MP-121"/>
      <sheetName val="Truoc_thue)1"/>
      <sheetName val="Tong_hop_11"/>
      <sheetName val="Xay_lap1"/>
      <sheetName val="Chi_tiet11"/>
      <sheetName val="Chi_tiet2"/>
      <sheetName val="Bu_VL1"/>
      <sheetName val="THPDMoi__(2)"/>
      <sheetName val="dongia_(2)"/>
      <sheetName val="TONG_HOP_VL-NC"/>
      <sheetName val="TONGKE3p_"/>
      <sheetName val="TH_VL,_NC,_DDHT_Thanhphuoc"/>
      <sheetName val="t-h_HA_THE"/>
      <sheetName val="CHITIET_VL-NC-TT_-1p"/>
      <sheetName val="TONG_HOP_VL-NC_TT"/>
      <sheetName val="TH_XL"/>
      <sheetName val="CHITIET_VL-NC"/>
      <sheetName val="CHITIET_VL-NC-TT-3p"/>
      <sheetName val="KPVC-BD_"/>
      <sheetName val="13_BANG_CT"/>
      <sheetName val="14_MMUS_GIUA_NHIP"/>
      <sheetName val="4_HSPBngang"/>
      <sheetName val="6_Tinh_tai"/>
      <sheetName val="2_NSl"/>
      <sheetName val="17_US_CHU_tho_a_b"/>
      <sheetName val="15_MMUS_GOI"/>
      <sheetName val="5_BANG_I"/>
      <sheetName val="Du_bao_LL_xe"/>
      <sheetName val="K_Tra_do_vong_dan_hoi"/>
      <sheetName val="Tinh_truot"/>
      <sheetName val="Tinh_Keo_uon"/>
      <sheetName val="Cac_bang_tra"/>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M_tt_van_DZ_35_kV"/>
      <sheetName val="Hoá_Đơn_NV"/>
      <sheetName val="Son_Tay"/>
      <sheetName val="Hoa_Binh"/>
      <sheetName val="Thuong_Tin"/>
      <sheetName val="Vang_Lai"/>
      <sheetName val="Tong_Xuat"/>
      <sheetName val="Tong_Nhap"/>
      <sheetName val="Nhap_Xuat_Ton"/>
      <sheetName val="Ton_Kho_Ban_Giao_Chi_Oanh"/>
      <sheetName val="So_xuat_hang_Nuoc"/>
      <sheetName val="The_kho_Nuoc"/>
      <sheetName val="So_Xuat_hang_Dac"/>
      <sheetName val="The_kho_Dac"/>
      <sheetName val="MTO_REV_0"/>
      <sheetName val="DG_QUANG_NINH"/>
      <sheetName val="Hướng_dẫn"/>
      <sheetName val="Ví_dụ_hàm_Vlookup"/>
      <sheetName val="_____ien_110_kV"/>
      <sheetName val="NC_Day_su______ien"/>
      <sheetName val="_____ien_35_kV"/>
      <sheetName val="Hu_ng_d_n"/>
      <sheetName val="Ví_d__hàm_Vlookup"/>
      <sheetName val="DE_tu_v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HDT"/>
      <sheetName val="TH"/>
      <sheetName val="Tonghop"/>
      <sheetName val="Chitiet"/>
      <sheetName val="ctmong"/>
      <sheetName val="ctbetong"/>
      <sheetName val="vcnvat"/>
      <sheetName val="supk"/>
      <sheetName val="vctc+cg"/>
      <sheetName val="trungc"/>
      <sheetName val="vcdai"/>
      <sheetName val="giavl"/>
      <sheetName val="vc+trc"/>
      <sheetName val="KLpk"/>
      <sheetName val="vldien"/>
      <sheetName val="tc+cg1"/>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heet1"/>
      <sheetName val="MD"/>
      <sheetName val="ND"/>
      <sheetName val="CONG"/>
      <sheetName val="DGCT"/>
      <sheetName val="XL4Poppy"/>
      <sheetName val="PIPE-03E"/>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Gia VL"/>
      <sheetName val="Bang gia ca may"/>
      <sheetName val="Bang luong CB"/>
      <sheetName val="Bang P.tich CT"/>
      <sheetName val="D.toan chi tiet"/>
      <sheetName val="Bang TH Dtoan"/>
      <sheetName val="XXXXXXXX"/>
      <sheetName val="Chart1"/>
      <sheetName val="Interim payment"/>
      <sheetName val="Letter"/>
      <sheetName val="Bid Sum"/>
      <sheetName val="Item B"/>
      <sheetName val="Dg A"/>
      <sheetName val="Dg B&amp;C"/>
      <sheetName val="Rates&amp;Prices"/>
      <sheetName val="Material at sit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Dong Dau"/>
      <sheetName val="Dong Dau (2)"/>
      <sheetName val="Sau dong"/>
      <sheetName val="Ma xa"/>
      <sheetName val="My dinh"/>
      <sheetName val="Tong cong"/>
      <sheetName val="VL"/>
      <sheetName val="CTXD"/>
      <sheetName val=".."/>
      <sheetName val="CTDN"/>
      <sheetName val="san vuon"/>
      <sheetName val="khu phu tro"/>
      <sheetName val="TH"/>
      <sheetName val="KH 2003 (moi max)"/>
      <sheetName val="116(300)"/>
      <sheetName val="116(200)"/>
      <sheetName val="116(150)"/>
      <sheetName val="1"/>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Tong hop"/>
      <sheetName val="KL tong"/>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Phu luc"/>
      <sheetName val="Gia trÞ"/>
      <sheetName val="Chart2"/>
      <sheetName val="KH12"/>
      <sheetName val="CN12"/>
      <sheetName val="HD12"/>
      <sheetName val="KH1"/>
      <sheetName val="Congty"/>
      <sheetName val="VPPN"/>
      <sheetName val="XN74"/>
      <sheetName val="XN54"/>
      <sheetName val="XN33"/>
      <sheetName val="NK96"/>
      <sheetName val="XL4Test5"/>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be tong"/>
      <sheetName val="Thep"/>
      <sheetName val="Tong hop thep"/>
      <sheetName val="cd viaK0-T6"/>
      <sheetName val="cdvia T6-Tc24"/>
      <sheetName val="cdvia Tc24-T46"/>
      <sheetName val="cdbtnL2ko-k0+361"/>
      <sheetName val="cd btnL2k0+361-T19"/>
      <sheetName val="DTHH"/>
      <sheetName val="Bang1"/>
      <sheetName val="TAI TRONG"/>
      <sheetName val="NOI LUC"/>
      <sheetName val="TINH DUYET THTT CHINH"/>
      <sheetName val="TDUYET THTT PHU"/>
      <sheetName val="TINH DAO DONG VA DO VONG"/>
      <sheetName val="TINH NEO"/>
      <sheetName val="01"/>
      <sheetName val="02"/>
      <sheetName val="03"/>
      <sheetName val="04"/>
      <sheetName val="05"/>
      <sheetName val="Sheet13"/>
      <sheetName val="Sheet14"/>
      <sheetName val="Sheet15"/>
      <sheetName val="Sheet16"/>
      <sheetName val="Sheet17"/>
      <sheetName val="Sheet18"/>
      <sheetName val="Sheet19"/>
      <sheetName val="Sheet20"/>
      <sheetName val="THCT"/>
      <sheetName val="cap cho cac DT"/>
      <sheetName val="Ung - hoan"/>
      <sheetName val="CP may"/>
      <sheetName val="SS"/>
      <sheetName val="NVL"/>
      <sheetName val="10000000"/>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Quang Tri"/>
      <sheetName val="TTHue"/>
      <sheetName val="Da Nang"/>
      <sheetName val="Quang Nam"/>
      <sheetName val="Quang Ngai"/>
      <sheetName val="TH DH-QN"/>
      <sheetName val="KP HD"/>
      <sheetName val="DB HD"/>
      <sheetName val="PTCT"/>
      <sheetName val="CDghino"/>
      <sheetName val="Tonghop"/>
      <sheetName val="TH (T1-6)"/>
      <sheetName val="ThueTB"/>
      <sheetName val="SCD5"/>
      <sheetName val=" NL"/>
      <sheetName val="CPVL-CPM"/>
      <sheetName val="PTVL"/>
      <sheetName val="CD1"/>
      <sheetName val=" NL (2)"/>
      <sheetName val="CDTHCT"/>
      <sheetName val="CDTHCT (3)"/>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KL VL"/>
      <sheetName val="KHCTiet"/>
      <sheetName val="QT 9-6"/>
      <sheetName val="Thuong luu HB"/>
      <sheetName val="QT03"/>
      <sheetName val="QT"/>
      <sheetName val="PTmay"/>
      <sheetName val="KK"/>
      <sheetName val="QT Ky T"/>
      <sheetName val="BCKT"/>
      <sheetName val="bc vt TON BAI"/>
      <sheetName val="XXXXXXX0"/>
      <sheetName val="DT"/>
      <sheetName val="THND"/>
      <sheetName val="THMD"/>
      <sheetName val="Phtro1"/>
      <sheetName val="DTKS1"/>
      <sheetName val="CT1m"/>
      <sheetName val="Thep "/>
      <sheetName val="Chi tiet Khoi luong"/>
      <sheetName val="TH khoi luong"/>
      <sheetName val="Chiet tinh vat lieu "/>
      <sheetName val="TH KL VL"/>
      <sheetName val="Thuyet minh"/>
      <sheetName val="CQ-HQ"/>
      <sheetName val="CHIT"/>
      <sheetName val="THXH"/>
      <sheetName val="BHXH"/>
      <sheetName val="9"/>
      <sheetName val="10"/>
      <sheetName val="phan tich DG"/>
      <sheetName val="gia vat lieu"/>
      <sheetName val="gia xe may"/>
      <sheetName val="gia nhan cong"/>
      <sheetName val="tscd"/>
      <sheetName val="cong Q2"/>
      <sheetName val="T.U luong Q1"/>
      <sheetName val="T.U luong Q2"/>
      <sheetName val="T.U luong Q3"/>
      <sheetName val="Tong Thu"/>
      <sheetName val="Tong Chi"/>
      <sheetName val="Truong hoc"/>
      <sheetName val="Cty CP"/>
      <sheetName val="G.thau 3B"/>
      <sheetName val="T.Hop Thu-chi"/>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KM"/>
      <sheetName val="KHOANMUC"/>
      <sheetName val="CPQL"/>
      <sheetName val="SANLUONG"/>
      <sheetName val="SSCP-SL"/>
      <sheetName val="CPSX"/>
      <sheetName val="KQKD"/>
      <sheetName val="CDSL (2)"/>
      <sheetName val="00000001"/>
      <sheetName val="00000002"/>
      <sheetName val="00000003"/>
      <sheetName val="00000004"/>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aodo"/>
      <sheetName val="Dat"/>
      <sheetName val="KL-CTTK"/>
      <sheetName val="BTH"/>
      <sheetName val="TM"/>
      <sheetName val="BU-gian"/>
      <sheetName val="Bu-Ha"/>
      <sheetName val="PTVT"/>
      <sheetName val="Gia DAN"/>
      <sheetName val="Dan"/>
      <sheetName val="Cuoc"/>
      <sheetName val="Bugia"/>
      <sheetName val="KL57"/>
      <sheetName val="Phu luc HD"/>
      <sheetName val="Gia du thau"/>
      <sheetName val="PTDG"/>
      <sheetName val="Ca xe"/>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Q1-02"/>
      <sheetName val="Q2-02"/>
      <sheetName val="Q3-02"/>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CT xa"/>
      <sheetName val="TLGC"/>
      <sheetName val="BL"/>
      <sheetName val="tc"/>
      <sheetName val="TDT"/>
      <sheetName val="xl"/>
      <sheetName val="NN"/>
      <sheetName val="Tralaivay"/>
      <sheetName val="TBTN"/>
      <sheetName val="CPTV"/>
      <sheetName val="PCCHAY"/>
      <sheetName val="dtks"/>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THDT"/>
      <sheetName val="DM-Goc"/>
      <sheetName val="Gia-CT"/>
      <sheetName val="PTCP"/>
      <sheetName val="cphoi"/>
      <sheetName val="binh do"/>
      <sheetName val="cot lieu"/>
      <sheetName val="van khuon"/>
      <sheetName val="CT BT"/>
      <sheetName val="lay mau"/>
      <sheetName val="mat ngoai goi"/>
      <sheetName val="coc tram-bt"/>
      <sheetName val="THDGK"/>
      <sheetName val="THDGTT"/>
      <sheetName val="Cong hop"/>
      <sheetName val="Dec31"/>
    </sheetNames>
    <definedNames>
      <definedName name="DataFilter" refersTo="='#REF!'!#REF!"/>
      <definedName name="DataSort" refersTo="='#REF!'!#REF!"/>
      <definedName name="GoBack" refersTo="='#REF!'!#REF!" sheetId="74"/>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thtdt"/>
      <sheetName val="thcpk"/>
      <sheetName val="dtxl"/>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Congty"/>
      <sheetName val="VPPN"/>
      <sheetName val="XN74"/>
      <sheetName val="XN54"/>
      <sheetName val="XN33"/>
      <sheetName val="NK96"/>
      <sheetName val="XL4Test5"/>
      <sheetName val="Sheet13"/>
      <sheetName val="DTDD"/>
      <sheetName val="DTCD"/>
      <sheetName val="DTDD2003"/>
      <sheetName val="Sheet2"/>
      <sheetName val="Vayvon"/>
      <sheetName val="Sheet5"/>
      <sheetName val="Sheet4"/>
      <sheetName val="Sheet1"/>
      <sheetName val="Tdien"/>
      <sheetName val="DTSON ADB3-N2"/>
      <sheetName val="Sheet12"/>
      <sheetName val="Sheet11"/>
      <sheetName val="Sheet10"/>
      <sheetName val="Sheet9"/>
      <sheetName val="Sheet7"/>
      <sheetName val="BangketienvayNHS"/>
      <sheetName val="Sheet6"/>
      <sheetName val="Sheet15"/>
      <sheetName val="Sheet3"/>
      <sheetName val="XXXXXXXX"/>
      <sheetName val="Sheet8"/>
      <sheetName val="Sheet14"/>
      <sheetName val="Sheet16"/>
      <sheetName val="XL4Poppy"/>
      <sheetName val="tong hop"/>
      <sheetName val="phan tich DG"/>
      <sheetName val="gia vat lieu"/>
      <sheetName val="gia xe may"/>
      <sheetName val="gia nhan cong"/>
      <sheetName val="Tan an(8)"/>
      <sheetName val="QK(DP1) (7)"/>
      <sheetName val="cat®o luong(DP1) (6)"/>
      <sheetName val="cat tam quang(DP1) (5)"/>
      <sheetName val="cat Na dan(DP1) (4)"/>
      <sheetName val="cat Na dan(DP1) (2)"/>
      <sheetName val="catdo luong(496)"/>
      <sheetName val="catNam Dan (DELTA) (3)"/>
      <sheetName val="cat hoa binh (DP2) (2)"/>
      <sheetName val="cat hoa binh (DP1)"/>
      <sheetName val="cat song dinh (4)"/>
      <sheetName val="C47-456"/>
      <sheetName val="C46"/>
      <sheetName val="C47-PII"/>
      <sheetName val="Lop 6 lan 1"/>
      <sheetName val="lop1 lan2"/>
      <sheetName val="lop2 lan2 "/>
      <sheetName val="lop3 lan2 "/>
      <sheetName val="lop4 lan2 "/>
      <sheetName val="lop5 lan2 "/>
      <sheetName val="lop6 lan2 "/>
      <sheetName val="lop7 lan2 "/>
      <sheetName val="lop8 lan2 "/>
      <sheetName val="lop9 lan2"/>
      <sheetName val="lop10 lan2 "/>
      <sheetName val="Nconõþnhan"/>
      <sheetName val="general"/>
      <sheetName val="Main Road"/>
      <sheetName val="tuong"/>
      <sheetName val="KL_Dat-Da"/>
      <sheetName val="N1"/>
      <sheetName val="Km0_Km8"/>
      <sheetName val="Km27_Km40+390"/>
      <sheetName val="Km8_Km17"/>
      <sheetName val="Tackcoat"/>
      <sheetName val="Primecoat"/>
      <sheetName val="Km17_Km27"/>
      <sheetName val="2J.01"/>
      <sheetName val="2J.02"/>
      <sheetName val="2J.03"/>
      <sheetName val="2J.04"/>
      <sheetName val="2J.05"/>
      <sheetName val="2J.06"/>
      <sheetName val="2J.07"/>
      <sheetName val="2J.10"/>
      <sheetName val="2J.11"/>
      <sheetName val="2J.12"/>
      <sheetName val="2J.13"/>
      <sheetName val="muc.luc"/>
      <sheetName val="123"/>
      <sheetName val="00000000"/>
      <sheetName val="1"/>
      <sheetName val="2"/>
      <sheetName val="1-11"/>
      <sheetName val="2-11"/>
      <sheetName val="1-12"/>
      <sheetName val="1-1"/>
      <sheetName val="2-12"/>
      <sheetName val="2-1"/>
      <sheetName val="1-2"/>
      <sheetName val="2-2"/>
      <sheetName val="1-3"/>
      <sheetName val="8thangdaunam"/>
      <sheetName val="KDT6"/>
      <sheetName val="KDT7"/>
      <sheetName val="KDT8"/>
      <sheetName val="KDT9"/>
      <sheetName val="KDT10"/>
      <sheetName val="TH"/>
      <sheetName val="XLT7"/>
      <sheetName val="XL8"/>
      <sheetName val="XLT9"/>
      <sheetName val="XLT6"/>
      <sheetName val="B-n (2)"/>
      <sheetName val="B-n"/>
      <sheetName val="B-ky2"/>
      <sheetName val="TH-t toan"/>
      <sheetName val="T-toan"/>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chi tieu HV"/>
      <sheetName val="sx-tt-tk"/>
      <sheetName val="tsach &amp; thu hoi"/>
      <sheetName val="KK than ton   (2)"/>
      <sheetName val="KK than ton   (3)"/>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2)"/>
      <sheetName val="XNGBQI-05 (3)"/>
      <sheetName val="XNGBQII-05 (2)"/>
      <sheetName val="XNGBQII-05 (3)"/>
      <sheetName val="XNGBQIII-05"/>
      <sheetName val="XNGBQII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00000001"/>
      <sheetName val="XNGBQII-05"/>
      <sheetName val="XNGBQII-05 (02)"/>
      <sheetName val="Shdet3"/>
      <sheetName val="g)a vat lieu"/>
      <sheetName val="gia nhan cmng"/>
      <sheetName val="!-3"/>
      <sheetName val="QK(@P1) (7)"/>
      <sheetName val="BANGTRA"/>
      <sheetName val="gvl"/>
      <sheetName val="dtxl"/>
      <sheetName val="vlmifh hoa"/>
      <sheetName val="catNam Daf (DELTA) (3)"/>
      <sheetName val="Sheet0"/>
      <sheetName val="Chart1"/>
      <sheetName val="T2"/>
      <sheetName val="T3"/>
      <sheetName val="T4"/>
      <sheetName val="T5"/>
      <sheetName val="THop"/>
      <sheetName val="THKD"/>
      <sheetName val="10000000"/>
      <sheetName val="20000000"/>
      <sheetName val="30000000"/>
      <sheetName val="40000000"/>
      <sheetName val="TT 9T - 2003"/>
      <sheetName val="TT QIII-2003"/>
      <sheetName val="TT QII-2003"/>
      <sheetName val="TT QI-2003"/>
      <sheetName val="Cheet14"/>
      <sheetName val="F1"/>
      <sheetName val="DTCT"/>
      <sheetName val="BiaNgoai"/>
      <sheetName val="BiaTrong"/>
      <sheetName val="PTVT"/>
      <sheetName val="THVT"/>
      <sheetName val="CVC"/>
      <sheetName val="CVCM"/>
      <sheetName val="BG"/>
      <sheetName val="DToan"/>
      <sheetName val="KJ 2002"/>
      <sheetName val="THKL"/>
      <sheetName val="CLVL"/>
      <sheetName val="CLVT Mong"/>
      <sheetName val="PTVT Mong"/>
      <sheetName val="DG Mong"/>
      <sheetName val="CLVT Than"/>
      <sheetName val="PTVT Than"/>
      <sheetName val="DG Than"/>
      <sheetName val="Det1-3"/>
      <sheetName val="T-H"/>
      <sheetName val="Com29-04Gh"/>
      <sheetName val="Com27-04NThu"/>
      <sheetName val="TH8-5"/>
      <sheetName val="KL Nthu ngay 8-5"/>
      <sheetName val="Com21-04"/>
      <sheetName val="115BC03"/>
      <sheetName val="112BC02"/>
      <sheetName val="114BC02"/>
      <sheetName val="113BC03"/>
      <sheetName val="113BC02"/>
      <sheetName val="116BC02"/>
      <sheetName val="116BC04"/>
      <sheetName val="114BC04"/>
      <sheetName val="112BC04"/>
      <sheetName val="111AC01"/>
      <sheetName val="111-BC02"/>
      <sheetName val="115BC02"/>
      <sheetName val="116BC01"/>
      <sheetName val="GH116BC04(13-4)"/>
      <sheetName val="GH113BC03(13-4)"/>
      <sheetName val="GH112BC02(13-4)"/>
      <sheetName val="Com1-3"/>
      <sheetName val="Com26-3"/>
      <sheetName val="Det26-3"/>
      <sheetName val="Com1-4"/>
      <sheetName val="Det1-4"/>
      <sheetName val="50000000"/>
      <sheetName val="CD2000"/>
      <sheetName val="khi tiet KHM"/>
      <sheetName val="DP than"/>
      <sheetName val="Maueoi"/>
      <sheetName val="TH thantkn"/>
      <sheetName val="XNE@QII-05 (3)"/>
      <sheetName val="sx-tt)tk"/>
      <sheetName val="LLV"/>
      <sheetName val="PHUTRO500"/>
      <sheetName val="BOQ-1"/>
      <sheetName val="Truot_nen"/>
      <sheetName val="SILIC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 val="tong hop"/>
      <sheetName val="phan tich DG"/>
      <sheetName val="gia vat lieu"/>
      <sheetName val="gia xe may"/>
      <sheetName val="gia nhan cong"/>
      <sheetName val="XL4Test5"/>
      <sheetName val="Sheet4"/>
      <sheetName val="Goc Dien"/>
      <sheetName val="QTDien"/>
      <sheetName val="THKP"/>
      <sheetName val="QTNuoc"/>
      <sheetName val="DTnuoc"/>
      <sheetName val="DT dien"/>
      <sheetName val="QTCSet"/>
      <sheetName val="TBI+NUOC "/>
      <sheetName val="Dien"/>
      <sheetName val="Sheet3"/>
      <sheetName val="TBIWC"/>
      <sheetName val="TBI nuoc"/>
      <sheetName val="00000000"/>
      <sheetName val="10000000"/>
      <sheetName val="MTL$-INTER"/>
      <sheetName val="PHAN DS 22 KV"/>
      <sheetName val="general"/>
      <sheetName val="Main Road"/>
      <sheetName val="gVL"/>
      <sheetName val="Gioi thieu"/>
      <sheetName val="DG 11"/>
      <sheetName val="Tien luong"/>
      <sheetName val="Kinh phi "/>
      <sheetName val="Phan tich"/>
      <sheetName val="VC"/>
      <sheetName val="XL4Poppy"/>
      <sheetName val="RL"/>
      <sheetName val="TDQS"/>
      <sheetName val="40C"/>
      <sheetName val="40C-1"/>
      <sheetName val="thi lai"/>
      <sheetName val="DK6"/>
      <sheetName val="DK5"/>
      <sheetName val="DK4"/>
      <sheetName val="DK3"/>
      <sheetName val="DK2"/>
      <sheetName val="DK1"/>
      <sheetName val="ds1"/>
      <sheetName val="ds2"/>
      <sheetName val="ds3"/>
      <sheetName val="ds4"/>
      <sheetName val="ds5"/>
      <sheetName val="ds6"/>
      <sheetName val="6"/>
      <sheetName val="4"/>
      <sheetName val="5"/>
      <sheetName val="3"/>
      <sheetName val="2"/>
      <sheetName val="1"/>
      <sheetName val="DS"/>
      <sheetName val="HP"/>
      <sheetName val="LB"/>
      <sheetName val="SL"/>
      <sheetName val="hl"/>
      <sheetName val="40"/>
      <sheetName val="XXXXXXXX"/>
      <sheetName val="XXXXXXX0"/>
      <sheetName val="DE "/>
      <sheetName val="tra-vat-lieu"/>
      <sheetName val="Đoàn Vay Tiền"/>
      <sheetName val="Nợ Đoàn"/>
      <sheetName val="Sum"/>
      <sheetName val="DO AM DT"/>
      <sheetName val="Chart1"/>
      <sheetName val="MTO REV.0"/>
      <sheetName val="phùn tich DG"/>
      <sheetName val="Congty"/>
      <sheetName val="VPPN"/>
      <sheetName val="XN74"/>
      <sheetName val="XN54"/>
      <sheetName val="XN33"/>
      <sheetName val="NK96"/>
      <sheetName val="C.noTX0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gia vat"/>
      <sheetName val="BANGTRA"/>
      <sheetName val="QM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tk490&#13;491(PAI "/>
      <sheetName val="QTNugc"/>
      <sheetName val="10000_x0010_00"/>
      <sheetName val="Ðoàn Vay Ti_n"/>
      <sheetName val="N_ Ðoàn"/>
      <sheetName val="hieuchinh30.11"/>
      <sheetName val="Bcaonhanh"/>
      <sheetName val="chitieth.chinh"/>
      <sheetName val="trinhEVN29.8"/>
      <sheetName val="dtk490_491(PAI "/>
      <sheetName val="dtk490&#13;491(PAI "/>
      <sheetName val="dtk490_491(PAI "/>
      <sheetName val="Qheet1"/>
      <sheetName val="Input"/>
      <sheetName val="thdt"/>
      <sheetName val="th"/>
      <sheetName val="ptvl0-1"/>
      <sheetName val="0-1"/>
      <sheetName val="ptvl4-5"/>
      <sheetName val="4-5"/>
      <sheetName val="ptvl3-4"/>
      <sheetName val="3-4"/>
      <sheetName val="ptvl2-3"/>
      <sheetName val="2-3"/>
      <sheetName val="vlcong"/>
      <sheetName val="ptvl1-2"/>
      <sheetName val="1-2"/>
      <sheetName val="cong"/>
      <sheetName val="Tinh truoc VAT"/>
      <sheetName val="CP khaosat(Congtinh)"/>
      <sheetName val="CP khaosat(tuyettinh)"/>
      <sheetName val="Bia"/>
      <sheetName val="Tai trong"/>
      <sheetName val="Pile-Br-Capacity"/>
      <sheetName val="BanTinh"/>
      <sheetName val="CN kho doi"/>
      <sheetName val="CTHTchua TTn_ib_"/>
      <sheetName val="CN2004 N_p TCT"/>
      <sheetName val="dudoan"/>
      <sheetName val="CD2000"/>
      <sheetName val="Truot_nen"/>
      <sheetName val="Temp"/>
      <sheetName val=""/>
      <sheetName val="GIAVL"/>
      <sheetName val="Gia vat tu"/>
      <sheetName val="TTTram"/>
      <sheetName val="dtxl"/>
      <sheetName val="dtk48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DTCT"/>
      <sheetName val="B2.3"/>
      <sheetName val="CL XD"/>
      <sheetName val="THop"/>
      <sheetName val="CT"/>
      <sheetName val="TienLuong"/>
      <sheetName val="00000000"/>
      <sheetName val="10000000"/>
      <sheetName val="XXXXXXXX"/>
      <sheetName val="CHO TC"/>
      <sheetName val="Tinh"/>
      <sheetName val="Tinh (m2)"/>
      <sheetName val="Datyeu"/>
      <sheetName val="SS106"/>
      <sheetName val="00000001"/>
      <sheetName val="XL4Poppy"/>
      <sheetName val="ESTI."/>
      <sheetName val="DI-ESTI"/>
      <sheetName val="tra-vat-lieu"/>
      <sheetName val="tuong"/>
      <sheetName val="Sheet1"/>
      <sheetName val="DO AM DT"/>
      <sheetName val="DG "/>
      <sheetName val="Tro giup"/>
      <sheetName val="20000000"/>
      <sheetName val="XL4Test5"/>
      <sheetName val="XL4Test5 (2)"/>
      <sheetName val="XL4Test5 (3)"/>
      <sheetName val="XL4Test5 (4)"/>
      <sheetName val="XL4Test5 (5)"/>
      <sheetName val="dtct cong"/>
      <sheetName val="Gia vat tu"/>
      <sheetName val="ctTBA"/>
      <sheetName val="DS Nam VP"/>
      <sheetName val="Tong Hop thang"/>
      <sheetName val="DANH SACH CAN BO TAP DOAN"/>
      <sheetName val="Lam Vien"/>
      <sheetName val="so da"/>
      <sheetName val="PXCBT CHUA DONG BH"/>
      <sheetName val="DS Nu VP"/>
      <sheetName val="CTy CPTM DV CL"/>
      <sheetName val="cua suot"/>
      <sheetName val="XNCG"/>
      <sheetName val="CTY DTPT ha tang "/>
      <sheetName val="Chi nhanh"/>
      <sheetName val="CTy TNHH Bao Ve "/>
      <sheetName val="Cty TNHH An Lac Vien QN"/>
      <sheetName val="20.8"/>
      <sheetName val="D1"/>
      <sheetName val="D2"/>
      <sheetName val="D3"/>
      <sheetName val="D4"/>
      <sheetName val="Ky BH"/>
      <sheetName val="D5"/>
      <sheetName val="D6"/>
      <sheetName val="IDEVCO HA NOI"/>
      <sheetName val="Ngan Son"/>
      <sheetName val="Nha May Kinh"/>
      <sheetName val="TH PXCBT"/>
      <sheetName val="Tong Cty An Lac Vien"/>
      <sheetName val="Thuong Mai"/>
      <sheetName val="Khoi Van Phong"/>
      <sheetName val="CTy CP Xay dung"/>
      <sheetName val="KD Ve Cua Suot"/>
      <sheetName val="TONG HOP"/>
      <sheetName val="DS HA LONG"/>
      <sheetName val="BC nhanh"/>
      <sheetName val="BC TCTy"/>
      <sheetName val="BC GD "/>
      <sheetName val="BC ngay"/>
      <sheetName val="SL va do am"/>
      <sheetName val="Da voi"/>
      <sheetName val="Da set"/>
      <sheetName val="Lo nung"/>
      <sheetName val="Nghien lieu"/>
      <sheetName val="Nghien xi"/>
      <sheetName val="Nghien than"/>
      <sheetName val="BC P KH"/>
      <sheetName val="THOP XL"/>
      <sheetName val="Du_lieu"/>
      <sheetName val="B2_3"/>
      <sheetName val="CL_XD"/>
      <sheetName val="CHO_TC"/>
      <sheetName val="Tinh_(m2)"/>
      <sheetName val="DO_AM_DT"/>
      <sheetName val="DG_"/>
      <sheetName val="Du Toan"/>
      <sheetName val="Name"/>
      <sheetName val="Thuc thanh"/>
      <sheetName val="ML"/>
      <sheetName val="TT"/>
      <sheetName val="TD"/>
      <sheetName val="DV"/>
      <sheetName val="BMC"/>
      <sheetName val="DN"/>
      <sheetName val="DUL"/>
      <sheetName val="DTHH"/>
      <sheetName val="Dam chu"/>
      <sheetName val="Bia"/>
      <sheetName val="Sheet2"/>
      <sheetName val="BGVL"/>
      <sheetName val="NC&amp;M"/>
      <sheetName val="DG Nen"/>
      <sheetName val="PTVTplhoc"/>
      <sheetName val="PTVTT.rao"/>
      <sheetName val="DTOANT.rao"/>
      <sheetName val="T.HOP "/>
      <sheetName val="DTOANDien"/>
      <sheetName val="DTOANP.HOC"/>
      <sheetName val="TLUONG pNHA O"/>
      <sheetName val="TLUONGT.rao"/>
      <sheetName val="PTVTWC"/>
      <sheetName val="CL VTU"/>
      <sheetName val="TTHEP WC"/>
      <sheetName val="THEP TRao"/>
      <sheetName val="DGIA"/>
      <sheetName val="THEP PHONG HOC"/>
      <sheetName val="Vanchuyen"/>
      <sheetName val="Sheet9"/>
      <sheetName val="Sheet10"/>
      <sheetName val=""/>
      <sheetName val="tra-vat-lgeu"/>
      <sheetName val="Tro_giup"/>
      <sheetName val="XL4Test5_(2)"/>
      <sheetName val="XL4Test5_(3)"/>
      <sheetName val="XL4Test5_(4)"/>
      <sheetName val="XL4Test5_(5)"/>
      <sheetName val="ESTI_"/>
      <sheetName val="Gia_vat_tu"/>
      <sheetName val="dtct_cong"/>
      <sheetName val="DS_Nam_VP"/>
      <sheetName val="Tong_Hop_thang"/>
      <sheetName val="DANH_SACH_CAN_BO_TAP_DOAN"/>
      <sheetName val="Lam_Vien"/>
      <sheetName val="so_da"/>
      <sheetName val="PXCBT_CHUA_DONG_BH"/>
      <sheetName val="DS_Nu_VP"/>
      <sheetName val="CTy_CPTM_DV_CL"/>
      <sheetName val="cua_suot"/>
      <sheetName val="CTY_DTPT_ha_tang_"/>
      <sheetName val="Chi_nhanh"/>
      <sheetName val="CTy_TNHH_Bao_Ve_"/>
      <sheetName val="Cty_TNHH_An_Lac_Vien_QN"/>
      <sheetName val="20_8"/>
      <sheetName val="Ky_BH"/>
      <sheetName val="IDEVCO_HA_NOI"/>
      <sheetName val="Ngan_Son"/>
      <sheetName val="Nha_May_Kinh"/>
      <sheetName val="TH_PXCBT"/>
      <sheetName val="Tong_Cty_An_Lac_Vien"/>
      <sheetName val="Thuong_Mai"/>
      <sheetName val="Khoi_Van_Phong"/>
      <sheetName val="CTy_CP_Xay_dung"/>
      <sheetName val="KD_Ve_Cua_Suot"/>
      <sheetName val="TONG_HOP"/>
      <sheetName val="DS_HA_LONG"/>
      <sheetName val="B2_31"/>
      <sheetName val="CL_XD1"/>
      <sheetName val="CHO_TC1"/>
      <sheetName val="Tinh_(m2)1"/>
      <sheetName val="DO_AM_DT1"/>
      <sheetName val="DG_1"/>
      <sheetName val="CHU Y"/>
      <sheetName val="BLK"/>
      <sheetName val="NHAT KY CT (vat)"/>
      <sheetName val="111CT"/>
      <sheetName val="111"/>
      <sheetName val="112DT"/>
      <sheetName val="131-IN"/>
      <sheetName val="331-IN"/>
      <sheetName val="311NT"/>
      <sheetName val="311CT"/>
      <sheetName val="6211"/>
      <sheetName val="6212"/>
      <sheetName val="133"/>
      <sheetName val="627"/>
      <sheetName val="635"/>
      <sheetName val="642"/>
      <sheetName val="PC-VAT"/>
      <sheetName val="PC"/>
      <sheetName val="PT-VAT"/>
      <sheetName val="PT"/>
      <sheetName val="CTGS "/>
      <sheetName val="112NT"/>
      <sheetName val="SO CAI"/>
      <sheetName val="SO CAICT"/>
      <sheetName val="NHAT KY CT"/>
      <sheetName val="DT"/>
      <sheetName val="SHTK"/>
      <sheetName val="BCDPS"/>
      <sheetName val="CDKT"/>
      <sheetName val="CDKT1"/>
      <sheetName val="KQKD1"/>
      <sheetName val="LCTT1"/>
      <sheetName val="TMBCTC"/>
      <sheetName val="CCDC"/>
      <sheetName val="131"/>
      <sheetName val="331"/>
      <sheetName val="TGTSCD"/>
      <sheetName val="KKTSCD"/>
      <sheetName val="IBASE"/>
      <sheetName val="Package1"/>
      <sheetName val="Tổng hợp VT"/>
      <sheetName val="Tổng kê"/>
      <sheetName val="AASHTO92"/>
      <sheetName val="KKKKKKKK"/>
      <sheetName val="THCT"/>
      <sheetName val="THTram"/>
      <sheetName val="THDZ0,4"/>
      <sheetName val="TH DZ35"/>
      <sheetName val="Sheet3"/>
      <sheetName val="________"/>
      <sheetName val="Du_Toan"/>
      <sheetName val="THOP_XL"/>
      <sheetName val="Thuc_thanh"/>
      <sheetName val="BC_nhanh"/>
      <sheetName val="BC_TCTy"/>
      <sheetName val="BC_GD_"/>
      <sheetName val="BC_ngay"/>
      <sheetName val="SL_va_do_am"/>
      <sheetName val="Da_voi"/>
      <sheetName val="Da_set"/>
      <sheetName val="Lo_nung"/>
      <sheetName val="Nghien_lieu"/>
      <sheetName val="Nghien_xi"/>
      <sheetName val="Nghien_than"/>
      <sheetName val="BC_P_KH"/>
      <sheetName val="Dam_chu"/>
      <sheetName val="PTVTT_rao"/>
      <sheetName val="DTOANT_rao"/>
      <sheetName val="T_HOP_"/>
      <sheetName val="DTOANP_HOC"/>
      <sheetName val="TLUONG_pNHA_O"/>
      <sheetName val="TLUONGT_rao"/>
      <sheetName val="CL_VTU"/>
      <sheetName val="TTHEP_WC"/>
      <sheetName val="THEP_TRao"/>
      <sheetName val="THEP_PHONG_HOC"/>
      <sheetName val="DG_Nen"/>
      <sheetName val="Tổng_hợp_VT"/>
      <sheetName val="Tổng_kê"/>
      <sheetName val="B2_32"/>
      <sheetName val="CL_XD2"/>
      <sheetName val="CHO_TC2"/>
      <sheetName val="Tinh_(m2)2"/>
      <sheetName val="ESTI_1"/>
      <sheetName val="DO_AM_DT2"/>
      <sheetName val="dtct_cong1"/>
      <sheetName val="DG_2"/>
      <sheetName val="Tro_giup1"/>
      <sheetName val="XL4Test5_(2)1"/>
      <sheetName val="XL4Test5_(3)1"/>
      <sheetName val="XL4Test5_(4)1"/>
      <sheetName val="XL4Test5_(5)1"/>
      <sheetName val="Gia_vat_tu1"/>
      <sheetName val="DS_Nam_VP1"/>
      <sheetName val="Tong_Hop_thang1"/>
      <sheetName val="DANH_SACH_CAN_BO_TAP_DOAN1"/>
      <sheetName val="Lam_Vien1"/>
      <sheetName val="so_da1"/>
      <sheetName val="PXCBT_CHUA_DONG_BH1"/>
      <sheetName val="DS_Nu_VP1"/>
      <sheetName val="CTy_CPTM_DV_CL1"/>
      <sheetName val="cua_suot1"/>
      <sheetName val="CTY_DTPT_ha_tang_1"/>
      <sheetName val="Chi_nhanh1"/>
      <sheetName val="CTy_TNHH_Bao_Ve_1"/>
      <sheetName val="Cty_TNHH_An_Lac_Vien_QN1"/>
      <sheetName val="20_81"/>
      <sheetName val="Ky_BH1"/>
      <sheetName val="IDEVCO_HA_NOI1"/>
      <sheetName val="Ngan_Son1"/>
      <sheetName val="Nha_May_Kinh1"/>
      <sheetName val="TH_PXCBT1"/>
      <sheetName val="Tong_Cty_An_Lac_Vien1"/>
      <sheetName val="Thuong_Mai1"/>
      <sheetName val="Khoi_Van_Phong1"/>
      <sheetName val="CTy_CP_Xay_dung1"/>
      <sheetName val="KD_Ve_Cua_Suot1"/>
      <sheetName val="TONG_HOP1"/>
      <sheetName val="DS_HA_LONG1"/>
      <sheetName val="THOP_XL1"/>
      <sheetName val="DG_Nen1"/>
      <sheetName val="BC_nhanh1"/>
      <sheetName val="BC_TCTy1"/>
      <sheetName val="BC_GD_1"/>
      <sheetName val="BC_ngay1"/>
      <sheetName val="SL_va_do_am1"/>
      <sheetName val="Da_voi1"/>
      <sheetName val="Da_set1"/>
      <sheetName val="Lo_nung1"/>
      <sheetName val="Nghien_lieu1"/>
      <sheetName val="Nghien_xi1"/>
      <sheetName val="Nghien_than1"/>
      <sheetName val="BC_P_KH1"/>
      <sheetName val="Du_Toan1"/>
      <sheetName val="Thuc_thanh1"/>
      <sheetName val="Dam_chu1"/>
      <sheetName val="PTVTT_rao1"/>
      <sheetName val="DTOANT_rao1"/>
      <sheetName val="T_HOP_1"/>
      <sheetName val="DTOANP_HOC1"/>
      <sheetName val="TLUONG_pNHA_O1"/>
      <sheetName val="TLUONGT_rao1"/>
      <sheetName val="CL_VTU1"/>
      <sheetName val="TTHEP_WC1"/>
      <sheetName val="THEP_TRao1"/>
      <sheetName val="THEP_PHONG_HOC1"/>
      <sheetName val="B2_33"/>
      <sheetName val="CL_XD3"/>
      <sheetName val="CHO_TC3"/>
      <sheetName val="Tinh_(m2)3"/>
      <sheetName val="ESTI_2"/>
      <sheetName val="DO_AM_DT3"/>
      <sheetName val="dtct_cong2"/>
      <sheetName val="DG_3"/>
      <sheetName val="Tro_giup2"/>
      <sheetName val="XL4Test5_(2)2"/>
      <sheetName val="XL4Test5_(3)2"/>
      <sheetName val="XL4Test5_(4)2"/>
      <sheetName val="XL4Test5_(5)2"/>
      <sheetName val="Gia_vat_tu2"/>
      <sheetName val="DS_Nam_VP2"/>
      <sheetName val="Tong_Hop_thang2"/>
      <sheetName val="DANH_SACH_CAN_BO_TAP_DOAN2"/>
      <sheetName val="Lam_Vien2"/>
      <sheetName val="so_da2"/>
      <sheetName val="PXCBT_CHUA_DONG_BH2"/>
      <sheetName val="DS_Nu_VP2"/>
      <sheetName val="CTy_CPTM_DV_CL2"/>
      <sheetName val="cua_suot2"/>
      <sheetName val="CTY_DTPT_ha_tang_2"/>
      <sheetName val="Chi_nhanh2"/>
      <sheetName val="CTy_TNHH_Bao_Ve_2"/>
      <sheetName val="Cty_TNHH_An_Lac_Vien_QN2"/>
      <sheetName val="20_82"/>
      <sheetName val="Ky_BH2"/>
      <sheetName val="IDEVCO_HA_NOI2"/>
      <sheetName val="Ngan_Son2"/>
      <sheetName val="Nha_May_Kinh2"/>
      <sheetName val="TH_PXCBT2"/>
      <sheetName val="Tong_Cty_An_Lac_Vien2"/>
      <sheetName val="Thuong_Mai2"/>
      <sheetName val="Khoi_Van_Phong2"/>
      <sheetName val="CTy_CP_Xay_dung2"/>
      <sheetName val="KD_Ve_Cua_Suot2"/>
      <sheetName val="TONG_HOP2"/>
      <sheetName val="DS_HA_LONG2"/>
      <sheetName val="THOP_XL2"/>
      <sheetName val="DG_Nen2"/>
      <sheetName val="BC_nhanh2"/>
      <sheetName val="BC_TCTy2"/>
      <sheetName val="BC_GD_2"/>
      <sheetName val="BC_ngay2"/>
      <sheetName val="SL_va_do_am2"/>
      <sheetName val="Da_voi2"/>
      <sheetName val="Da_set2"/>
      <sheetName val="Lo_nung2"/>
      <sheetName val="Nghien_lieu2"/>
      <sheetName val="Nghien_xi2"/>
      <sheetName val="Nghien_than2"/>
      <sheetName val="BC_P_KH2"/>
      <sheetName val="Du_Toan2"/>
      <sheetName val="Thuc_thanh2"/>
      <sheetName val="Dam_chu2"/>
      <sheetName val="PTVTT_rao2"/>
      <sheetName val="DTOANT_rao2"/>
      <sheetName val="T_HOP_2"/>
      <sheetName val="DTOANP_HOC2"/>
      <sheetName val="TLUONG_pNHA_O2"/>
      <sheetName val="TLUONGT_rao2"/>
      <sheetName val="CL_VTU2"/>
      <sheetName val="TTHEP_WC2"/>
      <sheetName val="THEP_TRao2"/>
      <sheetName val="THEP_PHONG_HOC2"/>
      <sheetName val="B2_34"/>
      <sheetName val="CL_XD4"/>
      <sheetName val="CHO_TC4"/>
      <sheetName val="Tinh_(m2)4"/>
      <sheetName val="ESTI_3"/>
      <sheetName val="DO_AM_DT4"/>
      <sheetName val="dtct_cong3"/>
      <sheetName val="DG_4"/>
      <sheetName val="Tro_giup3"/>
      <sheetName val="XL4Test5_(2)3"/>
      <sheetName val="XL4Test5_(3)3"/>
      <sheetName val="XL4Test5_(4)3"/>
      <sheetName val="XL4Test5_(5)3"/>
      <sheetName val="Gia_vat_tu3"/>
      <sheetName val="DS_Nam_VP3"/>
      <sheetName val="Tong_Hop_thang3"/>
      <sheetName val="DANH_SACH_CAN_BO_TAP_DOAN3"/>
      <sheetName val="Lam_Vien3"/>
      <sheetName val="so_da3"/>
      <sheetName val="PXCBT_CHUA_DONG_BH3"/>
      <sheetName val="DS_Nu_VP3"/>
      <sheetName val="CTy_CPTM_DV_CL3"/>
      <sheetName val="cua_suot3"/>
      <sheetName val="CTY_DTPT_ha_tang_3"/>
      <sheetName val="Chi_nhanh3"/>
      <sheetName val="CTy_TNHH_Bao_Ve_3"/>
      <sheetName val="Cty_TNHH_An_Lac_Vien_QN3"/>
      <sheetName val="20_83"/>
      <sheetName val="Ky_BH3"/>
      <sheetName val="IDEVCO_HA_NOI3"/>
      <sheetName val="Ngan_Son3"/>
      <sheetName val="Nha_May_Kinh3"/>
      <sheetName val="TH_PXCBT3"/>
      <sheetName val="Tong_Cty_An_Lac_Vien3"/>
      <sheetName val="Thuong_Mai3"/>
      <sheetName val="Khoi_Van_Phong3"/>
      <sheetName val="CTy_CP_Xay_dung3"/>
      <sheetName val="KD_Ve_Cua_Suot3"/>
      <sheetName val="TONG_HOP3"/>
      <sheetName val="DS_HA_LONG3"/>
      <sheetName val="THOP_XL3"/>
      <sheetName val="DG_Nen3"/>
      <sheetName val="BC_nhanh3"/>
      <sheetName val="BC_TCTy3"/>
      <sheetName val="BC_GD_3"/>
      <sheetName val="BC_ngay3"/>
      <sheetName val="SL_va_do_am3"/>
      <sheetName val="Da_voi3"/>
      <sheetName val="Da_set3"/>
      <sheetName val="Lo_nung3"/>
      <sheetName val="Nghien_lieu3"/>
      <sheetName val="Nghien_xi3"/>
      <sheetName val="Nghien_than3"/>
      <sheetName val="BC_P_KH3"/>
      <sheetName val="Du_Toan3"/>
      <sheetName val="Thuc_thanh3"/>
      <sheetName val="Dam_chu3"/>
      <sheetName val="PTVTT_rao3"/>
      <sheetName val="DTOANT_rao3"/>
      <sheetName val="T_HOP_3"/>
      <sheetName val="DTOANP_HOC3"/>
      <sheetName val="TLUONG_pNHA_O3"/>
      <sheetName val="TLUONGT_rao3"/>
      <sheetName val="CL_VTU3"/>
      <sheetName val="TTHEP_WC3"/>
      <sheetName val="THEP_TRao3"/>
      <sheetName val="THEP_PHONG_HOC3"/>
      <sheetName val="Sum"/>
      <sheetName val="TTTram"/>
      <sheetName val="Tinh _x0008_m2)"/>
      <sheetName val="KKKKKKKK (2)"/>
      <sheetName val="KKKKKKKK (3)"/>
      <sheetName val="KKKKKKKK (4)"/>
      <sheetName val="KKKKKKKK (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ia"/>
      <sheetName val="Gia_GC_Satthep"/>
      <sheetName val="Sheet1"/>
      <sheetName val="Sheet2"/>
      <sheetName val="Sheet3"/>
      <sheetName val="XL4Test5"/>
      <sheetName val="Tổng kê"/>
      <sheetName val="gvl"/>
      <sheetName val="dtct cong"/>
      <sheetName val="tra-vat-lieu"/>
      <sheetName val="Gia_NC"/>
      <sheetName val="COAT&amp;WRAP-QIOT-#3"/>
      <sheetName val="PNT-QUOT-#3"/>
      <sheetName val="VAT &amp; CIT COMIN"/>
      <sheetName val="VN 9"/>
      <sheetName val="VN 8"/>
      <sheetName val="VN 6"/>
      <sheetName val="VN 3"/>
      <sheetName val="VN 1"/>
      <sheetName val="lot 10.1"/>
      <sheetName val="lot 10.2"/>
      <sheetName val="lot 11.1"/>
      <sheetName val="lot 11.2"/>
      <sheetName val="lot 12.1"/>
      <sheetName val="lot 12.2"/>
      <sheetName val="gia vt,nc,may"/>
      <sheetName val="TTTram"/>
      <sheetName val="NEW-PANEL"/>
      <sheetName val="Chart1"/>
      <sheetName val="mong + than"/>
      <sheetName val="h thien tt"/>
      <sheetName val="hoµn thien x trat"/>
      <sheetName val="~         "/>
      <sheetName val="XL4Poppy"/>
      <sheetName val="T_x0014_04"/>
      <sheetName val="TH_TB"/>
      <sheetName val="bia_"/>
      <sheetName val="Gia_MBA_(2)"/>
      <sheetName val="Gi¸_tñ_bï"/>
      <sheetName val="Gia_KH"/>
      <sheetName val="GiaVT_XDCB"/>
      <sheetName val="Gia_MBA"/>
      <sheetName val="Cac_HS_hay_SD"/>
      <sheetName val="TTDZ22"/>
      <sheetName val="ctTBA"/>
      <sheetName val="DGIAgoi1"/>
      <sheetName val="ctdg"/>
      <sheetName val="T_ng kê"/>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Out"/>
      <sheetName val="DATA"/>
      <sheetName val="daywork- Tham khao"/>
      <sheetName val="XT_Buoc 3"/>
      <sheetName val="tuong"/>
      <sheetName val="Chiet tinh"/>
      <sheetName val="Yen Dinh 1"/>
      <sheetName val="KLHT"/>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bka "/>
      <sheetName val="Gia vat tu"/>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Book 1 Summary"/>
      <sheetName val="DONVIBAN"/>
      <sheetName val="NGUON"/>
      <sheetName val="Quantity"/>
      <sheetName val="Sum"/>
      <sheetName val="00 00000"/>
      <sheetName val="GVT"/>
      <sheetName val=""/>
      <sheetName val="DO AM DT"/>
      <sheetName val="tra-~at-lieu"/>
      <sheetName val="KH-Q1,Q2,01"/>
      <sheetName val="Can doi "/>
      <sheetName val="TH VL, NC, DDHT Thanh0huoc"/>
      <sheetName val="DG29HB"/>
      <sheetName val="BOQ-1"/>
      <sheetName val="BD-1"/>
      <sheetName val="TH_TB2"/>
      <sheetName val="bia_2"/>
      <sheetName val="Gia_MBA_(2)2"/>
      <sheetName val="Gi¸_tñ_bï2"/>
      <sheetName val="Gia_KH2"/>
      <sheetName val="GiaVT_XDCB2"/>
      <sheetName val="Gia_MBA2"/>
      <sheetName val="Cac_HS_hay_SD2"/>
      <sheetName val="dtct_cong1"/>
      <sheetName val="Tổng_kê1"/>
      <sheetName val="VAT_&amp;_CIT_COMIN1"/>
      <sheetName val="VN_91"/>
      <sheetName val="VN_81"/>
      <sheetName val="VN_61"/>
      <sheetName val="VN_31"/>
      <sheetName val="VN_11"/>
      <sheetName val="lot_10_11"/>
      <sheetName val="lot_10_21"/>
      <sheetName val="lot_11_11"/>
      <sheetName val="lot_11_21"/>
      <sheetName val="lot_12_11"/>
      <sheetName val="lot_12_21"/>
      <sheetName val="gia_vt,nc,may1"/>
      <sheetName val="mong_+_than1"/>
      <sheetName val="h_thien_tt1"/>
      <sheetName val="hoµn_thien_x_trat1"/>
      <sheetName val="~_________1"/>
      <sheetName val="XT_Buoc_31"/>
      <sheetName val="Chiet_tinh1"/>
      <sheetName val="T_ng_kê"/>
      <sheetName val="KPVC-BD_1"/>
      <sheetName val="Yen_Dinh_1"/>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daywork-_Tham_khao"/>
      <sheetName val="Book_1_Summary"/>
      <sheetName val="bka_1"/>
      <sheetName val="hieuchinh30_11"/>
      <sheetName val="Gia_K"/>
      <sheetName val="hoµn_thien_x_tra4"/>
      <sheetName val="DON_GIA_TRAM_(3)"/>
      <sheetName val="00_00000"/>
      <sheetName val="Gia_vat_tu1"/>
      <sheetName val="Phan_dau"/>
      <sheetName val="Luü_kÕ_2007"/>
      <sheetName val="NXT_thang5"/>
      <sheetName val="NXT_thang6nam_07"/>
      <sheetName val="NXT_thang_2"/>
      <sheetName val="NXT_thang_3"/>
      <sheetName val="NXTon_thang1"/>
      <sheetName val="NXTthang_5"/>
      <sheetName val="NXT_thang_4"/>
      <sheetName val="NXT_hang_Ctao"/>
      <sheetName val="NXTthang8_"/>
      <sheetName val="VTu_T6"/>
      <sheetName val="TH_TB3"/>
      <sheetName val="bia_3"/>
      <sheetName val="Gia_MBA_(2)3"/>
      <sheetName val="Gi¸_tñ_bï3"/>
      <sheetName val="Gia_KH3"/>
      <sheetName val="GiaVT_XDCB3"/>
      <sheetName val="Gia_MBA3"/>
      <sheetName val="Cac_HS_hay_SD3"/>
      <sheetName val="dtct_cong2"/>
      <sheetName val="Tổng_kê2"/>
      <sheetName val="VAT_&amp;_CIT_COMIN2"/>
      <sheetName val="VN_92"/>
      <sheetName val="VN_82"/>
      <sheetName val="VN_62"/>
      <sheetName val="VN_32"/>
      <sheetName val="VN_12"/>
      <sheetName val="lot_10_12"/>
      <sheetName val="lot_10_22"/>
      <sheetName val="lot_11_12"/>
      <sheetName val="lot_11_22"/>
      <sheetName val="lot_12_12"/>
      <sheetName val="lot_12_22"/>
      <sheetName val="gia_vt,nc,may2"/>
      <sheetName val="mong_+_than2"/>
      <sheetName val="h_thien_tt2"/>
      <sheetName val="hoµn_thien_x_trat2"/>
      <sheetName val="~_________2"/>
      <sheetName val="XT_Buoc_32"/>
      <sheetName val="Chiet_tinh2"/>
      <sheetName val="T_ng_kê1"/>
      <sheetName val="KPVC-BD_2"/>
      <sheetName val="Yen_Dinh_1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daywork-_Tham_khao1"/>
      <sheetName val="Book_1_Summary1"/>
      <sheetName val="bka_2"/>
      <sheetName val="hieuchinh30_111"/>
      <sheetName val="hoµn_thien_x_tra41"/>
      <sheetName val="DON_GIA_TRAM_(3)1"/>
      <sheetName val="00_000001"/>
      <sheetName val="Gia_vat_tu2"/>
      <sheetName val="TH_TB4"/>
      <sheetName val="bia_4"/>
      <sheetName val="Gia_MBA_(2)4"/>
      <sheetName val="Gi¸_tñ_bï4"/>
      <sheetName val="Gia_KH4"/>
      <sheetName val="GiaVT_XDCB4"/>
      <sheetName val="Gia_MBA4"/>
      <sheetName val="Cac_HS_hay_SD4"/>
      <sheetName val="dtct_cong3"/>
      <sheetName val="Tổng_kê3"/>
      <sheetName val="VAT_&amp;_CIT_COMIN3"/>
      <sheetName val="VN_93"/>
      <sheetName val="VN_83"/>
      <sheetName val="VN_63"/>
      <sheetName val="VN_33"/>
      <sheetName val="VN_13"/>
      <sheetName val="lot_10_13"/>
      <sheetName val="lot_10_23"/>
      <sheetName val="lot_11_13"/>
      <sheetName val="lot_11_23"/>
      <sheetName val="lot_12_13"/>
      <sheetName val="lot_12_23"/>
      <sheetName val="gia_vt,nc,may3"/>
      <sheetName val="mong_+_than3"/>
      <sheetName val="h_thien_tt3"/>
      <sheetName val="hoµn_thien_x_trat3"/>
      <sheetName val="~_________3"/>
      <sheetName val="XT_Buoc_33"/>
      <sheetName val="Chiet_tinh3"/>
      <sheetName val="T_ng_kê2"/>
      <sheetName val="KPVC-BD_3"/>
      <sheetName val="Yen_Dinh_12"/>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daywork-_Tham_khao2"/>
      <sheetName val="Book_1_Summary2"/>
      <sheetName val="bka_3"/>
      <sheetName val="hieuchinh30_112"/>
      <sheetName val="hoµn_thien_x_tra42"/>
      <sheetName val="DON_GIA_TRAM_(3)2"/>
      <sheetName val="00_000002"/>
      <sheetName val="Gia_vat_tu3"/>
      <sheetName val="TH_TB5"/>
      <sheetName val="bia_5"/>
      <sheetName val="Gia_MBA_(2)5"/>
      <sheetName val="Gi¸_tñ_bï5"/>
      <sheetName val="Gia_KH5"/>
      <sheetName val="GiaVT_XDCB5"/>
      <sheetName val="Gia_MBA5"/>
      <sheetName val="Cac_HS_hay_SD5"/>
      <sheetName val="dtct_cong4"/>
      <sheetName val="Tổng_kê4"/>
      <sheetName val="VAT_&amp;_CIT_COMIN4"/>
      <sheetName val="VN_94"/>
      <sheetName val="VN_84"/>
      <sheetName val="VN_64"/>
      <sheetName val="VN_34"/>
      <sheetName val="VN_14"/>
      <sheetName val="lot_10_14"/>
      <sheetName val="lot_10_24"/>
      <sheetName val="lot_11_14"/>
      <sheetName val="lot_11_24"/>
      <sheetName val="lot_12_14"/>
      <sheetName val="lot_12_24"/>
      <sheetName val="gia_vt,nc,may4"/>
      <sheetName val="mong_+_than4"/>
      <sheetName val="h_thien_tt4"/>
      <sheetName val="hoµn_thien_x_trat4"/>
      <sheetName val="~_________4"/>
      <sheetName val="XT_Buoc_34"/>
      <sheetName val="Chiet_tinh4"/>
      <sheetName val="T_ng_kê3"/>
      <sheetName val="KPVC-BD_4"/>
      <sheetName val="Yen_Dinh_13"/>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daywork-_Tham_khao3"/>
      <sheetName val="Book_1_Summary3"/>
      <sheetName val="bka_4"/>
      <sheetName val="hieuchinh30_113"/>
      <sheetName val="hoµn_thien_x_tra43"/>
      <sheetName val="DON_GIA_TRAM_(3)3"/>
      <sheetName val="00_000003"/>
      <sheetName val="Gia_vat_tu4"/>
      <sheetName val="KB"/>
      <sheetName val="DZ 0.4"/>
      <sheetName val="Economic Profit"/>
      <sheetName val="T_x005f_x0014_04"/>
      <sheetName val="T_x005f_x005f_x005f_x0014_04"/>
      <sheetName val="T_x005f_x005f_x005f_x005f_x005f_x005f_x005f_x0014_04"/>
      <sheetName val="Gia_K_x005f_x0008_"/>
      <sheetName val="PhÇnCK"/>
      <sheetName val="________"/>
      <sheetName val="dtxl-DC"/>
      <sheetName val="Bia"/>
      <sheetName val="Package1"/>
      <sheetName val="KKKKKKKK"/>
      <sheetName val="§g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NT-QUOT-#3"/>
      <sheetName val="COAT&amp;WRAP-QIOT-#3"/>
      <sheetName val="XL4Poppy"/>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Gia"/>
      <sheetName val="GVL-NC-M"/>
      <sheetName val="Comb"/>
      <sheetName val="TT04"/>
      <sheetName val="TTTram"/>
      <sheetName val="gVL"/>
      <sheetName val="GHI CHU"/>
      <sheetName val="B1"/>
      <sheetName val="B2"/>
      <sheetName val="Don gia"/>
      <sheetName val="Vat lieu"/>
      <sheetName val="Hg dan"/>
      <sheetName val="Vi du"/>
      <sheetName val="gia vt,nc,m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ctTBA"/>
      <sheetName val="bia"/>
      <sheetName val="BTTBA"/>
      <sheetName val="DZ22"/>
      <sheetName val="TTDZ22"/>
      <sheetName val="DZ04"/>
      <sheetName val="TTDZ0,4-cto"/>
      <sheetName val="cto"/>
      <sheetName val="THctiet"/>
      <sheetName val="THctiet (2)"/>
      <sheetName val="bia (4)"/>
      <sheetName val="CT"/>
      <sheetName val="C47(II)"/>
      <sheetName val="C47(I)"/>
      <sheetName val="C46"/>
      <sheetName val="C45"/>
      <sheetName val="YT 02"/>
      <sheetName val="C2A"/>
      <sheetName val="Trich nop"/>
      <sheetName val="00000000"/>
      <sheetName val="10000000"/>
      <sheetName val="XXXXXXXX"/>
      <sheetName val="20000000"/>
      <sheetName val="XL4Poppy"/>
      <sheetName val="Nam - VD"/>
      <sheetName val="CTY TAY HO"/>
      <sheetName val="DUNG XEROX"/>
      <sheetName val="Anh Duc"/>
      <sheetName val="CT Thanh Liem"/>
      <sheetName val="Phuc Yen"/>
      <sheetName val="CT thiet bi in"/>
      <sheetName val="LAM (LBien)"/>
      <sheetName val="Long (C.Tien)"/>
      <sheetName val="Ly (C.Thang)"/>
      <sheetName val="Co Soi"/>
      <sheetName val="Chu Hung(Gau)"/>
      <sheetName val="51-Phan Dinh Phung"/>
      <sheetName val="Mai(TDT)"/>
      <sheetName val="C.Tuyet"/>
      <sheetName val="CTy ICT"/>
      <sheetName val="CTCDPTNT"/>
      <sheetName val="CTQuynh"/>
      <sheetName val="CT dandung"/>
      <sheetName val="XNXDH 312"/>
      <sheetName val="T.Phuong"/>
      <sheetName val="Thai"/>
      <sheetName val="Phuong(BT)"/>
      <sheetName val="CTPTHN"/>
      <sheetName val="Ha(SMT)"/>
      <sheetName val="Quang"/>
      <sheetName val="Chi Thuy"/>
      <sheetName val="Minh"/>
      <sheetName val="Duong lang thuong"/>
      <sheetName val="X.Thuy"/>
      <sheetName val="Kien"/>
      <sheetName val="Hoa"/>
      <sheetName val="XNXL3"/>
      <sheetName val="Vinh"/>
      <sheetName val="Manh"/>
      <sheetName val="CTY Tp MB"/>
      <sheetName val="Nhat Vinh"/>
      <sheetName val="Mai Lan"/>
      <sheetName val="Chart1"/>
      <sheetName val="CDMua"/>
      <sheetName val="Huyen"/>
      <sheetName val="Thanh"/>
      <sheetName val="Ly"/>
      <sheetName val="Phuong"/>
      <sheetName val="Tam "/>
      <sheetName val="Lan (2)"/>
      <sheetName val="Lan"/>
      <sheetName val="Thuy"/>
      <sheetName val="GVL"/>
      <sheetName val="T_x0014_DZ22"/>
      <sheetName val="TT04"/>
      <sheetName val="Gia"/>
      <sheetName val="Pier"/>
      <sheetName val="DTgiaothau"/>
      <sheetName val="LM"/>
      <sheetName val="THctiet_(2)"/>
      <sheetName val="bia_(4)"/>
      <sheetName val="M聡i Lan"/>
      <sheetName val="Ctinh 10kV"/>
      <sheetName val="TTTram"/>
      <sheetName val="PNT-QUOT-#3"/>
      <sheetName val="COAT&amp;WRAP-QIOT-#3"/>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YT_02"/>
      <sheetName val="Trich_nop"/>
      <sheetName val="Nam_-_VD"/>
      <sheetName val="CTY_TAY_HO"/>
      <sheetName val="DUNG_XEROX"/>
      <sheetName val="Anh_Duc"/>
      <sheetName val="CT_Thanh_Liem"/>
      <sheetName val="Phuc_Yen"/>
      <sheetName val="CT_thiet_bi_in"/>
      <sheetName val="LAM_(LBien)"/>
      <sheetName val="Long_(C_Tien)"/>
      <sheetName val="Ly_(C_Thang)"/>
      <sheetName val="Co_Soi"/>
      <sheetName val="Chu_Hung(Gau)"/>
      <sheetName val="51-Phan_Dinh_Phung"/>
      <sheetName val="C_Tuyet"/>
      <sheetName val="CTy_ICT"/>
      <sheetName val="CT_dandung"/>
      <sheetName val="XNXDH_312"/>
      <sheetName val="T_Phuong"/>
      <sheetName val="Chi_Thuy"/>
      <sheetName val="Duong_lang_thuong"/>
      <sheetName val="X_Thuy"/>
      <sheetName val="CTY_Tp_MB"/>
      <sheetName val="Nhat_Vinh"/>
      <sheetName val="Mai_Lan"/>
      <sheetName val="Tam_"/>
      <sheetName val="Lan_(2)"/>
      <sheetName val="TDZ22"/>
      <sheetName val="dg-VTu"/>
      <sheetName val="Gia_GC_Satthep"/>
      <sheetName val="_benthuy.xls_x001d_Chu Hung(Gau)"/>
      <sheetName val="Dongiachitiet"/>
      <sheetName val="TT35"/>
      <sheetName val=""/>
      <sheetName val="GiaVT"/>
      <sheetName val="DI-ESTI"/>
      <sheetName val="ESTI."/>
      <sheetName val="M_i Lan"/>
      <sheetName val="NEW-PANEL"/>
      <sheetName val="T_x005f_x0014_DZ22"/>
      <sheetName val="T_x005f_x005f_x005f_x0014_DZ22"/>
      <sheetName val="T_x005f_x005f_x005f_x005f_x005f_x005f_x005f_x0014_DZ22"/>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GVL-NC-M"/>
      <sheetName val="Tai trong"/>
      <sheetName val="Gia vat tu"/>
      <sheetName val="ctdz35"/>
      <sheetName val="dg_VT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heet1"/>
      <sheetName val="PANEL 南區焚化爐"/>
      <sheetName val="NEW-PANEL"/>
      <sheetName val="MV-PANEL"/>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ong hop"/>
      <sheetName val="phan tich DG"/>
      <sheetName val="gia vat lieu"/>
      <sheetName val="gia xe may"/>
      <sheetName val="gia nhan cong"/>
      <sheetName val="dongia__________ _㢠ś__x0004_______㋄ś_"/>
      <sheetName val="C47-456"/>
      <sheetName val="C46"/>
      <sheetName val="C47-PII"/>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THCP"/>
      <sheetName val="BQT"/>
      <sheetName val="RG"/>
      <sheetName val="BCVT"/>
      <sheetName val="BKHD"/>
      <sheetName val="ND"/>
      <sheetName val="VL"/>
      <sheetName val="DTCT"/>
      <sheetName val="d䁧"/>
      <sheetName val="NEW-PANEL"/>
      <sheetName val="phan tich DG__㠨Ȣ__x0004_______杀Ȣ_____"/>
      <sheetName val="TN"/>
      <sheetName val="_________ __s__x0004________s________"/>
      <sheetName val="d_"/>
      <sheetName val="dongia__________ __s__x0004________s_"/>
      <sheetName val="ch DG______x0004____________________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Shaet4"/>
      <sheetName val="dongia_ 㢠ś__x0004__㋄ś_"/>
      <sheetName val="phan tich DG______x0004______________"/>
      <sheetName val="dongia_ _s__x0004___s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tra-vat-lieu"/>
      <sheetName val="Chart1"/>
      <sheetName val="KL18Thang"/>
      <sheetName val="TH"/>
      <sheetName val="M200"/>
      <sheetName val="Hướng dẫn"/>
      <sheetName val="Ví dụ hàm Vlookup"/>
      <sheetName val="dongia_ 㢠ś__x0004__㋄ś_"/>
      <sheetName val="dongia_ 㢠ś_x0004__㋄ś"/>
      <sheetName val="dongia_ _s__x0004___s_"/>
      <sheetName val="dongia_ _s_x0004___s"/>
      <sheetName val=" _s__x0004___s_"/>
      <sheetName val="ch DG_____x0004________"/>
      <sheetName val="phan tich DG_____x0004_____"/>
      <sheetName val="ch DG"/>
      <sheetName val=" _s"/>
      <sheetName val="Hu_ng d_n"/>
      <sheetName val="Ví d_ hàm Vlookup"/>
      <sheetName val="Input"/>
      <sheetName val="dongia_______x0002____ __s__x0004________s_"/>
      <sheetName val="phaɮ tich DG__㠨Ȣ__x0004_______杀Ȣ_____"/>
      <sheetName val="Page 3"/>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Comb"/>
      <sheetName val=""/>
      <sheetName val="_@_@_@_@_@_@_@_@_@_@_@_@_@_@_@_"/>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NEW_PANEL"/>
      <sheetName val="BTH phi"/>
      <sheetName val="BLT phi"/>
      <sheetName val="phi,le phi"/>
      <sheetName val="Bien Lai TON"/>
      <sheetName val="BCQT "/>
      <sheetName val="Giay di duong"/>
      <sheetName val="BC QT cua tung ap"/>
      <sheetName val="GIAO CHI TIEU THU QUY 07"/>
      <sheetName val="BANG TONG HOP GIAY NOP TIEN"/>
      <sheetName val="_DT-TN.xlsMCT"/>
      <sheetName val="Sheet9"/>
      <sheetName val=" _s__x0004___s_"/>
      <sheetName val="_________ _____x0004_________________"/>
      <sheetName val="tuong"/>
      <sheetName val="@_@_@_@_@_@_@_@_@_@_@_@_@_@_@_@"/>
      <sheetName val="GIAVNX"/>
      <sheetName val="pha_ tich DG______x0004______________"/>
      <sheetName val="dongia__x0002__ _s__x0004___s_"/>
      <sheetName val="dongia_ 㢠ś_x0004__㋄ś"/>
      <sheetName val="ch DG____x0004________"/>
      <sheetName val="dongia_ _s_x0004___s"/>
      <sheetName val="ch DG__"/>
      <sheetName val="@"/>
      <sheetName val="donööö"/>
      <sheetName val="dongia_ ____x0004_____"/>
      <sheetName val="RE"/>
      <sheetName val=" _s"/>
      <sheetName val="HESO"/>
      <sheetName val="G_x0016_L"/>
      <sheetName val="_DT-TN.xls_Cham cong TH 1-&gt;6"/>
      <sheetName val="@_@_@_@_@_@_@_@_@_@_@_@_@_@_@_"/>
      <sheetName val="dongia_̃̃̃̃̃̃̃̃̃̃̃̃̃̃̃̃̃̃̃̃̃̃̃̃"/>
      <sheetName val="tong ho`"/>
      <sheetName val="ctTBA"/>
      <sheetName val="Book 1 Summary"/>
      <sheetName val="XXXPXXX0"/>
      <sheetName val="dongia__________ _㢠ś__x0004_______㋄ś_"/>
      <sheetName val="_________ __s__x0004________s________"/>
      <sheetName val="dongia__________ __s__x0004________s_"/>
      <sheetName val="~~~~~~~~~~~~~~~~~~~~~~~~~~~~~~~"/>
      <sheetName val="tong_hop"/>
      <sheetName val="phan_tich_DG"/>
      <sheetName val="gia_vat_lieu"/>
      <sheetName val="gia_xe_may"/>
      <sheetName val="gia_nhan_cong"/>
      <sheetName val="TC_"/>
      <sheetName val="TC__(2)"/>
      <sheetName val="PL_KS"/>
      <sheetName val="thi_sat"/>
      <sheetName val="den_bu"/>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 㢠ś㋄ś"/>
      <sheetName val="KLt lan3"/>
      <sheetName val="dongia__x0002__ _s__x0004___s_"/>
      <sheetName val="dongia_______x0002____ __s__x0004________s_"/>
      <sheetName val="Ke toan thuk hien cong trinh"/>
      <sheetName val=" ____x0004_____"/>
      <sheetName val="_________ _____x0004_________________"/>
      <sheetName val="Page_3"/>
      <sheetName val=" _s_s"/>
      <sheetName val="dongia _s_s"/>
      <sheetName val="#REF!"/>
      <sheetName val="BCTC"/>
      <sheetName val="Tra_bang"/>
      <sheetName val="Hý_ng d_n"/>
      <sheetName val="dongia_ ____x0004_____"/>
      <sheetName val="dongia__________ _____x0004__________"/>
      <sheetName val="dongia_ ___x0004____"/>
      <sheetName val="Gia"/>
      <sheetName val="dtct cau"/>
      <sheetName val="dongia ____"/>
      <sheetName val="dongia_____"/>
      <sheetName val="phan_tich_DG______"/>
      <sheetName val="Loading"/>
      <sheetName val="Check C"/>
      <sheetName val="phan tich DG_㠨Ȣ__x0004__杀Ȣ_咄Ȣ_"/>
      <sheetName val="phan tich DG_㠨Ȣ__x0004__杀Ȣ_"/>
      <sheetName val="dongia 㢠ś__x0004__㋄ś_"/>
      <sheetName val="DT-XL"/>
      <sheetName val="Gia "/>
      <sheetName val="phan_tich_DG㠨Ȣ杀Ȣ"/>
      <sheetName val="IBASE"/>
      <sheetName val="DI-ESTI"/>
      <sheetName val="Chenh lech vct tu"/>
      <sheetName val="dongia_ 㢠ś__x0004__㏄ś_"/>
      <sheetName val="Du th!u"/>
      <sheetName val="TK NO 1q1"/>
      <sheetName val="聰han tich DG__㠨Ȣ__x0004_______杀Ȣ_____"/>
      <sheetName val="Hướng d麫n"/>
      <sheetName val="Ví dụ hàm Vloïkup"/>
      <sheetName val="dongia_ _s_x0002__x0004___s_"/>
      <sheetName val="BCQT`"/>
      <sheetName val="dongia_________ _㢠ś__x0004_______㋄ś_"/>
      <sheetName val="Tai"/>
      <sheetName val="DG "/>
      <sheetName val="dongia_~~~~~~~~~~~~~~~~~~~~~~~~"/>
      <sheetName val="CP)TV-CAU"/>
      <sheetName val="gia 6at lieu"/>
      <sheetName val="TC  (2("/>
      <sheetName val="000000 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1,20"/>
      <sheetName val="Earthwork"/>
      <sheetName val="Pavement"/>
      <sheetName val="Culvert"/>
      <sheetName val="Side ditch"/>
      <sheetName val="ATGT"/>
      <sheetName val="Bienbao"/>
      <sheetName val="Dgia"/>
      <sheetName val="OH"/>
      <sheetName val="GVT"/>
      <sheetName val="GVT-E"/>
      <sheetName val="Earthwork-E"/>
      <sheetName val="Pavement-E"/>
      <sheetName val="Culvert-E"/>
      <sheetName val="Side ditch-E"/>
      <sheetName val="ATG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TTTram"/>
      <sheetName val="BT -TBA"/>
      <sheetName val="TTDZ35"/>
      <sheetName val="BT- DZ35"/>
      <sheetName val="TTDZ04"/>
      <sheetName val="BT-DZ0,4"/>
      <sheetName val="TTinhcto"/>
      <sheetName val="BT - cto"/>
      <sheetName val="ChiphiVC"/>
      <sheetName val="TH"/>
      <sheetName val="TH-QT"/>
      <sheetName val="To-bia"/>
      <sheetName val="Sheet1"/>
      <sheetName val="Suachua"/>
      <sheetName val="Phan Tien Xuan Son La"/>
      <sheetName val="PhanTienXuan Nam Mu"/>
      <sheetName val="Quy"/>
      <sheetName val="NguyenHuyen"/>
      <sheetName val="Gia cong CK"/>
      <sheetName val="Co gioi- Nam Mu"/>
      <sheetName val="Thai nguyen"/>
      <sheetName val="PVNA"/>
      <sheetName val="To Dien Son La"/>
      <sheetName val="ToDien Nam Mu"/>
      <sheetName val="Anca BV"/>
      <sheetName val="Bao ve Son La"/>
      <sheetName val="Bao ve Nam Mu"/>
      <sheetName val="Bay"/>
      <sheetName val="B ay"/>
      <sheetName val="S y"/>
      <sheetName val="Gian tiep son la"/>
      <sheetName val="Gian tiep Nam Mu"/>
      <sheetName val="Ky Thuat Nam Mu"/>
      <sheetName val="Ky thuat Son La"/>
      <sheetName val="Tonghop"/>
      <sheetName val="XL4Test5"/>
      <sheetName val="SHS"/>
      <sheetName val="6A"/>
      <sheetName val="6B"/>
      <sheetName val="6c"/>
      <sheetName val="7A"/>
      <sheetName val="7B"/>
      <sheetName val="7C"/>
      <sheetName val="8A"/>
      <sheetName val="8B"/>
      <sheetName val="8C"/>
      <sheetName val="9A"/>
      <sheetName val="9B"/>
      <sheetName val="THTK"/>
      <sheetName val="THC"/>
      <sheetName val="ds"/>
      <sheetName val="Gia MBA (2)"/>
      <sheetName val="Gi¸ tñ bï"/>
      <sheetName val="Gia-NC"/>
      <sheetName val="Gia-TN"/>
      <sheetName val="Gia KH"/>
      <sheetName val="GiaVT"/>
      <sheetName val="GiaVT XDCB"/>
      <sheetName val="Gia MBA"/>
      <sheetName val="Cac HS hay SD"/>
      <sheetName val="00000000"/>
      <sheetName val="CTV Di dong"/>
      <sheetName val="ctTBA"/>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XL4Poppy"/>
      <sheetName val="GVT"/>
      <sheetName val="Phan Tien Xuan Son&quot;La"/>
      <sheetName val="TT04"/>
      <sheetName val="Bó-DZ0,4"/>
      <sheetName val="GVL"/>
      <sheetName val="Gia_NC"/>
      <sheetName val="Chart1"/>
      <sheetName val="Sheet2"/>
      <sheetName val="Sheet3"/>
      <sheetName val="vat tu"/>
      <sheetName val="chitiet"/>
      <sheetName val="QMCT"/>
      <sheetName val="TTVanChuyen"/>
      <sheetName val="Quy IV"/>
      <sheetName val="Quy III"/>
      <sheetName val="Quy II"/>
      <sheetName val="Qui I"/>
      <sheetName val="Sheet 4"/>
      <sheetName val="Sheet5"/>
      <sheetName val="Sheet6"/>
      <sheetName val="Sheet9"/>
      <sheetName val="Sheet10"/>
      <sheetName val="Sheet11"/>
      <sheetName val="Sheet12"/>
      <sheetName val="Sheet13"/>
      <sheetName val="Sheet14"/>
      <sheetName val="Sheet15"/>
      <sheetName val="Sheet16"/>
      <sheetName val="정부노임단가"/>
      <sheetName val="TH-Dien"/>
      <sheetName val="subload"/>
      <sheetName val="mong + than"/>
      <sheetName val="h thien tt"/>
      <sheetName val="hoµn thien x trat"/>
      <sheetName val="~         "/>
      <sheetName val="BT_-TBA"/>
      <sheetName val="BT-_DZ35"/>
      <sheetName val="BT_-_cto"/>
      <sheetName val="Gia_MBA_(2)"/>
      <sheetName val="Gi¸_tñ_bï"/>
      <sheetName val="Gia_KH"/>
      <sheetName val="GiaVT_XDCB"/>
      <sheetName val="Gia_MBA"/>
      <sheetName val="Cac_HS_hay_SD"/>
      <sheetName val="Phan_Tien_Xuan_Son_La"/>
      <sheetName val="PhanTienXuan_Nam_Mu"/>
      <sheetName val="Gia_cong_CK"/>
      <sheetName val="Co_gioi-_Nam_Mu"/>
      <sheetName val="Thai_nguyen"/>
      <sheetName val="To_Dien_Son_La"/>
      <sheetName val="ToDien_Nam_Mu"/>
      <sheetName val="Anca_BV"/>
      <sheetName val="Bao_ve_Son_La"/>
      <sheetName val="Bao_ve_Nam_Mu"/>
      <sheetName val="B_ay"/>
      <sheetName val="S_y"/>
      <sheetName val="Gian_tiep_son_la"/>
      <sheetName val="Gian_tiep_Nam_Mu"/>
      <sheetName val="Ky_Thuat_Nam_Mu"/>
      <sheetName val="Ky_thuat_Son_La"/>
      <sheetName val="NEW-PANEL"/>
      <sheetName val="Sheat1"/>
      <sheetName val="Gia"/>
      <sheetName val="______"/>
      <sheetName val="tienluong"/>
      <sheetName val="Gia_GC_Satthep"/>
      <sheetName val="1002"/>
      <sheetName val="MB NHAN "/>
      <sheetName val="Gi� t� b�"/>
      <sheetName val="B�-DZ0,4"/>
      <sheetName val="ho�n thien x trat"/>
      <sheetName val="Gi�_t�_b�"/>
      <sheetName val="1002__0"/>
      <sheetName val="Gian_tiep_so._la"/>
      <sheetName val="Book 1 Summary"/>
      <sheetName val="NMTD_c"/>
      <sheetName val="Phan Tien2"/>
      <sheetName val="TH_Dien"/>
      <sheetName val="Phan Tien2__n Son&quot;La"/>
      <sheetName val="CTV_Di_dong"/>
      <sheetName val="Gi¸ tñ bç"/>
      <sheetName val="TT0 "/>
      <sheetName val="Bó,DZ0,4"/>
      <sheetName val="Phan Tien Xean Son&quot;La"/>
      <sheetName val="Ch"/>
      <sheetName val="PNT-QUOT-#3"/>
      <sheetName val="COAT&amp;WRAP-QIOT-#3"/>
      <sheetName val="dtxl"/>
      <sheetName val="BKBANRA"/>
      <sheetName val="BKMUAVAO"/>
      <sheetName val="DLBCKT"/>
      <sheetName val="Hµ Néi"/>
      <sheetName val="#REF"/>
      <sheetName val="_x0014_T04"/>
      <sheetName val="DTDZ35"/>
      <sheetName val="T_x0014_DZ04"/>
      <sheetName val="DH-QT"/>
      <sheetName val="Co gioi% Nam Mu"/>
      <sheetName val="_x0001_nca BV"/>
      <sheetName val="_x0002_ao ve Son La"/>
      <sheetName val="Ky Thua4 Nam Mu"/>
      <sheetName val="CD_x0016_"/>
      <sheetName val="CD1!"/>
      <sheetName val="C@12"/>
      <sheetName val="thuchien00"/>
      <sheetName val="VCVlieu"/>
      <sheetName val="dg-VTu"/>
      <sheetName val="GOC"/>
      <sheetName val=""/>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NEW_PANEL"/>
      <sheetName val="KB"/>
      <sheetName val="DZ 0.4"/>
      <sheetName val="BC NHANH 01"/>
      <sheetName val="GVL-NC-M"/>
      <sheetName val="7 THAI NGUYEN"/>
      <sheetName val="KKKKKKKK"/>
      <sheetName val="HE SO"/>
      <sheetName val="_x0018_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lam_moi"/>
      <sheetName val="thao_go"/>
      <sheetName val="DG-Don v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ong hop"/>
      <sheetName val="phan tich DG"/>
      <sheetName val="gia vat lieu"/>
      <sheetName val="gia xe may"/>
      <sheetName val="gia nhan cong"/>
      <sheetName val="XL4Test5"/>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142201-T1-th"/>
      <sheetName val="142201-T1 "/>
      <sheetName val="142201-T2-th "/>
      <sheetName val="142201-T2"/>
      <sheetName val="142201-T3-th "/>
      <sheetName val="142201-T3"/>
      <sheetName val="142201-T4-th  "/>
      <sheetName val="142201-T4"/>
      <sheetName val="142201-T6"/>
      <sheetName val="142201-T10"/>
      <sheetName val="KM"/>
      <sheetName val="KHOANMUC"/>
      <sheetName val="QTNC"/>
      <sheetName val="CPQL"/>
      <sheetName val="SANLUONG"/>
      <sheetName val="SSCP-SL"/>
      <sheetName val="CPSX"/>
      <sheetName val="KQKD"/>
      <sheetName val="CDSL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10000000"/>
      <sheetName val="SoCaiTM"/>
      <sheetName val="NK"/>
      <sheetName val="PhieuKT"/>
      <sheetName val="Sheet6"/>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b1"/>
      <sheetName val="Congty"/>
      <sheetName val="VPPN"/>
      <sheetName val="XN74"/>
      <sheetName val="XN54"/>
      <sheetName val="XN33"/>
      <sheetName val="NK96"/>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Song trai"/>
      <sheetName val="Dinh+ha nha"/>
      <sheetName val="PTLK"/>
      <sheetName val="NG k"/>
      <sheetName val="THcong"/>
      <sheetName val="BHXH"/>
      <sheetName val="BHXH12"/>
      <sheetName val="Sheet8"/>
      <sheetName val="Sheet9"/>
      <sheetName val="km248"/>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Tonghop"/>
      <sheetName val="Sheet7"/>
      <sheetName val="TH"/>
      <sheetName val="Sheet10"/>
      <sheetName val="F ThanhTri"/>
      <sheetName val="F Gialam"/>
      <sheetName val="DG"/>
      <sheetName val="TH dam"/>
      <sheetName val="SX dam"/>
      <sheetName val="LD dam"/>
      <sheetName val="Bang gia VL"/>
      <sheetName val="Gia NC"/>
      <sheetName val="Gia 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XXXXXX_xda24_X"/>
      <sheetName val="D1"/>
      <sheetName val="D2"/>
      <sheetName val="D3"/>
      <sheetName val="D4"/>
      <sheetName val="D5"/>
      <sheetName val="D6"/>
      <sheetName val="Tay ninh"/>
      <sheetName val="A.Duc"/>
      <sheetName val="TH2003"/>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HHVt "/>
      <sheetName val="TH du toan "/>
      <sheetName val="Du toan "/>
      <sheetName val="C.Tinh"/>
      <sheetName val="TK_cap"/>
      <sheetName val="Co~g hop 1,5x1,5"/>
      <sheetName val="BangTH"/>
      <sheetName val="Xaylap "/>
      <sheetName val="Nhan cong"/>
      <sheetName val="Thietbi"/>
      <sheetName val="Diengiai"/>
      <sheetName val="Vanchuyen"/>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Km282-Km_x0003_"/>
      <sheetName val="CamPha"/>
      <sheetName val="MongCai"/>
      <sheetName val="30000000"/>
      <sheetName val="40000000"/>
      <sheetName val="50000000"/>
      <sheetName val="60000000"/>
      <sheetName val="7000000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_IBASE2.XLSѝTNHNoi"/>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edotuoi"/>
      <sheetName val="Tkebactho"/>
      <sheetName val="nhan su"/>
      <sheetName val="2020"/>
      <sheetName val="luong cty"/>
      <sheetName val="bangluong"/>
      <sheetName val="Tkecong"/>
      <sheetName val="thunhap03"/>
      <sheetName val="thungoaiSCTX"/>
      <sheetName val="TRICH73"/>
      <sheetName val="HD1"/>
      <sheetName val="HD4"/>
      <sheetName val="HD3"/>
      <sheetName val="HD5"/>
      <sheetName val="HD7"/>
      <sheetName val="HD6"/>
      <sheetName val="HD2"/>
      <sheetName val="GIA NUOC"/>
      <sheetName val="GIA DIEN THOAI"/>
      <sheetName val="GIA DIEN"/>
      <sheetName val="chiet tinh XD"/>
      <sheetName val="Triet T"/>
      <sheetName val="Phan tich gia"/>
      <sheetName val="pHAN CONG"/>
      <sheetName val="GIA XD"/>
      <sheetName val="Nhap_lieu"/>
      <sheetName val="Khoiluong"/>
      <sheetName val="Vattu"/>
      <sheetName val="Trungchuyen"/>
      <sheetName val="Bu"/>
      <sheetName val="Chitiet"/>
      <sheetName val="THQI"/>
      <sheetName val="T6"/>
      <sheetName val="THQII"/>
      <sheetName val="Trung"/>
      <sheetName val="THQIII"/>
      <sheetName val="THT nam 04"/>
      <sheetName val="Cong hop 2,0ࡸ2,0"/>
      <sheetName val="Nhap lieu"/>
      <sheetName val="PGT"/>
      <sheetName val="Tien dien"/>
      <sheetName val="Thue GTGT"/>
      <sheetName val="cn"/>
      <sheetName val="ct"/>
      <sheetName val="Nc"/>
      <sheetName val="pt"/>
      <sheetName val="ql"/>
      <sheetName val="ql (2)"/>
      <sheetName val="4"/>
      <sheetName val="Sheet13"/>
      <sheetName val="Sheet14"/>
      <sheetName val="Sheet15"/>
      <sheetName val="Sheet16"/>
      <sheetName val="Chart3"/>
      <sheetName val="Chart2"/>
      <sheetName val=" KQTH quy hoach 135"/>
      <sheetName val="Bao cao KQTH quy hoach 135"/>
      <sheetName val="CT 03"/>
      <sheetName val="TH 03"/>
      <sheetName val="CV di trong  dong"/>
      <sheetName val="BaTrieu-L.con"/>
      <sheetName val="EDT - Ro"/>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TH_BQ"/>
      <sheetName val="Thi_sinh"/>
      <sheetName val="Luong"/>
      <sheetName val="HethongDebai"/>
      <sheetName val="TH131"/>
      <sheetName val="TH155&amp;156"/>
      <sheetName val="TH1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tTBA"/>
      <sheetName val="bia"/>
      <sheetName val="BTTBA"/>
      <sheetName val="DZ22"/>
      <sheetName val="TTDZ22"/>
      <sheetName val="DZ04"/>
      <sheetName val="TTDZ0,4-cto"/>
      <sheetName val="cto"/>
      <sheetName val="THctiet"/>
      <sheetName val="THctiet (2)"/>
      <sheetName val="bia (4)"/>
      <sheetName val="THctihiphiV"/>
      <sheetName val="tientet"/>
      <sheetName val="hochieu"/>
      <sheetName val="Sodu"/>
      <sheetName val="Sodu (2)"/>
      <sheetName val="Sodu t8"/>
      <sheetName val="THluong (2)"/>
      <sheetName val="THluong (3)"/>
      <sheetName val="Sodu t8 (2)"/>
      <sheetName val="Sodu t9(3)"/>
      <sheetName val="Sodu t11"/>
      <sheetName val="Sheet6"/>
      <sheetName val="Sheet7"/>
      <sheetName val="Sheet8"/>
      <sheetName val="Sheet9"/>
      <sheetName val="Sheet10"/>
      <sheetName val="XL4Poppy"/>
      <sheetName val="_Thai Hoa 2.xls聝ctTBA"/>
      <sheetName val="T1-2004"/>
      <sheetName val="T2"/>
      <sheetName val="T3"/>
      <sheetName val="quy1"/>
      <sheetName val="T4"/>
      <sheetName val="T5"/>
      <sheetName val="T6"/>
      <sheetName val="Quý 2"/>
      <sheetName val="6Thang"/>
      <sheetName val="T7"/>
      <sheetName val="Sheet3"/>
      <sheetName val="Sheet2"/>
      <sheetName val="cham diem"/>
      <sheetName val="5T"/>
      <sheetName val="00000000"/>
      <sheetName val="CNV nu"/>
      <sheetName val="CN nu 1"/>
      <sheetName val="CN nu 2"/>
      <sheetName val="XL4Test5"/>
      <sheetName val="ma-pt"/>
      <sheetName val="TTTram"/>
      <sheetName val="Ctinh 10kV"/>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ESTI."/>
      <sheetName val="DI-ESTI"/>
      <sheetName val="ctTÊA"/>
      <sheetName val="THcthet"/>
      <sheetName val="_Thai Hoa 2.xls_ctTBA"/>
      <sheetName val="Tai khoan"/>
      <sheetName val="TT35"/>
      <sheetName val="ESTI_"/>
      <sheetName val="DI_ESTI"/>
      <sheetName val="Sodu t( (2)"/>
      <sheetName val="LS 31.12.02"/>
      <sheetName val="Chart1"/>
      <sheetName val="mong + than"/>
      <sheetName val="h thien tt"/>
      <sheetName val="hoµn thien x trat"/>
      <sheetName val="~         "/>
      <sheetName val="THctiet_(2)"/>
      <sheetName val="bia_(4)"/>
      <sheetName val="_Thai_Hoa_2_xls聝ctTBA"/>
      <sheetName val="Dm mui"/>
      <sheetName val="Don gia"/>
      <sheetName val="BT-DSPK"/>
      <sheetName val="IBASE"/>
      <sheetName val="V.phi"/>
      <sheetName val="DV-T-D"/>
      <sheetName val="bcnoitru"/>
      <sheetName val="bcng.tru"/>
      <sheetName val="Sheet5"/>
      <sheetName val="Sheet11"/>
      <sheetName val="Sheet12"/>
      <sheetName val="Sheet13"/>
      <sheetName val="Sheet14"/>
      <sheetName val="Sheet15"/>
      <sheetName val="Sheet16"/>
      <sheetName val="qui_1"/>
      <sheetName val="qui_2"/>
      <sheetName val="qui_3"/>
      <sheetName val="Qui_4"/>
      <sheetName val="Thanh_ly"/>
      <sheetName val="XXXXXXXX"/>
      <sheetName val="GVL"/>
      <sheetName val="Sheet1"/>
      <sheetName val="Sheet4"/>
      <sheetName val="CD"/>
      <sheetName val="ken=&quot;6595b64144ccf1df&quot;,type=&quot;wi"/>
      <sheetName val="Tĵ"/>
      <sheetName val="TT04"/>
      <sheetName val="tienluong"/>
      <sheetName val="dtxl"/>
      <sheetName val="FX FWD KS"/>
      <sheetName val="ERP"/>
      <sheetName val="BCD"/>
      <sheetName val="SOCAI"/>
      <sheetName val="B02I"/>
      <sheetName val="B02II"/>
      <sheetName val="PL-KT"/>
      <sheetName val="B03"/>
      <sheetName val="B05a"/>
      <sheetName val="B06I"/>
      <sheetName val="B06II"/>
      <sheetName val="B06III"/>
      <sheetName val="THKphi"/>
      <sheetName val="KKTM"/>
      <sheetName val="BClai"/>
      <sheetName val="anca"/>
      <sheetName val="ctp"/>
      <sheetName val="®«chai"/>
      <sheetName val="cbl"/>
      <sheetName val="BHYT"/>
      <sheetName val="hdthuviec"/>
      <sheetName val="luong"/>
      <sheetName val="luong7"/>
      <sheetName val="Gia"/>
      <sheetName val="tra-vat-lieu"/>
      <sheetName val="chitiet"/>
      <sheetName val="TTDR22"/>
      <sheetName val="CHIET TINH TBA "/>
      <sheetName val="CHIET TINH DZ 0,4 KV "/>
      <sheetName val="CHIET TINH DZ 35 KV"/>
      <sheetName val="CHIET TINH CCT "/>
      <sheetName val="DEF"/>
      <sheetName val="_Thai Hoa 2.xlsã¢ctTBA"/>
      <sheetName val="_Thai Hoa 2.xlsÂctTBA"/>
      <sheetName val="KKKKKKKK"/>
      <sheetName val="ma_pt"/>
      <sheetName val=""/>
      <sheetName val="Recon"/>
      <sheetName val="ChitietQui4_01"/>
      <sheetName val="NuocGN"/>
      <sheetName val="NNgung"/>
      <sheetName val="Bia-thau"/>
      <sheetName val="nifests_x86_microsoft.windows.c"/>
      <sheetName val="CD__"/>
      <sheetName val="B×a"/>
      <sheetName val="THQT"/>
      <sheetName val="GiaiThich"/>
      <sheetName val="QSQT"/>
      <sheetName val="BCQS"/>
      <sheetName val="GTQS"/>
      <sheetName val="L SQ"/>
      <sheetName val="L CN"/>
      <sheetName val="L CNV"/>
      <sheetName val=" PC luong "/>
      <sheetName val="PCkhac"/>
      <sheetName val="SHP"/>
      <sheetName val="QY"/>
      <sheetName val="PCHSQ"/>
      <sheetName val="DS PCTHD"/>
      <sheetName val="AnNV"/>
      <sheetName val="AnDHai"/>
      <sheetName val="AnOm"/>
      <sheetName val="Thu BH"/>
      <sheetName val="PL"/>
      <sheetName val="RQ"/>
      <sheetName val="BHXH"/>
      <sheetName val="000000000000"/>
      <sheetName val="100000000000"/>
      <sheetName val="200000000000"/>
      <sheetName val="300000000000"/>
      <sheetName val="Sode t8 (2)"/>
      <sheetName val="_Thai Hoa 2.xlsÂƒctTBA"/>
      <sheetName val="bom_dau"/>
      <sheetName val="CNV nw"/>
      <sheetName val="S.lan"/>
      <sheetName val="_Thai_Hoa_2_xls_ctTBA"/>
      <sheetName val="Sodu_(2)"/>
      <sheetName val="Sodu_t8"/>
      <sheetName val="THluong_(2)"/>
      <sheetName val="THluong_(3)"/>
      <sheetName val="Sodu_t8_(2)"/>
      <sheetName val="Sodu_t9(3)"/>
      <sheetName val="Sodu_t11"/>
      <sheetName val="CNV_nu"/>
      <sheetName val="CN_nu_1"/>
      <sheetName val="CN_nu_2"/>
      <sheetName val="Quý_2"/>
      <sheetName val="cham_diem"/>
      <sheetName val="Thai Hoa 2"/>
      <sheetName val="T_"/>
      <sheetName val="BANGMA"/>
      <sheetName val="MTL$-INTER"/>
      <sheetName val="TONGKE1P"/>
      <sheetName val="________"/>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Q~t"/>
      <sheetName val="_Thai Hoa 2.xls_nifests_x86_mic"/>
      <sheetName val="_Thai Hoa 2.xls__Thai Hoa 2.x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CRC"/>
      <sheetName val="GIATRI-DAILY"/>
      <sheetName val="NVBH KHAC"/>
      <sheetName val="NVBH HOAN"/>
      <sheetName val="TONKHODAILY"/>
      <sheetName val="XL4Test5"/>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tra-vat-lieu"/>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dt-iphi"/>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
      <sheetName val="bao cao ngay 13-02"/>
      <sheetName val="CBG"/>
      <sheetName val="TO HUNG"/>
      <sheetName val="CONGNHAN NE"/>
      <sheetName val="XINGUYEP"/>
      <sheetName val="TH331"/>
      <sheetName val="nhan cong"/>
      <sheetName val="ma-pt"/>
      <sheetName val="Sheet3 (2)"/>
      <sheetName val="ptvl0-1"/>
      <sheetName val="0-1"/>
      <sheetName val="ptvl4-5"/>
      <sheetName val="4-5"/>
      <sheetName val="ptvl3-4"/>
      <sheetName val="3-4"/>
      <sheetName val="ptvl2-3"/>
      <sheetName val="2-3"/>
      <sheetName val="vlcong"/>
      <sheetName val="ptvl1-2"/>
      <sheetName val="1-2"/>
      <sheetName val="Sheet_x0001_1"/>
      <sheetName val="FPPN"/>
      <sheetName val="CHI_TIET"/>
      <sheetName val="Don gia chi tiet"/>
      <sheetName val="Du thau"/>
      <sheetName val="Tro giup"/>
      <sheetName val="Kluong"/>
      <sheetName val="Giatri"/>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ìtoan"/>
      <sheetName val="`u lun"/>
      <sheetName val="coc duc"/>
      <sheetName val="Du_lieu"/>
      <sheetName val="HK1"/>
      <sheetName val="HK2"/>
      <sheetName val="CANAM"/>
      <sheetName val="PTCT"/>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SPL4"/>
      <sheetName val="NhapSl"/>
      <sheetName val="Nluc"/>
      <sheetName val="Tohop"/>
      <sheetName val="KT_Tthan"/>
      <sheetName val="Tra_TTTD"/>
      <sheetName val="IN__x000e_X"/>
      <sheetName val="sut&lt;1 0"/>
      <sheetName val="ktduong"/>
      <sheetName val="dg"/>
      <sheetName val="cu"/>
      <sheetName val="KTcau2004"/>
      <sheetName val="KT2004XL#moi"/>
      <sheetName val="denbu"/>
      <sheetName val="thop"/>
      <sheetName val="CHI"/>
      <sheetName val="ctTBA"/>
      <sheetName val="Khu xu ly nuoc THiep-XD"/>
      <sheetName val="T1"/>
      <sheetName val="T2"/>
      <sheetName val="T3"/>
      <sheetName val="T4"/>
      <sheetName val="T5"/>
      <sheetName val="T6"/>
      <sheetName val="T7"/>
      <sheetName val="T8"/>
      <sheetName val="T9"/>
      <sheetName val="T10"/>
      <sheetName val="T11"/>
      <sheetName val="T12"/>
      <sheetName val="t1.3"/>
      <sheetName val="dt-kphi-ÿÿo-ctiet"/>
      <sheetName val="dam"/>
      <sheetName val="Mocantho"/>
      <sheetName val="MoQL91"/>
      <sheetName val="tru"/>
      <sheetName val="10mduongsaumo"/>
      <sheetName val="ctt"/>
      <sheetName val="thanmkhao"/>
      <sheetName val="monho"/>
      <sheetName val="DGduong"/>
      <sheetName val="Nhap don gia VL dia _x0003__uong"/>
      <sheetName val="ESTI."/>
      <sheetName val="DI-ESTI"/>
      <sheetName val="_Ё____䀤_x0001_____䀶_x0001__晦晦晦䀙_x0001_____㿰_x0001_H-_ਈ_"/>
      <sheetName val="Phan tich don gia chi Uet"/>
      <sheetName val="DGCT_x0006_"/>
      <sheetName val="Ё_䀤_x0001__䀶_x0001__晦晦晦䀙_x0001__㿰_x0001_H-_ਈ_ꏗ㵰휊䀁_x0001__尩슏⣵䀂"/>
      <sheetName val="Nhap don gia VL dia _x0003_"/>
      <sheetName val="______x0001_______x0001_H-________x0001_______x0001____"/>
      <sheetName val="Ё"/>
      <sheetName val="____x0001____x0001_______x0001____x0001_H-________x0001______"/>
      <sheetName val="Phan tich don gia chi ˆUet"/>
      <sheetName val="TT_35NH"/>
      <sheetName val="tai"/>
      <sheetName val="hoang"/>
      <sheetName val="hoang (2)"/>
      <sheetName val="hoang (3)"/>
      <sheetName val="_"/>
      <sheetName val="P3-PanAn-Factored"/>
      <sheetName val="GiaVL"/>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_____x0001_"/>
      <sheetName val="3cau"/>
      <sheetName val="266+623"/>
      <sheetName val="TXL(266+623"/>
      <sheetName val="DDCT"/>
      <sheetName val="M"/>
      <sheetName val="vln"/>
      <sheetName val="_____x0001____x0001_H-________x0001_______x0001__"/>
      <sheetName val="________x0001_______x0001_______x0001_______x0001_H-___"/>
      <sheetName val="She_t9"/>
      <sheetName val="tuong"/>
      <sheetName val="Box-Girder"/>
      <sheetName val="coctuatrenda"/>
      <sheetName val="IBASE"/>
      <sheetName val="Dbþgia"/>
      <sheetName val="He so"/>
      <sheetName val="PL Vua"/>
      <sheetName val="DPD"/>
      <sheetName val="dgmo-tru"/>
      <sheetName val="dgdam"/>
      <sheetName val="Dam-Mo-Tru"/>
      <sheetName val="DTDuong"/>
      <sheetName val="GTXLc"/>
      <sheetName val="CPXLk"/>
      <sheetName val="KPTH"/>
      <sheetName val="Bang KL ket cau"/>
      <sheetName val="NHAP"/>
      <sheetName val="Piers of Main Flylyer (1)"/>
      <sheetName val="Số liệu"/>
      <sheetName val="TKKYI"/>
      <sheetName val="TKKYII"/>
      <sheetName val="Tổng hợp theo học sinh"/>
      <sheetName val="XL4Test5 (2)"/>
      <sheetName val="md5!-52"/>
      <sheetName val="Thuc thanh"/>
      <sheetName val="Don gia"/>
      <sheetName val="TinhToan"/>
      <sheetName val="NVBH(HOAN"/>
      <sheetName val="dt-cphi-ctieT"/>
      <sheetName val="0000000!"/>
      <sheetName val="Quantity"/>
      <sheetName val="vua___________韘࿊__x0004_______酐࿊_____"/>
      <sheetName val="Pier"/>
      <sheetName val="Pile"/>
      <sheetName val="DothiP1"/>
      <sheetName val="DEF"/>
      <sheetName val="INV"/>
      <sheetName val="XXXXXXX2"/>
      <sheetName val="XXXXXXX3"/>
      <sheetName val="XXXXXXX4"/>
      <sheetName val="Sheet1 (3)"/>
      <sheetName val="Sheet1 (2)"/>
      <sheetName val="tra_____±@Z"/>
      <sheetName val="CTC_x000f_NG_02"/>
      <sheetName val="_x0004_GCong"/>
      <sheetName val="Du toan chi tiet_coc nuoc"/>
      <sheetName val="____x0001____x0001_______x0001____x0001_H-___"/>
      <sheetName val="10mduongsa{ío"/>
      <sheetName val="dv-kphi-cviet"/>
      <sheetName val="bvh-kphi"/>
      <sheetName val="PCCPCHUNG CHO CAC DTUONG"/>
      <sheetName val="Piers of Main Flyower (1)"/>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DG೼�_02"/>
      <sheetName val="TN"/>
      <sheetName val="ND"/>
      <sheetName val="She"/>
      <sheetName val="TT"/>
      <sheetName val="Piers of Mai. Flyover (1)"/>
      <sheetName val="KLDGTT&lt;1ü_x000c___(2)"/>
      <sheetName val="S_ li_u"/>
      <sheetName val="T_ng h_p theo h_c sinh"/>
      <sheetName val="ma_pt"/>
      <sheetName val="sat"/>
      <sheetName val="ptvt"/>
      <sheetName val="Du toan c`i tiet coc nuoc"/>
      <sheetName val="Tuong-ٺ_x0001_an"/>
      <sheetName val="0__ﱸ͕__x0004_______͕________列͕___x0013____"/>
      <sheetName val="CtVKdam_Ʀ_____"/>
      <sheetName val="YE2__ CONG"/>
      <sheetName val="YE2"/>
      <sheetName val="Du toan chi tiet"/>
      <sheetName val="dtct cong"/>
      <sheetName val="PBCPCHUNG CHO CAC _x0007_{WÑNG"/>
      <sheetName val="She%t11"/>
      <sheetName val="Nhap don gia VL dia áhuong"/>
      <sheetName val="uong mot ngay cong xay lap"/>
      <sheetName val="Giai trinh"/>
      <sheetName val="GTGT"/>
      <sheetName val="Mua vao TT"/>
      <sheetName val="Mua vao GTGT"/>
      <sheetName val="Bra"/>
      <sheetName val="BC HDon"/>
      <sheetName val="BC HDon Qui"/>
      <sheetName val="KE KHAI HDONG"/>
      <sheetName val="Recovered_Sheet1"/>
      <sheetName val="Recovered_Sheet2"/>
      <sheetName val="Gca may Buu dien"/>
      <sheetName val="882"/>
      <sheetName val="Giamay"/>
      <sheetName val="DM_GVT"/>
      <sheetName val="May chuyen nganh"/>
      <sheetName val="TT06"/>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khluong"/>
      <sheetName val="CDPS"/>
      <sheetName val="NKC"/>
      <sheetName val="SoCaiT"/>
      <sheetName val="THDU"/>
      <sheetName val="Ctinh 10kV"/>
      <sheetName val="vua___________韘࿊__x0004_______酐࿊___ᣱ溃"/>
      <sheetName val="PC-summary"/>
      <sheetName val="tr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400-415.37"/>
      <sheetName val="KL NR2"/>
      <sheetName val="NR2 565 PQ DQ"/>
      <sheetName val="565 DD"/>
      <sheetName val="M2-415.37"/>
      <sheetName val="Cong"/>
      <sheetName val="507 PQ"/>
      <sheetName val="507 DD"/>
      <sheetName val=" Subbase"/>
      <sheetName val="NR2"/>
      <sheetName val="NEW-PANEL"/>
      <sheetName val="TN"/>
      <sheetName val="ND"/>
      <sheetName val="VL"/>
      <sheetName val="THCP"/>
      <sheetName val="BQT"/>
      <sheetName val="RG"/>
      <sheetName val="Sheet3"/>
      <sheetName val="BCVT"/>
      <sheetName val="BKHD"/>
      <sheetName val="GVL"/>
      <sheetName val="KQHDKD"/>
      <sheetName val="KHOI_DONG"/>
      <sheetName val="Inctiettk"/>
      <sheetName val="cd taikhoan"/>
      <sheetName val="NK_CHUNG"/>
      <sheetName val="CD_PSINH"/>
      <sheetName val="CDKT"/>
      <sheetName val="MAKHACH"/>
      <sheetName val="TH_CNO"/>
      <sheetName val="MTL$-INTER"/>
      <sheetName val="Phu cap"/>
      <sheetName val="phu cap nam"/>
      <sheetName val="Mau 1 PGD"/>
      <sheetName val="Mau 2PGD"/>
      <sheetName val="Mau 3 PGD"/>
      <sheetName val="mau so 01A"/>
      <sheetName val="mau so 2"/>
      <sheetName val="mau so 3"/>
      <sheetName val="PCCM"/>
      <sheetName val="DOAM0654CAS"/>
      <sheetName val="hold5"/>
      <sheetName val="hold6"/>
      <sheetName val="VC"/>
      <sheetName val="chitiet"/>
      <sheetName val="tienluong"/>
      <sheetName val="C_ngty"/>
      <sheetName val=""/>
      <sheetName val="DI-ESTI"/>
      <sheetName val="Phung Thi HIen 18(2 "/>
      <sheetName val="Le Tri An 2_x0011_(2)"/>
      <sheetName val="H_ang Van Chuong 22(2)"/>
      <sheetName val="Le_Huu Hoa 25(2)"/>
      <sheetName val="Hoang Van Chuong _2(2)"/>
      <sheetName val="X_4Test5"/>
      <sheetName val="Phung Thi HIen 18(2 "/>
      <sheetName val="Nguyen Duy Lien ႀ￸(2)"/>
      <sheetName val="Nguyen Duy Lien __(2)"/>
      <sheetName val="Le"/>
      <sheetName val="DG chi tiet"/>
      <sheetName val="ଶᐭ8"/>
      <sheetName val="klnd"/>
      <sheetName val="DTmd"/>
      <sheetName val="ptvt"/>
      <sheetName val="thnl"/>
      <sheetName val="htxl"/>
      <sheetName val="bvl"/>
      <sheetName val="kpct"/>
      <sheetName val="THKP"/>
      <sheetName val="__8"/>
      <sheetName val="sat"/>
      <sheetName val="Le Huu Thuy 2_x0019_(2)"/>
      <sheetName val="TT"/>
      <sheetName val="DI_ESTI"/>
      <sheetName val="Le Tat Ve M.M (1ÿÿ"/>
      <sheetName val="Le ThÿÿNhan M.M (12)"/>
      <sheetName val="LIST"/>
      <sheetName val="SPL4"/>
      <sheetName val="Tra_bang"/>
      <sheetName val="Le Thi Ly 23(2 "/>
      <sheetName val="BTH phi"/>
      <sheetName val="BLT phi"/>
      <sheetName val="phi,le phi"/>
      <sheetName val="Bien Lai TON"/>
      <sheetName val="BCQT "/>
      <sheetName val="Giay di duong"/>
      <sheetName val="BC QT cua tung ap"/>
      <sheetName val="GIAO CHI TIEU THU QUY 07"/>
      <sheetName val="BANG TONG HOP GIAY NOP TIEN"/>
      <sheetName val="CSDL"/>
      <sheetName val="BK"/>
      <sheetName val="PNK"/>
      <sheetName val="PXK"/>
      <sheetName val="PTL"/>
      <sheetName val="NXT"/>
      <sheetName val="STH131"/>
      <sheetName val="MAU PX"/>
      <sheetName val="331"/>
      <sheetName val="tra-vat-lieu"/>
      <sheetName val="PTDG"/>
      <sheetName val="LDC"/>
      <sheetName val="LDB"/>
      <sheetName val="LDA"/>
      <sheetName val="LD"/>
      <sheetName val="Sbq18"/>
      <sheetName val="Le Heu Hoa 25(2 "/>
      <sheetName val="Hoang Thi Binh 08(2)"/>
      <sheetName val="Truot_nen"/>
      <sheetName val="DD 10KV"/>
      <sheetName val="XJ74"/>
      <sheetName val="Hoang Van Chuong "/>
      <sheetName val="X"/>
      <sheetName val="13)8"/>
      <sheetName val="_x0011_3-8"/>
      <sheetName val="IBASE"/>
      <sheetName val="T11,12-2001"/>
      <sheetName val="General"/>
      <sheetName val="NR2Ƞ565 PQ DQ"/>
      <sheetName val="Girder"/>
      <sheetName val="THONG KE"/>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Pham Thi Thuong  M.M (7i"/>
      <sheetName val="Le Thi Nha__f__x0001___"/>
      <sheetName val="_x0002__"/>
      <sheetName val="ptdg "/>
      <sheetName val="ptke"/>
      <sheetName val="SOKT-Q3CT"/>
      <sheetName val="ma_pt"/>
      <sheetName val="MïJule2"/>
      <sheetName val="Le Thi Ly 23(2 "/>
      <sheetName val="N61"/>
      <sheetName val="VL10KV"/>
      <sheetName val="TBA 250"/>
      <sheetName val="VL 0_4KV"/>
      <sheetName val="VLCong to"/>
      <sheetName val="Chi Tiet"/>
      <sheetName val="PR THIEU(2)"/>
      <sheetName val="Book 1 Summary"/>
      <sheetName val="KEM NGHIEN GIA CONG"/>
      <sheetName val="ESTI."/>
      <sheetName val="DMTK"/>
      <sheetName val="Sheet26"/>
      <sheetName val="NHATKYC"/>
      <sheetName val="ctTBA"/>
      <sheetName val="_x0004_OAM0654CAS"/>
      <sheetName val="FD"/>
      <sheetName val="GI"/>
      <sheetName val="EE (3)"/>
      <sheetName val="PAVEMENT"/>
      <sheetName val="TRAFFIC"/>
      <sheetName val="Dinh nghia"/>
      <sheetName val="SumSBU"/>
      <sheetName val="NR2_565 PQ DQ"/>
      <sheetName val="Parem"/>
      <sheetName val="Le_Huu Hanh 16(1)"/>
      <sheetName val="Le Thi_Nhan M.M (12)"/>
      <sheetName val="Pham ThiðThuong  M.M (7)"/>
      <sheetName val="Le Tat Ve M.M (19)"/>
      <sheetName val="Le Thi Nha"/>
      <sheetName val="Le Thi Nha_f__x0001__"/>
      <sheetName val="400-015.37"/>
      <sheetName val="Pham Thi(Thuong  M.M (7)"/>
      <sheetName val="DTCT"/>
      <sheetName val="Tables"/>
      <sheetName val="ma-pt"/>
      <sheetName val="28-8____________㢈ȣ__x0004_______䴀ȣ___"/>
      <sheetName val="Look_up_table"/>
      <sheetName val="hgld5"/>
      <sheetName val="MTO REV.2(ARMOR)"/>
      <sheetName val="Module#"/>
      <sheetName val="tra_vat_lieu"/>
      <sheetName val="nhap theo ngay vao"/>
      <sheetName val="MTO REV.0"/>
      <sheetName val="Le Heu Hoa 25(2 "/>
      <sheetName val="DANGBAN"/>
      <sheetName val="Pham T(i Thuong  M.M (7)"/>
      <sheetName val="Le2__ Hoa 25(2)"/>
      <sheetName val="so chi tiet"/>
      <sheetName val="DULIEU"/>
      <sheetName val="BDMTK"/>
      <sheetName val="SOKTMAY"/>
      <sheetName val="SUMMARY-BILL4"/>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_ang_Van_Chuong_22(2)"/>
      <sheetName val="LeHuu_Hoa_25(2)"/>
      <sheetName val="Phung_Thi_HIen_18(2_"/>
      <sheetName val="Nguyen_Duy_Lien_ႀ￸(2)"/>
      <sheetName val="Nguyen_Duy_Lien___(2)"/>
      <sheetName val="DG_chi_tiet"/>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_2(2)"/>
      <sheetName val="Hoang_Van_Chuong_"/>
      <sheetName val="MAU_PX"/>
      <sheetName val="KEM_NGHIEN_GIA_CONG"/>
      <sheetName val="NR2Ƞ565_PQ_DQ"/>
      <sheetName val="Le_Huu_Hoa_25(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__f___"/>
      <sheetName val="_"/>
      <sheetName val="12KV"/>
      <sheetName val="Modulm3"/>
      <sheetName val="Le Hue Hanh 16(2)"/>
      <sheetName val="NHATKY"/>
      <sheetName val="Le Thi"/>
      <sheetName val="Le2"/>
      <sheetName val="Loading"/>
      <sheetName val="Solieu"/>
      <sheetName val="BAOCAO"/>
      <sheetName val="phu_cap nam"/>
      <sheetName val="Main"/>
      <sheetName val="Xuly_DTHU"/>
      <sheetName val="___6________________x0013__SOKT-Q3CT."/>
      <sheetName val="Hoang Van Chuong 2(2)"/>
      <sheetName val="_x0002_"/>
      <sheetName val="LỚP 74 HKI"/>
      <sheetName val="LỚP 74 HKII"/>
      <sheetName val="CẢ NĂM 74 "/>
      <sheetName val="LỚP 75 HKI"/>
      <sheetName val="LỚP 75 HKII"/>
      <sheetName val="CẢ NĂM 75"/>
      <sheetName val="Nhat ky - socai thang 2"/>
      <sheetName val="Sheet7"/>
      <sheetName val="nhat ky so cai thang 1"/>
      <sheetName val="Nhat ky so cai thang3"/>
      <sheetName val="Sheet6"/>
      <sheetName val="Sheet5"/>
      <sheetName val="Sheet4"/>
      <sheetName val="thang1-06"/>
      <sheetName val="thang2-06"/>
      <sheetName val="thang3-06"/>
      <sheetName val="thang4-06"/>
      <sheetName val="Gia thau "/>
      <sheetName val="17-9_Ǝ鞜_x000c_饼Ǝ⳪_x000c_"/>
      <sheetName val="NKC"/>
      <sheetName val="KKKKKKKK"/>
      <sheetName val="t-h HA THE"/>
      <sheetName val="#REF!"/>
      <sheetName val="Mau mo)"/>
      <sheetName val="phu"/>
      <sheetName val="_SOKT-Q3CT.xls}KQHDKD"/>
      <sheetName val="pp1p"/>
      <sheetName val="pp3p "/>
      <sheetName val="pp3p_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Sheet1"/>
      <sheetName val="To trinh"/>
      <sheetName val="Sheet2"/>
      <sheetName val="bang2"/>
      <sheetName val="coHoan"/>
      <sheetName val="Congty"/>
      <sheetName val="VPPN"/>
      <sheetName val="XN74"/>
      <sheetName val="XN54"/>
      <sheetName val="XN33"/>
      <sheetName val="NK9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TH"/>
      <sheetName val="ETH"/>
      <sheetName val="1"/>
      <sheetName val="2"/>
      <sheetName val="3"/>
      <sheetName val="4"/>
      <sheetName val="5"/>
      <sheetName val="6"/>
      <sheetName val="7"/>
      <sheetName val="DT1"/>
      <sheetName val="DT2"/>
      <sheetName val="KTQT-AFC"/>
      <sheetName val="CLDG"/>
      <sheetName val="CLKL"/>
      <sheetName val="Bang du toan"/>
      <sheetName val="Tonghop"/>
      <sheetName val="Bu gia"/>
      <sheetName val="PT vat tu"/>
      <sheetName val="PTVT"/>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N79"/>
      <sheetName val="CTMT"/>
      <sheetName val="boHoan"/>
      <sheetName val="C.     Lang"/>
      <sheetName val="SL)NC-MB"/>
      <sheetName val="QL1A-QL1Q moi"/>
      <sheetName val="DG CAࡕ"/>
      <sheetName val="KluongKm2_x000c_4"/>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gVL"/>
      <sheetName val="TK331D"/>
      <sheetName val="334 d"/>
      <sheetName val="HK1"/>
      <sheetName val="HK2"/>
      <sheetName val="CANAM"/>
      <sheetName val="BDCNH"/>
      <sheetName val="bcdtk"/>
      <sheetName val="BCDKTNH"/>
      <sheetName val="BCDKTTHUE"/>
      <sheetName val="tscd"/>
      <sheetName val="giathanh1"/>
      <sheetName val="NCong-Day-Su"/>
      <sheetName val="lt-tl"/>
      <sheetName val="px3-tl"/>
      <sheetName val="px1-tl"/>
      <sheetName val="vp-tl"/>
      <sheetName val="px2,tb-tl"/>
      <sheetName val="th-qt"/>
      <sheetName val="bqt"/>
      <sheetName val="tl-khovt"/>
      <sheetName val="dtkhovt"/>
      <sheetName val="Sheet17"/>
      <sheetName val="Sheet18"/>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C.   ( Lang"/>
      <sheetName val="Maumo)"/>
      <sheetName val="Tonchop"/>
      <sheetName val="P_x000c_V"/>
      <sheetName val="DG CA_"/>
      <sheetName val="TTDZ22"/>
      <sheetName val="Tojg KLBS"/>
      <sheetName val="ɂIEN DONG"/>
      <sheetName val="XL@Test5"/>
      <sheetName val="¶"/>
      <sheetName val="Tai khoan"/>
      <sheetName val="DG "/>
      <sheetName val="MTO REV.0"/>
      <sheetName val="KH-Q1,Q2,01"/>
      <sheetName val="dmuc"/>
      <sheetName val="BGThau_x0008_"/>
      <sheetName val="S`eet12"/>
      <sheetName val="XHXPXXX1"/>
      <sheetName val="0000000!"/>
      <sheetName val="To tri.h"/>
      <sheetName val="cnHoan"/>
      <sheetName val="V_x0010_PN"/>
      <sheetName val="NC"/>
      <sheetName val="PTVL"/>
      <sheetName val="Bu gi`"/>
      <sheetName val="KK bo sung"/>
      <sheetName val="Quy"/>
      <sheetName val="_IEN DONG"/>
      <sheetName val="IBASE"/>
      <sheetName val="˜Ünh m÷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DT"/>
      <sheetName val="Ünh m÷c"/>
      <sheetName val="S29_x0007_"/>
      <sheetName val="XNGBQI-01 (02)"/>
      <sheetName val="Girder"/>
      <sheetName val="Tendon"/>
      <sheetName val="CT"/>
      <sheetName val="NHAN"/>
      <sheetName val="tuong"/>
      <sheetName val="DO AM DT"/>
      <sheetName val="XL4@oppy"/>
      <sheetName val="Km&quot;33s,"/>
      <sheetName val="Km227O838-228_100"/>
      <sheetName val="Dang TSCD 98-02"/>
      <sheetName val="dtkhovd"/>
      <sheetName val="CDMT"/>
      <sheetName val="Sêeet9"/>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XL4Te3t5"/>
      <sheetName val="PPVT"/>
      <sheetName val="XNGBQII-_x0010_4 (3)"/>
      <sheetName val="NEW-PANEL"/>
      <sheetName val="Tang TRCD 98-02"/>
      <sheetName val="TSCD 2000"/>
      <sheetName val="DT1________"/>
      <sheetName val="Quy_2-2002"/>
      <sheetName val="DT1_"/>
      <sheetName val="S29_x0007___S"/>
      <sheetName val="S29_x0007__S"/>
      <sheetName val="4_x0004_"/>
      <sheetName val="Q3-01-duyet"/>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Na2"/>
      <sheetName val="GVL-NC-M"/>
      <sheetName val="DI-ESTI"/>
      <sheetName val="çha tri SX"/>
      <sheetName val="So Conç!îfhiep"/>
      <sheetName val="XLÿÿest5"/>
      <sheetName val="MTO REV.2(ARMOR)"/>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M+MC"/>
      <sheetName val="CHIET TINH TBA"/>
      <sheetName val="tra-vat-lieu"/>
      <sheetName val="ctTBA"/>
      <sheetName val="Bang TK goc"/>
      <sheetName val="DGchitiet "/>
      <sheetName val="NHAN CWNG"/>
      <sheetName val=""/>
      <sheetName val="data"/>
      <sheetName val="phi"/>
      <sheetName val="Hạng mục 2"/>
      <sheetName val="ptdg"/>
      <sheetName val="Km227Э227_838s,"/>
      <sheetName val="Sheetr"/>
      <sheetName val="Km225_838-228_100"/>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INV"/>
      <sheetName val="XXXXXXX2"/>
      <sheetName val="XXXXXXX3"/>
      <sheetName val="XXXXXXX4"/>
      <sheetName val="Quy $-02"/>
      <sheetName val="CĮ     Lang"/>
      <sheetName val="Km227_227_838s,"/>
      <sheetName val="DTCTtallu"/>
      <sheetName val="Vong KLBS"/>
      <sheetName val="Km23"/>
      <sheetName val="tienluong"/>
      <sheetName val="DO_AM_DT"/>
      <sheetName val="ɂIEN_DONG"/>
      <sheetName val="DG_CA_"/>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CI     Lang"/>
      <sheetName val="Du Toan"/>
      <sheetName val="Exterior Walls Finishes"/>
      <sheetName val="Khoi luong"/>
      <sheetName val="coctuatrenda"/>
      <sheetName val="GIAVLIEU"/>
      <sheetName val="Du kien DT 9 thang de fop"/>
      <sheetName val="H_ng m_c 2"/>
      <sheetName val="Hedging"/>
      <sheetName val="mtk_b"/>
      <sheetName val="_Q3-01-duyet.xlsUboHoan"/>
      <sheetName val="KTQT-AF_x0003_"/>
      <sheetName val="KLDGT_x0014_&lt;120%"/>
      <sheetName val="Congt9"/>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IEN_DONG"/>
      <sheetName val="XNGBQIV-02"/>
      <sheetName val="SDH TP"/>
      <sheetName val="TTTram"/>
      <sheetName val="Tonghmp"/>
      <sheetName val="KLDGTT&lt;120_"/>
      <sheetName val="ESTI."/>
      <sheetName val="Vanh dai II"/>
      <sheetName val="BGThau_x0008___0000000_x0001__x0006___Sheet1_x0008___To"/>
      <sheetName val="BGThau_x0008__0000000_x0001__x0006__Sheet1_x0008__To dr"/>
      <sheetName val="4_x0004___XN54_x0004___XN33_x0004___NK96_x0006___Sheet4"/>
      <sheetName val="BGThau_x0008__0000000_x0001__x0006__Sheet1_x0008__To"/>
      <sheetName val="Na2__01"/>
      <sheetName val="4_x0004__XN54_x0004__XN33_x0004__NK96_x0006__Sheet4"/>
      <sheetName val="CT_doanh thu 2005"/>
      <sheetName val="00000003"/>
      <sheetName val="CPQL"/>
      <sheetName val="THCPQL"/>
      <sheetName val="name"/>
      <sheetName val="Thep-MatCat"/>
      <sheetName val="Kiem-Toan"/>
      <sheetName val="NhapSL"/>
      <sheetName val="Km033s,"/>
      <sheetName val="C_     Lang"/>
      <sheetName val="ThongSo"/>
      <sheetName val="B-B"/>
      <sheetName val="Analysis"/>
      <sheetName val="C-C"/>
      <sheetName val="D-D"/>
      <sheetName val="Qheet19"/>
      <sheetName val="��nh m�c"/>
      <sheetName val="S�eet9"/>
      <sheetName val="�ha tri SX"/>
      <sheetName val="So Con�!�fhiep"/>
      <sheetName val="XL��est5"/>
      <sheetName val="MAK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Tongke"/>
      <sheetName val="Lietke"/>
      <sheetName val="00000000"/>
      <sheetName val="10000000"/>
    </sheetNames>
    <sheetDataSet>
      <sheetData sheetId="0" refreshError="1"/>
      <sheetData sheetId="1" refreshError="1"/>
      <sheetData sheetId="2" refreshError="1"/>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TAM"/>
      <sheetName val="English"/>
      <sheetName val="BO"/>
      <sheetName val="TongDT"/>
      <sheetName val="CUOCVL"/>
      <sheetName val="BUVL"/>
      <sheetName val="NCONG"/>
      <sheetName val="MAY"/>
      <sheetName val="dthsen1"/>
      <sheetName val="dthsen2"/>
      <sheetName val="khehoi"/>
      <sheetName val="Dongxung "/>
      <sheetName val="vandiem1"/>
      <sheetName val="vandiem2"/>
      <sheetName val="Tongke"/>
      <sheetName val="hoasenbosung"/>
      <sheetName val="TVL"/>
      <sheetName val="15-05-08"/>
      <sheetName val="BB tuan"/>
      <sheetName val="BB ngay"/>
      <sheetName val="Sheet3"/>
      <sheetName val="TONG KE DZ 0.4 KV"/>
      <sheetName val="DO AM DT"/>
      <sheetName val="DTXL"/>
      <sheetName val="Tong_ke"/>
      <sheetName val="TL rieng"/>
      <sheetName val="INV"/>
      <sheetName val="XXXXXXXX"/>
      <sheetName val="XXXXXXX0"/>
      <sheetName val="XXXXXXX1"/>
      <sheetName val="XXXXXXX2"/>
      <sheetName val="XXXXXXX3"/>
      <sheetName val="XXXXXXX4"/>
      <sheetName val="CT"/>
      <sheetName val="Sheet1"/>
      <sheetName val="KVT NhËp kho"/>
      <sheetName val="144"/>
      <sheetName val="142"/>
      <sheetName val="SO CAI 111"/>
      <sheetName val="111"/>
      <sheetName val="112"/>
      <sheetName val="811"/>
      <sheetName val="sc642"/>
      <sheetName val="642"/>
      <sheetName val="sc627"/>
      <sheetName val="sxkddd"/>
      <sheetName val="Cau"/>
      <sheetName val="doi 601"/>
      <sheetName val="ngoc hoi"/>
      <sheetName val="ngo may"/>
      <sheetName val="dak to"/>
      <sheetName val="thuy dien"/>
      <sheetName val="sc6211"/>
      <sheetName val="6211"/>
      <sheetName val="konplong"/>
      <sheetName val="truong"/>
      <sheetName val="627"/>
      <sheetName val="411"/>
      <sheetName val="338"/>
      <sheetName val="334"/>
      <sheetName val="333.4"/>
      <sheetName val="333.1"/>
      <sheetName val="Sæ c¸i 131"/>
      <sheetName val="131,"/>
      <sheetName val="133"/>
      <sheetName val="CT 133"/>
      <sheetName val="214"/>
      <sheetName val="211"/>
      <sheetName val="154"/>
      <sheetName val="153"/>
      <sheetName val="152"/>
      <sheetName val="632"/>
      <sheetName val="622"/>
      <sheetName val="SC621"/>
      <sheetName val="331"/>
      <sheetName val="421"/>
      <sheetName val="311"/>
      <sheetName val="635"/>
      <sheetName val="515"/>
      <sheetName val="511"/>
      <sheetName val="621"/>
      <sheetName val="XL4Poppy"/>
      <sheetName val="ptdg"/>
      <sheetName val="Thuc thanh"/>
      <sheetName val="Open"/>
      <sheetName val="Function"/>
      <sheetName val="Noisuy-LLL"/>
      <sheetName val="QTXD"/>
      <sheetName val="B-B"/>
      <sheetName val="Analysis"/>
      <sheetName val="C-C"/>
      <sheetName val="D-D"/>
      <sheetName val="CPQL"/>
      <sheetName val="THCPQL"/>
      <sheetName val="TTDZ22"/>
      <sheetName val="Tai khoan"/>
      <sheetName val="DI-ESTI"/>
      <sheetName val="gVL"/>
      <sheetName val="Mau"/>
      <sheetName val="CDT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VC"/>
      <sheetName val="TVLIEU"/>
      <sheetName val="PTDG"/>
      <sheetName val="DTCT"/>
      <sheetName val="DS cau"/>
      <sheetName val="tong hop"/>
      <sheetName val="phan tich DG"/>
      <sheetName val="gia vat lieu"/>
      <sheetName val="gia xe may"/>
      <sheetName val="gia nhan cong"/>
      <sheetName val="XL4Test5"/>
      <sheetName val="DANH SACH"/>
      <sheetName val="Sheet1"/>
      <sheetName val="Sheet3"/>
      <sheetName val="00000000"/>
      <sheetName val="10000000"/>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Sheet5"/>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VL,NC"/>
      <sheetName val="PHAN TICH`VAT TU"/>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_"/>
      <sheetName val="GVT"/>
      <sheetName val="MTO REV.2(ARMOR)"/>
      <sheetName val="ctTBA"/>
      <sheetName val="TONG HOP K©N© 2ÈI"/>
      <sheetName val="Tien An T11"/>
      <sheetName val="DNPD-QL"/>
      <sheetName val="Bang luong"/>
      <sheetName val="Bang CC"/>
      <sheetName val=" Luong nghien "/>
      <sheetName val="QT-LN"/>
      <sheetName val="Giantiep"/>
      <sheetName val="Phuc vu"/>
      <sheetName val="May Phat"/>
      <sheetName val="1813"/>
      <sheetName val="TTTram"/>
      <sheetName val="Dot31"/>
      <sheetName val="Dot32"/>
      <sheetName val="Dot33"/>
      <sheetName val="Dot34"/>
      <sheetName val="Dot35"/>
      <sheetName val="Dot26"/>
      <sheetName val="Dot27"/>
      <sheetName val="Dot28"/>
      <sheetName val="Dot29"/>
      <sheetName val="Dot30"/>
      <sheetName val="Sheet2"/>
      <sheetName val="DTCT-TB"/>
      <sheetName val="TONG KE DZ 0.4 KV"/>
      <sheetName val="Bia TQT"/>
      <sheetName val="Thuc thanh"/>
      <sheetName val="DO AM DT"/>
      <sheetName val="BANG DU TGAN DRC"/>
      <sheetName val="VC B_x000f_"/>
      <sheetName val="PHAN DICH VAT TU"/>
      <sheetName val="DIEL GIAI KL"/>
      <sheetName val="KLDK THUC HIEN"/>
      <sheetName val="Shaet30"/>
      <sheetName val="Sheet#2"/>
      <sheetName val="Qheet36"/>
      <sheetName val="Tai khoan"/>
      <sheetName val="BO"/>
      <sheetName val="Tongke"/>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QTDG"/>
      <sheetName val="gia xe "/>
      <sheetName val="Luong T1- 03"/>
      <sheetName val="Luong T2- 03"/>
      <sheetName val="Luong T3- 03"/>
      <sheetName val="_ _U_"/>
      <sheetName val="Sheet5__x0008__x0006__x0008__x0003_ဠ 蜰Ư༢_螸Ư༢_蠼Ư༢_裀Ư༢_襄Ư"/>
      <sheetName val="gia xe _ay"/>
      <sheetName val="_ _U___U___U___U___U___U_______"/>
      <sheetName val="giathanh1"/>
      <sheetName val="TONGSBU"/>
      <sheetName val="TT04"/>
      <sheetName val="Gia KS"/>
      <sheetName val="dg"/>
      <sheetName val="TL rieng"/>
      <sheetName val="TONG KE"/>
      <sheetName val="Electrical Breakdown"/>
      <sheetName val="ay (28-10-2005)"/>
      <sheetName val="CHIET TINH DGN GIA"/>
      <sheetName val="dtct cau"/>
      <sheetName val="Chi tiet1"/>
      <sheetName val="___Ý___Ý___Ý___Ý___Ý___Ý_______"/>
      <sheetName val="Sheet5__x0008__x0006__x0008__x0003____Ý___Ý___Ý___Ý___Ý"/>
      <sheetName val="PHAN TICH VAT T_x0015_ NGANG"/>
      <sheetName val="PHAN TACH VAT TU THEO NHOM"/>
      <sheetName val="TONG HOP NHAN CNNG"/>
      <sheetName val="DIEF GIAI CPSX"/>
      <sheetName val="BANG GIA DU UOAN THUY LOI"/>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Sheet5__x0008__x0006__x0008__x0003__ _U___U___U___U___U"/>
      <sheetName val="_ _U___U___U___U___U___U__"/>
      <sheetName val="_ia nhan cong"/>
      <sheetName val="Tiepdia"/>
      <sheetName val="dtct cong"/>
      <sheetName val="PTVT (MAU)"/>
      <sheetName val=" lam"/>
      <sheetName val="VL_NC"/>
      <sheetName val="BC11cau-QL15A-3"/>
      <sheetName val="KLLK THUC @IEN"/>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DZ 22KV"/>
      <sheetName val="chitiet"/>
      <sheetName val="TPSX"/>
      <sheetName val="DK-TT"/>
      <sheetName val="Dept"/>
      <sheetName val=""/>
      <sheetName val="01 Bid Price summary"/>
      <sheetName val="Shee«"/>
      <sheetName val="She«3"/>
      <sheetName val="Tong_ke"/>
      <sheetName val="Sheet5__x0008__x0006__x0008__x0003_ဠ_蜰Ư༢_螸Ư༢_蠼Ư༢_⋀_x000f_쀀궈∁_x000f_"/>
      <sheetName val="DO_AM_DT"/>
      <sheetName val="Names"/>
      <sheetName val="Thuc thanh_ס________ _忀ס__x0004______"/>
      <sheetName val="ay (28-10-2005)__#2_Du toan nga"/>
      <sheetName val="Luong ¼1- 03"/>
      <sheetName val="Sales2002"/>
      <sheetName val="gia xe ay"/>
      <sheetName val="MAKHO"/>
      <sheetName val="Sheet5__U__U__U__U__U__U_"/>
      <sheetName val="Sheet5__U__U__U__U__U"/>
      <sheetName val="uniBase"/>
      <sheetName val="vniBase"/>
      <sheetName val="abcBase"/>
      <sheetName val="TH VAL TU"/>
      <sheetName val="BANG BU VAN CxUYEN"/>
      <sheetName val="CHI PHI CÁ!MAY"/>
      <sheetName val="Tra"/>
      <sheetName val="_ _Ý_"/>
      <sheetName val="Sheet5__x0008__x0006__x0008__x0003____Ý___Ý___Ý____x000f_____x000f_"/>
      <sheetName val="_ _Ý___Ý___Ý___Ý___Ý___Ý_______"/>
      <sheetName val=" lam__x000e_2_Goi 1 (TT04)_ 2_goi 1 d"/>
      <sheetName val="PONG HOP KINH PHI"/>
      <sheetName val="PHAN TICH KHOI HUONG"/>
      <sheetName val="DON CIA TONG HOP"/>
      <sheetName val=" Luong nghiun "/>
      <sheetName val="Sheet5__x0008__x0006__x0008__x0003__ _Ý___Ý___Ý___Ý___Ý"/>
      <sheetName val="Sheet5__Ý__Ý__Ý__Ý__Ý__Ý_"/>
      <sheetName val="Sheet5__Ý__Ý__Ý__Ý__Ý"/>
      <sheetName val="Sheet5__x0008__x0006__x0008__x0003____U___U___U___U__7U"/>
      <sheetName val="Sheet5__x0008__x0006__x0008__x0003_ဠ 蜰Ư༢_螸Ư༢_蠼Ư༢_裀Ưܢ_襄Ư"/>
      <sheetName val="_BC11cau-Q"/>
      <sheetName val="TONG XOP NHAN CONG"/>
      <sheetName val="Khoi luong"/>
      <sheetName val="___________!_BC11cau-QL15A-3.xl"/>
      <sheetName val="Thuc thanh_ס_ 忀ס__x0004__鵀ס_怈ס_d_!_BC"/>
      <sheetName val="Thuc thanh_ס_ 忀ס__x0004__鵀ס_怈ס_d_!_BC"/>
      <sheetName val="ay (28-10-2005)_#2_Du toan ngay"/>
      <sheetName val="LEGEND"/>
      <sheetName val="VC BG"/>
      <sheetName val="C47(T11)"/>
      <sheetName val="Shɥet5"/>
      <sheetName val="Don gia-cau"/>
      <sheetName val="BOQ-1"/>
      <sheetName val="MTL$-INTER"/>
      <sheetName val="DI-ESTI"/>
      <sheetName val="Thuc thanh_ס________ _忀ס__x0004______"/>
      <sheetName val="tra-vat-lieu"/>
      <sheetName val="VC"/>
      <sheetName val="NKC"/>
      <sheetName val="PEDESB"/>
      <sheetName val="___Ý___Ý___Ý___Ý___Ý___Ý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DTCT"/>
      <sheetName val="tonghoptt (2)"/>
      <sheetName val="tonghoptt"/>
      <sheetName val="ximang"/>
      <sheetName val="da 1x2"/>
      <sheetName val="cat vang"/>
      <sheetName val="phugia555"/>
      <sheetName val="phugia561"/>
      <sheetName val="Tai khoan"/>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Dulieu"/>
      <sheetName val="Tra_ba_x000e_g"/>
      <sheetName val="_x0018_N54"/>
      <sheetName val="gia vat"/>
      <sheetName val="gia 3"/>
      <sheetName val="dung"/>
      <sheetName val="2"/>
      <sheetName val="Tra KS"/>
      <sheetName val="TSO_CHUNG"/>
      <sheetName val="VL,NC"/>
      <sheetName val="ctTBA"/>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fia vat lieu"/>
      <sheetName val="Shdet3"/>
      <sheetName val="Cn.gty"/>
      <sheetName val="dbgt(tuien("/>
      <sheetName val="DgiajqatDHC4,"/>
      <sheetName val="Tonghp"/>
      <sheetName val="Loading"/>
      <sheetName val="Check C"/>
      <sheetName val="gVL"/>
      <sheetName val="_x000c_"/>
      <sheetName val="DTCT-TB"/>
      <sheetName val="dtct cau"/>
      <sheetName val="gia vat_lieu"/>
      <sheetName val="giathanh1"/>
      <sheetName val="CHITIET VL-NC-TT-3p"/>
      <sheetName val="VCV-BE-TONG"/>
      <sheetName val="BTH phi"/>
      <sheetName val="BLT phi"/>
      <sheetName val="phi,le phi"/>
      <sheetName val="Bien Lai TON"/>
      <sheetName val="BCQT "/>
      <sheetName val="Giay di duong"/>
      <sheetName val="BC QT cua tung ap"/>
      <sheetName val="GIAO CHI TIEU THU QUY 07"/>
      <sheetName val="BANG TONG HOP GIAY NOP TIEN"/>
      <sheetName val="gia 3_t lieu"/>
      <sheetName val="dgngia"/>
      <sheetName val="ptdg-duong"/>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NOMENCLATURE"/>
      <sheetName val="PTVT (MAU)"/>
      <sheetName val="Thuc thanh"/>
      <sheetName val="CdȮNhap"/>
      <sheetName val="Tnnghop"/>
      <sheetName val="2__(tuyen)"/>
      <sheetName val="Tra_bang_QD11-109"/>
      <sheetName val="_BCNCKT13_S3.xlsYphugia561"/>
      <sheetName val="KH-Q1,Q2,01"/>
      <sheetName val="KCCP"/>
      <sheetName val="DO AM DT"/>
      <sheetName val="BO"/>
      <sheetName val="T.Tran( AnLoc"/>
      <sheetName val="gia 8e may"/>
      <sheetName val="DgiaksatDHC"/>
      <sheetName val="SOKTMAY"/>
      <sheetName val="TK22kV"/>
      <sheetName val="DI-ESTI"/>
      <sheetName val="_x000c___x0001_____x0001_ý"/>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_x0001___x0001_ý"/>
      <sheetName val="PHAN DS 22 KV"/>
      <sheetName val="chi tiet C"/>
      <sheetName val="Ke toaٺ_x0001_thuc hien cong trinh"/>
      <sheetName val="Electrical Breakdown"/>
      <sheetName val="2__€(tuyen)"/>
      <sheetName val="So tong hop "/>
      <sheetName val="uniBase"/>
      <sheetName val="vniBase"/>
      <sheetName val="abcBase"/>
      <sheetName val="TL rieng"/>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Sheet6"/>
      <sheetName val="kl cong"/>
      <sheetName val="thkp"/>
      <sheetName val="clvl"/>
      <sheetName val="ptvl"/>
      <sheetName val="ke"/>
      <sheetName val="CTGS"/>
      <sheetName val="ESTI."/>
      <sheetName val="IBASE"/>
      <sheetName val="Nhat ky - socai thang 2"/>
      <sheetName val="Sheet7"/>
      <sheetName val="nhat ky so cai thang 1"/>
      <sheetName val="Nhat ky so cai thang3"/>
      <sheetName val="Sheet5"/>
      <sheetName val="4"/>
      <sheetName val="LEGEND"/>
      <sheetName val="ND"/>
      <sheetName val="db't(tuyeni (2)"/>
      <sheetName val="TTDZ22"/>
      <sheetName val="Tiepdia"/>
      <sheetName val="Gia KS"/>
      <sheetName val="MF.01%"/>
      <sheetName val="Temp"/>
      <sheetName val="_BCNCKT13_S3.xl۽"/>
      <sheetName val="gia_vatlieu"/>
      <sheetName val="2__�(tuyen)"/>
      <sheetName val="_BCNCKT13_S3.xl۽_Ctgs.3"/>
      <sheetName val="Lists"/>
      <sheetName val=""/>
      <sheetName val="MTL$-INTER"/>
      <sheetName val="|ong hop"/>
      <sheetName val="________"/>
      <sheetName val="_BCNCKT13_S3.xls_VPPN"/>
      <sheetName val="T.Tranh LkcNinh"/>
      <sheetName val="dbgt(tuyel)"/>
      <sheetName val="KRTK (06)"/>
      <sheetName val="KSTK(1778 Dcuone)"/>
      <sheetName val="C47-BH-ူ9"/>
      <sheetName val="DPCT"/>
      <sheetName val="C47-BH-_x0011_1"/>
      <sheetName val="NHAP DS"/>
      <sheetName val="PTDGAntoanGT"/>
      <sheetName val="Cau - Cong"/>
      <sheetName val="vt"/>
      <sheetName val="PTVT _MAU_"/>
      <sheetName val="KSTK(17_x005f_x0017_8 Dcuong)"/>
      <sheetName val="KSTK(1778 _x005f_x0004_c5o.g)"/>
      <sheetName val="Tra_ba_x005f_x000e_g"/>
      <sheetName val="_x005f_x0018_N54"/>
      <sheetName val="gia vat_x005f_x0000_lieu"/>
      <sheetName val="gia 3_x005f_x0000_t lieu"/>
      <sheetName val="2_x005f_x0000__x005f_x0000_(tuyen)"/>
      <sheetName val="_x005f_x000c__x005f_x0000__x005f_x0001__x005f_x0000__x0"/>
      <sheetName val="_x005f_x000c___x005f_x0001_____x005f_x0001_ý"/>
      <sheetName val="_x005f_x000c_"/>
      <sheetName val="KKKKKKKK"/>
      <sheetName val="_x0010_"/>
      <sheetName val="_x0001_W"/>
      <sheetName val="_x0006_"/>
      <sheetName val="Q_x0008_"/>
      <sheetName val="j_"/>
      <sheetName val="n_"/>
      <sheetName val="r_"/>
      <sheetName val="v_"/>
      <sheetName val="z_"/>
      <sheetName val="~_"/>
      <sheetName val="_"/>
      <sheetName val="_"/>
      <sheetName val="_"/>
      <sheetName val="_"/>
      <sheetName val="_"/>
      <sheetName val="_"/>
      <sheetName val="_BCNCKT13_S3.xl_"/>
      <sheetName val="TnTranh AnLoc"/>
      <sheetName val="5.BANG I"/>
      <sheetName val="FD"/>
      <sheetName val="GI"/>
      <sheetName val="EE (3)"/>
      <sheetName val="PAVEMENT"/>
      <sheetName val="TRAFFIC"/>
      <sheetName val="KSTK(17_x005f_x005f_x005f_x0017_8 Dcuong)"/>
      <sheetName val="KSTK(1778 _x005f_x005f_x005f_x0004_c5o.g)"/>
      <sheetName val="Tra_ba_x005f_x005f_x005f_x000e_g"/>
      <sheetName val="_x005f_x005f_x005f_x0018_N54"/>
      <sheetName val="gia vat_x005f_x005f_x005f_x0000_lieu"/>
      <sheetName val="gia 3_x005f_x005f_x005f_x0000_t lieu"/>
      <sheetName val="2_x005f_x005f_x005f_x0000__x005f_x005f_x005f_x0000_(tu"/>
      <sheetName val="_x005f_x005f_x005f_x000c__x005f_x005f_x005f_x0000__x005"/>
      <sheetName val="_x005f_x005f_x005f_x000c___x005f_x005f_x005f_x0001_____"/>
      <sheetName val="_x005f_x005f_x005f_x000c_"/>
      <sheetName val="KSTK(17_x005f_x005f_x005f_x005f_x005f_x005f_x0017"/>
      <sheetName val="KSTK(1778 _x005f_x005f_x005f_x005f_x005f_x005f_x0"/>
      <sheetName val="Tra_ba_x005f_x005f_x005f_x005f_x005f_x005f_x005f_x000e_"/>
      <sheetName val="_x005f_x005f_x005f_x005f_x005f_x005f_x005f_x0018_N54"/>
      <sheetName val="gia vat_x005f_x005f_x005f_x005f_x005f_x005f_x0000"/>
      <sheetName val="gia 3_x005f_x005f_x005f_x005f_x005f_x005f_x005f_x0000_t"/>
      <sheetName val="2_x005f_x005f_x005f_x005f_x005f_x005f_x005f_x0000__x005"/>
      <sheetName val="_x005f_x005f_x005f_x005f_x005f_x005f_x005f_x000c__x005f"/>
      <sheetName val="_x005f_x005f_x005f_x005f_x005f_x005f_x005f_x000c___x005"/>
      <sheetName val="_x005f_x005f_x005f_x005f_x005f_x005f_x005f_x000c_"/>
      <sheetName val="KST_(17_x0017_8 Dcuong)"/>
      <sheetName val="bang2"/>
      <sheetName val="_x0010____.VnBook-AntiquaH__ÿ_x001f__x0016_____x0001___"/>
      <sheetName val="_x0001_W____x0014__Í_x0001_&gt;_______@___õÿ __´____"/>
      <sheetName val="_x0006____x0006___ _x0006___¡_x0006___¢_x0006___£_x0006___¤_x0006___¥_x0006___"/>
      <sheetName val="__I_x0008___J_x0008___K_x0008___L_x0008___M_x0008___N_x0008___O_x0008___P"/>
      <sheetName val="Q_x0008___R_x0008___"/>
      <sheetName val="_a___b___c___d___e___f___g___h_"/>
      <sheetName val="j___k___l_"/>
      <sheetName val="n___o___p_"/>
      <sheetName val="r___s___t_"/>
      <sheetName val="v___w___x_"/>
      <sheetName val="z___{___|_"/>
      <sheetName val="~_______"/>
      <sheetName val="_______"/>
      <sheetName val="_______"/>
      <sheetName val="_______"/>
      <sheetName val="_______"/>
      <sheetName val="_______"/>
      <sheetName val="_______"/>
      <sheetName val="_BCNCKT13_S3.xl__Ctgs.3"/>
      <sheetName val="TH thiet bi"/>
      <sheetName val="Tongke"/>
      <sheetName val="Don gia-ca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hucauKP"/>
      <sheetName val="Sheet2"/>
      <sheetName val="Sheet3"/>
      <sheetName val="Sheet3 (2)"/>
      <sheetName val="XL4Poppy"/>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NXT-Q1"/>
      <sheetName val="NXT-10T (2)"/>
      <sheetName val="NXT-6T"/>
      <sheetName val="NXT-10T (3)"/>
      <sheetName val="NXT-9T"/>
      <sheetName val="NXT-9T (2)"/>
      <sheetName val="NXT-10T"/>
      <sheetName val="NXT-10T (4)"/>
      <sheetName val="NXT-Q2"/>
      <sheetName val="NXT-Q3"/>
      <sheetName val="NXT-10"/>
      <sheetName val="Sheet1"/>
      <sheetName val="Sheet1 (2)"/>
      <sheetName val="31-08"/>
      <sheetName val="01-09"/>
      <sheetName val="02-09"/>
      <sheetName val="03-09"/>
      <sheetName val="04-09"/>
      <sheetName val="05-9"/>
      <sheetName val="06-09"/>
      <sheetName val="07-09"/>
      <sheetName val="08-09"/>
      <sheetName val="px2,tb-t,"/>
      <sheetName val="Tra_bang"/>
      <sheetName val="DTCT"/>
      <sheetName val="dtct cong"/>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gVL"/>
      <sheetName val="Tien An T11"/>
      <sheetName val="DNPD-QL"/>
      <sheetName val="Bang luong"/>
      <sheetName val="Bang CC"/>
      <sheetName val=" Luong nghien "/>
      <sheetName val="QT-LN"/>
      <sheetName val="Giantiep"/>
      <sheetName val="Tong hop"/>
      <sheetName val="Phuc vu"/>
      <sheetName val="May Phat"/>
      <sheetName val="1813"/>
      <sheetName val="nc%cm"/>
      <sheetName val="dtctODuong-01"/>
      <sheetName val="GiaVL"/>
      <sheetName val="dtct cau"/>
      <sheetName val="dtct_Duong,tc"/>
      <sheetName val="Sheet! (2)"/>
      <sheetName val="tra bang"/>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CtiedQII"/>
      <sheetName val="DHop08"/>
      <sheetName val="Ctiet 9"/>
      <sheetName val="Ctiet!1"/>
      <sheetName val="00 00000"/>
      <sheetName val="Bia"/>
      <sheetName val="THKP D"/>
      <sheetName val="THKP"/>
      <sheetName val="Bu gia1"/>
      <sheetName val="Bu gia in"/>
      <sheetName val="Bu gia"/>
      <sheetName val="CL CL"/>
      <sheetName val="CL"/>
      <sheetName val="DT"/>
      <sheetName val="CVC-_x0010_1"/>
      <sheetName val="dt#tke-01"/>
      <sheetName val="ptdg-00 (2)"/>
      <sheetName val="02- 9"/>
      <sheetName val="Cheet3"/>
      <sheetName val="THop0_x0015_"/>
      <sheetName val="Bke0_x0015_"/>
      <sheetName val="_x0004_en 31,7"/>
      <sheetName val="THop0("/>
      <sheetName val="BC9Tfam"/>
      <sheetName val="nc_cm"/>
      <sheetName val="_ duong257-272."/>
      <sheetName val="Sheet4"/>
      <sheetName val="nhiemvu2006"/>
      <sheetName val="RutTM"/>
      <sheetName val="10000000"/>
      <sheetName val="20000000"/>
      <sheetName val="30000000"/>
      <sheetName val="tra-vat-lieu (duyet)"/>
      <sheetName val="d4ct_Duong-01"/>
      <sheetName val="TVL"/>
      <sheetName val="Tra KS"/>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TH_GTXL࠭TC"/>
      <sheetName val="dieuchinh"/>
      <sheetName val="p4ke"/>
      <sheetName val="DO AM DT"/>
      <sheetName val="THop51"/>
      <sheetName val="Ctie塅䕃⹌"/>
      <sheetName val="dtgt_Duong-tk"/>
      <sheetName val="BeTong"/>
      <sheetName val="TH_GTXL_TC"/>
      <sheetName val="NXT-10T  4)"/>
      <sheetName val="Ctiet02__x0018__ duong257-272.xls_Bke"/>
      <sheetName val="Thuc thanh"/>
      <sheetName val="THop1"/>
      <sheetName val="THop1"/>
      <sheetName val="Phuong an 1"/>
      <sheetName val="VL,NC"/>
      <sheetName val="PHop04"/>
      <sheetName val=""/>
      <sheetName val="THop1_"/>
      <sheetName val="cdps"/>
      <sheetName val="DNP၄-QL"/>
      <sheetName val="Ctie___"/>
      <sheetName val="-272.xls_Bke01"/>
      <sheetName val="-272.xls_Bke01____x0018__ duong257-27"/>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Sheet13___________㸰Ɂ__x0004_______숌Ɂ_"/>
      <sheetName val="CHITIET VL-NC"/>
      <sheetName val="THTram"/>
      <sheetName val="__duong257-272_"/>
      <sheetName val="tra-vat-lieu_(duyet)"/>
      <sheetName val="THKP_D"/>
      <sheetName val="Bu_gia1"/>
      <sheetName val="Bu_gia_in"/>
      <sheetName val="Bu_gia"/>
      <sheetName val="CL_CL"/>
      <sheetName val="KKKKKKKK"/>
      <sheetName val="ptdg-01_(2)1"/>
      <sheetName val="NXT-10T_(2)1"/>
      <sheetName val="NXT-10T_(3)1"/>
      <sheetName val="NXT-9T_(2)1"/>
      <sheetName val="NXT-10T_(4)1"/>
      <sheetName val="Sheet1_(2)1"/>
      <sheetName val="dtct_cong1"/>
      <sheetName val="C_tietTH6T1"/>
      <sheetName val="C_tiet_051"/>
      <sheetName val="Den_31,71"/>
      <sheetName val="Bke_101"/>
      <sheetName val="UOc_T101"/>
      <sheetName val="Bke_111"/>
      <sheetName val="Uoc_20051"/>
      <sheetName val="Bke_121"/>
      <sheetName val="dtct_cau1"/>
      <sheetName val="Tien_An_T111"/>
      <sheetName val="Bang_luong1"/>
      <sheetName val="Bang_CC1"/>
      <sheetName val="_Luong_nghien_1"/>
      <sheetName val="Tong_hop1"/>
      <sheetName val="Phuc_vu1"/>
      <sheetName val="May_Phat1"/>
      <sheetName val="Tra_KS"/>
      <sheetName val="XL$Poppy"/>
      <sheetName val="________"/>
      <sheetName val="Don gia-cau"/>
      <sheetName val="Tai khoan"/>
      <sheetName val="Cp``pQII"/>
      <sheetName val="&#13;¹½.,6³"/>
      <sheetName val="bang-tra"/>
      <sheetName val="Sheet13_______________x0004__________"/>
      <sheetName val="__u________________x001a__ duong257-2"/>
      <sheetName val="Bke 90"/>
      <sheetName val="CVC-_x005f_x0010_1"/>
      <sheetName val="THop0_x005f_x0015_"/>
      <sheetName val="Bke0_x005f_x0015_"/>
      <sheetName val="_x005f_x0004_en 31,7"/>
      <sheetName val="Ctiet02_x005f_x0000__x005f_x0018__ duong257"/>
      <sheetName val="Ctiet02__x005f_x0018__ duong257-272.x"/>
      <sheetName val="Sheet13_x005f_x0000__x005f_x0000__x005f_x0000__x0"/>
      <sheetName val="THop1_x005f_x0000_"/>
      <sheetName val="-272.xls_Bke01_x005f_x0000__x005f_x0000__x0"/>
      <sheetName val="-272.xls_Bke01____x005f_x0018__ duong"/>
      <sheetName val="Ctiet02__duong257-272_xls_Bke"/>
      <sheetName val="Ctiet02___duong257-272_xls_Bke"/>
      <sheetName val="Sheet13㸰Ɂ숌Ɂ㹨Ɂu__duong257-2"/>
      <sheetName val="Sheet13㸰Ɂ숌Ɂ"/>
      <sheetName val="CtietQIIA"/>
      <sheetName val="_¹½.,6³"/>
      <sheetName val="NXT-10T__4)"/>
      <sheetName val="Sheet13___________㸰Ɂ_______숌Ɂ_"/>
      <sheetName val="Phuong_an_1"/>
      <sheetName val="Thuc_thanh"/>
      <sheetName val="DO_AM_DT"/>
      <sheetName val="CHITIET_VL-NC"/>
      <sheetName val="ptdg-01_(2)2"/>
      <sheetName val="NXT-10T_(2)2"/>
      <sheetName val="NXT-10T_(3)2"/>
      <sheetName val="NXT-9T_(2)2"/>
      <sheetName val="NXT-10T_(4)2"/>
      <sheetName val="Sheet1_(2)2"/>
      <sheetName val="dtct_cong2"/>
      <sheetName val="C_tietTH6T2"/>
      <sheetName val="C_tiet_052"/>
      <sheetName val="Den_31,72"/>
      <sheetName val="Bke_102"/>
      <sheetName val="UOc_T102"/>
      <sheetName val="Bke_112"/>
      <sheetName val="Uoc_20052"/>
      <sheetName val="Bke_122"/>
      <sheetName val="Tien_An_T112"/>
      <sheetName val="Bang_luong2"/>
      <sheetName val="Bang_CC2"/>
      <sheetName val="_Luong_nghien_2"/>
      <sheetName val="Tong_hop2"/>
      <sheetName val="Phuc_vu2"/>
      <sheetName val="May_Phat2"/>
      <sheetName val="dtct_cau2"/>
      <sheetName val="Sheet3_(2)1"/>
      <sheetName val="ptdg-00_(2)1"/>
      <sheetName val="02-_91"/>
      <sheetName val="Ctiet_91"/>
      <sheetName val="00_000001"/>
      <sheetName val="Sheet!_(2)1"/>
      <sheetName val="CORE_PLATE1"/>
      <sheetName val="TR_1"/>
      <sheetName val="TR__AJO1"/>
      <sheetName val="TR__ALO1"/>
      <sheetName val="DAT_51"/>
      <sheetName val="TR_PLUG1"/>
      <sheetName val="TR_BARREL1"/>
      <sheetName val="TR__JUKI1"/>
      <sheetName val="JUN_07__1"/>
      <sheetName val="INV_0706JPY1"/>
      <sheetName val="Schedule08_071"/>
      <sheetName val="CHENH_LECH1"/>
      <sheetName val="OKAYA_KH_ALO1"/>
      <sheetName val="OKAYA__(2)1"/>
      <sheetName val="OKAYA_1"/>
      <sheetName val="tra-vat-lieu_(duyet)1"/>
      <sheetName val="Tra_KS1"/>
      <sheetName val="__duong257-272_1"/>
      <sheetName val="THKP_D1"/>
      <sheetName val="Bu_gia11"/>
      <sheetName val="Bu_gia_in1"/>
      <sheetName val="Bu_gia2"/>
      <sheetName val="CL_CL1"/>
      <sheetName val="NXT-10T__4)1"/>
      <sheetName val="Phuong_an_11"/>
      <sheetName val="Thuc_thanh1"/>
      <sheetName val="DO_AM_DT1"/>
      <sheetName val="ptdg-01_(2)3"/>
      <sheetName val="NXT-10T_(2)3"/>
      <sheetName val="NXT-10T_(3)3"/>
      <sheetName val="NXT-9T_(2)3"/>
      <sheetName val="NXT-10T_(4)3"/>
      <sheetName val="Sheet1_(2)3"/>
      <sheetName val="dtct_cong3"/>
      <sheetName val="C_tietTH6T3"/>
      <sheetName val="C_tiet_053"/>
      <sheetName val="Den_31,73"/>
      <sheetName val="Bke_103"/>
      <sheetName val="UOc_T103"/>
      <sheetName val="Bke_113"/>
      <sheetName val="Uoc_20053"/>
      <sheetName val="Bke_123"/>
      <sheetName val="Tien_An_T113"/>
      <sheetName val="Bang_luong3"/>
      <sheetName val="Bang_CC3"/>
      <sheetName val="_Luong_nghien_3"/>
      <sheetName val="Tong_hop3"/>
      <sheetName val="Phuc_vu3"/>
      <sheetName val="May_Phat3"/>
      <sheetName val="dtct_cau3"/>
      <sheetName val="Sheet3_(2)2"/>
      <sheetName val="ptdg-00_(2)2"/>
      <sheetName val="02-_92"/>
      <sheetName val="Ctiet_92"/>
      <sheetName val="00_000002"/>
      <sheetName val="Sheet!_(2)2"/>
      <sheetName val="CORE_PLATE2"/>
      <sheetName val="TR_2"/>
      <sheetName val="TR__AJO2"/>
      <sheetName val="TR__ALO2"/>
      <sheetName val="DAT_52"/>
      <sheetName val="TR_PLUG2"/>
      <sheetName val="TR_BARREL2"/>
      <sheetName val="TR__JUKI2"/>
      <sheetName val="JUN_07__2"/>
      <sheetName val="INV_0706JPY2"/>
      <sheetName val="Schedule08_072"/>
      <sheetName val="CHENH_LECH2"/>
      <sheetName val="OKAYA_KH_ALO2"/>
      <sheetName val="OKAYA__(2)2"/>
      <sheetName val="OKAYA_2"/>
      <sheetName val="tra-vat-lieu_(duyet)2"/>
      <sheetName val="Tra_KS2"/>
      <sheetName val="__duong257-272_2"/>
      <sheetName val="THKP_D2"/>
      <sheetName val="Bu_gia12"/>
      <sheetName val="Bu_gia_in2"/>
      <sheetName val="Bu_gia3"/>
      <sheetName val="CL_CL2"/>
      <sheetName val="NXT-10T__4)2"/>
      <sheetName val="Phuong_an_12"/>
      <sheetName val="Thuc_thanh2"/>
      <sheetName val="DO_AM_DT2"/>
      <sheetName val="ptdg-01_(2)4"/>
      <sheetName val="NXT-10T_(2)4"/>
      <sheetName val="NXT-10T_(3)4"/>
      <sheetName val="NXT-9T_(2)4"/>
      <sheetName val="NXT-10T_(4)4"/>
      <sheetName val="Sheet1_(2)4"/>
      <sheetName val="dtct_cong4"/>
      <sheetName val="C_tietTH6T4"/>
      <sheetName val="C_tiet_054"/>
      <sheetName val="Den_31,74"/>
      <sheetName val="Bke_104"/>
      <sheetName val="UOc_T104"/>
      <sheetName val="Bke_114"/>
      <sheetName val="Uoc_20054"/>
      <sheetName val="Bke_124"/>
      <sheetName val="Tien_An_T114"/>
      <sheetName val="Bang_luong4"/>
      <sheetName val="Bang_CC4"/>
      <sheetName val="_Luong_nghien_4"/>
      <sheetName val="Tong_hop4"/>
      <sheetName val="Phuc_vu4"/>
      <sheetName val="May_Phat4"/>
      <sheetName val="dtct_cau4"/>
      <sheetName val="Sheet3_(2)3"/>
      <sheetName val="ptdg-00_(2)3"/>
      <sheetName val="02-_93"/>
      <sheetName val="Ctiet_93"/>
      <sheetName val="00_000003"/>
      <sheetName val="Sheet!_(2)3"/>
      <sheetName val="CORE_PLATE3"/>
      <sheetName val="TR_3"/>
      <sheetName val="TR__AJO3"/>
      <sheetName val="TR__ALO3"/>
      <sheetName val="DAT_53"/>
      <sheetName val="TR_PLUG3"/>
      <sheetName val="TR_BARREL3"/>
      <sheetName val="TR__JUKI3"/>
      <sheetName val="JUN_07__3"/>
      <sheetName val="INV_0706JPY3"/>
      <sheetName val="Schedule08_073"/>
      <sheetName val="CHENH_LECH3"/>
      <sheetName val="OKAYA_KH_ALO3"/>
      <sheetName val="OKAYA__(2)3"/>
      <sheetName val="OKAYA_3"/>
      <sheetName val="tra-vat-lieu_(duyet)3"/>
      <sheetName val="Tra_KS3"/>
      <sheetName val="__duong257-272_3"/>
      <sheetName val="THKP_D3"/>
      <sheetName val="Bu_gia13"/>
      <sheetName val="Bu_gia_in3"/>
      <sheetName val="Bu_gia4"/>
      <sheetName val="CL_CL3"/>
      <sheetName val="NXT-10T__4)3"/>
      <sheetName val="Phuong_an_13"/>
      <sheetName val="Thuc_thanh3"/>
      <sheetName val="DO_AM_DT3"/>
      <sheetName val="TL rieng"/>
      <sheetName val="CVC-_x005f_x005f_x005f_x0010_1"/>
      <sheetName val="THop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ȁ"/>
      <sheetName val="BK N111"/>
      <sheetName val="BKN111(06)"/>
      <sheetName val="XL4Poppy"/>
      <sheetName val="gvl"/>
      <sheetName val="bravo41"/>
      <sheetName val="DT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tra-vat-lieu"/>
      <sheetName val="dtct cong__"/>
      <sheetName val="TVL"/>
      <sheetName val="Tra_bang"/>
      <sheetName val="Tai khoan"/>
      <sheetName val="DOAM0654CAS"/>
      <sheetName val="hold5"/>
      <sheetName val="hold6"/>
      <sheetName val="KSTK-tkkd"/>
      <sheetName val="THTram"/>
      <sheetName val="Pÿÿÿÿcau"/>
      <sheetName val="dtct ccu"/>
      <sheetName val="t"/>
      <sheetName val="_"/>
      <sheetName val="tra_vat_lieu"/>
      <sheetName val="NEW-PANEL"/>
      <sheetName val="SILICATE"/>
      <sheetName val="dtct_cong"/>
      <sheetName val="4"/>
      <sheetName val="tungphal"/>
      <sheetName val="B_tra"/>
      <sheetName val="TH_cong"/>
      <sheetName val="ptdg_cong"/>
      <sheetName val="PTDG_cau"/>
      <sheetName val="dtct_cau"/>
      <sheetName val="Chi_tiet"/>
      <sheetName val="dtct_congȁ"/>
      <sheetName val="Tai_khoan"/>
      <sheetName val="THCT"/>
      <sheetName val="THDZ0,4"/>
      <sheetName val="TH DZ35"/>
      <sheetName val="ptdg"/>
      <sheetName val="BKN111(06("/>
      <sheetName val="VC-Dу-DH"/>
      <sheetName val="dtct_cong_"/>
      <sheetName val="Shedt18"/>
      <sheetName val=""/>
      <sheetName val="TH VL, NC, DDHT Thanhphuoc"/>
      <sheetName val="cong32-38"/>
      <sheetName val="trabšng"/>
      <sheetName val="²__t13"/>
      <sheetName val="²"/>
      <sheetName val="VC-D_-DH"/>
      <sheetName val="Don gia-cau"/>
      <sheetName val="BK_N111"/>
      <sheetName val="dtct_cong_ȁ"/>
      <sheetName val="dtct_cong__"/>
      <sheetName val="dtct_ccu"/>
      <sheetName val="BANGTRA"/>
      <sheetName val="KKKKKKKK"/>
      <sheetName val="TH_cong1"/>
      <sheetName val="dtct_cong1"/>
      <sheetName val="ptdg_cong1"/>
      <sheetName val="PTDG_cau1"/>
      <sheetName val="dtct_cau1"/>
      <sheetName val="Chi_tiet1"/>
      <sheetName val="Tai_khoan1"/>
      <sheetName val="trabafg3"/>
      <sheetName val="dtctcong"/>
      <sheetName val="dtct cong_x005f_x0000_ȁ"/>
      <sheetName val="dtct cong_x005f_x0000__"/>
      <sheetName val="dtct_x005f_x0000_cong"/>
      <sheetName val="_x005f_x0000_"/>
      <sheetName val="trabng"/>
      <sheetName val="TH_DZ35"/>
      <sheetName val="TH_VL,_NC,_DDHT_Thanhphuoc"/>
      <sheetName val="________"/>
      <sheetName val="TH_cong2"/>
      <sheetName val="dtct_cong2"/>
      <sheetName val="ptdg_cong2"/>
      <sheetName val="PTDG_cau2"/>
      <sheetName val="dtct_cau2"/>
      <sheetName val="Chi_tiet2"/>
      <sheetName val="Tai_khoan2"/>
      <sheetName val="BK_N1111"/>
      <sheetName val="dtct_ccu1"/>
      <sheetName val="dtct_cong_ȁ1"/>
      <sheetName val="dtct_cong__1"/>
      <sheetName val="TH_DZ351"/>
      <sheetName val="TH_VL,_NC,_DDHT_Thanhphuoc1"/>
      <sheetName val="TH_cong3"/>
      <sheetName val="dtct_cong3"/>
      <sheetName val="ptdg_cong3"/>
      <sheetName val="PTDG_cau3"/>
      <sheetName val="dtct_cau3"/>
      <sheetName val="Chi_tiet3"/>
      <sheetName val="Tai_khoan3"/>
      <sheetName val="BK_N1112"/>
      <sheetName val="dtct_ccu2"/>
      <sheetName val="dtct_cong_ȁ2"/>
      <sheetName val="dtct_cong__2"/>
      <sheetName val="TH_DZ352"/>
      <sheetName val="TH_VL,_NC,_DDHT_Thanhphuoc2"/>
      <sheetName val="TH_cong4"/>
      <sheetName val="dtct_cong4"/>
      <sheetName val="ptdg_cong4"/>
      <sheetName val="PTDG_cau4"/>
      <sheetName val="dtct_cau4"/>
      <sheetName val="Chi_tiet4"/>
      <sheetName val="Tai_khoan4"/>
      <sheetName val="BK_N1113"/>
      <sheetName val="dtct_ccu3"/>
      <sheetName val="dtct_cong_ȁ3"/>
      <sheetName val="dtct_cong__3"/>
      <sheetName val="TH_DZ353"/>
      <sheetName val="TH_VL,_NC,_DDHT_Thanhphuoc3"/>
      <sheetName val="dtct cong_x005f_x005f_x005f_x0000_ȁ"/>
      <sheetName val="dtct cong_x005f_x005f_x005f_x0000__"/>
      <sheetName val="dtct_x005f_x005f_x005f_x0000_cong"/>
      <sheetName val="_x005f_x005f_x005f_x0000_"/>
      <sheetName val="CT1"/>
      <sheetName val="dtct cong_x005f_x005f_x005f_x005f_x005f_x005f_x00"/>
      <sheetName val="dtct_x005f_x005f_x005f_x005f_x005f_x005f_x005f_x0000_co"/>
      <sheetName val="_x005f_x005f_x005f_x005f_x005f_x005f_x005f_x0000_"/>
      <sheetName val="Thuc tha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chiettinh"/>
      <sheetName val="Sheet1"/>
      <sheetName val="Sheet2"/>
      <sheetName val="Sheet3"/>
      <sheetName val="00000000"/>
      <sheetName val="Tongk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NXT T.bi"/>
      <sheetName val="BC NXT phone"/>
      <sheetName val="KHAI THUE"/>
      <sheetName val="BC TH SD HOA DON"/>
      <sheetName val="Mua vào HD TT"/>
      <sheetName val="Mua vao 5%"/>
      <sheetName val="BK MUA VAO 10%"/>
      <sheetName val="BK BAN RA"/>
      <sheetName val="TSO_CHUNG"/>
      <sheetName val="JS duong"/>
      <sheetName val="Bao gêa"/>
      <sheetName val="Thuc thanh"/>
      <sheetName val="THCT"/>
      <sheetName val="TT04"/>
      <sheetName val="gvl"/>
      <sheetName val="dtct cong"/>
      <sheetName val="Tai khoan"/>
      <sheetName val=" quy I-2005"/>
      <sheetName val="Quy 2- 2005 "/>
      <sheetName val="Quy III- 2005 "/>
      <sheetName val="Quy 4- 2005"/>
      <sheetName val="SUMMARY"/>
      <sheetName val="Names"/>
      <sheetName val="VL"/>
      <sheetName val="She%t13"/>
      <sheetName val="Trabang-ၔPhuoc"/>
      <sheetName val="35KV gia mo"/>
      <sheetName val="0,4KV -TBA1"/>
      <sheetName val="0,4KV - TBA2"/>
      <sheetName val="TBA"/>
      <sheetName val="Sheet8"/>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10000000"/>
      <sheetName val=""/>
      <sheetName val="tra-vat-lieu"/>
      <sheetName val="Trabang-_Phuoc"/>
      <sheetName val="DG"/>
      <sheetName val="3.1.1"/>
      <sheetName val="3.1.4"/>
      <sheetName val="2.5.1"/>
      <sheetName val="4.1.1"/>
      <sheetName val="4.3.2"/>
      <sheetName val="2.3.3"/>
      <sheetName val="5.3.1"/>
      <sheetName val="2.4.3"/>
      <sheetName val="TH-XL"/>
      <sheetName val="_x0013_heet13"/>
      <sheetName val="Shaet12"/>
      <sheetName val="KL THUC TE"/>
      <sheetName val="Gia thanh"/>
      <sheetName val="KHAI DHUE"/>
      <sheetName val="hat_VN"/>
      <sheetName val="DATA"/>
      <sheetName val="PT_VT"/>
      <sheetName val="dongia"/>
      <sheetName val="BILL No.22"/>
      <sheetName val="DGduong"/>
      <sheetName val="TKKT-Giapba"/>
      <sheetName val="_TKKT-Giapba.塅䕃⹌塅ECVL"/>
      <sheetName val="atgt"/>
      <sheetName val="VP@N"/>
      <sheetName val="S(eet12"/>
      <sheetName val="S(eet3"/>
      <sheetName val="3;ËV gia mo"/>
      <sheetName val="CPK"/>
      <sheetName val="CHITIET VL-NC"/>
      <sheetName val="dongiachiti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Đơn vị khác"/>
      <sheetName val="Dự toán thu"/>
      <sheetName val="Giao thu cac truong"/>
      <sheetName val="Tổng hợp"/>
      <sheetName val="SNGD"/>
      <sheetName val="Hành chính"/>
      <sheetName val="Sheet1"/>
      <sheetName val="XXXXXXXX"/>
      <sheetName val="XXXXXXX0"/>
      <sheetName val="XL4Test5"/>
      <sheetName val="XL4Poppy"/>
    </sheetNames>
    <sheetDataSet>
      <sheetData sheetId="0"/>
      <sheetData sheetId="1"/>
      <sheetData sheetId="2"/>
      <sheetData sheetId="3">
        <row r="80">
          <cell r="C80">
            <v>206152090539.568</v>
          </cell>
        </row>
      </sheetData>
      <sheetData sheetId="4"/>
      <sheetData sheetId="5"/>
      <sheetData sheetId="6"/>
      <sheetData sheetId="7"/>
      <sheetData sheetId="8"/>
      <sheetData sheetId="9"/>
      <sheetData sheetId="10"/>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DT 2021 Lần 1"/>
      <sheetName val="Trình UB đã sửa lại lần 1"/>
      <sheetName val="bẢNG ĐỂ LẠI tk VÀ kHEN THƯƠNG"/>
      <sheetName val="Bảng chính trình TV"/>
      <sheetName val="Bảng dự phòng để nhìn"/>
      <sheetName val="XL4Test5"/>
      <sheetName val="XL4Poppy"/>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hitiet"/>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XL4Test5"/>
      <sheetName val="Congty"/>
      <sheetName val="VPPN"/>
      <sheetName val="XN74"/>
      <sheetName val="XN54"/>
      <sheetName val="XN33"/>
      <sheetName val="NK96"/>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gtxl-duone(11m)"/>
      <sheetName val="tong hop"/>
      <sheetName val="phan tich DG"/>
      <sheetName val="gia vat lieu"/>
      <sheetName val="gia xe may"/>
      <sheetName val="gia nhan cong"/>
      <sheetName val="_pmb"/>
      <sheetName val="DTCT"/>
      <sheetName val="B2.3"/>
      <sheetName val="CL XD"/>
      <sheetName val="THop"/>
      <sheetName val="CT"/>
      <sheetName val="TienLuong"/>
      <sheetName val="ChiTiet"/>
      <sheetName val="Don-Gia"/>
      <sheetName val="Nhan-cong"/>
      <sheetName val="May"/>
      <sheetName val="VatLieu"/>
      <sheetName val="Thanh-Toan"/>
      <sheetName val="KLCong"/>
      <sheetName val="Sheet12"/>
      <sheetName val="Sheet13"/>
      <sheetName val="Sheet14"/>
      <sheetName val="Sheet15"/>
      <sheetName val="Sheet16"/>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
      <sheetName val="C.t)êt C.ty"/>
      <sheetName val="_"/>
      <sheetName val="pt0-1"/>
      <sheetName val="kp0-1"/>
      <sheetName val="0-1"/>
      <sheetName val="pt2-3"/>
      <sheetName val="thkp2-3"/>
      <sheetName val="clvl"/>
      <sheetName val="2-3"/>
      <sheetName val="cl1-2"/>
      <sheetName val="thkp1-2"/>
      <sheetName val="clvl1-2"/>
      <sheetName val="1-2"/>
      <sheetName val="tra-vat-lieu"/>
      <sheetName val="Thuc thanh"/>
      <sheetName val="Sheet3"/>
      <sheetName val="DG "/>
      <sheetName val="T.HDÔ CN"/>
      <sheetName val="PEDESB"/>
      <sheetName val="_x0001_Y__x0004_____x0001_Y__x0004_____x0001_Y__x0004_____x0001_Y__x0004____"/>
      <sheetName val="_x0001_Y__x0004_____x0001_Y__x0004_____x0001_Y__x0004____ _x0001_Y__x0004____"/>
      <sheetName val="_x0001_Y__x0004____ª_x0001_Y__x0004____«_x0001_Y__x0004____¬_x0001_Y__x0004____"/>
      <sheetName val="_x0001_Y__x0004____¶_x0001_Y__x0004____·_x0001_Y__x0004____¸_x0001_Y__x0004____"/>
      <sheetName val="_x0001_Y__x0004____Â_x0001_Y__x0004____Ã_x0001_Y__x0004____Ä_x0001_Y__x0004____"/>
      <sheetName val="tkkt-ql38-1-g-2"/>
      <sheetName val="DCNCII"/>
      <sheetName val="TH_DTXL_luu"/>
      <sheetName val="chitimc"/>
      <sheetName val="MTO REV.0"/>
      <sheetName val="CN kho doi"/>
      <sheetName val="CTHTchua TTn_ib_"/>
      <sheetName val="CN2004 N_p TCT"/>
      <sheetName val="BANGTRA"/>
      <sheetName val="TN"/>
      <sheetName val="ND"/>
      <sheetName val="btra"/>
      <sheetName val="CN Tl￸04"/>
      <sheetName val="dtxl-du_n_"/>
      <sheetName val="t02"/>
      <sheetName val="BaoVe"/>
      <sheetName val="Tr Cay"/>
      <sheetName val="T071"/>
      <sheetName val="TRONG CAY T8 (2)"/>
      <sheetName val="gtxl-euone(11m)"/>
      <sheetName val="__x0004_____x0001_Y__x0004_____x0001_Y__x0004_____x0001_Y__x0004_____x0001_"/>
      <sheetName val="__x0004____¥_x0001_Y__x0004____¦_x0001_Y__x0004____§_x0001_Y__x0004____¨_x0001_"/>
      <sheetName val="__x0004____±_x0001_Y__x0004____²_x0001_Y__x0004____³_x0001_Y__x0004____´_x0001_"/>
      <sheetName val="__x0004____½_x0001_Y__x0004____¾_x0001_Y__x0004____¿_x0001_Y__x0004____À_x0001_"/>
      <sheetName val="__x0004____É_x0001_Y__x0004____Ê_x0001_Y__x0004____Ë_x0001_Y__x0004____Ì_x0001_"/>
      <sheetName val="Tra_bang"/>
      <sheetName val="T1-05"/>
      <sheetName val="T2-05"/>
      <sheetName val="T3-05"/>
      <sheetName val="T4-05"/>
      <sheetName val="T5-05"/>
      <sheetName val="T6-05"/>
      <sheetName val="T7-05"/>
      <sheetName val="T8-05"/>
      <sheetName val="T9-05"/>
      <sheetName val="T10-05"/>
      <sheetName val="T11-05"/>
      <sheetName val="T12-05"/>
      <sheetName val="_x0001_Y__x0004____’_x0001_Y__x0004____“_x0001_Y__x0004____”_x0001_Y__x0004____"/>
      <sheetName val="_x0001_Y__x0004____ž_x0001_Y__x0004____Ÿ_x0001_Y__x0004____ _x0001_Y__x0004____"/>
      <sheetName val="gtxl-duoîe(11m)"/>
      <sheetName val="_x0001_Y__x0004___x0001_Y__x0004___x0001_Y__x0004___x0001_Y__x0004___x0001_Y__x0004___x0001_"/>
      <sheetName val="_x0001_Y__x0004___x0001_Y__x0004___x0001_Y__x0004__ _x0001_Y__x0004__¡_x0001_Y__x0004__¢_x0001_"/>
      <sheetName val="_x0001_Y__x0004__ª_x0001_Y__x0004__«_x0001_Y__x0004__¬_x0001_Y__x0004__­_x0001_Y__x0004__®_x0001_"/>
      <sheetName val="_x0001_Y__x0004__¶_x0001_Y__x0004__·_x0001_Y__x0004__¸_x0001_Y__x0004__¹_x0001_Y__x0004__º_x0001_"/>
      <sheetName val="_x0001_Y__x0004__Â_x0001_Y__x0004__Ã_x0001_Y__x0004__Ä_x0001_Y__x0004__Å_x0001_Y__x0004__Æ_x0001_"/>
      <sheetName val="V@PN"/>
      <sheetName val="CTHTc(u_ _T__ib_"/>
      <sheetName val="VL________"/>
      <sheetName val="1-2___________냼η__x0004_______钌έ_____"/>
      <sheetName val="MTL$-INTER"/>
      <sheetName val="CN kho ðoi"/>
      <sheetName val="CTHTchýa TTn_ib_"/>
      <sheetName val="_x0001_Y__x0004______x0001_Y__x0004_____x0001_Y__x0004____ _x0001_Y__x0004____"/>
      <sheetName val="Truot_nen"/>
      <sheetName val="_x0001_Y"/>
      <sheetName val="VapLieu"/>
      <sheetName val="Tong KLBS"/>
      <sheetName val="BaocaoC.noHopC."/>
      <sheetName val="dtxl-du"/>
      <sheetName val="CTHTc(u"/>
      <sheetName val="THKL_nghiemthu"/>
      <sheetName val="DTCTtaluy_(2)"/>
      <sheetName val="KLDGTT&lt;120%_(2)"/>
      <sheetName val="TH_(2)"/>
      <sheetName val="tong_hop"/>
      <sheetName val="phan_tich_DG"/>
      <sheetName val="gia_vat_lieu"/>
      <sheetName val="gia_xe_may"/>
      <sheetName val="gia_nhan_cong"/>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B2_3"/>
      <sheetName val="CL_XD"/>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C_t)êt_C_ty"/>
      <sheetName val="Thuc_thanh"/>
      <sheetName val="YYYYYYYYYYY"/>
      <sheetName val="YYY Y¡Y¢Y£Y¤Y¥Y¦Y§Y¨"/>
      <sheetName val="YªY«Y¬Y­Y®Y¯Y°Y±Y²Y³Y´"/>
      <sheetName val="Y¶Y·Y¸Y¹YºY»Y¼Y½Y¾Y¿YÀ"/>
      <sheetName val="YÂYÃYÄYÅYÆYÇYÈYÉYÊYËYÌ"/>
      <sheetName val="giႀ￸nhan cong"/>
      <sheetName val="KLDG_x0014_T&lt;120% (2)"/>
      <sheetName val="_x0018_XXXXXX0"/>
      <sheetName val="N_ Ca.N"/>
      <sheetName val="CTHTchưa TTn᳙ibộ"/>
      <sheetName val="ATM"/>
      <sheetName val="BCA"/>
      <sheetName val="Anca"/>
      <sheetName val="TT Luong"/>
      <sheetName val="TTATM"/>
      <sheetName val="Duyet"/>
      <sheetName val="_tkkt-ql38-1-g-2.xls_gtxl-cau"/>
      <sheetName val="ctTBA"/>
      <sheetName val="_x0001_Y__x0004__’_x0001_Y__x0004__“_x0001_Y__x0004__”_x0001_Y__x0004__•_x0001_Y__x0004__–_x0001_"/>
      <sheetName val="_x0001_Y__x0004__ž_x0001_Y__x0004__Ÿ_x0001_Y__x0004__ _x0001_Y__x0004__¡_x0001_Y__x0004__¢_x0001_"/>
      <sheetName val="_x0001_Y__x0004__¶_x0001_Y_x0004__·_x0001_Y__x0004__¸_x0001_Y__x0004__¹_x0001_Y__x0004__º_x0001_Y"/>
      <sheetName val="thdt"/>
      <sheetName val="ptvl0-1"/>
      <sheetName val="ptvl4-5"/>
      <sheetName val="4-5"/>
      <sheetName val="ptvl3-4"/>
      <sheetName val="3-4"/>
      <sheetName val="ptvl2-3"/>
      <sheetName val="vlcong"/>
      <sheetName val="ptvl1-2"/>
      <sheetName val="nhan cong"/>
      <sheetName val="_x0001_Y__x0004__Â_x0001_Y__x0004__Ã_x0001_Y__x0004__Ä_x0001_Y__x0004__Å_x0001_Y__x0004_Æ_x0001_"/>
      <sheetName val="__x0004____™_x0001_Y__x0004____š_x0001_Y__x0004____›_x0001_Y__x0004____œ_x0001_"/>
      <sheetName val="CN Tl_04"/>
      <sheetName val="__x0004____½_x0001_Y__x0004____¾_x0001_Y__x0004___¿_x0001_Y__x0004____À_x0001_"/>
      <sheetName val="TSO_CHUNG"/>
      <sheetName val="DTCTtÑuy"/>
      <sheetName val="Box-Girder"/>
      <sheetName val="_x0001_Y__x0004__ª_x0001_Y__x0004__«_x0001_Y__x0004__¬_x0001_Y__x0004__­_x0001_Y_x0004__®_x0001_"/>
      <sheetName val="뉃_Tchưa TTnộibộ"/>
      <sheetName val="7_x0010_000000"/>
      <sheetName val="Shmet2"/>
      <sheetName val="_.HopCNo"/>
      <sheetName val="T_HDÔ_CN"/>
      <sheetName val="Tien do thi²__g"/>
      <sheetName val="tkku-ql38-1-g-2"/>
      <sheetName val="_x0004___x0001_Y__x0004___x0001_Y__x0004___x0001_Y__x0004___x0001_"/>
      <sheetName val="_x0004__¥_x0001_Y__x0004__¦_x0001_Y__x0004__§_x0001_Y__x0004__¨_x0001_"/>
      <sheetName val="_x0004__±_x0001_Y__x0004__²_x0001_Y__x0004__³_x0001_Y__x0004__´_x0001_"/>
      <sheetName val="_x0004__½_x0001_Y__x0004__¾_x0001_Y__x0004__¿_x0001_Y__x0004__À_x0001_"/>
      <sheetName val="_x0004__É_x0001_Y__x0004__Ê_x0001_Y__x0004__Ë_x0001_Y__x0004__Ì_x0001_"/>
      <sheetName val="CTHTc(u_ T__ib_"/>
      <sheetName val="CN_kho_doi"/>
      <sheetName val="CTHTchua_TTn_ib_"/>
      <sheetName val="CN2004_N_p_TCT"/>
      <sheetName val="_x0001_Y__x0004______x0001_Y__x0004____Ÿ_x0001_Y__x0004____ _x0001_Y__x0004____"/>
      <sheetName val="Y’Y“Y”Y•Y–Y—Y˜Y™YšY›Yœ"/>
      <sheetName val="YžYŸY Y¡Y¢Y£Y¤Y¥Y¦Y§Y¨"/>
      <sheetName val="_x0004__™_x0001_Y__x0004__š_x0001_Y__x0004__›_x0001_Y__x0004__œ_x0001_"/>
      <sheetName val="MTO REV.2(ARMOR)"/>
      <sheetName val="Soil"/>
      <sheetName val="TH&#13;DTXL-luu"/>
      <sheetName val="CPXD-TT-04-G_x0011_"/>
      <sheetName val="DTCT&#13;G1"/>
      <sheetName val="t-ql38-1-g-2.xls_______________"/>
      <sheetName val="BaocanC.No2"/>
      <sheetName val="heso"/>
      <sheetName val="ptvt"/>
      <sheetName val="TH_DTXL-luu"/>
      <sheetName val="DTCT_G1"/>
      <sheetName val="gi__nhan cong"/>
      <sheetName val="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BH578"/>
  <sheetViews>
    <sheetView view="pageBreakPreview" zoomScaleNormal="85" topLeftCell="A5" workbookViewId="0">
      <pane xSplit="2" ySplit="4" topLeftCell="C137" activePane="bottomRight" state="frozen"/>
      <selection/>
      <selection pane="topRight"/>
      <selection pane="bottomLeft"/>
      <selection pane="bottomRight" activeCell="F116" sqref="F116"/>
    </sheetView>
  </sheetViews>
  <sheetFormatPr defaultColWidth="8.88888888888889" defaultRowHeight="15.6"/>
  <cols>
    <col min="1" max="1" width="4.71296296296296" style="36" customWidth="1"/>
    <col min="2" max="2" width="43.6759259259259" style="37" customWidth="1"/>
    <col min="3" max="4" width="17.287037037037" style="38" customWidth="1"/>
    <col min="5" max="5" width="7.13888888888889" style="36" customWidth="1"/>
    <col min="6" max="6" width="14.6388888888889" style="36" customWidth="1"/>
    <col min="7" max="7" width="17.8796296296296" style="36" customWidth="1"/>
    <col min="8" max="8" width="15.3981481481481" style="36" customWidth="1"/>
    <col min="9" max="9" width="17.6759259259259" style="38" customWidth="1"/>
    <col min="10" max="10" width="11.037037037037" style="39" customWidth="1"/>
    <col min="11" max="11" width="13" style="39" customWidth="1"/>
    <col min="12" max="12" width="17" style="39" customWidth="1"/>
    <col min="13" max="13" width="16" style="39" customWidth="1"/>
    <col min="14" max="14" width="16.5092592592593" style="40" customWidth="1"/>
    <col min="15" max="15" width="16.8518518518519" style="40" customWidth="1"/>
    <col min="16" max="16" width="21" style="41"/>
    <col min="17" max="17" width="24.4259259259259" style="36" customWidth="1"/>
    <col min="18" max="18" width="22.1388888888889" style="36" customWidth="1"/>
    <col min="19" max="19" width="21.287037037037" style="36" customWidth="1"/>
    <col min="20" max="20" width="16.5740740740741" style="36" customWidth="1"/>
    <col min="21" max="16384" width="9.13888888888889" style="36"/>
  </cols>
  <sheetData>
    <row r="1" ht="28.5" customHeight="1" spans="1:19">
      <c r="A1" s="42" t="s">
        <v>0</v>
      </c>
      <c r="B1" s="43"/>
      <c r="C1" s="42"/>
      <c r="D1" s="42"/>
      <c r="E1" s="42"/>
      <c r="F1" s="42"/>
      <c r="G1" s="42"/>
      <c r="H1" s="42"/>
      <c r="I1" s="42"/>
      <c r="J1" s="76"/>
      <c r="K1" s="76"/>
      <c r="L1" s="76"/>
      <c r="M1" s="76"/>
      <c r="N1" s="76"/>
      <c r="O1" s="76"/>
      <c r="P1" s="77"/>
      <c r="Q1" s="50"/>
      <c r="R1" s="50"/>
      <c r="S1" s="50"/>
    </row>
    <row r="2" ht="21" customHeight="1" spans="1:19">
      <c r="A2" s="44" t="s">
        <v>1</v>
      </c>
      <c r="B2" s="45"/>
      <c r="C2" s="44"/>
      <c r="D2" s="44"/>
      <c r="E2" s="44"/>
      <c r="F2" s="44"/>
      <c r="G2" s="44"/>
      <c r="H2" s="44"/>
      <c r="I2" s="44"/>
      <c r="J2" s="78"/>
      <c r="K2" s="78"/>
      <c r="L2" s="78"/>
      <c r="M2" s="78"/>
      <c r="N2" s="78"/>
      <c r="O2" s="78"/>
      <c r="P2" s="77"/>
      <c r="Q2" s="50"/>
      <c r="R2" s="50"/>
      <c r="S2" s="50"/>
    </row>
    <row r="3" ht="16.8" spans="1:19">
      <c r="A3" s="46" t="s">
        <v>2</v>
      </c>
      <c r="B3" s="47"/>
      <c r="C3" s="48"/>
      <c r="D3" s="44"/>
      <c r="E3" s="44"/>
      <c r="F3" s="44"/>
      <c r="G3" s="49"/>
      <c r="H3" s="49"/>
      <c r="I3" s="49"/>
      <c r="J3" s="78"/>
      <c r="K3" s="78"/>
      <c r="L3" s="78"/>
      <c r="M3" s="78"/>
      <c r="N3" s="78"/>
      <c r="O3" s="79"/>
      <c r="P3" s="77"/>
      <c r="Q3" s="96"/>
      <c r="R3" s="50"/>
      <c r="S3" s="50"/>
    </row>
    <row r="4" ht="16.8" spans="1:19">
      <c r="A4" s="50"/>
      <c r="B4" s="51"/>
      <c r="C4" s="52"/>
      <c r="D4" s="52"/>
      <c r="E4" s="53"/>
      <c r="F4" s="53"/>
      <c r="G4" s="54"/>
      <c r="H4" s="54"/>
      <c r="I4" s="80"/>
      <c r="J4" s="81"/>
      <c r="K4" s="81"/>
      <c r="L4" s="81"/>
      <c r="M4" s="81"/>
      <c r="N4" s="82" t="s">
        <v>3</v>
      </c>
      <c r="O4" s="82"/>
      <c r="P4" s="77"/>
      <c r="Q4" s="50"/>
      <c r="R4" s="50"/>
      <c r="S4" s="50"/>
    </row>
    <row r="5" s="25" customFormat="1" ht="23.25" customHeight="1" spans="1:19">
      <c r="A5" s="55" t="s">
        <v>4</v>
      </c>
      <c r="B5" s="55" t="s">
        <v>5</v>
      </c>
      <c r="C5" s="55" t="s">
        <v>6</v>
      </c>
      <c r="D5" s="55" t="s">
        <v>7</v>
      </c>
      <c r="E5" s="56" t="s">
        <v>8</v>
      </c>
      <c r="F5" s="57"/>
      <c r="G5" s="57"/>
      <c r="H5" s="57"/>
      <c r="I5" s="83"/>
      <c r="J5" s="84" t="s">
        <v>9</v>
      </c>
      <c r="K5" s="85"/>
      <c r="L5" s="85"/>
      <c r="M5" s="85"/>
      <c r="N5" s="86"/>
      <c r="O5" s="55" t="s">
        <v>10</v>
      </c>
      <c r="P5" s="87"/>
      <c r="Q5" s="50"/>
      <c r="R5" s="50"/>
      <c r="S5" s="50"/>
    </row>
    <row r="6" s="25" customFormat="1" ht="17.25" hidden="1" customHeight="1" spans="1:19">
      <c r="A6" s="58"/>
      <c r="B6" s="58"/>
      <c r="C6" s="58"/>
      <c r="D6" s="58" t="s">
        <v>11</v>
      </c>
      <c r="E6" s="59"/>
      <c r="F6" s="60"/>
      <c r="G6" s="60"/>
      <c r="H6" s="60"/>
      <c r="I6" s="88"/>
      <c r="J6" s="89" t="s">
        <v>12</v>
      </c>
      <c r="K6" s="89"/>
      <c r="L6" s="90"/>
      <c r="M6" s="90"/>
      <c r="N6" s="90"/>
      <c r="O6" s="58"/>
      <c r="P6" s="87"/>
      <c r="Q6" s="50"/>
      <c r="R6" s="50"/>
      <c r="S6" s="50"/>
    </row>
    <row r="7" s="25" customFormat="1" ht="17.25" customHeight="1" spans="1:19">
      <c r="A7" s="58"/>
      <c r="B7" s="58"/>
      <c r="C7" s="58"/>
      <c r="D7" s="58"/>
      <c r="E7" s="55" t="s">
        <v>13</v>
      </c>
      <c r="F7" s="55" t="s">
        <v>14</v>
      </c>
      <c r="G7" s="55" t="s">
        <v>15</v>
      </c>
      <c r="H7" s="55" t="s">
        <v>16</v>
      </c>
      <c r="I7" s="55" t="s">
        <v>17</v>
      </c>
      <c r="J7" s="55" t="s">
        <v>13</v>
      </c>
      <c r="K7" s="55" t="s">
        <v>14</v>
      </c>
      <c r="L7" s="55" t="s">
        <v>15</v>
      </c>
      <c r="M7" s="55" t="s">
        <v>16</v>
      </c>
      <c r="N7" s="55" t="s">
        <v>17</v>
      </c>
      <c r="O7" s="58"/>
      <c r="P7" s="87"/>
      <c r="Q7" s="50"/>
      <c r="R7" s="50"/>
      <c r="S7" s="50"/>
    </row>
    <row r="8" s="25" customFormat="1" ht="87" customHeight="1" spans="1:19">
      <c r="A8" s="61"/>
      <c r="B8" s="61"/>
      <c r="C8" s="61"/>
      <c r="D8" s="61"/>
      <c r="E8" s="61"/>
      <c r="F8" s="61"/>
      <c r="G8" s="61"/>
      <c r="H8" s="61"/>
      <c r="I8" s="61"/>
      <c r="J8" s="61"/>
      <c r="K8" s="61"/>
      <c r="L8" s="61"/>
      <c r="M8" s="61"/>
      <c r="N8" s="61"/>
      <c r="O8" s="61"/>
      <c r="P8" s="87"/>
      <c r="Q8" s="50"/>
      <c r="R8" s="50"/>
      <c r="S8" s="50"/>
    </row>
    <row r="9" s="25" customFormat="1" ht="23.25" customHeight="1" spans="1:19">
      <c r="A9" s="55" t="s">
        <v>18</v>
      </c>
      <c r="B9" s="55" t="s">
        <v>19</v>
      </c>
      <c r="C9" s="55">
        <v>1</v>
      </c>
      <c r="D9" s="55">
        <v>2</v>
      </c>
      <c r="E9" s="55">
        <v>3</v>
      </c>
      <c r="F9" s="55">
        <v>4</v>
      </c>
      <c r="G9" s="55">
        <v>5</v>
      </c>
      <c r="H9" s="55">
        <v>6</v>
      </c>
      <c r="I9" s="58" t="s">
        <v>20</v>
      </c>
      <c r="J9" s="55">
        <v>8</v>
      </c>
      <c r="K9" s="55">
        <v>9</v>
      </c>
      <c r="L9" s="91">
        <v>10</v>
      </c>
      <c r="M9" s="91">
        <v>11</v>
      </c>
      <c r="N9" s="91" t="s">
        <v>21</v>
      </c>
      <c r="O9" s="91">
        <v>13</v>
      </c>
      <c r="P9" s="92"/>
      <c r="Q9" s="50"/>
      <c r="R9" s="50"/>
      <c r="S9" s="50"/>
    </row>
    <row r="10" s="26" customFormat="1" ht="28.5" customHeight="1" spans="1:19">
      <c r="A10" s="62" t="s">
        <v>18</v>
      </c>
      <c r="B10" s="63" t="s">
        <v>22</v>
      </c>
      <c r="C10" s="64">
        <f>+C11+C13</f>
        <v>30088000000</v>
      </c>
      <c r="D10" s="64">
        <f>+I10+N10</f>
        <v>30088000000</v>
      </c>
      <c r="E10" s="62"/>
      <c r="F10" s="62"/>
      <c r="G10" s="64">
        <f t="shared" ref="G10:I10" si="0">SUM(G11:G15)</f>
        <v>29128000000</v>
      </c>
      <c r="H10" s="64">
        <f t="shared" si="0"/>
        <v>0</v>
      </c>
      <c r="I10" s="64">
        <f t="shared" si="0"/>
        <v>29128000000</v>
      </c>
      <c r="J10" s="62"/>
      <c r="K10" s="62"/>
      <c r="L10" s="64">
        <f t="shared" ref="L10:N10" si="1">+L13</f>
        <v>960000000</v>
      </c>
      <c r="M10" s="64">
        <f t="shared" si="1"/>
        <v>0</v>
      </c>
      <c r="N10" s="64">
        <f t="shared" si="1"/>
        <v>960000000</v>
      </c>
      <c r="O10" s="93"/>
      <c r="P10" s="94"/>
      <c r="Q10" s="97"/>
      <c r="R10" s="97"/>
      <c r="S10" s="98"/>
    </row>
    <row r="11" s="27" customFormat="1" ht="39" customHeight="1" spans="1:19">
      <c r="A11" s="65">
        <v>1</v>
      </c>
      <c r="B11" s="66" t="s">
        <v>23</v>
      </c>
      <c r="C11" s="67">
        <v>22088000000</v>
      </c>
      <c r="D11" s="67">
        <f>+C11</f>
        <v>22088000000</v>
      </c>
      <c r="E11" s="65"/>
      <c r="F11" s="65"/>
      <c r="G11" s="67">
        <v>22088000000</v>
      </c>
      <c r="H11" s="65"/>
      <c r="I11" s="67">
        <f>+G11</f>
        <v>22088000000</v>
      </c>
      <c r="J11" s="65"/>
      <c r="K11" s="65"/>
      <c r="L11" s="65"/>
      <c r="M11" s="65"/>
      <c r="N11" s="67"/>
      <c r="O11" s="67"/>
      <c r="P11" s="95"/>
      <c r="Q11" s="99"/>
      <c r="R11" s="99"/>
      <c r="S11" s="99"/>
    </row>
    <row r="12" s="27" customFormat="1" ht="30" customHeight="1" spans="1:20">
      <c r="A12" s="65"/>
      <c r="B12" s="66" t="s">
        <v>24</v>
      </c>
      <c r="C12" s="67"/>
      <c r="D12" s="67"/>
      <c r="E12" s="65"/>
      <c r="F12" s="65"/>
      <c r="G12" s="67"/>
      <c r="H12" s="65"/>
      <c r="I12" s="67"/>
      <c r="J12" s="65"/>
      <c r="K12" s="65"/>
      <c r="L12" s="67"/>
      <c r="M12" s="65"/>
      <c r="N12" s="67"/>
      <c r="O12" s="67"/>
      <c r="P12" s="95"/>
      <c r="Q12" s="99"/>
      <c r="R12" s="100"/>
      <c r="S12" s="100"/>
      <c r="T12" s="101"/>
    </row>
    <row r="13" s="27" customFormat="1" ht="31" customHeight="1" spans="1:20">
      <c r="A13" s="65">
        <v>2</v>
      </c>
      <c r="B13" s="66" t="s">
        <v>25</v>
      </c>
      <c r="C13" s="67">
        <v>8000000000</v>
      </c>
      <c r="D13" s="67">
        <f t="shared" ref="D13:D19" si="2">+G13+L13</f>
        <v>8000000000</v>
      </c>
      <c r="E13" s="65"/>
      <c r="F13" s="65"/>
      <c r="G13" s="67">
        <f>+I13</f>
        <v>7040000000</v>
      </c>
      <c r="H13" s="65"/>
      <c r="I13" s="67">
        <f>8000000000-960000000</f>
        <v>7040000000</v>
      </c>
      <c r="J13" s="65"/>
      <c r="K13" s="65"/>
      <c r="L13" s="67">
        <f>+N13</f>
        <v>960000000</v>
      </c>
      <c r="M13" s="65"/>
      <c r="N13" s="67">
        <v>960000000</v>
      </c>
      <c r="O13" s="67"/>
      <c r="P13" s="95"/>
      <c r="Q13" s="99"/>
      <c r="R13" s="102"/>
      <c r="S13" s="95"/>
      <c r="T13" s="103"/>
    </row>
    <row r="14" s="27" customFormat="1" ht="35" customHeight="1" spans="1:20">
      <c r="A14" s="65">
        <v>3</v>
      </c>
      <c r="B14" s="66" t="s">
        <v>26</v>
      </c>
      <c r="C14" s="67"/>
      <c r="D14" s="67"/>
      <c r="E14" s="65"/>
      <c r="F14" s="67"/>
      <c r="G14" s="67"/>
      <c r="H14" s="67"/>
      <c r="I14" s="67"/>
      <c r="J14" s="65"/>
      <c r="K14" s="65"/>
      <c r="L14" s="65"/>
      <c r="M14" s="65"/>
      <c r="N14" s="67"/>
      <c r="O14" s="67"/>
      <c r="P14" s="95"/>
      <c r="Q14" s="99"/>
      <c r="R14" s="102"/>
      <c r="S14" s="95"/>
      <c r="T14" s="103"/>
    </row>
    <row r="15" s="27" customFormat="1" ht="60" customHeight="1" spans="1:20">
      <c r="A15" s="65">
        <v>4</v>
      </c>
      <c r="B15" s="68" t="s">
        <v>27</v>
      </c>
      <c r="C15" s="67"/>
      <c r="D15" s="67"/>
      <c r="E15" s="65"/>
      <c r="F15" s="67"/>
      <c r="G15" s="67"/>
      <c r="H15" s="65"/>
      <c r="I15" s="67"/>
      <c r="J15" s="65"/>
      <c r="K15" s="65"/>
      <c r="L15" s="65"/>
      <c r="M15" s="65"/>
      <c r="N15" s="67"/>
      <c r="O15" s="67"/>
      <c r="P15" s="95"/>
      <c r="Q15" s="99"/>
      <c r="R15" s="102"/>
      <c r="S15" s="95"/>
      <c r="T15" s="103"/>
    </row>
    <row r="16" s="26" customFormat="1" ht="27" customHeight="1" spans="1:20">
      <c r="A16" s="69" t="s">
        <v>19</v>
      </c>
      <c r="B16" s="70" t="s">
        <v>28</v>
      </c>
      <c r="C16" s="71">
        <f>265058000000+40264000000</f>
        <v>305322000000</v>
      </c>
      <c r="D16" s="71">
        <f t="shared" si="2"/>
        <v>305322000000.209</v>
      </c>
      <c r="E16" s="69"/>
      <c r="F16" s="69"/>
      <c r="G16" s="71">
        <f t="shared" ref="G16:I16" si="3">+G17+G175+G178+G190+G196+G201+G221+G234+G235+G452+G462+G477</f>
        <v>239133313129.977</v>
      </c>
      <c r="H16" s="71">
        <f t="shared" si="3"/>
        <v>4218607184.46328</v>
      </c>
      <c r="I16" s="71">
        <f t="shared" si="3"/>
        <v>234914705945.514</v>
      </c>
      <c r="J16" s="69"/>
      <c r="K16" s="69"/>
      <c r="L16" s="71">
        <f t="shared" ref="L16:N16" si="4">+L17+L175+L178+L190+L196+L201+L221+L234+L235+L452+L462+L477</f>
        <v>66188686870.2314</v>
      </c>
      <c r="M16" s="71">
        <f t="shared" si="4"/>
        <v>568560000</v>
      </c>
      <c r="N16" s="71">
        <f t="shared" si="4"/>
        <v>65620126870.2314</v>
      </c>
      <c r="O16" s="71">
        <f>+C16-D16</f>
        <v>-0.20880126953125</v>
      </c>
      <c r="P16" s="71"/>
      <c r="Q16" s="97"/>
      <c r="R16" s="98"/>
      <c r="S16" s="98"/>
      <c r="T16" s="104"/>
    </row>
    <row r="17" s="26" customFormat="1" ht="27" customHeight="1" spans="1:19">
      <c r="A17" s="69" t="s">
        <v>29</v>
      </c>
      <c r="B17" s="70" t="s">
        <v>30</v>
      </c>
      <c r="C17" s="71">
        <f>147598000000+9920000000+4210000000-9125000-90000+1554000000-85000000-3367005650</f>
        <v>159820779350</v>
      </c>
      <c r="D17" s="72">
        <f t="shared" si="2"/>
        <v>159820779350.068</v>
      </c>
      <c r="E17" s="71">
        <f>+E18+E58+E107</f>
        <v>955</v>
      </c>
      <c r="F17" s="71"/>
      <c r="G17" s="71">
        <f t="shared" ref="G17:I17" si="5">+G18+G58+G107+G149+G151+SUM(G157:G174)-G165</f>
        <v>159256779350.068</v>
      </c>
      <c r="H17" s="71">
        <f t="shared" si="5"/>
        <v>2055638644.0678</v>
      </c>
      <c r="I17" s="71">
        <f t="shared" si="5"/>
        <v>157201140706</v>
      </c>
      <c r="J17" s="69"/>
      <c r="K17" s="69"/>
      <c r="L17" s="71">
        <f t="shared" ref="L17:N17" si="6">SUM(L18:L174)</f>
        <v>564000000</v>
      </c>
      <c r="M17" s="71">
        <f t="shared" si="6"/>
        <v>0</v>
      </c>
      <c r="N17" s="71">
        <f t="shared" si="6"/>
        <v>564000000</v>
      </c>
      <c r="O17" s="71">
        <f>+C17-D17</f>
        <v>-0.067779541015625</v>
      </c>
      <c r="P17" s="94"/>
      <c r="Q17" s="97" t="s">
        <v>31</v>
      </c>
      <c r="R17" s="97"/>
      <c r="S17" s="97"/>
    </row>
    <row r="18" s="26" customFormat="1" ht="28" customHeight="1" spans="1:19">
      <c r="A18" s="69" t="s">
        <v>32</v>
      </c>
      <c r="B18" s="70" t="s">
        <v>33</v>
      </c>
      <c r="C18" s="71"/>
      <c r="D18" s="72">
        <f t="shared" si="2"/>
        <v>28421101486</v>
      </c>
      <c r="E18" s="69">
        <f>+E20+E23+E26+E29+E32+E35+E38+E41+E44+E47+E50+E53+E56</f>
        <v>244</v>
      </c>
      <c r="F18" s="69"/>
      <c r="G18" s="71">
        <f>+G19+G22+G25+G28+G31+G34+G37+G40+G43+G46+G49+G52+G55</f>
        <v>28421101486</v>
      </c>
      <c r="H18" s="71">
        <f>SUM(H19:H57)</f>
        <v>417795000</v>
      </c>
      <c r="I18" s="71">
        <f>+I19+I22+I25+I28+I31+I34+I37+I40+I43+I46+I49+I52+I55</f>
        <v>28003306486</v>
      </c>
      <c r="J18" s="69"/>
      <c r="K18" s="71"/>
      <c r="L18" s="71"/>
      <c r="M18" s="71"/>
      <c r="N18" s="71"/>
      <c r="O18" s="71"/>
      <c r="P18" s="94"/>
      <c r="Q18" s="97"/>
      <c r="R18" s="97"/>
      <c r="S18" s="97"/>
    </row>
    <row r="19" s="27" customFormat="1" ht="27" customHeight="1" spans="1:19">
      <c r="A19" s="65">
        <v>1</v>
      </c>
      <c r="B19" s="66" t="s">
        <v>34</v>
      </c>
      <c r="C19" s="67"/>
      <c r="D19" s="73">
        <f t="shared" si="2"/>
        <v>2303073934</v>
      </c>
      <c r="E19" s="65"/>
      <c r="F19" s="65"/>
      <c r="G19" s="67">
        <f>+G20+G21</f>
        <v>2303073934</v>
      </c>
      <c r="H19" s="65"/>
      <c r="I19" s="67">
        <f>+I20+I21</f>
        <v>2268573934</v>
      </c>
      <c r="J19" s="65"/>
      <c r="K19" s="65"/>
      <c r="L19" s="65"/>
      <c r="M19" s="65"/>
      <c r="N19" s="67"/>
      <c r="O19" s="67"/>
      <c r="P19" s="95"/>
      <c r="Q19" s="99"/>
      <c r="R19" s="95"/>
      <c r="S19" s="99"/>
    </row>
    <row r="20" s="27" customFormat="1" ht="45" customHeight="1" spans="1:19">
      <c r="A20" s="65"/>
      <c r="B20" s="66" t="s">
        <v>35</v>
      </c>
      <c r="C20" s="67"/>
      <c r="D20" s="67"/>
      <c r="E20" s="65">
        <v>17</v>
      </c>
      <c r="F20" s="74">
        <f>+(56.11+40.2)/E20</f>
        <v>5.66529411764706</v>
      </c>
      <c r="G20" s="67">
        <f>+(((E20*F20*1490000*12)+(15.72)*1490000*12))+121828-144294</f>
        <v>2003073934</v>
      </c>
      <c r="H20" s="74"/>
      <c r="I20" s="67">
        <f t="shared" ref="I20:I24" si="7">+G20-H20</f>
        <v>2003073934</v>
      </c>
      <c r="J20" s="65"/>
      <c r="K20" s="65"/>
      <c r="L20" s="65"/>
      <c r="M20" s="65"/>
      <c r="N20" s="67"/>
      <c r="O20" s="67"/>
      <c r="P20" s="95"/>
      <c r="Q20" s="99"/>
      <c r="R20" s="105"/>
      <c r="S20" s="99"/>
    </row>
    <row r="21" s="27" customFormat="1" ht="27" customHeight="1" spans="1:19">
      <c r="A21" s="65"/>
      <c r="B21" s="66" t="s">
        <v>36</v>
      </c>
      <c r="C21" s="67"/>
      <c r="D21" s="67"/>
      <c r="E21" s="65">
        <v>10</v>
      </c>
      <c r="F21" s="75">
        <v>30000000</v>
      </c>
      <c r="G21" s="67">
        <f>+E21*F21</f>
        <v>300000000</v>
      </c>
      <c r="H21" s="67">
        <f>+G21*11.5%</f>
        <v>34500000</v>
      </c>
      <c r="I21" s="67">
        <f t="shared" si="7"/>
        <v>265500000</v>
      </c>
      <c r="J21" s="65"/>
      <c r="K21" s="65"/>
      <c r="L21" s="65"/>
      <c r="M21" s="65"/>
      <c r="N21" s="67"/>
      <c r="O21" s="67"/>
      <c r="P21" s="95"/>
      <c r="Q21" s="99"/>
      <c r="R21" s="106"/>
      <c r="S21" s="99"/>
    </row>
    <row r="22" s="27" customFormat="1" ht="27" customHeight="1" spans="1:19">
      <c r="A22" s="65">
        <v>2</v>
      </c>
      <c r="B22" s="66" t="s">
        <v>37</v>
      </c>
      <c r="C22" s="67"/>
      <c r="D22" s="73">
        <f>+G22+L22</f>
        <v>1959381600</v>
      </c>
      <c r="E22" s="65"/>
      <c r="F22" s="65"/>
      <c r="G22" s="67">
        <f>+G23+G24</f>
        <v>1959381600</v>
      </c>
      <c r="H22" s="65"/>
      <c r="I22" s="67">
        <f>+I23+I24</f>
        <v>1929021600</v>
      </c>
      <c r="J22" s="65"/>
      <c r="K22" s="65"/>
      <c r="L22" s="65"/>
      <c r="M22" s="65"/>
      <c r="N22" s="67"/>
      <c r="O22" s="67"/>
      <c r="P22" s="95"/>
      <c r="Q22" s="99"/>
      <c r="R22" s="99"/>
      <c r="S22" s="99"/>
    </row>
    <row r="23" s="27" customFormat="1" ht="40" customHeight="1" spans="1:19">
      <c r="A23" s="65"/>
      <c r="B23" s="66" t="s">
        <v>35</v>
      </c>
      <c r="C23" s="67"/>
      <c r="D23" s="67"/>
      <c r="E23" s="65">
        <v>15</v>
      </c>
      <c r="F23" s="74">
        <f>+(45.82+36.33)/E23</f>
        <v>5.47666666666667</v>
      </c>
      <c r="G23" s="67">
        <f>+(((E23*F23*1490000*12)+(12.67)*1490000*12))</f>
        <v>1695381600</v>
      </c>
      <c r="H23" s="74"/>
      <c r="I23" s="67">
        <f t="shared" si="7"/>
        <v>1695381600</v>
      </c>
      <c r="J23" s="65"/>
      <c r="K23" s="65"/>
      <c r="L23" s="65"/>
      <c r="M23" s="65"/>
      <c r="N23" s="67"/>
      <c r="O23" s="67"/>
      <c r="P23" s="95"/>
      <c r="Q23" s="99"/>
      <c r="R23" s="99"/>
      <c r="S23" s="99"/>
    </row>
    <row r="24" s="27" customFormat="1" ht="27" customHeight="1" spans="1:19">
      <c r="A24" s="65"/>
      <c r="B24" s="66" t="s">
        <v>36</v>
      </c>
      <c r="C24" s="67"/>
      <c r="D24" s="67"/>
      <c r="E24" s="65">
        <v>8</v>
      </c>
      <c r="F24" s="75">
        <v>33000000</v>
      </c>
      <c r="G24" s="67">
        <f>+E24*F24</f>
        <v>264000000</v>
      </c>
      <c r="H24" s="67">
        <f>+G24*11.5%</f>
        <v>30360000</v>
      </c>
      <c r="I24" s="67">
        <f t="shared" si="7"/>
        <v>233640000</v>
      </c>
      <c r="J24" s="65"/>
      <c r="K24" s="65"/>
      <c r="L24" s="65"/>
      <c r="M24" s="65"/>
      <c r="N24" s="67"/>
      <c r="O24" s="67"/>
      <c r="P24" s="95"/>
      <c r="Q24" s="99"/>
      <c r="R24" s="99"/>
      <c r="S24" s="99"/>
    </row>
    <row r="25" s="27" customFormat="1" ht="27" customHeight="1" spans="1:19">
      <c r="A25" s="65">
        <v>3</v>
      </c>
      <c r="B25" s="66" t="s">
        <v>38</v>
      </c>
      <c r="C25" s="67"/>
      <c r="D25" s="73">
        <f>+G25+L25</f>
        <v>2760420800</v>
      </c>
      <c r="E25" s="65"/>
      <c r="F25" s="65"/>
      <c r="G25" s="67">
        <f>+G26+G27</f>
        <v>2760420800</v>
      </c>
      <c r="H25" s="65"/>
      <c r="I25" s="67">
        <f>+I26+I27</f>
        <v>2725000800</v>
      </c>
      <c r="J25" s="65"/>
      <c r="K25" s="65"/>
      <c r="L25" s="65"/>
      <c r="M25" s="65"/>
      <c r="N25" s="67"/>
      <c r="O25" s="67"/>
      <c r="P25" s="95"/>
      <c r="Q25" s="99"/>
      <c r="R25" s="99"/>
      <c r="S25" s="99"/>
    </row>
    <row r="26" s="27" customFormat="1" ht="43" customHeight="1" spans="1:19">
      <c r="A26" s="65"/>
      <c r="B26" s="66" t="s">
        <v>35</v>
      </c>
      <c r="C26" s="67"/>
      <c r="D26" s="67"/>
      <c r="E26" s="65">
        <v>25</v>
      </c>
      <c r="F26" s="74">
        <f>+(70.08+48.79)/E26</f>
        <v>4.7548</v>
      </c>
      <c r="G26" s="67">
        <f>+(((E26*F26*1490000*12)+(18.29)*1490000*12))</f>
        <v>2452420800</v>
      </c>
      <c r="H26" s="74"/>
      <c r="I26" s="67">
        <f t="shared" ref="I26:I30" si="8">+G26-H26</f>
        <v>2452420800</v>
      </c>
      <c r="J26" s="65"/>
      <c r="K26" s="65"/>
      <c r="L26" s="65"/>
      <c r="M26" s="65"/>
      <c r="N26" s="67"/>
      <c r="O26" s="67"/>
      <c r="P26" s="95"/>
      <c r="Q26" s="99"/>
      <c r="R26" s="99"/>
      <c r="S26" s="99"/>
    </row>
    <row r="27" s="27" customFormat="1" ht="27" customHeight="1" spans="1:19">
      <c r="A27" s="65"/>
      <c r="B27" s="66" t="s">
        <v>36</v>
      </c>
      <c r="C27" s="67"/>
      <c r="D27" s="67"/>
      <c r="E27" s="65">
        <v>11</v>
      </c>
      <c r="F27" s="75">
        <v>28000000</v>
      </c>
      <c r="G27" s="67">
        <f>+E27*F27</f>
        <v>308000000</v>
      </c>
      <c r="H27" s="67">
        <f>+G27*11.5%</f>
        <v>35420000</v>
      </c>
      <c r="I27" s="67">
        <f t="shared" si="8"/>
        <v>272580000</v>
      </c>
      <c r="J27" s="65"/>
      <c r="K27" s="65"/>
      <c r="L27" s="65"/>
      <c r="M27" s="65"/>
      <c r="N27" s="67"/>
      <c r="O27" s="67"/>
      <c r="P27" s="95"/>
      <c r="Q27" s="99"/>
      <c r="R27" s="99"/>
      <c r="S27" s="99"/>
    </row>
    <row r="28" s="27" customFormat="1" ht="27" customHeight="1" spans="1:19">
      <c r="A28" s="65">
        <v>4</v>
      </c>
      <c r="B28" s="66" t="s">
        <v>39</v>
      </c>
      <c r="C28" s="67"/>
      <c r="D28" s="73">
        <f>+G28+L28</f>
        <v>3231415600</v>
      </c>
      <c r="E28" s="65"/>
      <c r="F28" s="65"/>
      <c r="G28" s="67">
        <f>+G29+G30</f>
        <v>3231415600</v>
      </c>
      <c r="H28" s="65"/>
      <c r="I28" s="67">
        <f>+I29+I30</f>
        <v>3189555600</v>
      </c>
      <c r="J28" s="65"/>
      <c r="K28" s="65"/>
      <c r="L28" s="65"/>
      <c r="M28" s="65"/>
      <c r="N28" s="67"/>
      <c r="O28" s="67"/>
      <c r="P28" s="95"/>
      <c r="Q28" s="99"/>
      <c r="R28" s="99"/>
      <c r="S28" s="99"/>
    </row>
    <row r="29" s="27" customFormat="1" ht="48" customHeight="1" spans="1:19">
      <c r="A29" s="65"/>
      <c r="B29" s="66" t="s">
        <v>35</v>
      </c>
      <c r="C29" s="67"/>
      <c r="D29" s="67"/>
      <c r="E29" s="65">
        <v>27</v>
      </c>
      <c r="F29" s="74">
        <f>+(76.85+62.55)/E29</f>
        <v>5.16296296296296</v>
      </c>
      <c r="G29" s="67">
        <f>+(((E29*F29*1490000*12)+(20.97)*1490000*12))</f>
        <v>2867415600</v>
      </c>
      <c r="H29" s="74"/>
      <c r="I29" s="67">
        <f t="shared" si="8"/>
        <v>2867415600</v>
      </c>
      <c r="J29" s="65"/>
      <c r="K29" s="65"/>
      <c r="L29" s="65"/>
      <c r="M29" s="65"/>
      <c r="N29" s="67"/>
      <c r="O29" s="67"/>
      <c r="P29" s="95"/>
      <c r="Q29" s="99"/>
      <c r="R29" s="99"/>
      <c r="S29" s="99"/>
    </row>
    <row r="30" s="27" customFormat="1" ht="27" customHeight="1" spans="1:19">
      <c r="A30" s="65"/>
      <c r="B30" s="66" t="s">
        <v>36</v>
      </c>
      <c r="C30" s="67"/>
      <c r="D30" s="67"/>
      <c r="E30" s="65">
        <v>13</v>
      </c>
      <c r="F30" s="75">
        <v>28000000</v>
      </c>
      <c r="G30" s="67">
        <f>+E30*F30</f>
        <v>364000000</v>
      </c>
      <c r="H30" s="67">
        <f>+G30*11.5%</f>
        <v>41860000</v>
      </c>
      <c r="I30" s="67">
        <f t="shared" si="8"/>
        <v>322140000</v>
      </c>
      <c r="J30" s="65"/>
      <c r="K30" s="65"/>
      <c r="L30" s="65"/>
      <c r="M30" s="65"/>
      <c r="N30" s="67"/>
      <c r="O30" s="67"/>
      <c r="P30" s="95"/>
      <c r="Q30" s="99"/>
      <c r="R30" s="99"/>
      <c r="S30" s="99"/>
    </row>
    <row r="31" s="27" customFormat="1" ht="27" customHeight="1" spans="1:19">
      <c r="A31" s="65">
        <v>5</v>
      </c>
      <c r="B31" s="66" t="s">
        <v>40</v>
      </c>
      <c r="C31" s="67"/>
      <c r="D31" s="73">
        <f>+G31+L31</f>
        <v>2360473320</v>
      </c>
      <c r="E31" s="65"/>
      <c r="F31" s="65"/>
      <c r="G31" s="67">
        <f>+G32+G33</f>
        <v>2360473320</v>
      </c>
      <c r="H31" s="65"/>
      <c r="I31" s="67">
        <f>+I32+I33</f>
        <v>2325973320</v>
      </c>
      <c r="J31" s="65"/>
      <c r="K31" s="65"/>
      <c r="L31" s="65"/>
      <c r="M31" s="65"/>
      <c r="N31" s="67"/>
      <c r="O31" s="67"/>
      <c r="P31" s="95"/>
      <c r="Q31" s="99"/>
      <c r="R31" s="99"/>
      <c r="S31" s="99"/>
    </row>
    <row r="32" s="27" customFormat="1" ht="40" customHeight="1" spans="1:19">
      <c r="A32" s="65"/>
      <c r="B32" s="66" t="s">
        <v>35</v>
      </c>
      <c r="C32" s="67"/>
      <c r="D32" s="67"/>
      <c r="E32" s="65">
        <v>19</v>
      </c>
      <c r="F32" s="74">
        <f>+(56.07+44.09)/E32</f>
        <v>5.27157894736842</v>
      </c>
      <c r="G32" s="67">
        <f>+(((E32*F32*1490000*12)+(15.079)*1490000*12))</f>
        <v>2060473320</v>
      </c>
      <c r="H32" s="74"/>
      <c r="I32" s="67">
        <f t="shared" ref="I32:I36" si="9">+G32-H32</f>
        <v>2060473320</v>
      </c>
      <c r="J32" s="65"/>
      <c r="K32" s="65"/>
      <c r="L32" s="65"/>
      <c r="M32" s="65"/>
      <c r="N32" s="67"/>
      <c r="O32" s="67"/>
      <c r="P32" s="95"/>
      <c r="Q32" s="99"/>
      <c r="R32" s="99"/>
      <c r="S32" s="99"/>
    </row>
    <row r="33" s="27" customFormat="1" ht="27" customHeight="1" spans="1:19">
      <c r="A33" s="65"/>
      <c r="B33" s="66" t="s">
        <v>36</v>
      </c>
      <c r="C33" s="67"/>
      <c r="D33" s="67"/>
      <c r="E33" s="65">
        <v>10</v>
      </c>
      <c r="F33" s="75">
        <v>30000000</v>
      </c>
      <c r="G33" s="67">
        <f>+E33*F33</f>
        <v>300000000</v>
      </c>
      <c r="H33" s="67">
        <f>+G33*11.5%</f>
        <v>34500000</v>
      </c>
      <c r="I33" s="67">
        <f t="shared" si="9"/>
        <v>265500000</v>
      </c>
      <c r="J33" s="65"/>
      <c r="K33" s="65"/>
      <c r="L33" s="65"/>
      <c r="M33" s="65"/>
      <c r="N33" s="67"/>
      <c r="O33" s="67"/>
      <c r="P33" s="95"/>
      <c r="Q33" s="99"/>
      <c r="R33" s="99"/>
      <c r="S33" s="99"/>
    </row>
    <row r="34" s="27" customFormat="1" ht="31" customHeight="1" spans="1:19">
      <c r="A34" s="65">
        <v>6</v>
      </c>
      <c r="B34" s="66" t="s">
        <v>41</v>
      </c>
      <c r="C34" s="67"/>
      <c r="D34" s="73">
        <f>+G34+L34</f>
        <v>2105202348</v>
      </c>
      <c r="E34" s="65"/>
      <c r="F34" s="65"/>
      <c r="G34" s="67">
        <f>+G35+G36</f>
        <v>2105202348</v>
      </c>
      <c r="H34" s="67"/>
      <c r="I34" s="67">
        <f>+I35+I36</f>
        <v>2070702348</v>
      </c>
      <c r="J34" s="65"/>
      <c r="K34" s="65"/>
      <c r="L34" s="65"/>
      <c r="M34" s="65"/>
      <c r="N34" s="67"/>
      <c r="O34" s="67"/>
      <c r="P34" s="95"/>
      <c r="Q34" s="99"/>
      <c r="R34" s="99"/>
      <c r="S34" s="99"/>
    </row>
    <row r="35" s="27" customFormat="1" ht="43" customHeight="1" spans="1:19">
      <c r="A35" s="65"/>
      <c r="B35" s="66" t="s">
        <v>35</v>
      </c>
      <c r="C35" s="67"/>
      <c r="D35" s="67"/>
      <c r="E35" s="65">
        <v>17</v>
      </c>
      <c r="F35" s="74">
        <f>+(52.89+33.64)/E35</f>
        <v>5.09</v>
      </c>
      <c r="G35" s="67">
        <f>+(((E35*F35*1490000*12)+(14.4321)*1490000*12))</f>
        <v>1805202348</v>
      </c>
      <c r="H35" s="74"/>
      <c r="I35" s="67">
        <f t="shared" si="9"/>
        <v>1805202348</v>
      </c>
      <c r="J35" s="65"/>
      <c r="K35" s="65"/>
      <c r="L35" s="65"/>
      <c r="M35" s="65"/>
      <c r="N35" s="67"/>
      <c r="O35" s="67"/>
      <c r="P35" s="95"/>
      <c r="Q35" s="99"/>
      <c r="R35" s="99"/>
      <c r="S35" s="99"/>
    </row>
    <row r="36" s="27" customFormat="1" ht="27" customHeight="1" spans="1:19">
      <c r="A36" s="65"/>
      <c r="B36" s="66" t="s">
        <v>36</v>
      </c>
      <c r="C36" s="67"/>
      <c r="D36" s="67"/>
      <c r="E36" s="65">
        <v>10</v>
      </c>
      <c r="F36" s="75">
        <v>30000000</v>
      </c>
      <c r="G36" s="67">
        <f>+E36*F36</f>
        <v>300000000</v>
      </c>
      <c r="H36" s="67">
        <f>+G36*11.5%</f>
        <v>34500000</v>
      </c>
      <c r="I36" s="67">
        <f t="shared" si="9"/>
        <v>265500000</v>
      </c>
      <c r="J36" s="65"/>
      <c r="K36" s="65"/>
      <c r="L36" s="65"/>
      <c r="M36" s="65"/>
      <c r="N36" s="67"/>
      <c r="O36" s="67"/>
      <c r="P36" s="95"/>
      <c r="Q36" s="99"/>
      <c r="R36" s="99"/>
      <c r="S36" s="99"/>
    </row>
    <row r="37" s="27" customFormat="1" ht="33" customHeight="1" spans="1:19">
      <c r="A37" s="65">
        <v>7</v>
      </c>
      <c r="B37" s="66" t="s">
        <v>42</v>
      </c>
      <c r="C37" s="67"/>
      <c r="D37" s="73">
        <f>+G37+L37</f>
        <v>2704740204</v>
      </c>
      <c r="E37" s="65"/>
      <c r="F37" s="65"/>
      <c r="G37" s="67">
        <f>+G38+G39</f>
        <v>2704740204</v>
      </c>
      <c r="H37" s="65"/>
      <c r="I37" s="67">
        <f>+I38+I39</f>
        <v>2670240204</v>
      </c>
      <c r="J37" s="65"/>
      <c r="K37" s="65"/>
      <c r="L37" s="65"/>
      <c r="M37" s="65"/>
      <c r="N37" s="67"/>
      <c r="O37" s="67"/>
      <c r="P37" s="95"/>
      <c r="Q37" s="99"/>
      <c r="R37" s="99"/>
      <c r="S37" s="99"/>
    </row>
    <row r="38" s="27" customFormat="1" ht="40" customHeight="1" spans="1:19">
      <c r="A38" s="65"/>
      <c r="B38" s="66" t="s">
        <v>35</v>
      </c>
      <c r="C38" s="67"/>
      <c r="D38" s="67"/>
      <c r="E38" s="65">
        <v>22</v>
      </c>
      <c r="F38" s="74">
        <f>+(61.96+56.06)/E38</f>
        <v>5.36454545454546</v>
      </c>
      <c r="G38" s="67">
        <f>+(((E38*F38*1490000*12)+(16.4733)*1490000*12))</f>
        <v>2404740204</v>
      </c>
      <c r="H38" s="74"/>
      <c r="I38" s="67">
        <f t="shared" ref="I38:I42" si="10">+G38-H38</f>
        <v>2404740204</v>
      </c>
      <c r="J38" s="65"/>
      <c r="K38" s="65"/>
      <c r="L38" s="65"/>
      <c r="M38" s="65"/>
      <c r="N38" s="67"/>
      <c r="O38" s="67"/>
      <c r="P38" s="95"/>
      <c r="Q38" s="99"/>
      <c r="R38" s="99"/>
      <c r="S38" s="99"/>
    </row>
    <row r="39" s="27" customFormat="1" ht="29" customHeight="1" spans="1:19">
      <c r="A39" s="65"/>
      <c r="B39" s="66" t="s">
        <v>36</v>
      </c>
      <c r="C39" s="67"/>
      <c r="D39" s="67"/>
      <c r="E39" s="65">
        <v>10</v>
      </c>
      <c r="F39" s="75">
        <v>30000000</v>
      </c>
      <c r="G39" s="67">
        <f>+E39*F39</f>
        <v>300000000</v>
      </c>
      <c r="H39" s="67">
        <f>+G39*11.5%</f>
        <v>34500000</v>
      </c>
      <c r="I39" s="67">
        <f t="shared" si="10"/>
        <v>265500000</v>
      </c>
      <c r="J39" s="65"/>
      <c r="K39" s="65"/>
      <c r="L39" s="65"/>
      <c r="M39" s="65"/>
      <c r="N39" s="67"/>
      <c r="O39" s="67"/>
      <c r="P39" s="95"/>
      <c r="Q39" s="99"/>
      <c r="R39" s="99"/>
      <c r="S39" s="99"/>
    </row>
    <row r="40" s="27" customFormat="1" ht="31" customHeight="1" spans="1:19">
      <c r="A40" s="65">
        <v>8</v>
      </c>
      <c r="B40" s="66" t="s">
        <v>43</v>
      </c>
      <c r="C40" s="67"/>
      <c r="D40" s="73">
        <f>+G40+L40</f>
        <v>2415747960</v>
      </c>
      <c r="E40" s="65"/>
      <c r="F40" s="65"/>
      <c r="G40" s="67">
        <f>+G41+G42</f>
        <v>2415747960</v>
      </c>
      <c r="H40" s="65"/>
      <c r="I40" s="67">
        <f>+I41+I42</f>
        <v>2377107960</v>
      </c>
      <c r="J40" s="65"/>
      <c r="K40" s="65"/>
      <c r="L40" s="65"/>
      <c r="M40" s="65"/>
      <c r="N40" s="67"/>
      <c r="O40" s="67"/>
      <c r="P40" s="95"/>
      <c r="Q40" s="99"/>
      <c r="R40" s="99"/>
      <c r="S40" s="99"/>
    </row>
    <row r="41" s="27" customFormat="1" ht="38" customHeight="1" spans="1:19">
      <c r="A41" s="65"/>
      <c r="B41" s="66" t="s">
        <v>35</v>
      </c>
      <c r="C41" s="67"/>
      <c r="D41" s="67"/>
      <c r="E41" s="65">
        <v>24</v>
      </c>
      <c r="F41" s="74">
        <f>+(62.22+38.25)/E41</f>
        <v>4.18625</v>
      </c>
      <c r="G41" s="67">
        <f>+(((E41*F41*1490000*12)+(15.847)*1490000*12))</f>
        <v>2079747960</v>
      </c>
      <c r="H41" s="74"/>
      <c r="I41" s="67">
        <f t="shared" si="10"/>
        <v>2079747960</v>
      </c>
      <c r="J41" s="65"/>
      <c r="K41" s="65"/>
      <c r="L41" s="65"/>
      <c r="M41" s="65"/>
      <c r="N41" s="67"/>
      <c r="O41" s="67"/>
      <c r="P41" s="95"/>
      <c r="Q41" s="99"/>
      <c r="R41" s="99"/>
      <c r="S41" s="99"/>
    </row>
    <row r="42" s="27" customFormat="1" ht="27" customHeight="1" spans="1:19">
      <c r="A42" s="65"/>
      <c r="B42" s="66" t="s">
        <v>36</v>
      </c>
      <c r="C42" s="67"/>
      <c r="D42" s="67"/>
      <c r="E42" s="65">
        <v>12</v>
      </c>
      <c r="F42" s="75">
        <v>28000000</v>
      </c>
      <c r="G42" s="67">
        <f>+E42*F42</f>
        <v>336000000</v>
      </c>
      <c r="H42" s="67">
        <f>+G42*11.5%</f>
        <v>38640000</v>
      </c>
      <c r="I42" s="67">
        <f t="shared" si="10"/>
        <v>297360000</v>
      </c>
      <c r="J42" s="65"/>
      <c r="K42" s="65"/>
      <c r="L42" s="65"/>
      <c r="M42" s="65"/>
      <c r="N42" s="67"/>
      <c r="O42" s="67"/>
      <c r="P42" s="95"/>
      <c r="Q42" s="99"/>
      <c r="R42" s="99"/>
      <c r="S42" s="99"/>
    </row>
    <row r="43" s="27" customFormat="1" ht="27" customHeight="1" spans="1:19">
      <c r="A43" s="65">
        <v>9</v>
      </c>
      <c r="B43" s="66" t="s">
        <v>44</v>
      </c>
      <c r="C43" s="67"/>
      <c r="D43" s="73">
        <f>+G43+L43</f>
        <v>1721194440</v>
      </c>
      <c r="E43" s="65"/>
      <c r="F43" s="65"/>
      <c r="G43" s="67">
        <f>+G44+G45</f>
        <v>1721194440</v>
      </c>
      <c r="H43" s="65"/>
      <c r="I43" s="67">
        <f>+I44+I45</f>
        <v>1690144440</v>
      </c>
      <c r="J43" s="65"/>
      <c r="K43" s="65"/>
      <c r="L43" s="65"/>
      <c r="M43" s="65"/>
      <c r="N43" s="67"/>
      <c r="O43" s="67"/>
      <c r="P43" s="95"/>
      <c r="Q43" s="99"/>
      <c r="R43" s="99"/>
      <c r="S43" s="99"/>
    </row>
    <row r="44" s="27" customFormat="1" ht="41" customHeight="1" spans="1:19">
      <c r="A44" s="65"/>
      <c r="B44" s="66" t="s">
        <v>35</v>
      </c>
      <c r="C44" s="67"/>
      <c r="D44" s="67"/>
      <c r="E44" s="65">
        <v>18</v>
      </c>
      <c r="F44" s="74">
        <f>+(44.88+25.14)/E44</f>
        <v>3.89</v>
      </c>
      <c r="G44" s="67">
        <f>+((E44*F44*1490000*12)+((11.143)*1490000*12))</f>
        <v>1451194440</v>
      </c>
      <c r="H44" s="74"/>
      <c r="I44" s="67">
        <f t="shared" ref="I44:I48" si="11">+G44-H44</f>
        <v>1451194440</v>
      </c>
      <c r="J44" s="65"/>
      <c r="K44" s="65"/>
      <c r="L44" s="65"/>
      <c r="M44" s="65"/>
      <c r="N44" s="67"/>
      <c r="O44" s="67"/>
      <c r="P44" s="95"/>
      <c r="Q44" s="99"/>
      <c r="R44" s="99"/>
      <c r="S44" s="99"/>
    </row>
    <row r="45" s="27" customFormat="1" ht="27" customHeight="1" spans="1:19">
      <c r="A45" s="65"/>
      <c r="B45" s="66" t="s">
        <v>36</v>
      </c>
      <c r="C45" s="67"/>
      <c r="D45" s="67"/>
      <c r="E45" s="65">
        <v>9</v>
      </c>
      <c r="F45" s="75">
        <v>30000000</v>
      </c>
      <c r="G45" s="67">
        <f>+E45*F45</f>
        <v>270000000</v>
      </c>
      <c r="H45" s="67">
        <f>+G45*11.5%</f>
        <v>31050000</v>
      </c>
      <c r="I45" s="67">
        <f t="shared" si="11"/>
        <v>238950000</v>
      </c>
      <c r="J45" s="65"/>
      <c r="K45" s="65"/>
      <c r="L45" s="65"/>
      <c r="M45" s="65"/>
      <c r="N45" s="67"/>
      <c r="O45" s="67"/>
      <c r="P45" s="95"/>
      <c r="Q45" s="99"/>
      <c r="R45" s="99"/>
      <c r="S45" s="99"/>
    </row>
    <row r="46" s="27" customFormat="1" ht="27" customHeight="1" spans="1:19">
      <c r="A46" s="65">
        <v>10</v>
      </c>
      <c r="B46" s="66" t="s">
        <v>45</v>
      </c>
      <c r="C46" s="67"/>
      <c r="D46" s="73">
        <f>+G46+L46</f>
        <v>2011670280</v>
      </c>
      <c r="E46" s="65"/>
      <c r="F46" s="65"/>
      <c r="G46" s="67">
        <f>+G47+G48</f>
        <v>2011670280</v>
      </c>
      <c r="H46" s="65"/>
      <c r="I46" s="67">
        <f>+I47+I48</f>
        <v>1977170280</v>
      </c>
      <c r="J46" s="65"/>
      <c r="K46" s="65"/>
      <c r="L46" s="65"/>
      <c r="M46" s="65"/>
      <c r="N46" s="67"/>
      <c r="O46" s="67"/>
      <c r="P46" s="95"/>
      <c r="Q46" s="99"/>
      <c r="R46" s="99"/>
      <c r="S46" s="99"/>
    </row>
    <row r="47" s="27" customFormat="1" ht="40" customHeight="1" spans="1:19">
      <c r="A47" s="65"/>
      <c r="B47" s="66" t="s">
        <v>35</v>
      </c>
      <c r="C47" s="67"/>
      <c r="D47" s="67"/>
      <c r="E47" s="65">
        <v>22</v>
      </c>
      <c r="F47" s="74">
        <f>+(52.15+30.79)/E47</f>
        <v>3.77</v>
      </c>
      <c r="G47" s="67">
        <f>+((E47*F47*1490000*12)+((12.791)*1490000*12))</f>
        <v>1711670280</v>
      </c>
      <c r="H47" s="74"/>
      <c r="I47" s="67">
        <f t="shared" si="11"/>
        <v>1711670280</v>
      </c>
      <c r="J47" s="65"/>
      <c r="K47" s="65"/>
      <c r="L47" s="65"/>
      <c r="M47" s="65"/>
      <c r="N47" s="67"/>
      <c r="O47" s="67"/>
      <c r="P47" s="95"/>
      <c r="Q47" s="99"/>
      <c r="R47" s="99"/>
      <c r="S47" s="99"/>
    </row>
    <row r="48" s="27" customFormat="1" ht="27" customHeight="1" spans="1:19">
      <c r="A48" s="65"/>
      <c r="B48" s="66" t="s">
        <v>36</v>
      </c>
      <c r="C48" s="67"/>
      <c r="D48" s="67"/>
      <c r="E48" s="65">
        <v>10</v>
      </c>
      <c r="F48" s="75">
        <v>30000000</v>
      </c>
      <c r="G48" s="67">
        <f>+E48*F48</f>
        <v>300000000</v>
      </c>
      <c r="H48" s="67">
        <f>+G48*11.5%</f>
        <v>34500000</v>
      </c>
      <c r="I48" s="67">
        <f t="shared" si="11"/>
        <v>265500000</v>
      </c>
      <c r="J48" s="65"/>
      <c r="K48" s="65"/>
      <c r="L48" s="65"/>
      <c r="M48" s="65"/>
      <c r="N48" s="67"/>
      <c r="O48" s="67"/>
      <c r="P48" s="95"/>
      <c r="Q48" s="99"/>
      <c r="R48" s="99"/>
      <c r="S48" s="99"/>
    </row>
    <row r="49" s="27" customFormat="1" ht="27" customHeight="1" spans="1:19">
      <c r="A49" s="65">
        <v>11</v>
      </c>
      <c r="B49" s="66" t="s">
        <v>46</v>
      </c>
      <c r="C49" s="67"/>
      <c r="D49" s="73">
        <f>+G49+L49</f>
        <v>1532867160</v>
      </c>
      <c r="E49" s="65"/>
      <c r="F49" s="65"/>
      <c r="G49" s="67">
        <f>+G50+G51</f>
        <v>1532867160</v>
      </c>
      <c r="H49" s="65"/>
      <c r="I49" s="67">
        <f>+I50+I51</f>
        <v>1510097160</v>
      </c>
      <c r="J49" s="65"/>
      <c r="K49" s="65"/>
      <c r="L49" s="65"/>
      <c r="M49" s="65"/>
      <c r="N49" s="67"/>
      <c r="O49" s="67"/>
      <c r="P49" s="95"/>
      <c r="Q49" s="99"/>
      <c r="R49" s="99"/>
      <c r="S49" s="99"/>
    </row>
    <row r="50" s="27" customFormat="1" ht="40" customHeight="1" spans="1:19">
      <c r="A50" s="65"/>
      <c r="B50" s="66" t="s">
        <v>35</v>
      </c>
      <c r="C50" s="67"/>
      <c r="D50" s="67"/>
      <c r="E50" s="65">
        <v>14</v>
      </c>
      <c r="F50" s="74">
        <f>+(34.88+31.01)/E50</f>
        <v>4.70642857142857</v>
      </c>
      <c r="G50" s="67">
        <f>+((E50*F50*1490000*12)+(8.767)*1490000*12)</f>
        <v>1334867160</v>
      </c>
      <c r="H50" s="74"/>
      <c r="I50" s="67">
        <f t="shared" ref="I50:I54" si="12">+G50-H50</f>
        <v>1334867160</v>
      </c>
      <c r="J50" s="65"/>
      <c r="K50" s="65"/>
      <c r="L50" s="65"/>
      <c r="M50" s="65"/>
      <c r="N50" s="67"/>
      <c r="O50" s="67"/>
      <c r="P50" s="95"/>
      <c r="Q50" s="99"/>
      <c r="R50" s="99"/>
      <c r="S50" s="99"/>
    </row>
    <row r="51" s="27" customFormat="1" ht="27" customHeight="1" spans="1:19">
      <c r="A51" s="65"/>
      <c r="B51" s="66" t="s">
        <v>36</v>
      </c>
      <c r="C51" s="67"/>
      <c r="D51" s="67"/>
      <c r="E51" s="65">
        <v>6</v>
      </c>
      <c r="F51" s="75">
        <v>33000000</v>
      </c>
      <c r="G51" s="67">
        <f>+E51*F51</f>
        <v>198000000</v>
      </c>
      <c r="H51" s="67">
        <f>+G51*11.5%</f>
        <v>22770000</v>
      </c>
      <c r="I51" s="67">
        <f t="shared" si="12"/>
        <v>175230000</v>
      </c>
      <c r="J51" s="65"/>
      <c r="K51" s="65"/>
      <c r="L51" s="65"/>
      <c r="M51" s="65"/>
      <c r="N51" s="67"/>
      <c r="O51" s="67"/>
      <c r="P51" s="95"/>
      <c r="Q51" s="99"/>
      <c r="R51" s="99"/>
      <c r="S51" s="99"/>
    </row>
    <row r="52" s="27" customFormat="1" ht="27" customHeight="1" spans="1:19">
      <c r="A52" s="65">
        <v>12</v>
      </c>
      <c r="B52" s="66" t="s">
        <v>47</v>
      </c>
      <c r="C52" s="67"/>
      <c r="D52" s="73">
        <f>+G52+L52</f>
        <v>1721876640</v>
      </c>
      <c r="E52" s="65"/>
      <c r="F52" s="65"/>
      <c r="G52" s="67">
        <f>+G53+G54</f>
        <v>1721876640</v>
      </c>
      <c r="H52" s="65"/>
      <c r="I52" s="67">
        <f>+I53+I54</f>
        <v>1699106640</v>
      </c>
      <c r="J52" s="65"/>
      <c r="K52" s="65"/>
      <c r="L52" s="65"/>
      <c r="M52" s="65"/>
      <c r="N52" s="67"/>
      <c r="O52" s="67"/>
      <c r="P52" s="95"/>
      <c r="Q52" s="99"/>
      <c r="R52" s="99"/>
      <c r="S52" s="99"/>
    </row>
    <row r="53" s="27" customFormat="1" ht="36" customHeight="1" spans="1:19">
      <c r="A53" s="65"/>
      <c r="B53" s="66" t="s">
        <v>35</v>
      </c>
      <c r="C53" s="67"/>
      <c r="D53" s="67"/>
      <c r="E53" s="65">
        <v>13</v>
      </c>
      <c r="F53" s="74">
        <f>+(40.44+33.42)/E53</f>
        <v>5.68153846153846</v>
      </c>
      <c r="G53" s="67">
        <f>+((E53*F53*1490000*12)+(11.368)*1490000*12)</f>
        <v>1523876640</v>
      </c>
      <c r="H53" s="74"/>
      <c r="I53" s="67">
        <f t="shared" si="12"/>
        <v>1523876640</v>
      </c>
      <c r="J53" s="65"/>
      <c r="K53" s="65"/>
      <c r="L53" s="65"/>
      <c r="M53" s="65"/>
      <c r="N53" s="67"/>
      <c r="O53" s="67"/>
      <c r="P53" s="95"/>
      <c r="Q53" s="99"/>
      <c r="R53" s="99"/>
      <c r="S53" s="99"/>
    </row>
    <row r="54" s="27" customFormat="1" ht="27" customHeight="1" spans="1:19">
      <c r="A54" s="65"/>
      <c r="B54" s="66" t="s">
        <v>36</v>
      </c>
      <c r="C54" s="67"/>
      <c r="D54" s="67"/>
      <c r="E54" s="65">
        <v>6</v>
      </c>
      <c r="F54" s="75">
        <v>33000000</v>
      </c>
      <c r="G54" s="67">
        <f>+E54*F54</f>
        <v>198000000</v>
      </c>
      <c r="H54" s="67">
        <f>+G54*11.5%</f>
        <v>22770000</v>
      </c>
      <c r="I54" s="67">
        <f t="shared" si="12"/>
        <v>175230000</v>
      </c>
      <c r="J54" s="65"/>
      <c r="K54" s="65"/>
      <c r="L54" s="65"/>
      <c r="M54" s="65"/>
      <c r="N54" s="67"/>
      <c r="O54" s="67"/>
      <c r="P54" s="95"/>
      <c r="Q54" s="99"/>
      <c r="R54" s="99"/>
      <c r="S54" s="99"/>
    </row>
    <row r="55" s="27" customFormat="1" ht="27" customHeight="1" spans="1:19">
      <c r="A55" s="65">
        <v>13</v>
      </c>
      <c r="B55" s="66" t="s">
        <v>48</v>
      </c>
      <c r="C55" s="67"/>
      <c r="D55" s="73">
        <f t="shared" ref="D55:D59" si="13">+G55+L55</f>
        <v>1593037200</v>
      </c>
      <c r="E55" s="65"/>
      <c r="F55" s="65"/>
      <c r="G55" s="67">
        <f>+G56+G57</f>
        <v>1593037200</v>
      </c>
      <c r="H55" s="65"/>
      <c r="I55" s="67">
        <f>+I56+I57</f>
        <v>1570612200</v>
      </c>
      <c r="J55" s="65"/>
      <c r="K55" s="65"/>
      <c r="L55" s="65"/>
      <c r="M55" s="65"/>
      <c r="N55" s="67"/>
      <c r="O55" s="67"/>
      <c r="P55" s="95"/>
      <c r="Q55" s="99"/>
      <c r="R55" s="99"/>
      <c r="S55" s="99"/>
    </row>
    <row r="56" s="27" customFormat="1" ht="45" customHeight="1" spans="1:19">
      <c r="A56" s="65"/>
      <c r="B56" s="66" t="s">
        <v>35</v>
      </c>
      <c r="C56" s="67"/>
      <c r="D56" s="67"/>
      <c r="E56" s="65">
        <v>11</v>
      </c>
      <c r="F56" s="74">
        <f>+(32.9+36.44)/E56</f>
        <v>6.30363636363636</v>
      </c>
      <c r="G56" s="67">
        <f>+((E56*F56*1490000*12)+(8.85)*1490000*12)</f>
        <v>1398037200</v>
      </c>
      <c r="H56" s="74"/>
      <c r="I56" s="67">
        <f t="shared" ref="I56:I61" si="14">+G56-H56</f>
        <v>1398037200</v>
      </c>
      <c r="J56" s="65"/>
      <c r="K56" s="65"/>
      <c r="L56" s="65"/>
      <c r="M56" s="65"/>
      <c r="N56" s="67"/>
      <c r="O56" s="67"/>
      <c r="P56" s="95"/>
      <c r="Q56" s="99"/>
      <c r="R56" s="99"/>
      <c r="S56" s="99"/>
    </row>
    <row r="57" s="27" customFormat="1" ht="27" customHeight="1" spans="1:19">
      <c r="A57" s="65"/>
      <c r="B57" s="66" t="s">
        <v>36</v>
      </c>
      <c r="C57" s="67"/>
      <c r="D57" s="67"/>
      <c r="E57" s="65">
        <v>5</v>
      </c>
      <c r="F57" s="75">
        <v>39000000</v>
      </c>
      <c r="G57" s="67">
        <f>+E57*F57</f>
        <v>195000000</v>
      </c>
      <c r="H57" s="75">
        <f>+G57*11.5%</f>
        <v>22425000</v>
      </c>
      <c r="I57" s="67">
        <f t="shared" si="14"/>
        <v>172575000</v>
      </c>
      <c r="J57" s="65"/>
      <c r="K57" s="65"/>
      <c r="L57" s="65"/>
      <c r="M57" s="65"/>
      <c r="N57" s="67"/>
      <c r="O57" s="67"/>
      <c r="P57" s="95"/>
      <c r="Q57" s="99"/>
      <c r="R57" s="99"/>
      <c r="S57" s="99"/>
    </row>
    <row r="58" s="26" customFormat="1" ht="27" customHeight="1" spans="1:19">
      <c r="A58" s="69" t="s">
        <v>49</v>
      </c>
      <c r="B58" s="70" t="s">
        <v>50</v>
      </c>
      <c r="C58" s="71"/>
      <c r="D58" s="72">
        <f t="shared" si="13"/>
        <v>67927846440</v>
      </c>
      <c r="E58" s="71">
        <f>+E60+E63+E66+E69+E72+E75+E78+E81+E84+E87+E90+E93+E96+E99+E102+E105</f>
        <v>436</v>
      </c>
      <c r="F58" s="71"/>
      <c r="G58" s="71">
        <f>G59+G62+G65+G68+G71+G74+G77+G80+G83+G86+G89+G92+G95+G98+G101+G104</f>
        <v>67927846440</v>
      </c>
      <c r="H58" s="71">
        <f>SUM(H59:H106)</f>
        <v>832830000</v>
      </c>
      <c r="I58" s="71">
        <f>I59+I62+I65+I68+I71+I74+I77+I80+I83+I86+I89+I92+I95+I98+I101+I104</f>
        <v>67095016440</v>
      </c>
      <c r="J58" s="69"/>
      <c r="K58" s="69"/>
      <c r="L58" s="69"/>
      <c r="M58" s="69"/>
      <c r="N58" s="71"/>
      <c r="O58" s="71"/>
      <c r="P58" s="94">
        <f>1150+4130+5000</f>
        <v>10280</v>
      </c>
      <c r="Q58" s="97"/>
      <c r="R58" s="97"/>
      <c r="S58" s="97"/>
    </row>
    <row r="59" s="27" customFormat="1" ht="27" customHeight="1" spans="1:19">
      <c r="A59" s="65">
        <v>1</v>
      </c>
      <c r="B59" s="66" t="s">
        <v>51</v>
      </c>
      <c r="C59" s="67"/>
      <c r="D59" s="73">
        <f t="shared" si="13"/>
        <v>5954108600</v>
      </c>
      <c r="E59" s="65"/>
      <c r="F59" s="65"/>
      <c r="G59" s="67">
        <f>+G60+G61</f>
        <v>5954108600</v>
      </c>
      <c r="H59" s="65"/>
      <c r="I59" s="67">
        <f>+I60+I61</f>
        <v>5887983600</v>
      </c>
      <c r="J59" s="65"/>
      <c r="K59" s="65"/>
      <c r="L59" s="65"/>
      <c r="M59" s="65"/>
      <c r="N59" s="67"/>
      <c r="O59" s="67"/>
      <c r="P59" s="95"/>
      <c r="Q59" s="99"/>
      <c r="R59" s="99"/>
      <c r="S59" s="99"/>
    </row>
    <row r="60" s="27" customFormat="1" ht="46" customHeight="1" spans="1:19">
      <c r="A60" s="65"/>
      <c r="B60" s="66" t="s">
        <v>35</v>
      </c>
      <c r="C60" s="67"/>
      <c r="D60" s="67"/>
      <c r="E60" s="65">
        <v>40</v>
      </c>
      <c r="F60" s="74">
        <f>+(148.2+110.47)/E60</f>
        <v>6.46675</v>
      </c>
      <c r="G60" s="67">
        <f>+((E60*F60*1490000*12)+(42.175*1490000*12))</f>
        <v>5379108600</v>
      </c>
      <c r="H60" s="74"/>
      <c r="I60" s="67">
        <f t="shared" si="14"/>
        <v>5379108600</v>
      </c>
      <c r="J60" s="65"/>
      <c r="K60" s="65"/>
      <c r="L60" s="65"/>
      <c r="M60" s="65"/>
      <c r="N60" s="67"/>
      <c r="O60" s="67"/>
      <c r="P60" s="95"/>
      <c r="Q60" s="99"/>
      <c r="R60" s="99"/>
      <c r="S60" s="99"/>
    </row>
    <row r="61" s="27" customFormat="1" ht="27" customHeight="1" spans="1:19">
      <c r="A61" s="65"/>
      <c r="B61" s="66" t="s">
        <v>36</v>
      </c>
      <c r="C61" s="67"/>
      <c r="D61" s="67"/>
      <c r="E61" s="65">
        <v>25</v>
      </c>
      <c r="F61" s="75">
        <v>23000000</v>
      </c>
      <c r="G61" s="67">
        <f>+E61*F61</f>
        <v>575000000</v>
      </c>
      <c r="H61" s="67">
        <f>+G61*11.5%</f>
        <v>66125000</v>
      </c>
      <c r="I61" s="67">
        <f t="shared" si="14"/>
        <v>508875000</v>
      </c>
      <c r="J61" s="65"/>
      <c r="K61" s="65"/>
      <c r="L61" s="65"/>
      <c r="M61" s="65"/>
      <c r="N61" s="67"/>
      <c r="O61" s="67"/>
      <c r="P61" s="95"/>
      <c r="Q61" s="99"/>
      <c r="R61" s="99"/>
      <c r="S61" s="99"/>
    </row>
    <row r="62" s="27" customFormat="1" ht="27" customHeight="1" spans="1:19">
      <c r="A62" s="65">
        <v>2</v>
      </c>
      <c r="B62" s="66" t="s">
        <v>52</v>
      </c>
      <c r="C62" s="67"/>
      <c r="D62" s="73">
        <f>+G62+L62</f>
        <v>3580683600</v>
      </c>
      <c r="E62" s="65"/>
      <c r="F62" s="65"/>
      <c r="G62" s="67">
        <f>SUM(G63:G64)</f>
        <v>3580683600</v>
      </c>
      <c r="H62" s="65"/>
      <c r="I62" s="67">
        <f>+I63+I64</f>
        <v>3542043600</v>
      </c>
      <c r="J62" s="65"/>
      <c r="K62" s="65"/>
      <c r="L62" s="65"/>
      <c r="M62" s="65"/>
      <c r="N62" s="67"/>
      <c r="O62" s="67"/>
      <c r="P62" s="95"/>
      <c r="Q62" s="99"/>
      <c r="R62" s="99"/>
      <c r="S62" s="99"/>
    </row>
    <row r="63" s="27" customFormat="1" ht="42" customHeight="1" spans="1:19">
      <c r="A63" s="65"/>
      <c r="B63" s="66" t="s">
        <v>35</v>
      </c>
      <c r="C63" s="67"/>
      <c r="D63" s="67"/>
      <c r="E63" s="65">
        <v>23</v>
      </c>
      <c r="F63" s="74">
        <f>+(87.65+68.55)/E63</f>
        <v>6.79130434782609</v>
      </c>
      <c r="G63" s="67">
        <f>+((E63*F63*1490000*12)+(25.27*1490000*12))</f>
        <v>3244683600</v>
      </c>
      <c r="H63" s="74"/>
      <c r="I63" s="67">
        <f t="shared" ref="I63:I67" si="15">+G63-H63</f>
        <v>3244683600</v>
      </c>
      <c r="J63" s="65"/>
      <c r="K63" s="65"/>
      <c r="L63" s="65"/>
      <c r="M63" s="65"/>
      <c r="N63" s="67"/>
      <c r="O63" s="67"/>
      <c r="P63" s="95"/>
      <c r="Q63" s="99"/>
      <c r="R63" s="99"/>
      <c r="S63" s="99"/>
    </row>
    <row r="64" s="27" customFormat="1" ht="27" customHeight="1" spans="1:19">
      <c r="A64" s="65"/>
      <c r="B64" s="66" t="s">
        <v>36</v>
      </c>
      <c r="C64" s="67"/>
      <c r="D64" s="67"/>
      <c r="E64" s="65">
        <v>12</v>
      </c>
      <c r="F64" s="75">
        <v>28000000</v>
      </c>
      <c r="G64" s="67">
        <f>+E64*F64</f>
        <v>336000000</v>
      </c>
      <c r="H64" s="67">
        <f>+G64*11.5%</f>
        <v>38640000</v>
      </c>
      <c r="I64" s="67">
        <f t="shared" si="15"/>
        <v>297360000</v>
      </c>
      <c r="J64" s="65"/>
      <c r="K64" s="65"/>
      <c r="L64" s="65"/>
      <c r="M64" s="65"/>
      <c r="N64" s="67"/>
      <c r="O64" s="67"/>
      <c r="P64" s="95"/>
      <c r="Q64" s="99"/>
      <c r="R64" s="99"/>
      <c r="S64" s="99"/>
    </row>
    <row r="65" s="27" customFormat="1" ht="27" customHeight="1" spans="1:19">
      <c r="A65" s="65">
        <v>3</v>
      </c>
      <c r="B65" s="66" t="s">
        <v>53</v>
      </c>
      <c r="C65" s="67"/>
      <c r="D65" s="73">
        <f>+G65+L65</f>
        <v>4754173200</v>
      </c>
      <c r="E65" s="65"/>
      <c r="F65" s="65"/>
      <c r="G65" s="67">
        <f>+G66+G67</f>
        <v>4754173200</v>
      </c>
      <c r="H65" s="65"/>
      <c r="I65" s="67">
        <f>+I66+I67</f>
        <v>4701733200</v>
      </c>
      <c r="J65" s="65"/>
      <c r="K65" s="65"/>
      <c r="L65" s="65"/>
      <c r="M65" s="65"/>
      <c r="N65" s="67"/>
      <c r="O65" s="67"/>
      <c r="P65" s="95"/>
      <c r="Q65" s="99">
        <f>2.1*4</f>
        <v>8.4</v>
      </c>
      <c r="R65" s="99">
        <f>+Q65*35%</f>
        <v>2.94</v>
      </c>
      <c r="S65" s="99">
        <f>+R65+Q65</f>
        <v>11.34</v>
      </c>
    </row>
    <row r="66" s="27" customFormat="1" ht="46" customHeight="1" spans="1:19">
      <c r="A66" s="65"/>
      <c r="B66" s="66" t="s">
        <v>35</v>
      </c>
      <c r="C66" s="67"/>
      <c r="D66" s="67"/>
      <c r="E66" s="65">
        <v>29</v>
      </c>
      <c r="F66" s="74">
        <f>+(106+103.88)/E66</f>
        <v>7.23724137931034</v>
      </c>
      <c r="G66" s="67">
        <f>+((E66*F66*1490000*12)+(30.51*1490000*12))</f>
        <v>4298173200</v>
      </c>
      <c r="H66" s="74"/>
      <c r="I66" s="67">
        <f t="shared" si="15"/>
        <v>4298173200</v>
      </c>
      <c r="J66" s="65"/>
      <c r="K66" s="65"/>
      <c r="L66" s="65"/>
      <c r="M66" s="65"/>
      <c r="N66" s="67"/>
      <c r="O66" s="67"/>
      <c r="P66" s="95"/>
      <c r="Q66" s="99"/>
      <c r="R66" s="99"/>
      <c r="S66" s="99">
        <v>1.5</v>
      </c>
    </row>
    <row r="67" s="27" customFormat="1" ht="27" customHeight="1" spans="1:19">
      <c r="A67" s="65"/>
      <c r="B67" s="66" t="s">
        <v>36</v>
      </c>
      <c r="C67" s="67"/>
      <c r="D67" s="67"/>
      <c r="E67" s="65">
        <v>19</v>
      </c>
      <c r="F67" s="75">
        <v>24000000</v>
      </c>
      <c r="G67" s="67">
        <f>+E67*F67</f>
        <v>456000000</v>
      </c>
      <c r="H67" s="67">
        <f>+G67*11.5%</f>
        <v>52440000</v>
      </c>
      <c r="I67" s="67">
        <f t="shared" si="15"/>
        <v>403560000</v>
      </c>
      <c r="J67" s="65"/>
      <c r="K67" s="65"/>
      <c r="L67" s="65"/>
      <c r="M67" s="65"/>
      <c r="N67" s="67"/>
      <c r="O67" s="67"/>
      <c r="P67" s="95"/>
      <c r="Q67" s="99"/>
      <c r="R67" s="99"/>
      <c r="S67" s="99">
        <f>+S61+S65+S66</f>
        <v>12.84</v>
      </c>
    </row>
    <row r="68" s="27" customFormat="1" ht="34" customHeight="1" spans="1:19">
      <c r="A68" s="65">
        <v>4</v>
      </c>
      <c r="B68" s="66" t="s">
        <v>54</v>
      </c>
      <c r="C68" s="67"/>
      <c r="D68" s="73">
        <f>+G68+L68</f>
        <v>4644402840</v>
      </c>
      <c r="E68" s="65"/>
      <c r="F68" s="65"/>
      <c r="G68" s="67">
        <f>+G69+G70</f>
        <v>4644402840</v>
      </c>
      <c r="H68" s="65"/>
      <c r="I68" s="67">
        <f>+I69+I70</f>
        <v>4594722840</v>
      </c>
      <c r="J68" s="65"/>
      <c r="K68" s="65"/>
      <c r="L68" s="65"/>
      <c r="M68" s="65"/>
      <c r="N68" s="67"/>
      <c r="O68" s="67"/>
      <c r="P68" s="95"/>
      <c r="Q68" s="99">
        <f>2.1*4</f>
        <v>8.4</v>
      </c>
      <c r="R68" s="99">
        <f>+Q68*35%</f>
        <v>2.94</v>
      </c>
      <c r="S68" s="99">
        <f>+R68+Q68</f>
        <v>11.34</v>
      </c>
    </row>
    <row r="69" s="27" customFormat="1" ht="46" customHeight="1" spans="1:19">
      <c r="A69" s="65"/>
      <c r="B69" s="66" t="s">
        <v>35</v>
      </c>
      <c r="C69" s="67"/>
      <c r="D69" s="67"/>
      <c r="E69" s="65">
        <v>27</v>
      </c>
      <c r="F69" s="74">
        <f>+(95.41+113.12)/E69</f>
        <v>7.72333333333333</v>
      </c>
      <c r="G69" s="67">
        <f>+((E69*F69*1490000*12)+(27.063*1490000*12))</f>
        <v>4212402840</v>
      </c>
      <c r="H69" s="74"/>
      <c r="I69" s="67">
        <f t="shared" ref="I69:I73" si="16">+G69-H69</f>
        <v>4212402840</v>
      </c>
      <c r="J69" s="65"/>
      <c r="K69" s="65"/>
      <c r="L69" s="65"/>
      <c r="M69" s="65"/>
      <c r="N69" s="67"/>
      <c r="O69" s="67"/>
      <c r="P69" s="95"/>
      <c r="Q69" s="99"/>
      <c r="R69" s="99"/>
      <c r="S69" s="99">
        <v>1.5</v>
      </c>
    </row>
    <row r="70" s="27" customFormat="1" ht="27" customHeight="1" spans="1:19">
      <c r="A70" s="65"/>
      <c r="B70" s="66" t="s">
        <v>36</v>
      </c>
      <c r="C70" s="67"/>
      <c r="D70" s="67"/>
      <c r="E70" s="65">
        <v>18</v>
      </c>
      <c r="F70" s="75">
        <v>24000000</v>
      </c>
      <c r="G70" s="67">
        <f>+E70*F70</f>
        <v>432000000</v>
      </c>
      <c r="H70" s="67">
        <f>+G70*11.5%</f>
        <v>49680000</v>
      </c>
      <c r="I70" s="67">
        <f t="shared" si="16"/>
        <v>382320000</v>
      </c>
      <c r="J70" s="65"/>
      <c r="K70" s="65"/>
      <c r="L70" s="65"/>
      <c r="M70" s="65"/>
      <c r="N70" s="67"/>
      <c r="O70" s="67"/>
      <c r="P70" s="95"/>
      <c r="Q70" s="99"/>
      <c r="R70" s="99"/>
      <c r="S70" s="99">
        <f>+S67+S68+S69</f>
        <v>25.68</v>
      </c>
    </row>
    <row r="71" s="27" customFormat="1" ht="36" customHeight="1" spans="1:19">
      <c r="A71" s="65">
        <v>5</v>
      </c>
      <c r="B71" s="66" t="s">
        <v>55</v>
      </c>
      <c r="C71" s="67"/>
      <c r="D71" s="73">
        <f>+G71+L71</f>
        <v>5387240000</v>
      </c>
      <c r="E71" s="65"/>
      <c r="F71" s="65"/>
      <c r="G71" s="67">
        <f>+G72+G73</f>
        <v>5387240000</v>
      </c>
      <c r="H71" s="65"/>
      <c r="I71" s="67">
        <f>+I72+I73</f>
        <v>5329050000</v>
      </c>
      <c r="J71" s="65"/>
      <c r="K71" s="65"/>
      <c r="L71" s="65"/>
      <c r="M71" s="65"/>
      <c r="N71" s="67"/>
      <c r="O71" s="67"/>
      <c r="P71" s="95"/>
      <c r="Q71" s="99">
        <f>2.1*4</f>
        <v>8.4</v>
      </c>
      <c r="R71" s="99">
        <f>+Q71*35%</f>
        <v>2.94</v>
      </c>
      <c r="S71" s="99">
        <f>+R71+Q71</f>
        <v>11.34</v>
      </c>
    </row>
    <row r="72" s="27" customFormat="1" ht="41" customHeight="1" spans="1:19">
      <c r="A72" s="65"/>
      <c r="B72" s="66" t="s">
        <v>35</v>
      </c>
      <c r="C72" s="67"/>
      <c r="D72" s="67"/>
      <c r="E72" s="65">
        <v>32</v>
      </c>
      <c r="F72" s="74">
        <f>+(120.28+117.71)/E72</f>
        <v>7.4371875</v>
      </c>
      <c r="G72" s="67">
        <f>+((E72*F72*1490000*12)+(35.01*1490000*12))</f>
        <v>4881240000</v>
      </c>
      <c r="H72" s="74"/>
      <c r="I72" s="67">
        <f t="shared" si="16"/>
        <v>4881240000</v>
      </c>
      <c r="J72" s="65"/>
      <c r="K72" s="65"/>
      <c r="L72" s="65"/>
      <c r="M72" s="65"/>
      <c r="N72" s="67"/>
      <c r="O72" s="67"/>
      <c r="P72" s="95"/>
      <c r="Q72" s="99"/>
      <c r="R72" s="99"/>
      <c r="S72" s="99">
        <v>1.5</v>
      </c>
    </row>
    <row r="73" s="27" customFormat="1" ht="27" customHeight="1" spans="1:19">
      <c r="A73" s="65"/>
      <c r="B73" s="66" t="s">
        <v>36</v>
      </c>
      <c r="C73" s="67"/>
      <c r="D73" s="67"/>
      <c r="E73" s="65">
        <v>22</v>
      </c>
      <c r="F73" s="75">
        <v>23000000</v>
      </c>
      <c r="G73" s="67">
        <f>+E73*F73</f>
        <v>506000000</v>
      </c>
      <c r="H73" s="75">
        <f>+G73*11.5%</f>
        <v>58190000</v>
      </c>
      <c r="I73" s="67">
        <f t="shared" si="16"/>
        <v>447810000</v>
      </c>
      <c r="J73" s="65"/>
      <c r="K73" s="65"/>
      <c r="L73" s="65"/>
      <c r="M73" s="65"/>
      <c r="N73" s="67"/>
      <c r="O73" s="67"/>
      <c r="P73" s="95"/>
      <c r="Q73" s="99"/>
      <c r="R73" s="99"/>
      <c r="S73" s="99">
        <f>+S70+S71+S72</f>
        <v>38.52</v>
      </c>
    </row>
    <row r="74" s="27" customFormat="1" ht="27" customHeight="1" spans="1:19">
      <c r="A74" s="65">
        <v>6</v>
      </c>
      <c r="B74" s="66" t="s">
        <v>56</v>
      </c>
      <c r="C74" s="67"/>
      <c r="D74" s="73">
        <f>+G74+L74</f>
        <v>3982687120</v>
      </c>
      <c r="E74" s="65"/>
      <c r="F74" s="65"/>
      <c r="G74" s="67">
        <f>+G75+G76</f>
        <v>3982687120</v>
      </c>
      <c r="H74" s="65"/>
      <c r="I74" s="67">
        <f>+I75+I76</f>
        <v>3936687120</v>
      </c>
      <c r="J74" s="65"/>
      <c r="K74" s="65"/>
      <c r="L74" s="65"/>
      <c r="M74" s="65"/>
      <c r="N74" s="67"/>
      <c r="O74" s="67"/>
      <c r="P74" s="95"/>
      <c r="Q74" s="99">
        <f>2.1*4</f>
        <v>8.4</v>
      </c>
      <c r="R74" s="99">
        <f>+Q74*35%</f>
        <v>2.94</v>
      </c>
      <c r="S74" s="99">
        <f>+R74+Q74</f>
        <v>11.34</v>
      </c>
    </row>
    <row r="75" s="27" customFormat="1" ht="47" customHeight="1" spans="1:19">
      <c r="A75" s="65"/>
      <c r="B75" s="66" t="s">
        <v>35</v>
      </c>
      <c r="C75" s="67"/>
      <c r="D75" s="67"/>
      <c r="E75" s="65">
        <v>26</v>
      </c>
      <c r="F75" s="74">
        <f>+(88.26+87.36)/E75</f>
        <v>6.75461538461539</v>
      </c>
      <c r="G75" s="67">
        <f>+((E75*F75*1490000*12)+(24.754)*1490000*12)</f>
        <v>3582687120</v>
      </c>
      <c r="H75" s="74"/>
      <c r="I75" s="67">
        <f t="shared" ref="I75:I79" si="17">+G75-H75</f>
        <v>3582687120</v>
      </c>
      <c r="J75" s="65"/>
      <c r="K75" s="65"/>
      <c r="L75" s="65"/>
      <c r="M75" s="65"/>
      <c r="N75" s="67"/>
      <c r="O75" s="67"/>
      <c r="P75" s="95"/>
      <c r="Q75" s="99"/>
      <c r="R75" s="99"/>
      <c r="S75" s="99">
        <v>1.5</v>
      </c>
    </row>
    <row r="76" s="27" customFormat="1" ht="27" customHeight="1" spans="1:19">
      <c r="A76" s="65"/>
      <c r="B76" s="66" t="s">
        <v>36</v>
      </c>
      <c r="C76" s="67"/>
      <c r="D76" s="67"/>
      <c r="E76" s="65">
        <v>16</v>
      </c>
      <c r="F76" s="75">
        <v>25000000</v>
      </c>
      <c r="G76" s="67">
        <f>+E76*F76</f>
        <v>400000000</v>
      </c>
      <c r="H76" s="67">
        <f>+G76*11.5%</f>
        <v>46000000</v>
      </c>
      <c r="I76" s="67">
        <f t="shared" si="17"/>
        <v>354000000</v>
      </c>
      <c r="J76" s="65"/>
      <c r="K76" s="65"/>
      <c r="L76" s="65"/>
      <c r="M76" s="65"/>
      <c r="N76" s="67"/>
      <c r="O76" s="67"/>
      <c r="P76" s="95"/>
      <c r="Q76" s="99"/>
      <c r="R76" s="99"/>
      <c r="S76" s="99">
        <f>+S70+S74+S75</f>
        <v>38.52</v>
      </c>
    </row>
    <row r="77" s="27" customFormat="1" ht="30" customHeight="1" spans="1:19">
      <c r="A77" s="65">
        <v>7</v>
      </c>
      <c r="B77" s="66" t="s">
        <v>57</v>
      </c>
      <c r="C77" s="67"/>
      <c r="D77" s="73">
        <f>+G77+L77</f>
        <v>4381343360</v>
      </c>
      <c r="E77" s="65"/>
      <c r="F77" s="65"/>
      <c r="G77" s="67">
        <f>+G78+G79</f>
        <v>4381343360</v>
      </c>
      <c r="H77" s="65"/>
      <c r="I77" s="67">
        <f>+I78+I79</f>
        <v>4332468360</v>
      </c>
      <c r="J77" s="65"/>
      <c r="K77" s="65"/>
      <c r="L77" s="65"/>
      <c r="M77" s="65"/>
      <c r="N77" s="67"/>
      <c r="O77" s="67"/>
      <c r="P77" s="95"/>
      <c r="Q77" s="99">
        <f>2.1*4</f>
        <v>8.4</v>
      </c>
      <c r="R77" s="99">
        <f>+Q77*35%</f>
        <v>2.94</v>
      </c>
      <c r="S77" s="99">
        <f>+R77+Q77</f>
        <v>11.34</v>
      </c>
    </row>
    <row r="78" s="27" customFormat="1" ht="42" customHeight="1" spans="1:19">
      <c r="A78" s="65"/>
      <c r="B78" s="66" t="s">
        <v>35</v>
      </c>
      <c r="C78" s="67"/>
      <c r="D78" s="67"/>
      <c r="E78" s="65">
        <v>27</v>
      </c>
      <c r="F78" s="74">
        <f>+(90.85+105.57)/E78</f>
        <v>7.27481481481481</v>
      </c>
      <c r="G78" s="67">
        <f>+((E78*F78*1490000*12)+(24.852)*1490000*12)</f>
        <v>3956343360</v>
      </c>
      <c r="H78" s="74"/>
      <c r="I78" s="67">
        <f t="shared" si="17"/>
        <v>3956343360</v>
      </c>
      <c r="J78" s="65"/>
      <c r="K78" s="65"/>
      <c r="L78" s="65"/>
      <c r="M78" s="65"/>
      <c r="N78" s="67"/>
      <c r="O78" s="67"/>
      <c r="P78" s="95"/>
      <c r="Q78" s="99"/>
      <c r="R78" s="99"/>
      <c r="S78" s="99">
        <v>1.5</v>
      </c>
    </row>
    <row r="79" s="27" customFormat="1" ht="27" customHeight="1" spans="1:19">
      <c r="A79" s="65"/>
      <c r="B79" s="66" t="s">
        <v>36</v>
      </c>
      <c r="C79" s="67"/>
      <c r="D79" s="67"/>
      <c r="E79" s="65">
        <v>17</v>
      </c>
      <c r="F79" s="75">
        <v>25000000</v>
      </c>
      <c r="G79" s="67">
        <f>+E79*F79</f>
        <v>425000000</v>
      </c>
      <c r="H79" s="67">
        <f>+G79*11.5%</f>
        <v>48875000</v>
      </c>
      <c r="I79" s="67">
        <f t="shared" si="17"/>
        <v>376125000</v>
      </c>
      <c r="J79" s="65"/>
      <c r="K79" s="65"/>
      <c r="L79" s="65"/>
      <c r="M79" s="65"/>
      <c r="N79" s="67"/>
      <c r="O79" s="67"/>
      <c r="P79" s="95"/>
      <c r="Q79" s="99"/>
      <c r="R79" s="99"/>
      <c r="S79" s="99">
        <f>+S73+S77+S78</f>
        <v>51.36</v>
      </c>
    </row>
    <row r="80" s="27" customFormat="1" ht="27" customHeight="1" spans="1:19">
      <c r="A80" s="65">
        <v>8</v>
      </c>
      <c r="B80" s="66" t="s">
        <v>58</v>
      </c>
      <c r="C80" s="67"/>
      <c r="D80" s="73">
        <f>+G80+L80</f>
        <v>3983725200</v>
      </c>
      <c r="E80" s="65"/>
      <c r="F80" s="65"/>
      <c r="G80" s="67">
        <f>+G81+G82</f>
        <v>3983725200</v>
      </c>
      <c r="H80" s="65"/>
      <c r="I80" s="67">
        <f>+I81+I82</f>
        <v>3928180200</v>
      </c>
      <c r="J80" s="65"/>
      <c r="K80" s="65"/>
      <c r="L80" s="65"/>
      <c r="M80" s="65"/>
      <c r="N80" s="67"/>
      <c r="O80" s="67"/>
      <c r="P80" s="95"/>
      <c r="Q80" s="99">
        <f>2.1*4</f>
        <v>8.4</v>
      </c>
      <c r="R80" s="99">
        <f>+Q80*35%</f>
        <v>2.94</v>
      </c>
      <c r="S80" s="99">
        <f>+R80+Q80</f>
        <v>11.34</v>
      </c>
    </row>
    <row r="81" s="27" customFormat="1" ht="43" customHeight="1" spans="1:19">
      <c r="A81" s="65"/>
      <c r="B81" s="66" t="s">
        <v>35</v>
      </c>
      <c r="C81" s="67"/>
      <c r="D81" s="67"/>
      <c r="E81" s="65">
        <v>28</v>
      </c>
      <c r="F81" s="74">
        <f>+(84.23+88.74)/E81</f>
        <v>6.1775</v>
      </c>
      <c r="G81" s="67">
        <f>+((E81*F81*1490000*12)+(22.82)*1490000*12)</f>
        <v>3500725200</v>
      </c>
      <c r="H81" s="74"/>
      <c r="I81" s="67">
        <f t="shared" ref="I81:I85" si="18">+G81-H81</f>
        <v>3500725200</v>
      </c>
      <c r="J81" s="65"/>
      <c r="K81" s="65"/>
      <c r="L81" s="65"/>
      <c r="M81" s="65"/>
      <c r="N81" s="67"/>
      <c r="O81" s="67"/>
      <c r="P81" s="95"/>
      <c r="Q81" s="99"/>
      <c r="R81" s="99"/>
      <c r="S81" s="99">
        <v>1.5</v>
      </c>
    </row>
    <row r="82" s="27" customFormat="1" ht="27" customHeight="1" spans="1:19">
      <c r="A82" s="65"/>
      <c r="B82" s="66" t="s">
        <v>36</v>
      </c>
      <c r="C82" s="67"/>
      <c r="D82" s="67"/>
      <c r="E82" s="65">
        <v>21</v>
      </c>
      <c r="F82" s="75">
        <v>23000000</v>
      </c>
      <c r="G82" s="67">
        <f>+E82*F82</f>
        <v>483000000</v>
      </c>
      <c r="H82" s="67">
        <f>+G82*11.5%</f>
        <v>55545000</v>
      </c>
      <c r="I82" s="67">
        <f t="shared" si="18"/>
        <v>427455000</v>
      </c>
      <c r="J82" s="65"/>
      <c r="K82" s="65"/>
      <c r="L82" s="65"/>
      <c r="M82" s="65"/>
      <c r="N82" s="67"/>
      <c r="O82" s="67"/>
      <c r="P82" s="95"/>
      <c r="Q82" s="99"/>
      <c r="R82" s="99"/>
      <c r="S82" s="99">
        <f>+S76+S80+S81</f>
        <v>51.36</v>
      </c>
    </row>
    <row r="83" s="27" customFormat="1" ht="30" customHeight="1" spans="1:19">
      <c r="A83" s="65">
        <v>9</v>
      </c>
      <c r="B83" s="66" t="s">
        <v>59</v>
      </c>
      <c r="C83" s="67"/>
      <c r="D83" s="73">
        <f>+G83+L83</f>
        <v>4563912488</v>
      </c>
      <c r="E83" s="65"/>
      <c r="F83" s="65"/>
      <c r="G83" s="67">
        <f>+G84+G85</f>
        <v>4563912488</v>
      </c>
      <c r="H83" s="65"/>
      <c r="I83" s="67">
        <f>+I84+I85</f>
        <v>4505722488</v>
      </c>
      <c r="J83" s="65"/>
      <c r="K83" s="65"/>
      <c r="L83" s="65"/>
      <c r="M83" s="65"/>
      <c r="N83" s="67"/>
      <c r="O83" s="67"/>
      <c r="P83" s="95"/>
      <c r="Q83" s="99">
        <f>2.1*4</f>
        <v>8.4</v>
      </c>
      <c r="R83" s="99">
        <f>+Q83*35%</f>
        <v>2.94</v>
      </c>
      <c r="S83" s="99">
        <f>+R83+Q83</f>
        <v>11.34</v>
      </c>
    </row>
    <row r="84" s="27" customFormat="1" ht="40" customHeight="1" spans="1:19">
      <c r="A84" s="65"/>
      <c r="B84" s="66" t="s">
        <v>35</v>
      </c>
      <c r="C84" s="67"/>
      <c r="D84" s="67"/>
      <c r="E84" s="65">
        <v>30</v>
      </c>
      <c r="F84" s="74">
        <f>+(100.04+98.73)/E84</f>
        <v>6.62566666666667</v>
      </c>
      <c r="G84" s="67">
        <f>+((E84*F84*1490000*12)+(28.1826)*1490000*12)</f>
        <v>4057912488</v>
      </c>
      <c r="H84" s="74"/>
      <c r="I84" s="67">
        <f t="shared" si="18"/>
        <v>4057912488</v>
      </c>
      <c r="J84" s="65"/>
      <c r="K84" s="65"/>
      <c r="L84" s="65"/>
      <c r="M84" s="65"/>
      <c r="N84" s="67"/>
      <c r="O84" s="67"/>
      <c r="P84" s="95"/>
      <c r="Q84" s="99"/>
      <c r="R84" s="99"/>
      <c r="S84" s="99">
        <v>1.5</v>
      </c>
    </row>
    <row r="85" s="27" customFormat="1" ht="27" customHeight="1" spans="1:19">
      <c r="A85" s="65"/>
      <c r="B85" s="66" t="s">
        <v>36</v>
      </c>
      <c r="C85" s="67"/>
      <c r="D85" s="67"/>
      <c r="E85" s="65">
        <v>22</v>
      </c>
      <c r="F85" s="75">
        <v>23000000</v>
      </c>
      <c r="G85" s="67">
        <f>+E85*F85</f>
        <v>506000000</v>
      </c>
      <c r="H85" s="67">
        <f>+G85*11.5%</f>
        <v>58190000</v>
      </c>
      <c r="I85" s="67">
        <f t="shared" si="18"/>
        <v>447810000</v>
      </c>
      <c r="J85" s="65"/>
      <c r="K85" s="65"/>
      <c r="L85" s="65"/>
      <c r="M85" s="65"/>
      <c r="N85" s="67"/>
      <c r="O85" s="67"/>
      <c r="P85" s="95"/>
      <c r="Q85" s="99"/>
      <c r="R85" s="99"/>
      <c r="S85" s="99">
        <f>+S79+S83+S84</f>
        <v>64.2</v>
      </c>
    </row>
    <row r="86" s="27" customFormat="1" ht="27" customHeight="1" spans="1:19">
      <c r="A86" s="65">
        <v>10</v>
      </c>
      <c r="B86" s="66" t="s">
        <v>60</v>
      </c>
      <c r="C86" s="67"/>
      <c r="D86" s="73">
        <f>+G86+L86</f>
        <v>3091287560</v>
      </c>
      <c r="E86" s="65"/>
      <c r="F86" s="65"/>
      <c r="G86" s="67">
        <f>+G87+G88</f>
        <v>3091287560</v>
      </c>
      <c r="H86" s="65"/>
      <c r="I86" s="67">
        <f>+I87+I88</f>
        <v>3052417560</v>
      </c>
      <c r="J86" s="65"/>
      <c r="K86" s="65"/>
      <c r="L86" s="65"/>
      <c r="M86" s="65"/>
      <c r="N86" s="67"/>
      <c r="O86" s="67"/>
      <c r="P86" s="95"/>
      <c r="Q86" s="99">
        <f>2.1*4</f>
        <v>8.4</v>
      </c>
      <c r="R86" s="99">
        <f>+Q86*35%</f>
        <v>2.94</v>
      </c>
      <c r="S86" s="99">
        <f>+R86+Q86</f>
        <v>11.34</v>
      </c>
    </row>
    <row r="87" s="27" customFormat="1" ht="43" customHeight="1" spans="1:19">
      <c r="A87" s="65"/>
      <c r="B87" s="66" t="s">
        <v>35</v>
      </c>
      <c r="C87" s="67"/>
      <c r="D87" s="67"/>
      <c r="E87" s="65">
        <v>18</v>
      </c>
      <c r="F87" s="74">
        <f>+(61.92+74.83)/E87</f>
        <v>7.59722222222222</v>
      </c>
      <c r="G87" s="67">
        <f>+((E87*F87*1490000*12)+(17.237)*1490000*12)</f>
        <v>2753287560</v>
      </c>
      <c r="H87" s="74"/>
      <c r="I87" s="67">
        <f t="shared" ref="I87:I91" si="19">+G87-H87</f>
        <v>2753287560</v>
      </c>
      <c r="J87" s="65"/>
      <c r="K87" s="65"/>
      <c r="L87" s="65"/>
      <c r="M87" s="65"/>
      <c r="N87" s="67"/>
      <c r="O87" s="67"/>
      <c r="P87" s="95"/>
      <c r="Q87" s="99"/>
      <c r="R87" s="99"/>
      <c r="S87" s="99">
        <v>1.5</v>
      </c>
    </row>
    <row r="88" s="27" customFormat="1" ht="27" customHeight="1" spans="1:19">
      <c r="A88" s="65"/>
      <c r="B88" s="66" t="s">
        <v>36</v>
      </c>
      <c r="C88" s="67"/>
      <c r="D88" s="67"/>
      <c r="E88" s="65">
        <v>13</v>
      </c>
      <c r="F88" s="75">
        <v>26000000</v>
      </c>
      <c r="G88" s="67">
        <f>+E88*F88</f>
        <v>338000000</v>
      </c>
      <c r="H88" s="67">
        <f>+G88*11.5%</f>
        <v>38870000</v>
      </c>
      <c r="I88" s="67">
        <f t="shared" si="19"/>
        <v>299130000</v>
      </c>
      <c r="J88" s="65"/>
      <c r="K88" s="65"/>
      <c r="L88" s="65"/>
      <c r="M88" s="65"/>
      <c r="N88" s="67"/>
      <c r="O88" s="67"/>
      <c r="P88" s="95"/>
      <c r="Q88" s="99"/>
      <c r="R88" s="99"/>
      <c r="S88" s="99">
        <f>+S82+S86+S87</f>
        <v>64.2</v>
      </c>
    </row>
    <row r="89" s="27" customFormat="1" ht="27" customHeight="1" spans="1:19">
      <c r="A89" s="65">
        <v>11</v>
      </c>
      <c r="B89" s="66" t="s">
        <v>61</v>
      </c>
      <c r="C89" s="67"/>
      <c r="D89" s="73">
        <f>+G89+L89</f>
        <v>6654760600</v>
      </c>
      <c r="E89" s="65"/>
      <c r="F89" s="65"/>
      <c r="G89" s="67">
        <f>+G90+G91</f>
        <v>6654760600</v>
      </c>
      <c r="H89" s="65"/>
      <c r="I89" s="67">
        <f>+I90+I91</f>
        <v>6585990600</v>
      </c>
      <c r="J89" s="65"/>
      <c r="K89" s="65"/>
      <c r="L89" s="65"/>
      <c r="M89" s="65"/>
      <c r="N89" s="67"/>
      <c r="O89" s="67"/>
      <c r="P89" s="95"/>
      <c r="Q89" s="99">
        <f>2.1*4</f>
        <v>8.4</v>
      </c>
      <c r="R89" s="99">
        <f>+Q89*35%</f>
        <v>2.94</v>
      </c>
      <c r="S89" s="99">
        <f>+R89+Q89</f>
        <v>11.34</v>
      </c>
    </row>
    <row r="90" s="27" customFormat="1" ht="42" customHeight="1" spans="1:19">
      <c r="A90" s="65"/>
      <c r="B90" s="66" t="s">
        <v>35</v>
      </c>
      <c r="C90" s="67"/>
      <c r="D90" s="67"/>
      <c r="E90" s="65">
        <v>37</v>
      </c>
      <c r="F90" s="74">
        <f>+(129.03+173.24)/E90</f>
        <v>8.16945945945946</v>
      </c>
      <c r="G90" s="67">
        <f>+((E90*F90*1490000*12)+(36.475*1490000*12))</f>
        <v>6056760600</v>
      </c>
      <c r="H90" s="74"/>
      <c r="I90" s="67">
        <f t="shared" si="19"/>
        <v>6056760600</v>
      </c>
      <c r="J90" s="65"/>
      <c r="K90" s="65"/>
      <c r="L90" s="65"/>
      <c r="M90" s="65"/>
      <c r="N90" s="67"/>
      <c r="O90" s="67"/>
      <c r="P90" s="95"/>
      <c r="Q90" s="99"/>
      <c r="R90" s="99"/>
      <c r="S90" s="99">
        <v>1.5</v>
      </c>
    </row>
    <row r="91" s="27" customFormat="1" ht="27" customHeight="1" spans="1:19">
      <c r="A91" s="65"/>
      <c r="B91" s="66" t="s">
        <v>36</v>
      </c>
      <c r="C91" s="67"/>
      <c r="D91" s="67"/>
      <c r="E91" s="65">
        <v>26</v>
      </c>
      <c r="F91" s="75">
        <v>23000000</v>
      </c>
      <c r="G91" s="67">
        <f>+E91*F91</f>
        <v>598000000</v>
      </c>
      <c r="H91" s="67">
        <f>+G91*11.5%</f>
        <v>68770000</v>
      </c>
      <c r="I91" s="67">
        <f t="shared" si="19"/>
        <v>529230000</v>
      </c>
      <c r="J91" s="65"/>
      <c r="K91" s="65"/>
      <c r="L91" s="65"/>
      <c r="M91" s="65"/>
      <c r="N91" s="67"/>
      <c r="O91" s="67"/>
      <c r="P91" s="95"/>
      <c r="Q91" s="99"/>
      <c r="R91" s="99"/>
      <c r="S91" s="99">
        <f>+S85+S89+S90</f>
        <v>77.04</v>
      </c>
    </row>
    <row r="92" s="27" customFormat="1" ht="27" customHeight="1" spans="1:19">
      <c r="A92" s="65">
        <v>12</v>
      </c>
      <c r="B92" s="66" t="s">
        <v>62</v>
      </c>
      <c r="C92" s="67"/>
      <c r="D92" s="73">
        <f>+G92+L92</f>
        <v>4726888936</v>
      </c>
      <c r="E92" s="65"/>
      <c r="F92" s="65"/>
      <c r="G92" s="67">
        <f>+G93+G94</f>
        <v>4726888936</v>
      </c>
      <c r="H92" s="65"/>
      <c r="I92" s="67">
        <f>+I93+I94</f>
        <v>4658118936</v>
      </c>
      <c r="J92" s="65"/>
      <c r="K92" s="65"/>
      <c r="L92" s="65"/>
      <c r="M92" s="65"/>
      <c r="N92" s="67"/>
      <c r="O92" s="67"/>
      <c r="P92" s="95"/>
      <c r="Q92" s="99">
        <f>2.1*4</f>
        <v>8.4</v>
      </c>
      <c r="R92" s="99">
        <f>+Q92*35%</f>
        <v>2.94</v>
      </c>
      <c r="S92" s="99">
        <f>+R92+Q92</f>
        <v>11.34</v>
      </c>
    </row>
    <row r="93" s="27" customFormat="1" ht="45" customHeight="1" spans="1:19">
      <c r="A93" s="65"/>
      <c r="B93" s="66" t="s">
        <v>35</v>
      </c>
      <c r="C93" s="67"/>
      <c r="D93" s="67"/>
      <c r="E93" s="65">
        <v>34</v>
      </c>
      <c r="F93" s="74">
        <f>+(102.54+100.66)/E93</f>
        <v>5.97647058823529</v>
      </c>
      <c r="G93" s="67">
        <f>+((E93*F93*1490000*12)+(27.7222)*1490000*12)</f>
        <v>4128888936</v>
      </c>
      <c r="H93" s="74"/>
      <c r="I93" s="67">
        <f t="shared" ref="I93:I97" si="20">+G93-H93</f>
        <v>4128888936</v>
      </c>
      <c r="J93" s="65"/>
      <c r="K93" s="65"/>
      <c r="L93" s="65"/>
      <c r="M93" s="65"/>
      <c r="N93" s="67"/>
      <c r="O93" s="67"/>
      <c r="P93" s="95"/>
      <c r="Q93" s="99"/>
      <c r="R93" s="99"/>
      <c r="S93" s="99">
        <v>1.5</v>
      </c>
    </row>
    <row r="94" s="27" customFormat="1" ht="27" customHeight="1" spans="1:19">
      <c r="A94" s="65"/>
      <c r="B94" s="66" t="s">
        <v>36</v>
      </c>
      <c r="C94" s="67"/>
      <c r="D94" s="67"/>
      <c r="E94" s="65">
        <v>26</v>
      </c>
      <c r="F94" s="75">
        <v>23000000</v>
      </c>
      <c r="G94" s="67">
        <f>+E94*F94</f>
        <v>598000000</v>
      </c>
      <c r="H94" s="67">
        <f>+G94*11.5%</f>
        <v>68770000</v>
      </c>
      <c r="I94" s="67">
        <f t="shared" si="20"/>
        <v>529230000</v>
      </c>
      <c r="J94" s="65"/>
      <c r="K94" s="65"/>
      <c r="L94" s="65"/>
      <c r="M94" s="65"/>
      <c r="N94" s="67"/>
      <c r="O94" s="67"/>
      <c r="P94" s="95"/>
      <c r="Q94" s="99"/>
      <c r="R94" s="99"/>
      <c r="S94" s="99">
        <f>+S88+S92+S93</f>
        <v>77.04</v>
      </c>
    </row>
    <row r="95" s="27" customFormat="1" ht="27" customHeight="1" spans="1:19">
      <c r="A95" s="65">
        <v>13</v>
      </c>
      <c r="B95" s="66" t="s">
        <v>63</v>
      </c>
      <c r="C95" s="67"/>
      <c r="D95" s="73">
        <f>+G95+L95</f>
        <v>3346887000</v>
      </c>
      <c r="E95" s="65"/>
      <c r="F95" s="65"/>
      <c r="G95" s="67">
        <f>+G96+G97</f>
        <v>3346887000</v>
      </c>
      <c r="H95" s="65"/>
      <c r="I95" s="67">
        <f>+I96+I97</f>
        <v>3297207000</v>
      </c>
      <c r="J95" s="65"/>
      <c r="K95" s="65"/>
      <c r="L95" s="65"/>
      <c r="M95" s="65"/>
      <c r="N95" s="67"/>
      <c r="O95" s="67"/>
      <c r="P95" s="95"/>
      <c r="Q95" s="99">
        <f>2.1*4</f>
        <v>8.4</v>
      </c>
      <c r="R95" s="99">
        <f>+Q95*35%</f>
        <v>2.94</v>
      </c>
      <c r="S95" s="99">
        <f>+R95+Q95</f>
        <v>11.34</v>
      </c>
    </row>
    <row r="96" s="27" customFormat="1" ht="43" customHeight="1" spans="1:19">
      <c r="A96" s="65"/>
      <c r="B96" s="66" t="s">
        <v>35</v>
      </c>
      <c r="C96" s="67"/>
      <c r="D96" s="67"/>
      <c r="E96" s="65">
        <v>24</v>
      </c>
      <c r="F96" s="74">
        <f>+(65.92+80.16)/E96</f>
        <v>6.08666666666667</v>
      </c>
      <c r="G96" s="67">
        <f>+((E96*F96*1490000*12)+(16.945)*1490000*12)</f>
        <v>2914887000</v>
      </c>
      <c r="H96" s="74"/>
      <c r="I96" s="67">
        <f t="shared" si="20"/>
        <v>2914887000</v>
      </c>
      <c r="J96" s="65"/>
      <c r="K96" s="65"/>
      <c r="L96" s="65"/>
      <c r="M96" s="65"/>
      <c r="N96" s="67"/>
      <c r="O96" s="67"/>
      <c r="P96" s="95"/>
      <c r="Q96" s="99"/>
      <c r="R96" s="99"/>
      <c r="S96" s="99">
        <v>1.5</v>
      </c>
    </row>
    <row r="97" s="27" customFormat="1" ht="27" customHeight="1" spans="1:19">
      <c r="A97" s="65"/>
      <c r="B97" s="66" t="s">
        <v>36</v>
      </c>
      <c r="C97" s="67"/>
      <c r="D97" s="67"/>
      <c r="E97" s="65">
        <v>18</v>
      </c>
      <c r="F97" s="75">
        <v>24000000</v>
      </c>
      <c r="G97" s="67">
        <f>+E97*F97</f>
        <v>432000000</v>
      </c>
      <c r="H97" s="67">
        <f>+G97*11.5%</f>
        <v>49680000</v>
      </c>
      <c r="I97" s="67">
        <f t="shared" si="20"/>
        <v>382320000</v>
      </c>
      <c r="J97" s="65"/>
      <c r="K97" s="65"/>
      <c r="L97" s="65"/>
      <c r="M97" s="65"/>
      <c r="N97" s="67"/>
      <c r="O97" s="67"/>
      <c r="P97" s="95"/>
      <c r="Q97" s="99"/>
      <c r="R97" s="99"/>
      <c r="S97" s="99">
        <f>+S91+S95+S96</f>
        <v>89.88</v>
      </c>
    </row>
    <row r="98" s="27" customFormat="1" ht="27" customHeight="1" spans="1:19">
      <c r="A98" s="65">
        <v>14</v>
      </c>
      <c r="B98" s="66" t="s">
        <v>64</v>
      </c>
      <c r="C98" s="67"/>
      <c r="D98" s="73">
        <f>+G98+L98</f>
        <v>3936454056</v>
      </c>
      <c r="E98" s="65"/>
      <c r="F98" s="65"/>
      <c r="G98" s="67">
        <f>+G99+G100</f>
        <v>3936454056</v>
      </c>
      <c r="H98" s="65"/>
      <c r="I98" s="67">
        <f>+I99+I100</f>
        <v>3880909056</v>
      </c>
      <c r="J98" s="65"/>
      <c r="K98" s="65"/>
      <c r="L98" s="65"/>
      <c r="M98" s="65"/>
      <c r="N98" s="67"/>
      <c r="O98" s="67"/>
      <c r="P98" s="95"/>
      <c r="Q98" s="99">
        <f>2.1*4</f>
        <v>8.4</v>
      </c>
      <c r="R98" s="99">
        <f>+Q98*35%</f>
        <v>2.94</v>
      </c>
      <c r="S98" s="99">
        <f>+R98+Q98</f>
        <v>11.34</v>
      </c>
    </row>
    <row r="99" s="27" customFormat="1" ht="43" customHeight="1" spans="1:19">
      <c r="A99" s="65"/>
      <c r="B99" s="66" t="s">
        <v>35</v>
      </c>
      <c r="C99" s="67"/>
      <c r="D99" s="67"/>
      <c r="E99" s="65">
        <v>28</v>
      </c>
      <c r="F99" s="74">
        <f>+(77.7+94.95)/E99</f>
        <v>6.16607142857143</v>
      </c>
      <c r="G99" s="67">
        <f>+((E99*F99*1490000*12)+(20.4962)*1490000*12)</f>
        <v>3453454056</v>
      </c>
      <c r="H99" s="74"/>
      <c r="I99" s="67">
        <f t="shared" ref="I99:I103" si="21">+G99-H99</f>
        <v>3453454056</v>
      </c>
      <c r="J99" s="65"/>
      <c r="K99" s="65"/>
      <c r="L99" s="65"/>
      <c r="M99" s="65"/>
      <c r="N99" s="67"/>
      <c r="O99" s="67"/>
      <c r="P99" s="95"/>
      <c r="Q99" s="99"/>
      <c r="R99" s="99"/>
      <c r="S99" s="99">
        <v>1.5</v>
      </c>
    </row>
    <row r="100" s="27" customFormat="1" ht="27" customHeight="1" spans="1:19">
      <c r="A100" s="65"/>
      <c r="B100" s="66" t="s">
        <v>36</v>
      </c>
      <c r="C100" s="67"/>
      <c r="D100" s="67"/>
      <c r="E100" s="65">
        <v>21</v>
      </c>
      <c r="F100" s="75">
        <v>23000000</v>
      </c>
      <c r="G100" s="67">
        <f>+E100*F100</f>
        <v>483000000</v>
      </c>
      <c r="H100" s="67">
        <f>+G100*11.5%</f>
        <v>55545000</v>
      </c>
      <c r="I100" s="67">
        <f t="shared" si="21"/>
        <v>427455000</v>
      </c>
      <c r="J100" s="65"/>
      <c r="K100" s="65"/>
      <c r="L100" s="65"/>
      <c r="M100" s="65"/>
      <c r="N100" s="67"/>
      <c r="O100" s="67"/>
      <c r="P100" s="95"/>
      <c r="Q100" s="99"/>
      <c r="R100" s="99"/>
      <c r="S100" s="99">
        <f>+S94+S98+S99</f>
        <v>89.88</v>
      </c>
    </row>
    <row r="101" s="27" customFormat="1" ht="27" customHeight="1" spans="1:19">
      <c r="A101" s="65">
        <v>15</v>
      </c>
      <c r="B101" s="66" t="s">
        <v>65</v>
      </c>
      <c r="C101" s="67"/>
      <c r="D101" s="73">
        <f>+G101+L101</f>
        <v>2378751680</v>
      </c>
      <c r="E101" s="65"/>
      <c r="F101" s="65"/>
      <c r="G101" s="67">
        <f>+G102+G103</f>
        <v>2378751680</v>
      </c>
      <c r="H101" s="65"/>
      <c r="I101" s="67">
        <f>+I102+I103</f>
        <v>2339881680</v>
      </c>
      <c r="J101" s="65"/>
      <c r="K101" s="65"/>
      <c r="L101" s="65"/>
      <c r="M101" s="65"/>
      <c r="N101" s="67"/>
      <c r="O101" s="67"/>
      <c r="P101" s="95"/>
      <c r="Q101" s="99">
        <f>2.1*4</f>
        <v>8.4</v>
      </c>
      <c r="R101" s="99">
        <f>+Q101*35%</f>
        <v>2.94</v>
      </c>
      <c r="S101" s="99">
        <f>+R101+Q101</f>
        <v>11.34</v>
      </c>
    </row>
    <row r="102" s="27" customFormat="1" ht="42" customHeight="1" spans="1:19">
      <c r="A102" s="65"/>
      <c r="B102" s="66" t="s">
        <v>35</v>
      </c>
      <c r="C102" s="67"/>
      <c r="D102" s="67"/>
      <c r="E102" s="65">
        <v>16</v>
      </c>
      <c r="F102" s="74">
        <f>+(46.05+55.71)/E102</f>
        <v>6.36</v>
      </c>
      <c r="G102" s="67">
        <f>+((E102*F102*1490000*12)+(12.376)*1490000*12)</f>
        <v>2040751680</v>
      </c>
      <c r="H102" s="74"/>
      <c r="I102" s="67">
        <f t="shared" si="21"/>
        <v>2040751680</v>
      </c>
      <c r="J102" s="65"/>
      <c r="K102" s="65"/>
      <c r="L102" s="65"/>
      <c r="M102" s="65"/>
      <c r="N102" s="67"/>
      <c r="O102" s="67"/>
      <c r="P102" s="95"/>
      <c r="Q102" s="99"/>
      <c r="R102" s="99"/>
      <c r="S102" s="99">
        <v>1.5</v>
      </c>
    </row>
    <row r="103" s="27" customFormat="1" ht="27" customHeight="1" spans="1:19">
      <c r="A103" s="65"/>
      <c r="B103" s="66" t="s">
        <v>36</v>
      </c>
      <c r="C103" s="67"/>
      <c r="D103" s="67"/>
      <c r="E103" s="65">
        <v>13</v>
      </c>
      <c r="F103" s="75">
        <v>26000000</v>
      </c>
      <c r="G103" s="67">
        <f>+E103*F103</f>
        <v>338000000</v>
      </c>
      <c r="H103" s="67">
        <f>+G103*11.5%</f>
        <v>38870000</v>
      </c>
      <c r="I103" s="67">
        <f t="shared" si="21"/>
        <v>299130000</v>
      </c>
      <c r="J103" s="65"/>
      <c r="K103" s="65"/>
      <c r="L103" s="65"/>
      <c r="M103" s="65"/>
      <c r="N103" s="67"/>
      <c r="O103" s="67"/>
      <c r="P103" s="95"/>
      <c r="Q103" s="99"/>
      <c r="R103" s="99"/>
      <c r="S103" s="99">
        <f>+S97+S101+S102</f>
        <v>102.72</v>
      </c>
    </row>
    <row r="104" s="27" customFormat="1" ht="27" customHeight="1" spans="1:19">
      <c r="A104" s="65">
        <v>16</v>
      </c>
      <c r="B104" s="66" t="s">
        <v>66</v>
      </c>
      <c r="C104" s="67"/>
      <c r="D104" s="73">
        <f t="shared" ref="D104:D108" si="22">+G104+L104</f>
        <v>2560540200</v>
      </c>
      <c r="E104" s="65"/>
      <c r="F104" s="65"/>
      <c r="G104" s="67">
        <f>+G105+G106</f>
        <v>2560540200</v>
      </c>
      <c r="H104" s="65"/>
      <c r="I104" s="67">
        <f>+I105+I106</f>
        <v>2521900200</v>
      </c>
      <c r="J104" s="65"/>
      <c r="K104" s="65"/>
      <c r="L104" s="65"/>
      <c r="M104" s="65"/>
      <c r="N104" s="67"/>
      <c r="O104" s="67"/>
      <c r="P104" s="95"/>
      <c r="Q104" s="99"/>
      <c r="R104" s="99"/>
      <c r="S104" s="99"/>
    </row>
    <row r="105" s="27" customFormat="1" ht="38" customHeight="1" spans="1:19">
      <c r="A105" s="65"/>
      <c r="B105" s="66" t="s">
        <v>35</v>
      </c>
      <c r="C105" s="67"/>
      <c r="D105" s="67"/>
      <c r="E105" s="65">
        <v>17</v>
      </c>
      <c r="F105" s="74">
        <f>+(46.86+65.26)/E105</f>
        <v>6.59529411764706</v>
      </c>
      <c r="G105" s="67">
        <f>+((E105*F105*1490000*12)+(12.295)*1490000*12)</f>
        <v>2224540200</v>
      </c>
      <c r="H105" s="74"/>
      <c r="I105" s="67">
        <f t="shared" ref="I105:I110" si="23">+G105-H105</f>
        <v>2224540200</v>
      </c>
      <c r="J105" s="65"/>
      <c r="K105" s="65"/>
      <c r="L105" s="65"/>
      <c r="M105" s="65"/>
      <c r="N105" s="67"/>
      <c r="O105" s="67"/>
      <c r="P105" s="95"/>
      <c r="Q105" s="99"/>
      <c r="R105" s="99"/>
      <c r="S105" s="99"/>
    </row>
    <row r="106" s="27" customFormat="1" ht="27" customHeight="1" spans="1:19">
      <c r="A106" s="65"/>
      <c r="B106" s="66" t="s">
        <v>36</v>
      </c>
      <c r="C106" s="67"/>
      <c r="D106" s="67"/>
      <c r="E106" s="65">
        <v>12</v>
      </c>
      <c r="F106" s="75">
        <v>28000000</v>
      </c>
      <c r="G106" s="67">
        <f>+E106*F106</f>
        <v>336000000</v>
      </c>
      <c r="H106" s="67">
        <f>+G106*11.5%</f>
        <v>38640000</v>
      </c>
      <c r="I106" s="67">
        <f t="shared" si="23"/>
        <v>297360000</v>
      </c>
      <c r="J106" s="65"/>
      <c r="K106" s="65"/>
      <c r="L106" s="65"/>
      <c r="M106" s="65"/>
      <c r="N106" s="67"/>
      <c r="O106" s="67"/>
      <c r="P106" s="95"/>
      <c r="Q106" s="99"/>
      <c r="R106" s="99"/>
      <c r="S106" s="99"/>
    </row>
    <row r="107" s="26" customFormat="1" ht="27" customHeight="1" spans="1:19">
      <c r="A107" s="69" t="s">
        <v>67</v>
      </c>
      <c r="B107" s="70" t="s">
        <v>68</v>
      </c>
      <c r="C107" s="71"/>
      <c r="D107" s="72">
        <f t="shared" si="22"/>
        <v>45833344573.2203</v>
      </c>
      <c r="E107" s="69">
        <f>+E109+E112+E115+E118+E121+E124+E127+E130+E133+E136+E139+E142+E145</f>
        <v>275</v>
      </c>
      <c r="F107" s="107"/>
      <c r="G107" s="71">
        <f>G108+G111+G114+G117+G120+G123+G126+G129+G132+G135+G138+G141+G144</f>
        <v>45833344573.2203</v>
      </c>
      <c r="H107" s="71">
        <f>SUM(H108:H148)</f>
        <v>611930593.220339</v>
      </c>
      <c r="I107" s="71">
        <f>I108+I111+I114+I117+I120+I123+I126+I129+I132+I135+I138+I141+I144</f>
        <v>45221413980</v>
      </c>
      <c r="J107" s="69"/>
      <c r="K107" s="69"/>
      <c r="L107" s="69"/>
      <c r="M107" s="69"/>
      <c r="N107" s="71"/>
      <c r="O107" s="71"/>
      <c r="P107" s="94"/>
      <c r="Q107" s="97"/>
      <c r="R107" s="97"/>
      <c r="S107" s="97"/>
    </row>
    <row r="108" s="27" customFormat="1" ht="31" customHeight="1" spans="1:19">
      <c r="A108" s="65">
        <v>1</v>
      </c>
      <c r="B108" s="66" t="s">
        <v>69</v>
      </c>
      <c r="C108" s="67"/>
      <c r="D108" s="73">
        <f t="shared" si="22"/>
        <v>6142967220</v>
      </c>
      <c r="E108" s="65"/>
      <c r="F108" s="65"/>
      <c r="G108" s="67">
        <f>+G109+G110</f>
        <v>6142967220</v>
      </c>
      <c r="H108" s="67"/>
      <c r="I108" s="67">
        <f>+I109+I110</f>
        <v>6070517220</v>
      </c>
      <c r="J108" s="65"/>
      <c r="K108" s="65"/>
      <c r="L108" s="65"/>
      <c r="M108" s="65"/>
      <c r="N108" s="67"/>
      <c r="O108" s="67"/>
      <c r="P108" s="95"/>
      <c r="Q108" s="99"/>
      <c r="R108" s="99"/>
      <c r="S108" s="99"/>
    </row>
    <row r="109" s="27" customFormat="1" ht="42" customHeight="1" spans="1:19">
      <c r="A109" s="65"/>
      <c r="B109" s="66" t="s">
        <v>35</v>
      </c>
      <c r="C109" s="67"/>
      <c r="D109" s="108"/>
      <c r="E109" s="65">
        <v>42</v>
      </c>
      <c r="F109" s="74">
        <f>+(165.47+96.53)/E109</f>
        <v>6.23809523809524</v>
      </c>
      <c r="G109" s="67">
        <f>+((E109*F109*1490000*12)+(46.3315*1490000*12))</f>
        <v>5512967220</v>
      </c>
      <c r="H109" s="74"/>
      <c r="I109" s="67">
        <f t="shared" si="23"/>
        <v>5512967220</v>
      </c>
      <c r="J109" s="65"/>
      <c r="K109" s="65"/>
      <c r="L109" s="65"/>
      <c r="M109" s="65"/>
      <c r="N109" s="67"/>
      <c r="O109" s="67"/>
      <c r="P109" s="95"/>
      <c r="Q109" s="99"/>
      <c r="R109" s="99"/>
      <c r="S109" s="99"/>
    </row>
    <row r="110" s="27" customFormat="1" ht="27" customHeight="1" spans="1:19">
      <c r="A110" s="65"/>
      <c r="B110" s="66" t="s">
        <v>36</v>
      </c>
      <c r="C110" s="67"/>
      <c r="D110" s="67"/>
      <c r="E110" s="65">
        <v>21</v>
      </c>
      <c r="F110" s="75">
        <v>30000000</v>
      </c>
      <c r="G110" s="67">
        <f>+E110*F110</f>
        <v>630000000</v>
      </c>
      <c r="H110" s="67">
        <f>+G110*11.5%</f>
        <v>72450000</v>
      </c>
      <c r="I110" s="67">
        <f t="shared" si="23"/>
        <v>557550000</v>
      </c>
      <c r="J110" s="65"/>
      <c r="K110" s="65"/>
      <c r="L110" s="65"/>
      <c r="M110" s="65"/>
      <c r="N110" s="67"/>
      <c r="O110" s="67"/>
      <c r="P110" s="95"/>
      <c r="Q110" s="99"/>
      <c r="R110" s="99"/>
      <c r="S110" s="99"/>
    </row>
    <row r="111" s="27" customFormat="1" ht="27" customHeight="1" spans="1:19">
      <c r="A111" s="65">
        <v>2</v>
      </c>
      <c r="B111" s="66" t="s">
        <v>53</v>
      </c>
      <c r="C111" s="67"/>
      <c r="D111" s="73">
        <f>+G111+L111</f>
        <v>2318772040</v>
      </c>
      <c r="E111" s="65"/>
      <c r="F111" s="65"/>
      <c r="G111" s="67">
        <f>+G112+G113</f>
        <v>2318772040</v>
      </c>
      <c r="H111" s="67"/>
      <c r="I111" s="67">
        <f>+I112+I113</f>
        <v>2283812040</v>
      </c>
      <c r="J111" s="65"/>
      <c r="K111" s="65"/>
      <c r="L111" s="65"/>
      <c r="M111" s="65"/>
      <c r="N111" s="67"/>
      <c r="O111" s="67"/>
      <c r="P111" s="95"/>
      <c r="Q111" s="99"/>
      <c r="R111" s="99"/>
      <c r="S111" s="99"/>
    </row>
    <row r="112" s="27" customFormat="1" ht="42" customHeight="1" spans="1:19">
      <c r="A112" s="65"/>
      <c r="B112" s="66" t="s">
        <v>35</v>
      </c>
      <c r="C112" s="67"/>
      <c r="D112" s="67"/>
      <c r="E112" s="65">
        <v>16</v>
      </c>
      <c r="F112" s="74">
        <f>+(60.62+35.66)/E112</f>
        <v>6.0175</v>
      </c>
      <c r="G112" s="67">
        <f>+((E112*F112*1490000*12)+(16.403*1490000*12))</f>
        <v>2014772040</v>
      </c>
      <c r="H112" s="74"/>
      <c r="I112" s="67">
        <f t="shared" ref="I112:I116" si="24">+G112-H112</f>
        <v>2014772040</v>
      </c>
      <c r="J112" s="65"/>
      <c r="K112" s="65"/>
      <c r="L112" s="65"/>
      <c r="M112" s="65"/>
      <c r="N112" s="67"/>
      <c r="O112" s="67"/>
      <c r="P112" s="95"/>
      <c r="Q112" s="99"/>
      <c r="R112" s="99"/>
      <c r="S112" s="99"/>
    </row>
    <row r="113" s="27" customFormat="1" ht="27" customHeight="1" spans="1:19">
      <c r="A113" s="65"/>
      <c r="B113" s="66" t="s">
        <v>36</v>
      </c>
      <c r="C113" s="67"/>
      <c r="D113" s="67"/>
      <c r="E113" s="65">
        <v>8</v>
      </c>
      <c r="F113" s="75">
        <v>38000000</v>
      </c>
      <c r="G113" s="67">
        <f>+E113*F113</f>
        <v>304000000</v>
      </c>
      <c r="H113" s="67">
        <f>+G113*11.5%</f>
        <v>34960000</v>
      </c>
      <c r="I113" s="67">
        <f t="shared" si="24"/>
        <v>269040000</v>
      </c>
      <c r="J113" s="65"/>
      <c r="K113" s="65"/>
      <c r="L113" s="65"/>
      <c r="M113" s="65"/>
      <c r="N113" s="67"/>
      <c r="O113" s="67"/>
      <c r="P113" s="95"/>
      <c r="Q113" s="99"/>
      <c r="R113" s="99"/>
      <c r="S113" s="99"/>
    </row>
    <row r="114" s="27" customFormat="1" ht="27" customHeight="1" spans="1:19">
      <c r="A114" s="65">
        <v>3</v>
      </c>
      <c r="B114" s="66" t="s">
        <v>70</v>
      </c>
      <c r="C114" s="67"/>
      <c r="D114" s="73">
        <f>+G114+L114</f>
        <v>2900009840</v>
      </c>
      <c r="E114" s="65"/>
      <c r="F114" s="65"/>
      <c r="G114" s="67">
        <f>+G115+G116</f>
        <v>2900009840</v>
      </c>
      <c r="H114" s="67"/>
      <c r="I114" s="67">
        <f>+I115+I116</f>
        <v>2859759840</v>
      </c>
      <c r="J114" s="65"/>
      <c r="K114" s="65"/>
      <c r="L114" s="65"/>
      <c r="M114" s="65"/>
      <c r="N114" s="67"/>
      <c r="O114" s="67"/>
      <c r="P114" s="95"/>
      <c r="Q114" s="99"/>
      <c r="R114" s="99"/>
      <c r="S114" s="99"/>
    </row>
    <row r="115" s="27" customFormat="1" ht="44" customHeight="1" spans="1:19">
      <c r="A115" s="65"/>
      <c r="B115" s="66" t="s">
        <v>35</v>
      </c>
      <c r="C115" s="67"/>
      <c r="D115" s="67"/>
      <c r="E115" s="65">
        <v>20</v>
      </c>
      <c r="F115" s="74">
        <f>+(75.16+46.98)/E115</f>
        <v>6.107</v>
      </c>
      <c r="G115" s="67">
        <f>+((E115*F115*1490000*12)+(20.478)*1490000*12)</f>
        <v>2550009840</v>
      </c>
      <c r="H115" s="74"/>
      <c r="I115" s="67">
        <f t="shared" si="24"/>
        <v>2550009840</v>
      </c>
      <c r="J115" s="65"/>
      <c r="K115" s="65"/>
      <c r="L115" s="65"/>
      <c r="M115" s="65"/>
      <c r="N115" s="67"/>
      <c r="O115" s="67"/>
      <c r="P115" s="95"/>
      <c r="Q115" s="99"/>
      <c r="R115" s="99"/>
      <c r="S115" s="99"/>
    </row>
    <row r="116" s="27" customFormat="1" ht="27" customHeight="1" spans="1:19">
      <c r="A116" s="65"/>
      <c r="B116" s="66" t="s">
        <v>36</v>
      </c>
      <c r="C116" s="67"/>
      <c r="D116" s="67"/>
      <c r="E116" s="65">
        <v>10</v>
      </c>
      <c r="F116" s="75">
        <v>35000000</v>
      </c>
      <c r="G116" s="67">
        <f>+E116*F116</f>
        <v>350000000</v>
      </c>
      <c r="H116" s="67">
        <f>+G116*11.5%</f>
        <v>40250000</v>
      </c>
      <c r="I116" s="67">
        <f t="shared" si="24"/>
        <v>309750000</v>
      </c>
      <c r="J116" s="65"/>
      <c r="K116" s="65"/>
      <c r="L116" s="65"/>
      <c r="M116" s="65"/>
      <c r="N116" s="67"/>
      <c r="O116" s="67"/>
      <c r="P116" s="95"/>
      <c r="Q116" s="99"/>
      <c r="R116" s="99"/>
      <c r="S116" s="99"/>
    </row>
    <row r="117" s="27" customFormat="1" ht="27" customHeight="1" spans="1:19">
      <c r="A117" s="65">
        <v>4</v>
      </c>
      <c r="B117" s="66" t="s">
        <v>71</v>
      </c>
      <c r="C117" s="67"/>
      <c r="D117" s="73">
        <f>+G117+L117</f>
        <v>3717174000</v>
      </c>
      <c r="E117" s="65"/>
      <c r="F117" s="65"/>
      <c r="G117" s="67">
        <f>+G118+G119</f>
        <v>3717174000</v>
      </c>
      <c r="H117" s="67"/>
      <c r="I117" s="67">
        <f>+I118+I119</f>
        <v>3661974000</v>
      </c>
      <c r="J117" s="65"/>
      <c r="K117" s="65"/>
      <c r="L117" s="65"/>
      <c r="M117" s="65"/>
      <c r="N117" s="67"/>
      <c r="O117" s="67"/>
      <c r="P117" s="95"/>
      <c r="Q117" s="99"/>
      <c r="R117" s="99"/>
      <c r="S117" s="99"/>
    </row>
    <row r="118" s="27" customFormat="1" ht="45" customHeight="1" spans="1:19">
      <c r="A118" s="65"/>
      <c r="B118" s="66" t="s">
        <v>35</v>
      </c>
      <c r="C118" s="67"/>
      <c r="D118" s="67"/>
      <c r="E118" s="65">
        <v>29</v>
      </c>
      <c r="F118" s="74">
        <f>+(98.8+55.54)/E118</f>
        <v>5.32206896551724</v>
      </c>
      <c r="G118" s="67">
        <f>+((E118*F118*1490000*12)+(26.71)*1490000*12)</f>
        <v>3237174000</v>
      </c>
      <c r="H118" s="74"/>
      <c r="I118" s="67">
        <f t="shared" ref="I118:I122" si="25">+G118-H118</f>
        <v>3237174000</v>
      </c>
      <c r="J118" s="65"/>
      <c r="K118" s="65"/>
      <c r="L118" s="65"/>
      <c r="M118" s="65"/>
      <c r="N118" s="67"/>
      <c r="O118" s="67"/>
      <c r="P118" s="95"/>
      <c r="Q118" s="99"/>
      <c r="R118" s="99"/>
      <c r="S118" s="99"/>
    </row>
    <row r="119" s="27" customFormat="1" ht="27" customHeight="1" spans="1:19">
      <c r="A119" s="65"/>
      <c r="B119" s="66" t="s">
        <v>36</v>
      </c>
      <c r="C119" s="67"/>
      <c r="D119" s="67"/>
      <c r="E119" s="65">
        <v>16</v>
      </c>
      <c r="F119" s="75">
        <v>30000000</v>
      </c>
      <c r="G119" s="67">
        <f>+E119*F119</f>
        <v>480000000</v>
      </c>
      <c r="H119" s="67">
        <f>+G119*11.5%</f>
        <v>55200000</v>
      </c>
      <c r="I119" s="67">
        <f t="shared" si="25"/>
        <v>424800000</v>
      </c>
      <c r="J119" s="65"/>
      <c r="K119" s="65"/>
      <c r="L119" s="65"/>
      <c r="M119" s="65"/>
      <c r="N119" s="67"/>
      <c r="O119" s="67"/>
      <c r="P119" s="95"/>
      <c r="Q119" s="99">
        <v>2.34</v>
      </c>
      <c r="R119" s="99">
        <f t="shared" ref="R119:R123" si="26">+Q119*35%</f>
        <v>0.819</v>
      </c>
      <c r="S119" s="99">
        <f>+Q119+R119</f>
        <v>3.159</v>
      </c>
    </row>
    <row r="120" s="27" customFormat="1" ht="34" customHeight="1" spans="1:19">
      <c r="A120" s="65">
        <v>5</v>
      </c>
      <c r="B120" s="66" t="s">
        <v>72</v>
      </c>
      <c r="C120" s="67"/>
      <c r="D120" s="73">
        <f>+G120+L120</f>
        <v>4892395680</v>
      </c>
      <c r="E120" s="65"/>
      <c r="F120" s="65"/>
      <c r="G120" s="67">
        <f>SUM(G121:G122)</f>
        <v>4892395680</v>
      </c>
      <c r="H120" s="67"/>
      <c r="I120" s="67">
        <f>SUM(I121:I122)</f>
        <v>4834435680</v>
      </c>
      <c r="J120" s="65"/>
      <c r="K120" s="65"/>
      <c r="L120" s="65"/>
      <c r="M120" s="65"/>
      <c r="N120" s="67"/>
      <c r="O120" s="67"/>
      <c r="P120" s="95"/>
      <c r="Q120" s="99">
        <f>2.1*4</f>
        <v>8.4</v>
      </c>
      <c r="R120" s="99">
        <f t="shared" si="26"/>
        <v>2.94</v>
      </c>
      <c r="S120" s="99">
        <f>+R120+Q120</f>
        <v>11.34</v>
      </c>
    </row>
    <row r="121" s="27" customFormat="1" ht="39" customHeight="1" spans="1:19">
      <c r="A121" s="65"/>
      <c r="B121" s="66" t="s">
        <v>35</v>
      </c>
      <c r="C121" s="67"/>
      <c r="D121" s="67"/>
      <c r="E121" s="65">
        <v>27</v>
      </c>
      <c r="F121" s="74">
        <f>+(89.42+131.85)/E121</f>
        <v>8.19518518518518</v>
      </c>
      <c r="G121" s="67">
        <f>+((E121*F121*1490000*12)+(24.166)*1490000*12)</f>
        <v>4388395680</v>
      </c>
      <c r="H121" s="74"/>
      <c r="I121" s="67">
        <f t="shared" si="25"/>
        <v>4388395680</v>
      </c>
      <c r="J121" s="65"/>
      <c r="K121" s="65"/>
      <c r="L121" s="65"/>
      <c r="M121" s="65"/>
      <c r="N121" s="67"/>
      <c r="O121" s="67"/>
      <c r="P121" s="95"/>
      <c r="Q121" s="99"/>
      <c r="R121" s="99"/>
      <c r="S121" s="99">
        <v>1.5</v>
      </c>
    </row>
    <row r="122" s="27" customFormat="1" ht="27" customHeight="1" spans="1:19">
      <c r="A122" s="65"/>
      <c r="B122" s="66" t="s">
        <v>36</v>
      </c>
      <c r="C122" s="67"/>
      <c r="D122" s="67"/>
      <c r="E122" s="65">
        <v>12</v>
      </c>
      <c r="F122" s="75">
        <v>42000000</v>
      </c>
      <c r="G122" s="67">
        <f>+E122*F122</f>
        <v>504000000</v>
      </c>
      <c r="H122" s="67">
        <f>+G122*11.5%</f>
        <v>57960000</v>
      </c>
      <c r="I122" s="67">
        <f t="shared" si="25"/>
        <v>446040000</v>
      </c>
      <c r="J122" s="65"/>
      <c r="K122" s="65"/>
      <c r="L122" s="65"/>
      <c r="M122" s="65"/>
      <c r="N122" s="67"/>
      <c r="O122" s="67"/>
      <c r="P122" s="95"/>
      <c r="Q122" s="99"/>
      <c r="R122" s="99"/>
      <c r="S122" s="99">
        <f>+S119+S120+S121</f>
        <v>15.999</v>
      </c>
    </row>
    <row r="123" s="27" customFormat="1" ht="31" customHeight="1" spans="1:19">
      <c r="A123" s="65">
        <v>6</v>
      </c>
      <c r="B123" s="66" t="s">
        <v>73</v>
      </c>
      <c r="C123" s="67"/>
      <c r="D123" s="73">
        <f>+G123+L123</f>
        <v>3061090800</v>
      </c>
      <c r="E123" s="65"/>
      <c r="F123" s="65"/>
      <c r="G123" s="67">
        <f>+G124+G125</f>
        <v>3061090800</v>
      </c>
      <c r="H123" s="67"/>
      <c r="I123" s="67">
        <f>+I124+I125</f>
        <v>3022450800</v>
      </c>
      <c r="J123" s="65"/>
      <c r="K123" s="65"/>
      <c r="L123" s="65"/>
      <c r="M123" s="65"/>
      <c r="N123" s="67"/>
      <c r="O123" s="67"/>
      <c r="P123" s="95"/>
      <c r="Q123" s="99">
        <f>2.1*4</f>
        <v>8.4</v>
      </c>
      <c r="R123" s="99">
        <f t="shared" si="26"/>
        <v>2.94</v>
      </c>
      <c r="S123" s="99">
        <f>+R123+Q123</f>
        <v>11.34</v>
      </c>
    </row>
    <row r="124" s="27" customFormat="1" ht="45" customHeight="1" spans="1:19">
      <c r="A124" s="65"/>
      <c r="B124" s="66" t="s">
        <v>35</v>
      </c>
      <c r="C124" s="67"/>
      <c r="D124" s="67"/>
      <c r="E124" s="65">
        <v>19</v>
      </c>
      <c r="F124" s="74">
        <f>+(58.56+78.97)/E124</f>
        <v>7.23842105263158</v>
      </c>
      <c r="G124" s="67">
        <f>+((E124*F124*1490000*12)+(14.88)*1490000*12)</f>
        <v>2725090800</v>
      </c>
      <c r="H124" s="74"/>
      <c r="I124" s="67">
        <f t="shared" ref="I124:I128" si="27">+G124-H124</f>
        <v>2725090800</v>
      </c>
      <c r="J124" s="65"/>
      <c r="K124" s="65"/>
      <c r="L124" s="65"/>
      <c r="M124" s="65"/>
      <c r="N124" s="67"/>
      <c r="O124" s="67"/>
      <c r="P124" s="95"/>
      <c r="Q124" s="99"/>
      <c r="R124" s="99"/>
      <c r="S124" s="99">
        <v>1.5</v>
      </c>
    </row>
    <row r="125" s="27" customFormat="1" ht="27" customHeight="1" spans="1:19">
      <c r="A125" s="65"/>
      <c r="B125" s="66" t="s">
        <v>36</v>
      </c>
      <c r="C125" s="67"/>
      <c r="D125" s="67"/>
      <c r="E125" s="65">
        <v>8</v>
      </c>
      <c r="F125" s="75">
        <v>42000000</v>
      </c>
      <c r="G125" s="67">
        <f>+E125*F125</f>
        <v>336000000</v>
      </c>
      <c r="H125" s="67">
        <f>+G125*11.5%</f>
        <v>38640000</v>
      </c>
      <c r="I125" s="67">
        <f t="shared" si="27"/>
        <v>297360000</v>
      </c>
      <c r="J125" s="65"/>
      <c r="K125" s="65"/>
      <c r="L125" s="65"/>
      <c r="M125" s="65"/>
      <c r="N125" s="67"/>
      <c r="O125" s="67"/>
      <c r="P125" s="95"/>
      <c r="Q125" s="99"/>
      <c r="R125" s="99"/>
      <c r="S125" s="99">
        <f>+S122+S123+S124</f>
        <v>28.839</v>
      </c>
    </row>
    <row r="126" s="27" customFormat="1" ht="27" customHeight="1" spans="1:19">
      <c r="A126" s="65">
        <v>7</v>
      </c>
      <c r="B126" s="66" t="s">
        <v>74</v>
      </c>
      <c r="C126" s="67"/>
      <c r="D126" s="73">
        <f>+G126+L126</f>
        <v>3594019200</v>
      </c>
      <c r="E126" s="65"/>
      <c r="F126" s="65"/>
      <c r="G126" s="67">
        <f>+G127+G128</f>
        <v>3594019200</v>
      </c>
      <c r="H126" s="67"/>
      <c r="I126" s="67">
        <f>+I127+I128</f>
        <v>3542269200</v>
      </c>
      <c r="J126" s="65"/>
      <c r="K126" s="65"/>
      <c r="L126" s="65"/>
      <c r="M126" s="65"/>
      <c r="N126" s="67"/>
      <c r="O126" s="67"/>
      <c r="P126" s="95"/>
      <c r="Q126" s="99"/>
      <c r="R126" s="99"/>
      <c r="S126" s="99"/>
    </row>
    <row r="127" s="27" customFormat="1" ht="40" customHeight="1" spans="1:19">
      <c r="A127" s="65"/>
      <c r="B127" s="66" t="s">
        <v>35</v>
      </c>
      <c r="C127" s="67"/>
      <c r="D127" s="67"/>
      <c r="E127" s="65">
        <v>28</v>
      </c>
      <c r="F127" s="74">
        <f>+(95.29+54.85)/E127</f>
        <v>5.36214285714286</v>
      </c>
      <c r="G127" s="67">
        <f>+((E127*F127*1490000*12)+(25.7)*1490000*12)</f>
        <v>3144019200</v>
      </c>
      <c r="H127" s="74"/>
      <c r="I127" s="67">
        <f t="shared" si="27"/>
        <v>3144019200</v>
      </c>
      <c r="J127" s="65"/>
      <c r="K127" s="65"/>
      <c r="L127" s="65"/>
      <c r="M127" s="65"/>
      <c r="N127" s="67"/>
      <c r="O127" s="67"/>
      <c r="P127" s="95"/>
      <c r="Q127" s="99"/>
      <c r="R127" s="99"/>
      <c r="S127" s="99"/>
    </row>
    <row r="128" s="27" customFormat="1" ht="27" customHeight="1" spans="1:19">
      <c r="A128" s="65"/>
      <c r="B128" s="66" t="s">
        <v>36</v>
      </c>
      <c r="C128" s="67"/>
      <c r="D128" s="67"/>
      <c r="E128" s="65">
        <v>15</v>
      </c>
      <c r="F128" s="75">
        <v>30000000</v>
      </c>
      <c r="G128" s="67">
        <f>+E128*F128</f>
        <v>450000000</v>
      </c>
      <c r="H128" s="67">
        <f>+G128*11.5%</f>
        <v>51750000</v>
      </c>
      <c r="I128" s="67">
        <f t="shared" si="27"/>
        <v>398250000</v>
      </c>
      <c r="J128" s="65"/>
      <c r="K128" s="65"/>
      <c r="L128" s="65"/>
      <c r="M128" s="65"/>
      <c r="N128" s="67"/>
      <c r="O128" s="67"/>
      <c r="P128" s="95"/>
      <c r="Q128" s="99"/>
      <c r="R128" s="99"/>
      <c r="S128" s="99"/>
    </row>
    <row r="129" s="27" customFormat="1" ht="27" customHeight="1" spans="1:19">
      <c r="A129" s="65">
        <v>8</v>
      </c>
      <c r="B129" s="66" t="s">
        <v>75</v>
      </c>
      <c r="C129" s="67"/>
      <c r="D129" s="73">
        <f>+G129+L129</f>
        <v>2030832520</v>
      </c>
      <c r="E129" s="65"/>
      <c r="F129" s="65"/>
      <c r="G129" s="67">
        <f>+G130+G131</f>
        <v>2030832520</v>
      </c>
      <c r="H129" s="67"/>
      <c r="I129" s="67">
        <f>+I130+I131</f>
        <v>1995872520</v>
      </c>
      <c r="J129" s="65"/>
      <c r="K129" s="65"/>
      <c r="L129" s="65"/>
      <c r="M129" s="65"/>
      <c r="N129" s="67"/>
      <c r="O129" s="67"/>
      <c r="P129" s="95"/>
      <c r="Q129" s="99"/>
      <c r="R129" s="99"/>
      <c r="S129" s="99"/>
    </row>
    <row r="130" s="27" customFormat="1" ht="44" customHeight="1" spans="1:19">
      <c r="A130" s="65"/>
      <c r="B130" s="66" t="s">
        <v>35</v>
      </c>
      <c r="C130" s="67"/>
      <c r="D130" s="67"/>
      <c r="E130" s="65">
        <v>15</v>
      </c>
      <c r="F130" s="74">
        <f>+(51.69+30.65)/E130</f>
        <v>5.48933333333333</v>
      </c>
      <c r="G130" s="67">
        <f>+((E130*F130*1490000*12)+(14.239*1490000*12))</f>
        <v>1726832520</v>
      </c>
      <c r="H130" s="74"/>
      <c r="I130" s="67">
        <f t="shared" ref="I130:I134" si="28">+G130-H130</f>
        <v>1726832520</v>
      </c>
      <c r="J130" s="65"/>
      <c r="K130" s="65"/>
      <c r="L130" s="65"/>
      <c r="M130" s="65"/>
      <c r="N130" s="67"/>
      <c r="O130" s="67"/>
      <c r="P130" s="95"/>
      <c r="Q130" s="99"/>
      <c r="R130" s="99"/>
      <c r="S130" s="99"/>
    </row>
    <row r="131" s="27" customFormat="1" ht="27" customHeight="1" spans="1:19">
      <c r="A131" s="65"/>
      <c r="B131" s="66" t="s">
        <v>36</v>
      </c>
      <c r="C131" s="67"/>
      <c r="D131" s="67"/>
      <c r="E131" s="65">
        <v>8</v>
      </c>
      <c r="F131" s="75">
        <v>38000000</v>
      </c>
      <c r="G131" s="67">
        <f>+E131*F131</f>
        <v>304000000</v>
      </c>
      <c r="H131" s="67">
        <f>+G131*11.5%</f>
        <v>34960000</v>
      </c>
      <c r="I131" s="67">
        <f t="shared" si="28"/>
        <v>269040000</v>
      </c>
      <c r="J131" s="65"/>
      <c r="K131" s="65"/>
      <c r="L131" s="65"/>
      <c r="M131" s="65"/>
      <c r="N131" s="67"/>
      <c r="O131" s="67"/>
      <c r="P131" s="95"/>
      <c r="Q131" s="99"/>
      <c r="R131" s="99"/>
      <c r="S131" s="99"/>
    </row>
    <row r="132" s="27" customFormat="1" ht="27" customHeight="1" spans="1:19">
      <c r="A132" s="65">
        <v>9</v>
      </c>
      <c r="B132" s="66" t="s">
        <v>60</v>
      </c>
      <c r="C132" s="67"/>
      <c r="D132" s="73">
        <f>+G132+L132</f>
        <v>2630824200</v>
      </c>
      <c r="E132" s="65"/>
      <c r="F132" s="65"/>
      <c r="G132" s="67">
        <f>+G133+G134</f>
        <v>2630824200</v>
      </c>
      <c r="H132" s="67"/>
      <c r="I132" s="67">
        <f>+I133+I134</f>
        <v>2603224200</v>
      </c>
      <c r="J132" s="65"/>
      <c r="K132" s="65"/>
      <c r="L132" s="65"/>
      <c r="M132" s="65"/>
      <c r="N132" s="67"/>
      <c r="O132" s="67"/>
      <c r="P132" s="95"/>
      <c r="Q132" s="99"/>
      <c r="R132" s="99"/>
      <c r="S132" s="99"/>
    </row>
    <row r="133" s="27" customFormat="1" ht="44" customHeight="1" spans="1:19">
      <c r="A133" s="65"/>
      <c r="B133" s="66" t="s">
        <v>35</v>
      </c>
      <c r="C133" s="67"/>
      <c r="D133" s="67"/>
      <c r="E133" s="65">
        <v>15</v>
      </c>
      <c r="F133" s="74">
        <f>+(53.17+65.98)/E133</f>
        <v>7.94333333333333</v>
      </c>
      <c r="G133" s="67">
        <f>+((E133*F133*1490000*12)+(14.565*1490000*12))</f>
        <v>2390824200</v>
      </c>
      <c r="H133" s="74"/>
      <c r="I133" s="67">
        <f t="shared" si="28"/>
        <v>2390824200</v>
      </c>
      <c r="J133" s="65"/>
      <c r="K133" s="65"/>
      <c r="L133" s="65"/>
      <c r="M133" s="65"/>
      <c r="N133" s="67"/>
      <c r="O133" s="67"/>
      <c r="P133" s="95"/>
      <c r="Q133" s="99"/>
      <c r="R133" s="99"/>
      <c r="S133" s="99"/>
    </row>
    <row r="134" s="27" customFormat="1" ht="27" customHeight="1" spans="1:19">
      <c r="A134" s="65"/>
      <c r="B134" s="66" t="s">
        <v>36</v>
      </c>
      <c r="C134" s="67"/>
      <c r="D134" s="67"/>
      <c r="E134" s="65">
        <v>6</v>
      </c>
      <c r="F134" s="75">
        <v>40000000</v>
      </c>
      <c r="G134" s="67">
        <f>+E134*F134</f>
        <v>240000000</v>
      </c>
      <c r="H134" s="67">
        <f>+G134*11.5%</f>
        <v>27600000</v>
      </c>
      <c r="I134" s="67">
        <f t="shared" si="28"/>
        <v>212400000</v>
      </c>
      <c r="J134" s="65"/>
      <c r="K134" s="65"/>
      <c r="L134" s="65"/>
      <c r="M134" s="65"/>
      <c r="N134" s="67"/>
      <c r="O134" s="67"/>
      <c r="P134" s="95"/>
      <c r="Q134" s="99"/>
      <c r="R134" s="99"/>
      <c r="S134" s="99"/>
    </row>
    <row r="135" s="27" customFormat="1" ht="33" customHeight="1" spans="1:19">
      <c r="A135" s="65">
        <v>10</v>
      </c>
      <c r="B135" s="66" t="s">
        <v>65</v>
      </c>
      <c r="C135" s="67"/>
      <c r="D135" s="73">
        <f>+G135+L135</f>
        <v>2342176960</v>
      </c>
      <c r="E135" s="65"/>
      <c r="F135" s="65"/>
      <c r="G135" s="67">
        <f>+G136+G137</f>
        <v>2342176960</v>
      </c>
      <c r="H135" s="109"/>
      <c r="I135" s="67">
        <f>+I136+I137</f>
        <v>2307216960</v>
      </c>
      <c r="J135" s="65"/>
      <c r="K135" s="65"/>
      <c r="L135" s="65"/>
      <c r="M135" s="65"/>
      <c r="N135" s="67"/>
      <c r="O135" s="67"/>
      <c r="P135" s="95"/>
      <c r="Q135" s="99"/>
      <c r="R135" s="99"/>
      <c r="S135" s="99"/>
    </row>
    <row r="136" s="27" customFormat="1" ht="40" customHeight="1" spans="1:19">
      <c r="A136" s="65"/>
      <c r="B136" s="66" t="s">
        <v>35</v>
      </c>
      <c r="C136" s="67"/>
      <c r="D136" s="67"/>
      <c r="E136" s="65">
        <v>15</v>
      </c>
      <c r="F136" s="74">
        <f>+(43.97+58.45)/E136</f>
        <v>6.828</v>
      </c>
      <c r="G136" s="67">
        <f>+((E136*F136*1490000*12)+(11.572)*1490000*12)</f>
        <v>2038176960</v>
      </c>
      <c r="H136" s="74"/>
      <c r="I136" s="67">
        <f t="shared" ref="I136:I140" si="29">+G136-H136</f>
        <v>2038176960</v>
      </c>
      <c r="J136" s="65"/>
      <c r="K136" s="65"/>
      <c r="L136" s="65"/>
      <c r="M136" s="65"/>
      <c r="N136" s="67"/>
      <c r="O136" s="67"/>
      <c r="P136" s="95"/>
      <c r="Q136" s="99"/>
      <c r="R136" s="99"/>
      <c r="S136" s="99"/>
    </row>
    <row r="137" s="27" customFormat="1" ht="27" customHeight="1" spans="1:19">
      <c r="A137" s="65"/>
      <c r="B137" s="66" t="s">
        <v>36</v>
      </c>
      <c r="C137" s="67"/>
      <c r="D137" s="67"/>
      <c r="E137" s="65">
        <v>8</v>
      </c>
      <c r="F137" s="75">
        <v>38000000</v>
      </c>
      <c r="G137" s="67">
        <f>+E137*F137</f>
        <v>304000000</v>
      </c>
      <c r="H137" s="67">
        <f>+G137*11.5%</f>
        <v>34960000</v>
      </c>
      <c r="I137" s="67">
        <f t="shared" si="29"/>
        <v>269040000</v>
      </c>
      <c r="J137" s="65"/>
      <c r="K137" s="65"/>
      <c r="L137" s="65"/>
      <c r="M137" s="65"/>
      <c r="N137" s="67"/>
      <c r="O137" s="67"/>
      <c r="P137" s="95"/>
      <c r="Q137" s="99"/>
      <c r="R137" s="99"/>
      <c r="S137" s="99"/>
    </row>
    <row r="138" s="27" customFormat="1" ht="27" customHeight="1" spans="1:19">
      <c r="A138" s="65">
        <v>11</v>
      </c>
      <c r="B138" s="66" t="s">
        <v>66</v>
      </c>
      <c r="C138" s="67"/>
      <c r="D138" s="73">
        <f>+G138+L138</f>
        <v>1239670800</v>
      </c>
      <c r="E138" s="65"/>
      <c r="F138" s="65"/>
      <c r="G138" s="67">
        <f>+G139+G140</f>
        <v>1239670800</v>
      </c>
      <c r="H138" s="67"/>
      <c r="I138" s="67">
        <f>+I139+I140</f>
        <v>1212070800</v>
      </c>
      <c r="J138" s="65"/>
      <c r="K138" s="65"/>
      <c r="L138" s="65"/>
      <c r="M138" s="65"/>
      <c r="N138" s="67"/>
      <c r="O138" s="67"/>
      <c r="P138" s="95"/>
      <c r="Q138" s="99"/>
      <c r="R138" s="99"/>
      <c r="S138" s="99"/>
    </row>
    <row r="139" s="27" customFormat="1" ht="36" customHeight="1" spans="1:19">
      <c r="A139" s="65"/>
      <c r="B139" s="66" t="s">
        <v>35</v>
      </c>
      <c r="C139" s="67"/>
      <c r="D139" s="67"/>
      <c r="E139" s="65">
        <v>9</v>
      </c>
      <c r="F139" s="74">
        <f>+(23.11+26.94)/E139</f>
        <v>5.56111111111111</v>
      </c>
      <c r="G139" s="67">
        <f>+((E139*F139*1490000*12)+(5.86)*1490000*12)</f>
        <v>999670800</v>
      </c>
      <c r="H139" s="74"/>
      <c r="I139" s="67">
        <f t="shared" si="29"/>
        <v>999670800</v>
      </c>
      <c r="J139" s="65"/>
      <c r="K139" s="65"/>
      <c r="L139" s="65"/>
      <c r="M139" s="65"/>
      <c r="N139" s="67"/>
      <c r="O139" s="67"/>
      <c r="P139" s="95"/>
      <c r="Q139" s="99"/>
      <c r="R139" s="99"/>
      <c r="S139" s="99"/>
    </row>
    <row r="140" s="27" customFormat="1" ht="27" customHeight="1" spans="1:19">
      <c r="A140" s="65"/>
      <c r="B140" s="66" t="s">
        <v>36</v>
      </c>
      <c r="C140" s="67"/>
      <c r="D140" s="67"/>
      <c r="E140" s="65">
        <v>6</v>
      </c>
      <c r="F140" s="75">
        <v>40000000</v>
      </c>
      <c r="G140" s="67">
        <f>+E140*F140</f>
        <v>240000000</v>
      </c>
      <c r="H140" s="67">
        <f>+G140*11.5%</f>
        <v>27600000</v>
      </c>
      <c r="I140" s="67">
        <f t="shared" si="29"/>
        <v>212400000</v>
      </c>
      <c r="J140" s="65"/>
      <c r="K140" s="65"/>
      <c r="L140" s="65"/>
      <c r="M140" s="65"/>
      <c r="N140" s="67"/>
      <c r="O140" s="67"/>
      <c r="P140" s="95"/>
      <c r="Q140" s="99"/>
      <c r="R140" s="99"/>
      <c r="S140" s="99"/>
    </row>
    <row r="141" s="27" customFormat="1" ht="27" customHeight="1" spans="1:19">
      <c r="A141" s="65">
        <v>12</v>
      </c>
      <c r="B141" s="66" t="s">
        <v>76</v>
      </c>
      <c r="C141" s="67"/>
      <c r="D141" s="73">
        <f>+G141+L141</f>
        <v>2447722600</v>
      </c>
      <c r="E141" s="65"/>
      <c r="F141" s="65"/>
      <c r="G141" s="67">
        <f>+G142+G143</f>
        <v>2447722600</v>
      </c>
      <c r="H141" s="67"/>
      <c r="I141" s="67">
        <f>+I142+I143</f>
        <v>2412762600</v>
      </c>
      <c r="J141" s="65"/>
      <c r="K141" s="65"/>
      <c r="L141" s="65"/>
      <c r="M141" s="65"/>
      <c r="N141" s="67"/>
      <c r="O141" s="67"/>
      <c r="P141" s="95"/>
      <c r="Q141" s="99"/>
      <c r="R141" s="99"/>
      <c r="S141" s="99"/>
    </row>
    <row r="142" s="27" customFormat="1" ht="39" customHeight="1" spans="1:19">
      <c r="A142" s="65"/>
      <c r="B142" s="66" t="s">
        <v>35</v>
      </c>
      <c r="C142" s="67"/>
      <c r="D142" s="67"/>
      <c r="E142" s="65">
        <v>16</v>
      </c>
      <c r="F142" s="74">
        <f>+(49.36+57.56)/E142</f>
        <v>6.6825</v>
      </c>
      <c r="G142" s="67">
        <f>+((E142*F142*1490000*12)+(12.975)*1490000*12)</f>
        <v>2143722600</v>
      </c>
      <c r="H142" s="74"/>
      <c r="I142" s="67">
        <f t="shared" ref="I142:I150" si="30">+G142-H142</f>
        <v>2143722600</v>
      </c>
      <c r="J142" s="65"/>
      <c r="K142" s="65"/>
      <c r="L142" s="65"/>
      <c r="M142" s="65"/>
      <c r="N142" s="67"/>
      <c r="O142" s="67"/>
      <c r="P142" s="95"/>
      <c r="Q142" s="99"/>
      <c r="R142" s="99"/>
      <c r="S142" s="99"/>
    </row>
    <row r="143" s="27" customFormat="1" ht="27" customHeight="1" spans="1:19">
      <c r="A143" s="65"/>
      <c r="B143" s="66" t="s">
        <v>36</v>
      </c>
      <c r="C143" s="67"/>
      <c r="D143" s="67"/>
      <c r="E143" s="65">
        <v>8</v>
      </c>
      <c r="F143" s="75">
        <v>38000000</v>
      </c>
      <c r="G143" s="67">
        <f>+E143*F143</f>
        <v>304000000</v>
      </c>
      <c r="H143" s="67">
        <f>+G143*11.5%</f>
        <v>34960000</v>
      </c>
      <c r="I143" s="67">
        <f t="shared" si="30"/>
        <v>269040000</v>
      </c>
      <c r="J143" s="65"/>
      <c r="K143" s="65"/>
      <c r="L143" s="65"/>
      <c r="M143" s="65"/>
      <c r="N143" s="67"/>
      <c r="O143" s="67"/>
      <c r="P143" s="95"/>
      <c r="Q143" s="99"/>
      <c r="R143" s="99"/>
      <c r="S143" s="99"/>
    </row>
    <row r="144" s="27" customFormat="1" ht="27" customHeight="1" spans="1:19">
      <c r="A144" s="65">
        <v>13</v>
      </c>
      <c r="B144" s="66" t="s">
        <v>77</v>
      </c>
      <c r="C144" s="67"/>
      <c r="D144" s="73">
        <f>+G144+L144</f>
        <v>8515688713.22034</v>
      </c>
      <c r="E144" s="65"/>
      <c r="F144" s="65"/>
      <c r="G144" s="67">
        <f>SUM(G145:G148)</f>
        <v>8515688713.22034</v>
      </c>
      <c r="H144" s="67"/>
      <c r="I144" s="67">
        <f>SUM(I145:I148)</f>
        <v>8415048120</v>
      </c>
      <c r="J144" s="65"/>
      <c r="K144" s="67"/>
      <c r="L144" s="67"/>
      <c r="M144" s="67"/>
      <c r="N144" s="67"/>
      <c r="O144" s="67"/>
      <c r="P144" s="95"/>
      <c r="Q144" s="99"/>
      <c r="R144" s="99"/>
      <c r="S144" s="99"/>
    </row>
    <row r="145" s="27" customFormat="1" ht="36" customHeight="1" spans="1:19">
      <c r="A145" s="65"/>
      <c r="B145" s="66" t="s">
        <v>35</v>
      </c>
      <c r="C145" s="67"/>
      <c r="D145" s="67"/>
      <c r="E145" s="65">
        <v>24</v>
      </c>
      <c r="F145" s="74">
        <f>+(86.18+78.7)/E145</f>
        <v>6.87</v>
      </c>
      <c r="G145" s="67">
        <f>+((E145*F145*1490000*12)+(22.444*1490000*12))</f>
        <v>3349353120</v>
      </c>
      <c r="H145" s="74"/>
      <c r="I145" s="67">
        <f t="shared" si="30"/>
        <v>3349353120</v>
      </c>
      <c r="J145" s="65"/>
      <c r="K145" s="65"/>
      <c r="L145" s="65"/>
      <c r="M145" s="65"/>
      <c r="N145" s="67"/>
      <c r="O145" s="67"/>
      <c r="P145" s="95"/>
      <c r="Q145" s="99"/>
      <c r="R145" s="99"/>
      <c r="S145" s="99"/>
    </row>
    <row r="146" s="27" customFormat="1" ht="27" customHeight="1" spans="1:19">
      <c r="A146" s="65"/>
      <c r="B146" s="66" t="s">
        <v>36</v>
      </c>
      <c r="C146" s="67"/>
      <c r="D146" s="67"/>
      <c r="E146" s="65">
        <v>9</v>
      </c>
      <c r="F146" s="75">
        <v>43000000</v>
      </c>
      <c r="G146" s="67">
        <f>+E146*F146</f>
        <v>387000000</v>
      </c>
      <c r="H146" s="67">
        <f>+G146*11.5%</f>
        <v>44505000</v>
      </c>
      <c r="I146" s="67">
        <f t="shared" si="30"/>
        <v>342495000</v>
      </c>
      <c r="J146" s="65"/>
      <c r="K146" s="67"/>
      <c r="L146" s="67"/>
      <c r="M146" s="67"/>
      <c r="N146" s="67"/>
      <c r="O146" s="67"/>
      <c r="P146" s="95"/>
      <c r="Q146" s="99"/>
      <c r="R146" s="99"/>
      <c r="S146" s="99"/>
    </row>
    <row r="147" s="27" customFormat="1" ht="27" customHeight="1" spans="1:19">
      <c r="A147" s="65"/>
      <c r="B147" s="66" t="s">
        <v>78</v>
      </c>
      <c r="C147" s="67"/>
      <c r="D147" s="67"/>
      <c r="E147" s="65">
        <v>300</v>
      </c>
      <c r="F147" s="75">
        <f>1490000*80%</f>
        <v>1192000</v>
      </c>
      <c r="G147" s="67">
        <f>+E147*F147*12</f>
        <v>4291200000</v>
      </c>
      <c r="H147" s="75"/>
      <c r="I147" s="67">
        <f t="shared" si="30"/>
        <v>4291200000</v>
      </c>
      <c r="J147" s="65"/>
      <c r="K147" s="67"/>
      <c r="L147" s="67"/>
      <c r="M147" s="67"/>
      <c r="N147" s="67"/>
      <c r="O147" s="67"/>
      <c r="P147" s="95"/>
      <c r="Q147" s="99"/>
      <c r="R147" s="99"/>
      <c r="S147" s="99"/>
    </row>
    <row r="148" s="27" customFormat="1" ht="39" customHeight="1" spans="1:19">
      <c r="A148" s="65"/>
      <c r="B148" s="66" t="s">
        <v>79</v>
      </c>
      <c r="C148" s="67"/>
      <c r="D148" s="67"/>
      <c r="E148" s="65">
        <v>300</v>
      </c>
      <c r="F148" s="75">
        <v>1440000</v>
      </c>
      <c r="G148" s="67">
        <f>432000000/0.885</f>
        <v>488135593.220339</v>
      </c>
      <c r="H148" s="67">
        <f>+G148*0.115</f>
        <v>56135593.220339</v>
      </c>
      <c r="I148" s="67">
        <f t="shared" si="30"/>
        <v>432000000</v>
      </c>
      <c r="J148" s="65"/>
      <c r="K148" s="67"/>
      <c r="L148" s="67"/>
      <c r="M148" s="67"/>
      <c r="N148" s="67"/>
      <c r="O148" s="67"/>
      <c r="P148" s="95"/>
      <c r="Q148" s="99"/>
      <c r="R148" s="99"/>
      <c r="S148" s="99"/>
    </row>
    <row r="149" s="27" customFormat="1" ht="27" customHeight="1" spans="1:19">
      <c r="A149" s="65" t="s">
        <v>80</v>
      </c>
      <c r="B149" s="66" t="s">
        <v>81</v>
      </c>
      <c r="C149" s="67"/>
      <c r="D149" s="73">
        <f>+G149+L149</f>
        <v>338983050.847458</v>
      </c>
      <c r="E149" s="65"/>
      <c r="F149" s="65"/>
      <c r="G149" s="67">
        <f>+G150</f>
        <v>338983050.847458</v>
      </c>
      <c r="H149" s="67">
        <f>+H150</f>
        <v>38983050.8474576</v>
      </c>
      <c r="I149" s="67">
        <f t="shared" si="30"/>
        <v>300000000</v>
      </c>
      <c r="J149" s="65"/>
      <c r="K149" s="109"/>
      <c r="L149" s="109"/>
      <c r="M149" s="109"/>
      <c r="N149" s="67"/>
      <c r="O149" s="67"/>
      <c r="P149" s="95"/>
      <c r="Q149" s="99"/>
      <c r="R149" s="99"/>
      <c r="S149" s="99"/>
    </row>
    <row r="150" s="27" customFormat="1" ht="27" customHeight="1" spans="1:19">
      <c r="A150" s="65"/>
      <c r="B150" s="66" t="s">
        <v>82</v>
      </c>
      <c r="C150" s="67"/>
      <c r="D150" s="67"/>
      <c r="E150" s="65"/>
      <c r="F150" s="65"/>
      <c r="G150" s="67">
        <f>300000000/0.885</f>
        <v>338983050.847458</v>
      </c>
      <c r="H150" s="67">
        <f>+G150*0.115</f>
        <v>38983050.8474576</v>
      </c>
      <c r="I150" s="67">
        <f t="shared" si="30"/>
        <v>300000000</v>
      </c>
      <c r="J150" s="65">
        <v>12</v>
      </c>
      <c r="K150" s="67">
        <v>12000000</v>
      </c>
      <c r="L150" s="67">
        <f>+J150*K150</f>
        <v>144000000</v>
      </c>
      <c r="M150" s="65"/>
      <c r="N150" s="67">
        <f>+L150-M150</f>
        <v>144000000</v>
      </c>
      <c r="O150" s="67"/>
      <c r="P150" s="95"/>
      <c r="Q150" s="99"/>
      <c r="R150" s="99"/>
      <c r="S150" s="99"/>
    </row>
    <row r="151" s="27" customFormat="1" ht="39" customHeight="1" spans="1:19">
      <c r="A151" s="65" t="s">
        <v>83</v>
      </c>
      <c r="B151" s="66" t="s">
        <v>84</v>
      </c>
      <c r="C151" s="67"/>
      <c r="D151" s="73">
        <f>+G151+L151</f>
        <v>2051701800</v>
      </c>
      <c r="E151" s="65"/>
      <c r="F151" s="65"/>
      <c r="G151" s="67">
        <f t="shared" ref="G151:I151" si="31">SUM(G152:G156)</f>
        <v>2051701800</v>
      </c>
      <c r="H151" s="67">
        <f t="shared" si="31"/>
        <v>39100000</v>
      </c>
      <c r="I151" s="67">
        <f t="shared" si="31"/>
        <v>2012601800</v>
      </c>
      <c r="J151" s="65"/>
      <c r="K151" s="65"/>
      <c r="L151" s="65"/>
      <c r="M151" s="65"/>
      <c r="N151" s="67"/>
      <c r="O151" s="67"/>
      <c r="P151" s="95"/>
      <c r="Q151" s="99"/>
      <c r="R151" s="99"/>
      <c r="S151" s="99"/>
    </row>
    <row r="152" s="27" customFormat="1" ht="41" customHeight="1" spans="1:19">
      <c r="A152" s="65"/>
      <c r="B152" s="66" t="s">
        <v>35</v>
      </c>
      <c r="C152" s="67"/>
      <c r="D152" s="67"/>
      <c r="E152" s="65">
        <v>12</v>
      </c>
      <c r="F152" s="74">
        <f>+(39.66+15.75)/E152</f>
        <v>4.6175</v>
      </c>
      <c r="G152" s="67">
        <f>+((E152*F152*1490000*12)+(10.44)*1490000*12)</f>
        <v>1177398000</v>
      </c>
      <c r="H152" s="74"/>
      <c r="I152" s="67">
        <f t="shared" ref="I152:I156" si="32">+G152-H152</f>
        <v>1177398000</v>
      </c>
      <c r="J152" s="65"/>
      <c r="K152" s="67"/>
      <c r="L152" s="67"/>
      <c r="M152" s="67"/>
      <c r="N152" s="67"/>
      <c r="O152" s="67"/>
      <c r="P152" s="95"/>
      <c r="Q152" s="99"/>
      <c r="R152" s="99"/>
      <c r="S152" s="99"/>
    </row>
    <row r="153" s="27" customFormat="1" ht="27" customHeight="1" spans="1:19">
      <c r="A153" s="65"/>
      <c r="B153" s="66" t="s">
        <v>36</v>
      </c>
      <c r="C153" s="67"/>
      <c r="D153" s="67"/>
      <c r="E153" s="65"/>
      <c r="F153" s="75">
        <v>25000000</v>
      </c>
      <c r="G153" s="67">
        <f>+E152*F153</f>
        <v>300000000</v>
      </c>
      <c r="H153" s="67">
        <f>+G153*11.5%</f>
        <v>34500000</v>
      </c>
      <c r="I153" s="67">
        <f t="shared" si="32"/>
        <v>265500000</v>
      </c>
      <c r="J153" s="65"/>
      <c r="K153" s="65"/>
      <c r="L153" s="65"/>
      <c r="M153" s="65"/>
      <c r="N153" s="67"/>
      <c r="O153" s="67"/>
      <c r="P153" s="95"/>
      <c r="Q153" s="99"/>
      <c r="R153" s="99"/>
      <c r="S153" s="99"/>
    </row>
    <row r="154" s="27" customFormat="1" ht="33" customHeight="1" spans="1:19">
      <c r="A154" s="65"/>
      <c r="B154" s="66" t="s">
        <v>85</v>
      </c>
      <c r="C154" s="67"/>
      <c r="D154" s="67"/>
      <c r="E154" s="65">
        <v>2</v>
      </c>
      <c r="F154" s="74">
        <f>+(4.58+0.5)/E154</f>
        <v>2.54</v>
      </c>
      <c r="G154" s="67">
        <f>+((E154*F154*1490000*12)+(1.08*1490000*12))+40000000</f>
        <v>150140800</v>
      </c>
      <c r="H154" s="67">
        <f>40000000*11.5%</f>
        <v>4600000</v>
      </c>
      <c r="I154" s="67">
        <f t="shared" si="32"/>
        <v>145540800</v>
      </c>
      <c r="J154" s="65"/>
      <c r="K154" s="65"/>
      <c r="L154" s="65"/>
      <c r="M154" s="65"/>
      <c r="N154" s="67"/>
      <c r="O154" s="67"/>
      <c r="P154" s="95"/>
      <c r="Q154" s="99"/>
      <c r="R154" s="99"/>
      <c r="S154" s="99"/>
    </row>
    <row r="155" s="27" customFormat="1" ht="42" customHeight="1" spans="1:19">
      <c r="A155" s="65"/>
      <c r="B155" s="66" t="s">
        <v>86</v>
      </c>
      <c r="C155" s="67"/>
      <c r="D155" s="67"/>
      <c r="E155" s="65"/>
      <c r="F155" s="75"/>
      <c r="G155" s="67">
        <v>224163000</v>
      </c>
      <c r="H155" s="75"/>
      <c r="I155" s="67">
        <f t="shared" si="32"/>
        <v>224163000</v>
      </c>
      <c r="J155" s="65"/>
      <c r="K155" s="65"/>
      <c r="L155" s="65"/>
      <c r="M155" s="65"/>
      <c r="N155" s="67"/>
      <c r="O155" s="67"/>
      <c r="P155" s="95"/>
      <c r="Q155" s="99"/>
      <c r="R155" s="99"/>
      <c r="S155" s="99"/>
    </row>
    <row r="156" s="27" customFormat="1" ht="27" customHeight="1" spans="1:19">
      <c r="A156" s="65"/>
      <c r="B156" s="66" t="s">
        <v>87</v>
      </c>
      <c r="C156" s="67"/>
      <c r="D156" s="67"/>
      <c r="E156" s="65"/>
      <c r="F156" s="75"/>
      <c r="G156" s="67">
        <v>200000000</v>
      </c>
      <c r="H156" s="67"/>
      <c r="I156" s="67">
        <f t="shared" si="32"/>
        <v>200000000</v>
      </c>
      <c r="J156" s="65"/>
      <c r="K156" s="65"/>
      <c r="L156" s="65"/>
      <c r="M156" s="65"/>
      <c r="N156" s="67"/>
      <c r="O156" s="67"/>
      <c r="P156" s="95"/>
      <c r="Q156" s="99"/>
      <c r="R156" s="99"/>
      <c r="S156" s="99"/>
    </row>
    <row r="157" s="27" customFormat="1" ht="62" customHeight="1" spans="1:19">
      <c r="A157" s="65" t="s">
        <v>88</v>
      </c>
      <c r="B157" s="110" t="s">
        <v>89</v>
      </c>
      <c r="C157" s="67"/>
      <c r="D157" s="73">
        <f t="shared" ref="D157:D201" si="33">+G157+L157</f>
        <v>30000000</v>
      </c>
      <c r="E157" s="65"/>
      <c r="F157" s="65"/>
      <c r="G157" s="67">
        <f>+I157</f>
        <v>30000000</v>
      </c>
      <c r="H157" s="67"/>
      <c r="I157" s="67">
        <v>30000000</v>
      </c>
      <c r="J157" s="65"/>
      <c r="K157" s="112"/>
      <c r="L157" s="65"/>
      <c r="M157" s="65"/>
      <c r="N157" s="67"/>
      <c r="O157" s="67"/>
      <c r="P157" s="95"/>
      <c r="Q157" s="99"/>
      <c r="R157" s="99"/>
      <c r="S157" s="99"/>
    </row>
    <row r="158" s="27" customFormat="1" ht="44" customHeight="1" spans="1:19">
      <c r="A158" s="65" t="s">
        <v>90</v>
      </c>
      <c r="B158" s="110" t="s">
        <v>91</v>
      </c>
      <c r="C158" s="67"/>
      <c r="D158" s="73">
        <f t="shared" si="33"/>
        <v>3866000000</v>
      </c>
      <c r="E158" s="65"/>
      <c r="F158" s="65"/>
      <c r="G158" s="67">
        <v>3866000000</v>
      </c>
      <c r="H158" s="65"/>
      <c r="I158" s="67">
        <f t="shared" ref="I158:I164" si="34">+G158-H158</f>
        <v>3866000000</v>
      </c>
      <c r="J158" s="65"/>
      <c r="K158" s="65"/>
      <c r="L158" s="65"/>
      <c r="M158" s="65"/>
      <c r="N158" s="67"/>
      <c r="O158" s="67"/>
      <c r="P158" s="95"/>
      <c r="Q158" s="99"/>
      <c r="R158" s="99"/>
      <c r="S158" s="99"/>
    </row>
    <row r="159" s="27" customFormat="1" ht="53" customHeight="1" spans="1:19">
      <c r="A159" s="65" t="s">
        <v>92</v>
      </c>
      <c r="B159" s="110" t="s">
        <v>93</v>
      </c>
      <c r="C159" s="67"/>
      <c r="D159" s="73">
        <f t="shared" si="33"/>
        <v>2426000000</v>
      </c>
      <c r="E159" s="65"/>
      <c r="F159" s="111"/>
      <c r="G159" s="67">
        <v>2426000000</v>
      </c>
      <c r="H159" s="111"/>
      <c r="I159" s="67">
        <f t="shared" si="34"/>
        <v>2426000000</v>
      </c>
      <c r="J159" s="65"/>
      <c r="K159" s="65"/>
      <c r="L159" s="65"/>
      <c r="M159" s="65"/>
      <c r="N159" s="67"/>
      <c r="O159" s="67"/>
      <c r="P159" s="95"/>
      <c r="Q159" s="99"/>
      <c r="R159" s="99"/>
      <c r="S159" s="99"/>
    </row>
    <row r="160" s="27" customFormat="1" ht="60" customHeight="1" spans="1:19">
      <c r="A160" s="65" t="s">
        <v>94</v>
      </c>
      <c r="B160" s="110" t="s">
        <v>95</v>
      </c>
      <c r="C160" s="67"/>
      <c r="D160" s="73">
        <f t="shared" si="33"/>
        <v>1327000000</v>
      </c>
      <c r="E160" s="65"/>
      <c r="F160" s="111" t="s">
        <v>96</v>
      </c>
      <c r="G160" s="67">
        <v>1327000000</v>
      </c>
      <c r="H160" s="111"/>
      <c r="I160" s="67">
        <f t="shared" si="34"/>
        <v>1327000000</v>
      </c>
      <c r="J160" s="65"/>
      <c r="K160" s="65"/>
      <c r="L160" s="65"/>
      <c r="M160" s="65"/>
      <c r="N160" s="67"/>
      <c r="O160" s="67"/>
      <c r="P160" s="95"/>
      <c r="Q160" s="99"/>
      <c r="R160" s="99"/>
      <c r="S160" s="99"/>
    </row>
    <row r="161" s="27" customFormat="1" ht="41.25" customHeight="1" spans="1:19">
      <c r="A161" s="65" t="s">
        <v>97</v>
      </c>
      <c r="B161" s="110" t="s">
        <v>98</v>
      </c>
      <c r="C161" s="67"/>
      <c r="D161" s="73">
        <f t="shared" si="33"/>
        <v>1654000000</v>
      </c>
      <c r="E161" s="65"/>
      <c r="F161" s="65"/>
      <c r="G161" s="67">
        <v>1654000000</v>
      </c>
      <c r="H161" s="65"/>
      <c r="I161" s="67">
        <f t="shared" si="34"/>
        <v>1654000000</v>
      </c>
      <c r="J161" s="65"/>
      <c r="K161" s="65"/>
      <c r="L161" s="65"/>
      <c r="M161" s="65"/>
      <c r="N161" s="67"/>
      <c r="O161" s="67"/>
      <c r="P161" s="95"/>
      <c r="Q161" s="99"/>
      <c r="R161" s="99"/>
      <c r="S161" s="99"/>
    </row>
    <row r="162" s="27" customFormat="1" ht="81" customHeight="1" spans="1:19">
      <c r="A162" s="65" t="s">
        <v>99</v>
      </c>
      <c r="B162" s="110" t="s">
        <v>100</v>
      </c>
      <c r="C162" s="67"/>
      <c r="D162" s="73">
        <f t="shared" si="33"/>
        <v>58000000</v>
      </c>
      <c r="E162" s="65"/>
      <c r="F162" s="65"/>
      <c r="G162" s="67">
        <v>58000000</v>
      </c>
      <c r="H162" s="65"/>
      <c r="I162" s="67">
        <f t="shared" si="34"/>
        <v>58000000</v>
      </c>
      <c r="J162" s="65"/>
      <c r="K162" s="65"/>
      <c r="L162" s="65"/>
      <c r="M162" s="65"/>
      <c r="N162" s="67"/>
      <c r="O162" s="67"/>
      <c r="P162" s="95"/>
      <c r="Q162" s="99"/>
      <c r="R162" s="99"/>
      <c r="S162" s="99"/>
    </row>
    <row r="163" s="27" customFormat="1" ht="58" customHeight="1" spans="1:19">
      <c r="A163" s="65" t="s">
        <v>101</v>
      </c>
      <c r="B163" s="110" t="s">
        <v>102</v>
      </c>
      <c r="C163" s="67"/>
      <c r="D163" s="73">
        <f t="shared" si="33"/>
        <v>54000000</v>
      </c>
      <c r="E163" s="65"/>
      <c r="F163" s="65"/>
      <c r="G163" s="67">
        <v>54000000</v>
      </c>
      <c r="H163" s="65"/>
      <c r="I163" s="67">
        <f t="shared" si="34"/>
        <v>54000000</v>
      </c>
      <c r="J163" s="65"/>
      <c r="K163" s="65"/>
      <c r="L163" s="65"/>
      <c r="M163" s="65"/>
      <c r="N163" s="67"/>
      <c r="O163" s="67"/>
      <c r="P163" s="95"/>
      <c r="Q163" s="99"/>
      <c r="R163" s="99"/>
      <c r="S163" s="99"/>
    </row>
    <row r="164" s="27" customFormat="1" ht="41" customHeight="1" spans="1:19">
      <c r="A164" s="65" t="s">
        <v>103</v>
      </c>
      <c r="B164" s="110" t="s">
        <v>104</v>
      </c>
      <c r="C164" s="67"/>
      <c r="D164" s="73">
        <f t="shared" si="33"/>
        <v>128736000</v>
      </c>
      <c r="E164" s="65"/>
      <c r="F164" s="65"/>
      <c r="G164" s="67">
        <f>+((1490000*40%*24*9))</f>
        <v>128736000</v>
      </c>
      <c r="H164" s="65"/>
      <c r="I164" s="67">
        <f t="shared" si="34"/>
        <v>128736000</v>
      </c>
      <c r="J164" s="65"/>
      <c r="K164" s="65"/>
      <c r="L164" s="65"/>
      <c r="M164" s="65"/>
      <c r="N164" s="67"/>
      <c r="O164" s="67"/>
      <c r="P164" s="95"/>
      <c r="Q164" s="99"/>
      <c r="R164" s="99"/>
      <c r="S164" s="99"/>
    </row>
    <row r="165" s="27" customFormat="1" ht="33" customHeight="1" spans="1:19">
      <c r="A165" s="65" t="s">
        <v>105</v>
      </c>
      <c r="B165" s="66" t="s">
        <v>106</v>
      </c>
      <c r="C165" s="67"/>
      <c r="D165" s="73">
        <f t="shared" si="33"/>
        <v>67216000</v>
      </c>
      <c r="E165" s="65"/>
      <c r="F165" s="65"/>
      <c r="G165" s="67">
        <f t="shared" ref="G165:I165" si="35">SUM(G166:G167)</f>
        <v>67216000</v>
      </c>
      <c r="H165" s="67">
        <f t="shared" si="35"/>
        <v>0</v>
      </c>
      <c r="I165" s="67">
        <f t="shared" si="35"/>
        <v>67216000</v>
      </c>
      <c r="J165" s="65"/>
      <c r="K165" s="65"/>
      <c r="L165" s="65"/>
      <c r="M165" s="65"/>
      <c r="N165" s="67"/>
      <c r="O165" s="67"/>
      <c r="P165" s="95"/>
      <c r="Q165" s="99"/>
      <c r="R165" s="99"/>
      <c r="S165" s="99"/>
    </row>
    <row r="166" s="27" customFormat="1" ht="33" customHeight="1" spans="1:19">
      <c r="A166" s="65"/>
      <c r="B166" s="66" t="s">
        <v>107</v>
      </c>
      <c r="C166" s="67"/>
      <c r="D166" s="73">
        <f t="shared" si="33"/>
        <v>62216000</v>
      </c>
      <c r="E166" s="65"/>
      <c r="F166" s="65"/>
      <c r="G166" s="67">
        <f>3.2*1490000*12+5000000</f>
        <v>62216000</v>
      </c>
      <c r="H166" s="65"/>
      <c r="I166" s="67">
        <f>+G166-H166</f>
        <v>62216000</v>
      </c>
      <c r="J166" s="65"/>
      <c r="K166" s="65"/>
      <c r="L166" s="65"/>
      <c r="M166" s="65"/>
      <c r="N166" s="67"/>
      <c r="O166" s="67"/>
      <c r="P166" s="95"/>
      <c r="Q166" s="99"/>
      <c r="R166" s="99"/>
      <c r="S166" s="99"/>
    </row>
    <row r="167" s="27" customFormat="1" ht="37" customHeight="1" spans="1:19">
      <c r="A167" s="65"/>
      <c r="B167" s="66" t="s">
        <v>108</v>
      </c>
      <c r="C167" s="67"/>
      <c r="D167" s="73">
        <f t="shared" si="33"/>
        <v>5000000</v>
      </c>
      <c r="E167" s="65"/>
      <c r="F167" s="65"/>
      <c r="G167" s="67">
        <f>H167+I167</f>
        <v>5000000</v>
      </c>
      <c r="H167" s="65"/>
      <c r="I167" s="67">
        <v>5000000</v>
      </c>
      <c r="J167" s="65"/>
      <c r="K167" s="65"/>
      <c r="L167" s="65"/>
      <c r="M167" s="65"/>
      <c r="N167" s="67"/>
      <c r="O167" s="67"/>
      <c r="P167" s="95"/>
      <c r="Q167" s="99"/>
      <c r="R167" s="99"/>
      <c r="S167" s="99"/>
    </row>
    <row r="168" s="27" customFormat="1" ht="79" customHeight="1" spans="1:19">
      <c r="A168" s="65" t="s">
        <v>109</v>
      </c>
      <c r="B168" s="110" t="s">
        <v>110</v>
      </c>
      <c r="C168" s="67"/>
      <c r="D168" s="73">
        <f t="shared" si="33"/>
        <v>2000000000</v>
      </c>
      <c r="E168" s="65"/>
      <c r="F168" s="65"/>
      <c r="G168" s="67">
        <f>H168+I168</f>
        <v>2000000000</v>
      </c>
      <c r="H168" s="67"/>
      <c r="I168" s="67">
        <v>2000000000</v>
      </c>
      <c r="J168" s="65"/>
      <c r="K168" s="65"/>
      <c r="L168" s="65"/>
      <c r="M168" s="65"/>
      <c r="N168" s="67"/>
      <c r="O168" s="67"/>
      <c r="P168" s="95"/>
      <c r="Q168" s="99"/>
      <c r="R168" s="99"/>
      <c r="S168" s="99"/>
    </row>
    <row r="169" s="27" customFormat="1" ht="34.5" customHeight="1" spans="1:19">
      <c r="A169" s="65" t="s">
        <v>111</v>
      </c>
      <c r="B169" s="110" t="s">
        <v>112</v>
      </c>
      <c r="C169" s="67"/>
      <c r="D169" s="73">
        <f t="shared" si="33"/>
        <v>600000000</v>
      </c>
      <c r="E169" s="65"/>
      <c r="F169" s="65"/>
      <c r="G169" s="67">
        <v>600000000</v>
      </c>
      <c r="H169" s="67"/>
      <c r="I169" s="67">
        <v>600000000</v>
      </c>
      <c r="J169" s="65"/>
      <c r="K169" s="65"/>
      <c r="L169" s="65"/>
      <c r="M169" s="65"/>
      <c r="N169" s="67"/>
      <c r="O169" s="67"/>
      <c r="P169" s="95"/>
      <c r="Q169" s="99"/>
      <c r="R169" s="99"/>
      <c r="S169" s="99"/>
    </row>
    <row r="170" s="27" customFormat="1" ht="37.5" customHeight="1" spans="1:19">
      <c r="A170" s="65" t="s">
        <v>113</v>
      </c>
      <c r="B170" s="110" t="s">
        <v>114</v>
      </c>
      <c r="C170" s="67"/>
      <c r="D170" s="73">
        <f t="shared" si="33"/>
        <v>362850000</v>
      </c>
      <c r="E170" s="65"/>
      <c r="F170" s="65"/>
      <c r="G170" s="67">
        <v>362850000</v>
      </c>
      <c r="H170" s="67"/>
      <c r="I170" s="67">
        <f>+G170-H170</f>
        <v>362850000</v>
      </c>
      <c r="J170" s="65"/>
      <c r="K170" s="65"/>
      <c r="L170" s="65"/>
      <c r="M170" s="65"/>
      <c r="N170" s="67"/>
      <c r="O170" s="67"/>
      <c r="P170" s="95"/>
      <c r="Q170" s="99"/>
      <c r="R170" s="99"/>
      <c r="S170" s="99"/>
    </row>
    <row r="171" s="27" customFormat="1" ht="43" customHeight="1" spans="1:19">
      <c r="A171" s="65" t="s">
        <v>115</v>
      </c>
      <c r="B171" s="110" t="s">
        <v>116</v>
      </c>
      <c r="C171" s="67"/>
      <c r="D171" s="73">
        <f t="shared" si="33"/>
        <v>180000000</v>
      </c>
      <c r="E171" s="65"/>
      <c r="F171" s="65"/>
      <c r="G171" s="67"/>
      <c r="H171" s="67"/>
      <c r="I171" s="67"/>
      <c r="J171" s="65">
        <v>12</v>
      </c>
      <c r="K171" s="67">
        <v>15000000</v>
      </c>
      <c r="L171" s="67">
        <f>+J171*K171</f>
        <v>180000000</v>
      </c>
      <c r="M171" s="65"/>
      <c r="N171" s="67">
        <f>+L171</f>
        <v>180000000</v>
      </c>
      <c r="O171" s="67"/>
      <c r="P171" s="95"/>
      <c r="Q171" s="99"/>
      <c r="R171" s="99"/>
      <c r="S171" s="99"/>
    </row>
    <row r="172" s="27" customFormat="1" ht="62" customHeight="1" spans="1:19">
      <c r="A172" s="65" t="s">
        <v>117</v>
      </c>
      <c r="B172" s="110" t="s">
        <v>118</v>
      </c>
      <c r="C172" s="67"/>
      <c r="D172" s="73">
        <f t="shared" si="33"/>
        <v>1000000000</v>
      </c>
      <c r="E172" s="65"/>
      <c r="F172" s="65"/>
      <c r="G172" s="67">
        <v>1000000000</v>
      </c>
      <c r="H172" s="67">
        <f>+G172*0.115</f>
        <v>115000000</v>
      </c>
      <c r="I172" s="67">
        <f>+G172-H172</f>
        <v>885000000</v>
      </c>
      <c r="J172" s="65"/>
      <c r="K172" s="65"/>
      <c r="L172" s="65"/>
      <c r="M172" s="65"/>
      <c r="N172" s="67"/>
      <c r="O172" s="67"/>
      <c r="P172" s="95"/>
      <c r="Q172" s="99"/>
      <c r="R172" s="99"/>
      <c r="S172" s="99"/>
    </row>
    <row r="173" s="27" customFormat="1" ht="37" customHeight="1" spans="1:19">
      <c r="A173" s="65" t="s">
        <v>119</v>
      </c>
      <c r="B173" s="66" t="s">
        <v>120</v>
      </c>
      <c r="C173" s="67"/>
      <c r="D173" s="73">
        <f t="shared" si="33"/>
        <v>1110000000</v>
      </c>
      <c r="E173" s="65"/>
      <c r="F173" s="65"/>
      <c r="G173" s="67">
        <v>1110000000</v>
      </c>
      <c r="H173" s="67"/>
      <c r="I173" s="67">
        <v>1110000000</v>
      </c>
      <c r="J173" s="65"/>
      <c r="K173" s="65"/>
      <c r="L173" s="65"/>
      <c r="M173" s="65"/>
      <c r="N173" s="67"/>
      <c r="O173" s="67"/>
      <c r="P173" s="95"/>
      <c r="Q173" s="99"/>
      <c r="R173" s="99"/>
      <c r="S173" s="99"/>
    </row>
    <row r="174" s="27" customFormat="1" ht="42.75" customHeight="1" spans="1:19">
      <c r="A174" s="65" t="s">
        <v>121</v>
      </c>
      <c r="B174" s="110" t="s">
        <v>122</v>
      </c>
      <c r="C174" s="67"/>
      <c r="D174" s="73">
        <f t="shared" si="33"/>
        <v>240000000</v>
      </c>
      <c r="E174" s="65"/>
      <c r="F174" s="65"/>
      <c r="G174" s="67"/>
      <c r="H174" s="65"/>
      <c r="I174" s="67"/>
      <c r="J174" s="65">
        <v>12</v>
      </c>
      <c r="K174" s="67">
        <v>20000000</v>
      </c>
      <c r="L174" s="67">
        <f>+J174*K174</f>
        <v>240000000</v>
      </c>
      <c r="M174" s="67"/>
      <c r="N174" s="67">
        <f>+J174*K174</f>
        <v>240000000</v>
      </c>
      <c r="O174" s="67"/>
      <c r="P174" s="95"/>
      <c r="Q174" s="99"/>
      <c r="R174" s="99"/>
      <c r="S174" s="99"/>
    </row>
    <row r="175" s="26" customFormat="1" ht="31.5" customHeight="1" spans="1:19">
      <c r="A175" s="69" t="s">
        <v>123</v>
      </c>
      <c r="B175" s="70" t="s">
        <v>124</v>
      </c>
      <c r="C175" s="71"/>
      <c r="D175" s="71">
        <f t="shared" si="33"/>
        <v>600768000</v>
      </c>
      <c r="E175" s="69"/>
      <c r="F175" s="107"/>
      <c r="G175" s="71">
        <f t="shared" ref="G175:L175" si="36">+G176</f>
        <v>0</v>
      </c>
      <c r="H175" s="71">
        <f>SUM(H176:H177)</f>
        <v>0</v>
      </c>
      <c r="I175" s="71">
        <f t="shared" si="36"/>
        <v>0</v>
      </c>
      <c r="J175" s="69"/>
      <c r="K175" s="69"/>
      <c r="L175" s="71">
        <f t="shared" si="36"/>
        <v>600768000</v>
      </c>
      <c r="M175" s="69"/>
      <c r="N175" s="71">
        <f>+N176</f>
        <v>600768000</v>
      </c>
      <c r="O175" s="71"/>
      <c r="P175" s="94"/>
      <c r="Q175" s="97"/>
      <c r="R175" s="97"/>
      <c r="S175" s="97"/>
    </row>
    <row r="176" s="27" customFormat="1" ht="31.5" customHeight="1" spans="1:19">
      <c r="A176" s="65">
        <v>1</v>
      </c>
      <c r="B176" s="66" t="s">
        <v>125</v>
      </c>
      <c r="C176" s="67"/>
      <c r="D176" s="73">
        <f t="shared" si="33"/>
        <v>600768000</v>
      </c>
      <c r="E176" s="65"/>
      <c r="F176" s="75"/>
      <c r="G176" s="67"/>
      <c r="H176" s="75"/>
      <c r="I176" s="67"/>
      <c r="J176" s="65"/>
      <c r="K176" s="75"/>
      <c r="L176" s="67">
        <f>+L177</f>
        <v>600768000</v>
      </c>
      <c r="M176" s="75"/>
      <c r="N176" s="67">
        <f>+N177</f>
        <v>600768000</v>
      </c>
      <c r="O176" s="67"/>
      <c r="P176" s="95"/>
      <c r="Q176" s="99"/>
      <c r="R176" s="99"/>
      <c r="S176" s="99"/>
    </row>
    <row r="177" s="27" customFormat="1" ht="31.5" customHeight="1" spans="1:19">
      <c r="A177" s="65"/>
      <c r="B177" s="66" t="s">
        <v>126</v>
      </c>
      <c r="C177" s="67"/>
      <c r="D177" s="73">
        <f t="shared" si="33"/>
        <v>600768000</v>
      </c>
      <c r="E177" s="65"/>
      <c r="F177" s="75"/>
      <c r="G177" s="67"/>
      <c r="H177" s="75"/>
      <c r="I177" s="67"/>
      <c r="J177" s="65"/>
      <c r="K177" s="75"/>
      <c r="L177" s="67">
        <v>600768000</v>
      </c>
      <c r="M177" s="75"/>
      <c r="N177" s="67">
        <f>+L177-M177</f>
        <v>600768000</v>
      </c>
      <c r="O177" s="67"/>
      <c r="P177" s="95"/>
      <c r="Q177" s="99"/>
      <c r="R177" s="99"/>
      <c r="S177" s="99"/>
    </row>
    <row r="178" s="26" customFormat="1" ht="31.5" customHeight="1" spans="1:19">
      <c r="A178" s="69" t="s">
        <v>127</v>
      </c>
      <c r="B178" s="70" t="s">
        <v>128</v>
      </c>
      <c r="C178" s="71"/>
      <c r="D178" s="72">
        <f t="shared" si="33"/>
        <v>2066945372.56497</v>
      </c>
      <c r="E178" s="69"/>
      <c r="F178" s="69"/>
      <c r="G178" s="71">
        <f t="shared" ref="G178:I178" si="37">+G179+G187</f>
        <v>1228945372.56497</v>
      </c>
      <c r="H178" s="71">
        <f t="shared" si="37"/>
        <v>48413700.5649718</v>
      </c>
      <c r="I178" s="71">
        <f t="shared" si="37"/>
        <v>1180531672</v>
      </c>
      <c r="J178" s="69"/>
      <c r="K178" s="69"/>
      <c r="L178" s="71">
        <f t="shared" ref="L178:N178" si="38">SUM(L180:L189)</f>
        <v>838000000</v>
      </c>
      <c r="M178" s="71">
        <f t="shared" si="38"/>
        <v>0</v>
      </c>
      <c r="N178" s="71">
        <f t="shared" si="38"/>
        <v>838000000</v>
      </c>
      <c r="O178" s="71"/>
      <c r="P178" s="94"/>
      <c r="Q178" s="97"/>
      <c r="R178" s="97"/>
      <c r="S178" s="97"/>
    </row>
    <row r="179" s="26" customFormat="1" ht="26.25" customHeight="1" spans="1:19">
      <c r="A179" s="65">
        <v>1</v>
      </c>
      <c r="B179" s="66" t="s">
        <v>129</v>
      </c>
      <c r="C179" s="71"/>
      <c r="D179" s="73">
        <f t="shared" si="33"/>
        <v>1228945372.56497</v>
      </c>
      <c r="E179" s="69"/>
      <c r="F179" s="69"/>
      <c r="G179" s="67">
        <f t="shared" ref="G179:I179" si="39">SUM(G180:G186)</f>
        <v>1228945372.56497</v>
      </c>
      <c r="H179" s="67">
        <f t="shared" si="39"/>
        <v>48413700.5649718</v>
      </c>
      <c r="I179" s="67">
        <f t="shared" si="39"/>
        <v>1180531672</v>
      </c>
      <c r="J179" s="69"/>
      <c r="K179" s="69"/>
      <c r="L179" s="69"/>
      <c r="M179" s="69"/>
      <c r="N179" s="71"/>
      <c r="O179" s="71"/>
      <c r="P179" s="94"/>
      <c r="Q179" s="97"/>
      <c r="R179" s="97"/>
      <c r="S179" s="97"/>
    </row>
    <row r="180" s="27" customFormat="1" ht="41" customHeight="1" spans="1:19">
      <c r="A180" s="65"/>
      <c r="B180" s="66" t="s">
        <v>35</v>
      </c>
      <c r="C180" s="67"/>
      <c r="D180" s="73">
        <f t="shared" si="33"/>
        <v>661098272</v>
      </c>
      <c r="E180" s="65">
        <v>7</v>
      </c>
      <c r="F180" s="74">
        <f>+(25.78+2.14)/E180</f>
        <v>3.98857142857143</v>
      </c>
      <c r="G180" s="67">
        <f>+((E180*F180*1490000*12)+(6.16*1490000*12))+76460--(2.34*12*1490000+2.34*1490000*0.235*12)</f>
        <v>661098272</v>
      </c>
      <c r="H180" s="74"/>
      <c r="I180" s="67">
        <f t="shared" ref="I180:I182" si="40">+G180-H180</f>
        <v>661098272</v>
      </c>
      <c r="J180" s="65"/>
      <c r="K180" s="65"/>
      <c r="L180" s="65"/>
      <c r="M180" s="65"/>
      <c r="N180" s="67"/>
      <c r="O180" s="67"/>
      <c r="P180" s="95"/>
      <c r="Q180" s="99"/>
      <c r="R180" s="99"/>
      <c r="S180" s="99"/>
    </row>
    <row r="181" s="27" customFormat="1" ht="26.25" customHeight="1" spans="1:19">
      <c r="A181" s="65"/>
      <c r="B181" s="66" t="s">
        <v>36</v>
      </c>
      <c r="C181" s="67"/>
      <c r="D181" s="73">
        <f t="shared" si="33"/>
        <v>175000000</v>
      </c>
      <c r="E181" s="65"/>
      <c r="F181" s="75">
        <v>25000000</v>
      </c>
      <c r="G181" s="109">
        <f>+E180*F181</f>
        <v>175000000</v>
      </c>
      <c r="H181" s="67">
        <f t="shared" ref="H181:H183" si="41">+G181*11.5%</f>
        <v>20125000</v>
      </c>
      <c r="I181" s="109">
        <f t="shared" si="40"/>
        <v>154875000</v>
      </c>
      <c r="J181" s="65"/>
      <c r="K181" s="65"/>
      <c r="L181" s="65"/>
      <c r="M181" s="65"/>
      <c r="N181" s="67"/>
      <c r="O181" s="67"/>
      <c r="P181" s="95"/>
      <c r="Q181" s="99"/>
      <c r="R181" s="99"/>
      <c r="S181" s="99"/>
    </row>
    <row r="182" s="27" customFormat="1" ht="82" customHeight="1" spans="1:19">
      <c r="A182" s="65"/>
      <c r="B182" s="110" t="s">
        <v>130</v>
      </c>
      <c r="C182" s="67"/>
      <c r="D182" s="73">
        <f t="shared" si="33"/>
        <v>169491525.423729</v>
      </c>
      <c r="E182" s="65"/>
      <c r="F182" s="65"/>
      <c r="G182" s="67">
        <f>150000000/0.885</f>
        <v>169491525.423729</v>
      </c>
      <c r="H182" s="67">
        <f t="shared" si="41"/>
        <v>19491525.4237288</v>
      </c>
      <c r="I182" s="67">
        <f t="shared" si="40"/>
        <v>150000000</v>
      </c>
      <c r="J182" s="65"/>
      <c r="K182" s="65"/>
      <c r="L182" s="65"/>
      <c r="M182" s="65"/>
      <c r="N182" s="67"/>
      <c r="O182" s="67"/>
      <c r="P182" s="95"/>
      <c r="Q182" s="99"/>
      <c r="R182" s="99"/>
      <c r="S182" s="99"/>
    </row>
    <row r="183" s="27" customFormat="1" ht="27.75" customHeight="1" spans="1:19">
      <c r="A183" s="65"/>
      <c r="B183" s="110" t="s">
        <v>131</v>
      </c>
      <c r="C183" s="67"/>
      <c r="D183" s="73">
        <f t="shared" si="33"/>
        <v>56497175.1412429</v>
      </c>
      <c r="E183" s="65"/>
      <c r="F183" s="65"/>
      <c r="G183" s="67">
        <f>50000000/0.885</f>
        <v>56497175.1412429</v>
      </c>
      <c r="H183" s="67">
        <f t="shared" si="41"/>
        <v>6497175.14124294</v>
      </c>
      <c r="I183" s="67">
        <v>50000000</v>
      </c>
      <c r="J183" s="65"/>
      <c r="K183" s="65"/>
      <c r="L183" s="65"/>
      <c r="M183" s="65"/>
      <c r="N183" s="67"/>
      <c r="O183" s="67"/>
      <c r="P183" s="95"/>
      <c r="Q183" s="99"/>
      <c r="R183" s="99"/>
      <c r="S183" s="99"/>
    </row>
    <row r="184" s="27" customFormat="1" ht="40.5" customHeight="1" spans="1:19">
      <c r="A184" s="65"/>
      <c r="B184" s="110" t="s">
        <v>132</v>
      </c>
      <c r="C184" s="67"/>
      <c r="D184" s="73">
        <f t="shared" si="33"/>
        <v>60000000</v>
      </c>
      <c r="E184" s="65"/>
      <c r="F184" s="65"/>
      <c r="G184" s="67">
        <v>60000000</v>
      </c>
      <c r="H184" s="65"/>
      <c r="I184" s="67">
        <v>60000000</v>
      </c>
      <c r="J184" s="65"/>
      <c r="K184" s="65"/>
      <c r="L184" s="65"/>
      <c r="M184" s="65"/>
      <c r="N184" s="67"/>
      <c r="O184" s="67"/>
      <c r="P184" s="95"/>
      <c r="Q184" s="99"/>
      <c r="R184" s="99"/>
      <c r="S184" s="99"/>
    </row>
    <row r="185" s="27" customFormat="1" ht="42" customHeight="1" spans="1:19">
      <c r="A185" s="65"/>
      <c r="B185" s="66" t="s">
        <v>133</v>
      </c>
      <c r="C185" s="67"/>
      <c r="D185" s="73">
        <f t="shared" si="33"/>
        <v>30000000</v>
      </c>
      <c r="E185" s="65">
        <v>1</v>
      </c>
      <c r="F185" s="75">
        <v>30000000</v>
      </c>
      <c r="G185" s="67">
        <f>+H185+I185</f>
        <v>30000000</v>
      </c>
      <c r="H185" s="67"/>
      <c r="I185" s="67">
        <f>F185*E185</f>
        <v>30000000</v>
      </c>
      <c r="J185" s="65"/>
      <c r="K185" s="65"/>
      <c r="L185" s="65"/>
      <c r="M185" s="65"/>
      <c r="N185" s="67"/>
      <c r="O185" s="67"/>
      <c r="P185" s="95"/>
      <c r="Q185" s="99"/>
      <c r="R185" s="99"/>
      <c r="S185" s="99"/>
    </row>
    <row r="186" s="27" customFormat="1" ht="39" customHeight="1" spans="1:19">
      <c r="A186" s="65"/>
      <c r="B186" s="66" t="s">
        <v>134</v>
      </c>
      <c r="C186" s="67"/>
      <c r="D186" s="73">
        <f t="shared" si="33"/>
        <v>76858400</v>
      </c>
      <c r="E186" s="65">
        <v>1</v>
      </c>
      <c r="F186" s="74">
        <f>+(2.41+0.2)/E186</f>
        <v>2.61</v>
      </c>
      <c r="G186" s="67">
        <f>+((E186*F186*1490000*12)+(0.57*1490000*12))+20000000</f>
        <v>76858400</v>
      </c>
      <c r="H186" s="109">
        <v>2300000</v>
      </c>
      <c r="I186" s="67">
        <f>+G186-H186</f>
        <v>74558400</v>
      </c>
      <c r="J186" s="65"/>
      <c r="K186" s="65"/>
      <c r="L186" s="65"/>
      <c r="M186" s="65"/>
      <c r="N186" s="67"/>
      <c r="O186" s="67"/>
      <c r="P186" s="95"/>
      <c r="Q186" s="99"/>
      <c r="R186" s="99"/>
      <c r="S186" s="99"/>
    </row>
    <row r="187" s="27" customFormat="1" ht="42" customHeight="1" spans="1:19">
      <c r="A187" s="65">
        <v>2</v>
      </c>
      <c r="B187" s="66" t="s">
        <v>135</v>
      </c>
      <c r="C187" s="67"/>
      <c r="D187" s="73">
        <f t="shared" si="33"/>
        <v>285000000</v>
      </c>
      <c r="E187" s="65"/>
      <c r="F187" s="65"/>
      <c r="G187" s="67"/>
      <c r="H187" s="65"/>
      <c r="I187" s="67"/>
      <c r="J187" s="65">
        <v>12</v>
      </c>
      <c r="K187" s="67"/>
      <c r="L187" s="67">
        <v>285000000</v>
      </c>
      <c r="M187" s="67"/>
      <c r="N187" s="67">
        <v>285000000</v>
      </c>
      <c r="O187" s="67"/>
      <c r="P187" s="95"/>
      <c r="Q187" s="99"/>
      <c r="R187" s="99"/>
      <c r="S187" s="99"/>
    </row>
    <row r="188" s="27" customFormat="1" ht="41" customHeight="1" spans="1:19">
      <c r="A188" s="65">
        <v>3</v>
      </c>
      <c r="B188" s="66" t="s">
        <v>136</v>
      </c>
      <c r="C188" s="67"/>
      <c r="D188" s="73">
        <f t="shared" si="33"/>
        <v>96000000</v>
      </c>
      <c r="E188" s="65"/>
      <c r="F188" s="65"/>
      <c r="G188" s="67"/>
      <c r="H188" s="65"/>
      <c r="I188" s="67"/>
      <c r="J188" s="65">
        <v>12</v>
      </c>
      <c r="K188" s="67">
        <v>8000000</v>
      </c>
      <c r="L188" s="67">
        <f>+J188*K188</f>
        <v>96000000</v>
      </c>
      <c r="M188" s="67"/>
      <c r="N188" s="67">
        <f>+L188-M188</f>
        <v>96000000</v>
      </c>
      <c r="O188" s="67"/>
      <c r="P188" s="95"/>
      <c r="Q188" s="99"/>
      <c r="R188" s="99"/>
      <c r="S188" s="99"/>
    </row>
    <row r="189" s="27" customFormat="1" ht="41" customHeight="1" spans="1:19">
      <c r="A189" s="65">
        <v>4</v>
      </c>
      <c r="B189" s="66" t="s">
        <v>137</v>
      </c>
      <c r="C189" s="67"/>
      <c r="D189" s="73">
        <f t="shared" si="33"/>
        <v>457000000</v>
      </c>
      <c r="E189" s="65"/>
      <c r="F189" s="65"/>
      <c r="G189" s="67"/>
      <c r="H189" s="65"/>
      <c r="I189" s="67"/>
      <c r="J189" s="65">
        <v>80</v>
      </c>
      <c r="K189" s="67"/>
      <c r="L189" s="67">
        <v>457000000</v>
      </c>
      <c r="M189" s="67"/>
      <c r="N189" s="67">
        <f>+L189-M189</f>
        <v>457000000</v>
      </c>
      <c r="O189" s="67"/>
      <c r="P189" s="95"/>
      <c r="Q189" s="99"/>
      <c r="R189" s="99"/>
      <c r="S189" s="99"/>
    </row>
    <row r="190" s="26" customFormat="1" ht="30" customHeight="1" spans="1:19">
      <c r="A190" s="69" t="s">
        <v>138</v>
      </c>
      <c r="B190" s="70" t="s">
        <v>139</v>
      </c>
      <c r="C190" s="71"/>
      <c r="D190" s="71">
        <f t="shared" si="33"/>
        <v>446037195.480226</v>
      </c>
      <c r="E190" s="69"/>
      <c r="F190" s="69"/>
      <c r="G190" s="71">
        <f t="shared" ref="G190:I190" si="42">SUM(G191:G195)</f>
        <v>446037195.480226</v>
      </c>
      <c r="H190" s="71">
        <f t="shared" si="42"/>
        <v>33590395.480226</v>
      </c>
      <c r="I190" s="71">
        <f t="shared" si="42"/>
        <v>412446800</v>
      </c>
      <c r="J190" s="69"/>
      <c r="K190" s="69"/>
      <c r="L190" s="69"/>
      <c r="M190" s="69"/>
      <c r="N190" s="71"/>
      <c r="O190" s="71"/>
      <c r="P190" s="94"/>
      <c r="Q190" s="97"/>
      <c r="R190" s="97"/>
      <c r="S190" s="97"/>
    </row>
    <row r="191" s="27" customFormat="1" ht="40" customHeight="1" spans="1:19">
      <c r="A191" s="65"/>
      <c r="B191" s="66" t="s">
        <v>35</v>
      </c>
      <c r="C191" s="67"/>
      <c r="D191" s="73">
        <f t="shared" si="33"/>
        <v>153946800</v>
      </c>
      <c r="E191" s="65">
        <v>2</v>
      </c>
      <c r="F191" s="74">
        <f>+(6.65+0.4)/E191</f>
        <v>3.525</v>
      </c>
      <c r="G191" s="67">
        <f>+((E191*F191*1490000*12)+(1.56*1490000*12))</f>
        <v>153946800</v>
      </c>
      <c r="H191" s="74"/>
      <c r="I191" s="67">
        <f t="shared" ref="I191:I195" si="43">+G191-H191</f>
        <v>153946800</v>
      </c>
      <c r="J191" s="65"/>
      <c r="K191" s="65"/>
      <c r="L191" s="65"/>
      <c r="M191" s="65"/>
      <c r="N191" s="67"/>
      <c r="O191" s="67"/>
      <c r="P191" s="95"/>
      <c r="Q191" s="99"/>
      <c r="R191" s="99"/>
      <c r="S191" s="99"/>
    </row>
    <row r="192" s="27" customFormat="1" ht="30" customHeight="1" spans="1:19">
      <c r="A192" s="65"/>
      <c r="B192" s="66" t="s">
        <v>36</v>
      </c>
      <c r="C192" s="67"/>
      <c r="D192" s="73">
        <f t="shared" si="33"/>
        <v>50000000</v>
      </c>
      <c r="E192" s="65"/>
      <c r="F192" s="75">
        <v>25000000</v>
      </c>
      <c r="G192" s="109">
        <f>+E191*F192</f>
        <v>50000000</v>
      </c>
      <c r="H192" s="67">
        <f>+G192*11.5%</f>
        <v>5750000</v>
      </c>
      <c r="I192" s="109">
        <f t="shared" si="43"/>
        <v>44250000</v>
      </c>
      <c r="J192" s="65"/>
      <c r="K192" s="65"/>
      <c r="L192" s="65"/>
      <c r="M192" s="65"/>
      <c r="N192" s="67"/>
      <c r="O192" s="67"/>
      <c r="P192" s="95"/>
      <c r="Q192" s="99"/>
      <c r="R192" s="99"/>
      <c r="S192" s="99"/>
    </row>
    <row r="193" s="27" customFormat="1" ht="30" customHeight="1" spans="1:19">
      <c r="A193" s="65"/>
      <c r="B193" s="66" t="s">
        <v>140</v>
      </c>
      <c r="C193" s="67"/>
      <c r="D193" s="73">
        <f t="shared" si="33"/>
        <v>135593220.338983</v>
      </c>
      <c r="E193" s="65"/>
      <c r="F193" s="75"/>
      <c r="G193" s="109">
        <f>120000000/0.885</f>
        <v>135593220.338983</v>
      </c>
      <c r="H193" s="67">
        <f>+G193*0.115</f>
        <v>15593220.3389831</v>
      </c>
      <c r="I193" s="109">
        <f t="shared" si="43"/>
        <v>120000000</v>
      </c>
      <c r="J193" s="65"/>
      <c r="K193" s="65"/>
      <c r="L193" s="65"/>
      <c r="M193" s="65"/>
      <c r="N193" s="67"/>
      <c r="O193" s="67"/>
      <c r="P193" s="95"/>
      <c r="Q193" s="99"/>
      <c r="R193" s="99"/>
      <c r="S193" s="99"/>
    </row>
    <row r="194" s="27" customFormat="1" ht="38" customHeight="1" spans="1:19">
      <c r="A194" s="65"/>
      <c r="B194" s="66" t="s">
        <v>141</v>
      </c>
      <c r="C194" s="67"/>
      <c r="D194" s="73">
        <f t="shared" si="33"/>
        <v>56497175.1412429</v>
      </c>
      <c r="E194" s="65"/>
      <c r="F194" s="75"/>
      <c r="G194" s="109">
        <f>50000000/0.885</f>
        <v>56497175.1412429</v>
      </c>
      <c r="H194" s="67">
        <f>+G194*0.115</f>
        <v>6497175.14124294</v>
      </c>
      <c r="I194" s="109">
        <f t="shared" si="43"/>
        <v>50000000</v>
      </c>
      <c r="J194" s="65"/>
      <c r="K194" s="65"/>
      <c r="L194" s="65"/>
      <c r="M194" s="65"/>
      <c r="N194" s="67"/>
      <c r="O194" s="67"/>
      <c r="P194" s="95"/>
      <c r="Q194" s="99"/>
      <c r="R194" s="99"/>
      <c r="S194" s="99"/>
    </row>
    <row r="195" s="27" customFormat="1" ht="79" customHeight="1" spans="1:19">
      <c r="A195" s="65"/>
      <c r="B195" s="110" t="s">
        <v>142</v>
      </c>
      <c r="C195" s="67"/>
      <c r="D195" s="73">
        <f t="shared" si="33"/>
        <v>50000000</v>
      </c>
      <c r="E195" s="65"/>
      <c r="F195" s="65"/>
      <c r="G195" s="67">
        <v>50000000</v>
      </c>
      <c r="H195" s="67">
        <f>+G195*11.5%</f>
        <v>5750000</v>
      </c>
      <c r="I195" s="109">
        <f t="shared" si="43"/>
        <v>44250000</v>
      </c>
      <c r="J195" s="65"/>
      <c r="K195" s="65"/>
      <c r="L195" s="65"/>
      <c r="M195" s="65"/>
      <c r="N195" s="67"/>
      <c r="O195" s="67"/>
      <c r="P195" s="95"/>
      <c r="Q195" s="99"/>
      <c r="R195" s="99"/>
      <c r="S195" s="99"/>
    </row>
    <row r="196" s="26" customFormat="1" ht="40" customHeight="1" spans="1:19">
      <c r="A196" s="69" t="s">
        <v>143</v>
      </c>
      <c r="B196" s="70" t="s">
        <v>144</v>
      </c>
      <c r="C196" s="71"/>
      <c r="D196" s="71">
        <f t="shared" si="33"/>
        <v>692368612</v>
      </c>
      <c r="E196" s="69"/>
      <c r="F196" s="69"/>
      <c r="G196" s="71">
        <f t="shared" ref="G196:I196" si="44">+SUM(G197:G200)</f>
        <v>692368612</v>
      </c>
      <c r="H196" s="71">
        <f t="shared" si="44"/>
        <v>20125000</v>
      </c>
      <c r="I196" s="71">
        <f t="shared" si="44"/>
        <v>672243612</v>
      </c>
      <c r="J196" s="69"/>
      <c r="K196" s="69"/>
      <c r="L196" s="69"/>
      <c r="M196" s="69"/>
      <c r="N196" s="71">
        <f>SUM(N197:N200)</f>
        <v>0</v>
      </c>
      <c r="O196" s="71"/>
      <c r="P196" s="94"/>
      <c r="Q196" s="97"/>
      <c r="R196" s="97"/>
      <c r="S196" s="97"/>
    </row>
    <row r="197" s="27" customFormat="1" ht="39" customHeight="1" spans="1:19">
      <c r="A197" s="65"/>
      <c r="B197" s="66" t="s">
        <v>35</v>
      </c>
      <c r="C197" s="67"/>
      <c r="D197" s="73">
        <f t="shared" si="33"/>
        <v>457368612</v>
      </c>
      <c r="E197" s="65">
        <v>7</v>
      </c>
      <c r="F197" s="74">
        <v>3.09</v>
      </c>
      <c r="G197" s="67">
        <v>457368612</v>
      </c>
      <c r="H197" s="74"/>
      <c r="I197" s="67">
        <f t="shared" ref="I197:I200" si="45">+G197-H197</f>
        <v>457368612</v>
      </c>
      <c r="J197" s="65"/>
      <c r="K197" s="65"/>
      <c r="L197" s="65"/>
      <c r="M197" s="65"/>
      <c r="N197" s="67"/>
      <c r="O197" s="67"/>
      <c r="P197" s="95"/>
      <c r="Q197" s="99"/>
      <c r="R197" s="99"/>
      <c r="S197" s="99"/>
    </row>
    <row r="198" s="27" customFormat="1" ht="27" customHeight="1" spans="1:19">
      <c r="A198" s="65"/>
      <c r="B198" s="66" t="s">
        <v>36</v>
      </c>
      <c r="C198" s="67"/>
      <c r="D198" s="73">
        <f t="shared" si="33"/>
        <v>175000000</v>
      </c>
      <c r="E198" s="65"/>
      <c r="F198" s="75">
        <v>25000000</v>
      </c>
      <c r="G198" s="109">
        <f>+E197*F198</f>
        <v>175000000</v>
      </c>
      <c r="H198" s="67">
        <f>+G198*11.5%</f>
        <v>20125000</v>
      </c>
      <c r="I198" s="67">
        <f t="shared" si="45"/>
        <v>154875000</v>
      </c>
      <c r="J198" s="65"/>
      <c r="K198" s="65"/>
      <c r="L198" s="65"/>
      <c r="M198" s="65"/>
      <c r="N198" s="67"/>
      <c r="O198" s="67"/>
      <c r="P198" s="95"/>
      <c r="Q198" s="99"/>
      <c r="R198" s="99"/>
      <c r="S198" s="99"/>
    </row>
    <row r="199" s="27" customFormat="1" ht="38" customHeight="1" spans="1:19">
      <c r="A199" s="65"/>
      <c r="B199" s="179" t="s">
        <v>145</v>
      </c>
      <c r="C199" s="67"/>
      <c r="D199" s="73">
        <f t="shared" si="33"/>
        <v>24000000</v>
      </c>
      <c r="E199" s="65">
        <v>12</v>
      </c>
      <c r="F199" s="75">
        <v>2000000</v>
      </c>
      <c r="G199" s="67">
        <v>24000000</v>
      </c>
      <c r="H199" s="67"/>
      <c r="I199" s="67">
        <f t="shared" si="45"/>
        <v>24000000</v>
      </c>
      <c r="J199" s="65"/>
      <c r="K199" s="65"/>
      <c r="L199" s="65"/>
      <c r="M199" s="65"/>
      <c r="N199" s="67"/>
      <c r="O199" s="67"/>
      <c r="P199" s="95"/>
      <c r="Q199" s="99"/>
      <c r="R199" s="99"/>
      <c r="S199" s="99"/>
    </row>
    <row r="200" s="27" customFormat="1" ht="42" customHeight="1" spans="1:19">
      <c r="A200" s="65"/>
      <c r="B200" s="66" t="s">
        <v>146</v>
      </c>
      <c r="C200" s="67"/>
      <c r="D200" s="73">
        <f t="shared" si="33"/>
        <v>36000000</v>
      </c>
      <c r="E200" s="65">
        <v>12</v>
      </c>
      <c r="F200" s="75">
        <v>3000000</v>
      </c>
      <c r="G200" s="67">
        <v>36000000</v>
      </c>
      <c r="H200" s="67"/>
      <c r="I200" s="67">
        <f t="shared" si="45"/>
        <v>36000000</v>
      </c>
      <c r="J200" s="65"/>
      <c r="K200" s="65"/>
      <c r="L200" s="65"/>
      <c r="M200" s="65"/>
      <c r="N200" s="67"/>
      <c r="O200" s="67"/>
      <c r="P200" s="95"/>
      <c r="Q200" s="99"/>
      <c r="R200" s="99"/>
      <c r="S200" s="99"/>
    </row>
    <row r="201" s="26" customFormat="1" ht="29.25" customHeight="1" spans="1:19">
      <c r="A201" s="69" t="s">
        <v>147</v>
      </c>
      <c r="B201" s="70" t="s">
        <v>148</v>
      </c>
      <c r="C201" s="71"/>
      <c r="D201" s="71">
        <f t="shared" si="33"/>
        <v>24455518400</v>
      </c>
      <c r="E201" s="71">
        <f>+E202+E207+E211+E213+E214+E215+E216</f>
        <v>0</v>
      </c>
      <c r="F201" s="71">
        <f>+F202+F207+F211+F213+F214+F215+F216</f>
        <v>0</v>
      </c>
      <c r="G201" s="71">
        <f t="shared" ref="G201:I201" si="46">SUM(G202,G207,G209,G210,G211,G213,G214,G215,G216)</f>
        <v>24455518400</v>
      </c>
      <c r="H201" s="71">
        <f t="shared" si="46"/>
        <v>31625000</v>
      </c>
      <c r="I201" s="71">
        <f t="shared" si="46"/>
        <v>24423893400</v>
      </c>
      <c r="J201" s="69"/>
      <c r="K201" s="69"/>
      <c r="L201" s="69"/>
      <c r="M201" s="69"/>
      <c r="N201" s="71"/>
      <c r="O201" s="71"/>
      <c r="P201" s="94"/>
      <c r="Q201" s="97"/>
      <c r="R201" s="97"/>
      <c r="S201" s="97"/>
    </row>
    <row r="202" s="27" customFormat="1" ht="29.25" customHeight="1" spans="1:19">
      <c r="A202" s="65">
        <v>1</v>
      </c>
      <c r="B202" s="110" t="s">
        <v>149</v>
      </c>
      <c r="C202" s="67"/>
      <c r="D202" s="67">
        <f>+D203+D204</f>
        <v>4597000000</v>
      </c>
      <c r="E202" s="67"/>
      <c r="F202" s="67"/>
      <c r="G202" s="67">
        <f t="shared" ref="G202:I202" si="47">SUM(G203:G204)</f>
        <v>4597000000</v>
      </c>
      <c r="H202" s="67">
        <f t="shared" si="47"/>
        <v>0</v>
      </c>
      <c r="I202" s="67">
        <f t="shared" si="47"/>
        <v>4597000000</v>
      </c>
      <c r="J202" s="65"/>
      <c r="K202" s="67"/>
      <c r="L202" s="67"/>
      <c r="M202" s="67"/>
      <c r="N202" s="67"/>
      <c r="O202" s="67"/>
      <c r="P202" s="95"/>
      <c r="Q202" s="99"/>
      <c r="R202" s="99"/>
      <c r="S202" s="99"/>
    </row>
    <row r="203" s="27" customFormat="1" ht="105" customHeight="1" spans="1:19">
      <c r="A203" s="65"/>
      <c r="B203" s="110" t="s">
        <v>150</v>
      </c>
      <c r="C203" s="67"/>
      <c r="D203" s="67">
        <f t="shared" ref="D203:D206" si="48">+G203+L203</f>
        <v>600000000</v>
      </c>
      <c r="E203" s="67"/>
      <c r="F203" s="65"/>
      <c r="G203" s="67">
        <f>600000000</f>
        <v>600000000</v>
      </c>
      <c r="H203" s="67"/>
      <c r="I203" s="67">
        <f>+G203-H203</f>
        <v>600000000</v>
      </c>
      <c r="J203" s="65"/>
      <c r="K203" s="67"/>
      <c r="L203" s="67"/>
      <c r="M203" s="67"/>
      <c r="N203" s="67"/>
      <c r="O203" s="67"/>
      <c r="P203" s="95"/>
      <c r="Q203" s="99">
        <f>6150-1000-458-1000-50-30</f>
        <v>3612</v>
      </c>
      <c r="R203" s="99"/>
      <c r="S203" s="99"/>
    </row>
    <row r="204" s="27" customFormat="1" ht="40.5" customHeight="1" spans="1:19">
      <c r="A204" s="65"/>
      <c r="B204" s="110" t="s">
        <v>151</v>
      </c>
      <c r="C204" s="67"/>
      <c r="D204" s="67">
        <f t="shared" si="48"/>
        <v>3997000000</v>
      </c>
      <c r="E204" s="67"/>
      <c r="F204" s="65"/>
      <c r="G204" s="67">
        <f>SUM(G205:G206)</f>
        <v>3997000000</v>
      </c>
      <c r="H204" s="65"/>
      <c r="I204" s="67">
        <f>SUM(I205:I206)</f>
        <v>3997000000</v>
      </c>
      <c r="J204" s="65"/>
      <c r="K204" s="67"/>
      <c r="L204" s="67"/>
      <c r="M204" s="67"/>
      <c r="N204" s="67"/>
      <c r="O204" s="67"/>
      <c r="P204" s="95"/>
      <c r="Q204" s="99"/>
      <c r="R204" s="99"/>
      <c r="S204" s="99"/>
    </row>
    <row r="205" s="27" customFormat="1" ht="40.5" customHeight="1" spans="1:19">
      <c r="A205" s="65"/>
      <c r="B205" s="113" t="s">
        <v>152</v>
      </c>
      <c r="C205" s="114"/>
      <c r="D205" s="114">
        <f t="shared" si="48"/>
        <v>1998500000</v>
      </c>
      <c r="E205" s="114"/>
      <c r="F205" s="115"/>
      <c r="G205" s="114">
        <v>1998500000</v>
      </c>
      <c r="H205" s="115"/>
      <c r="I205" s="114">
        <v>1998500000</v>
      </c>
      <c r="J205" s="65"/>
      <c r="K205" s="67"/>
      <c r="L205" s="67"/>
      <c r="M205" s="67"/>
      <c r="N205" s="67"/>
      <c r="O205" s="67"/>
      <c r="P205" s="95"/>
      <c r="Q205" s="99"/>
      <c r="R205" s="99"/>
      <c r="S205" s="99"/>
    </row>
    <row r="206" s="27" customFormat="1" ht="68.25" customHeight="1" spans="1:19">
      <c r="A206" s="65"/>
      <c r="B206" s="113" t="s">
        <v>153</v>
      </c>
      <c r="C206" s="114"/>
      <c r="D206" s="114">
        <f t="shared" si="48"/>
        <v>1998500000</v>
      </c>
      <c r="E206" s="114"/>
      <c r="F206" s="115"/>
      <c r="G206" s="114">
        <f>+H206+I206</f>
        <v>1998500000</v>
      </c>
      <c r="H206" s="115"/>
      <c r="I206" s="114">
        <f>3997000000/2</f>
        <v>1998500000</v>
      </c>
      <c r="J206" s="65"/>
      <c r="K206" s="67"/>
      <c r="L206" s="67"/>
      <c r="M206" s="67"/>
      <c r="N206" s="67"/>
      <c r="O206" s="67"/>
      <c r="P206" s="95"/>
      <c r="Q206" s="99"/>
      <c r="R206" s="99"/>
      <c r="S206" s="99"/>
    </row>
    <row r="207" s="27" customFormat="1" ht="33.75" customHeight="1" spans="1:19">
      <c r="A207" s="65">
        <v>2</v>
      </c>
      <c r="B207" s="110" t="s">
        <v>154</v>
      </c>
      <c r="C207" s="67"/>
      <c r="D207" s="67">
        <f>I207+N207</f>
        <v>1500000000</v>
      </c>
      <c r="E207" s="65"/>
      <c r="F207" s="65"/>
      <c r="G207" s="67">
        <f>+G208</f>
        <v>1500000000</v>
      </c>
      <c r="H207" s="67"/>
      <c r="I207" s="67">
        <f>+I208</f>
        <v>1500000000</v>
      </c>
      <c r="J207" s="65"/>
      <c r="K207" s="65"/>
      <c r="L207" s="65"/>
      <c r="M207" s="65"/>
      <c r="N207" s="67"/>
      <c r="O207" s="67"/>
      <c r="P207" s="95"/>
      <c r="Q207" s="99"/>
      <c r="R207" s="99"/>
      <c r="S207" s="99"/>
    </row>
    <row r="208" s="27" customFormat="1" ht="109" customHeight="1" spans="1:19">
      <c r="A208" s="65"/>
      <c r="B208" s="113" t="s">
        <v>155</v>
      </c>
      <c r="C208" s="114"/>
      <c r="D208" s="114">
        <f t="shared" ref="D208:D216" si="49">+G208+L208</f>
        <v>1500000000</v>
      </c>
      <c r="E208" s="115"/>
      <c r="F208" s="115"/>
      <c r="G208" s="114">
        <v>1500000000</v>
      </c>
      <c r="H208" s="114"/>
      <c r="I208" s="114">
        <f>+G208</f>
        <v>1500000000</v>
      </c>
      <c r="J208" s="65"/>
      <c r="K208" s="65"/>
      <c r="L208" s="65"/>
      <c r="M208" s="65"/>
      <c r="N208" s="67"/>
      <c r="O208" s="67"/>
      <c r="P208" s="95"/>
      <c r="Q208" s="99"/>
      <c r="R208" s="99"/>
      <c r="S208" s="99"/>
    </row>
    <row r="209" s="27" customFormat="1" ht="25" customHeight="1" spans="1:19">
      <c r="A209" s="65">
        <v>3</v>
      </c>
      <c r="B209" s="110" t="s">
        <v>156</v>
      </c>
      <c r="C209" s="67"/>
      <c r="D209" s="67">
        <f>+G209</f>
        <v>2000000000</v>
      </c>
      <c r="E209" s="65"/>
      <c r="F209" s="65"/>
      <c r="G209" s="67">
        <f>+I209</f>
        <v>2000000000</v>
      </c>
      <c r="H209" s="67"/>
      <c r="I209" s="67">
        <v>2000000000</v>
      </c>
      <c r="J209" s="65"/>
      <c r="K209" s="65"/>
      <c r="L209" s="65"/>
      <c r="M209" s="65"/>
      <c r="N209" s="67"/>
      <c r="O209" s="67"/>
      <c r="P209" s="95"/>
      <c r="Q209" s="99"/>
      <c r="R209" s="99"/>
      <c r="S209" s="99"/>
    </row>
    <row r="210" s="27" customFormat="1" ht="40" customHeight="1" spans="1:19">
      <c r="A210" s="65">
        <v>4</v>
      </c>
      <c r="B210" s="110" t="s">
        <v>157</v>
      </c>
      <c r="C210" s="114"/>
      <c r="D210" s="67">
        <f t="shared" si="49"/>
        <v>5000000000</v>
      </c>
      <c r="E210" s="65"/>
      <c r="F210" s="65"/>
      <c r="G210" s="67">
        <f>+I210</f>
        <v>5000000000</v>
      </c>
      <c r="H210" s="67"/>
      <c r="I210" s="67">
        <v>5000000000</v>
      </c>
      <c r="J210" s="65"/>
      <c r="K210" s="65"/>
      <c r="L210" s="65"/>
      <c r="M210" s="65"/>
      <c r="N210" s="67"/>
      <c r="O210" s="67"/>
      <c r="P210" s="95"/>
      <c r="Q210" s="99"/>
      <c r="R210" s="99"/>
      <c r="S210" s="99"/>
    </row>
    <row r="211" s="27" customFormat="1" ht="32" customHeight="1" spans="1:19">
      <c r="A211" s="65">
        <v>5</v>
      </c>
      <c r="B211" s="110" t="s">
        <v>158</v>
      </c>
      <c r="C211" s="67"/>
      <c r="D211" s="67">
        <f t="shared" si="49"/>
        <v>1000000000</v>
      </c>
      <c r="E211" s="65"/>
      <c r="F211" s="65"/>
      <c r="G211" s="67">
        <f t="shared" ref="G211:I211" si="50">+G212</f>
        <v>1000000000</v>
      </c>
      <c r="H211" s="67">
        <f t="shared" si="50"/>
        <v>0</v>
      </c>
      <c r="I211" s="67">
        <f t="shared" si="50"/>
        <v>1000000000</v>
      </c>
      <c r="J211" s="65"/>
      <c r="K211" s="65"/>
      <c r="L211" s="65"/>
      <c r="M211" s="65"/>
      <c r="N211" s="67"/>
      <c r="O211" s="67"/>
      <c r="P211" s="95"/>
      <c r="Q211" s="99"/>
      <c r="R211" s="99"/>
      <c r="S211" s="99"/>
    </row>
    <row r="212" s="28" customFormat="1" ht="41.25" customHeight="1" spans="1:19">
      <c r="A212" s="115"/>
      <c r="B212" s="113" t="s">
        <v>159</v>
      </c>
      <c r="C212" s="114"/>
      <c r="D212" s="114">
        <f t="shared" si="49"/>
        <v>1000000000</v>
      </c>
      <c r="E212" s="115"/>
      <c r="F212" s="115"/>
      <c r="G212" s="114">
        <v>1000000000</v>
      </c>
      <c r="H212" s="114"/>
      <c r="I212" s="114">
        <f>+G212</f>
        <v>1000000000</v>
      </c>
      <c r="J212" s="115"/>
      <c r="K212" s="115"/>
      <c r="L212" s="115"/>
      <c r="M212" s="115"/>
      <c r="N212" s="114"/>
      <c r="O212" s="114"/>
      <c r="P212" s="120"/>
      <c r="Q212" s="123"/>
      <c r="R212" s="123"/>
      <c r="S212" s="123"/>
    </row>
    <row r="213" s="27" customFormat="1" ht="45" customHeight="1" spans="1:19">
      <c r="A213" s="65">
        <v>6</v>
      </c>
      <c r="B213" s="110" t="s">
        <v>160</v>
      </c>
      <c r="C213" s="67"/>
      <c r="D213" s="67">
        <f t="shared" si="49"/>
        <v>1000000000</v>
      </c>
      <c r="E213" s="65"/>
      <c r="F213" s="65"/>
      <c r="G213" s="67">
        <v>1000000000</v>
      </c>
      <c r="H213" s="65"/>
      <c r="I213" s="67">
        <f t="shared" ref="I213:I215" si="51">+G213-H213</f>
        <v>1000000000</v>
      </c>
      <c r="J213" s="65"/>
      <c r="K213" s="65"/>
      <c r="L213" s="65"/>
      <c r="M213" s="65"/>
      <c r="N213" s="67"/>
      <c r="O213" s="67"/>
      <c r="P213" s="95"/>
      <c r="Q213" s="99"/>
      <c r="R213" s="99"/>
      <c r="S213" s="99"/>
    </row>
    <row r="214" s="27" customFormat="1" ht="30.75" customHeight="1" spans="1:19">
      <c r="A214" s="65">
        <v>7</v>
      </c>
      <c r="B214" s="110" t="s">
        <v>161</v>
      </c>
      <c r="C214" s="67"/>
      <c r="D214" s="67">
        <f t="shared" si="49"/>
        <v>5081000000</v>
      </c>
      <c r="E214" s="65"/>
      <c r="F214" s="65"/>
      <c r="G214" s="67">
        <v>5081000000</v>
      </c>
      <c r="H214" s="65"/>
      <c r="I214" s="67">
        <f t="shared" si="51"/>
        <v>5081000000</v>
      </c>
      <c r="J214" s="65"/>
      <c r="K214" s="65"/>
      <c r="L214" s="65"/>
      <c r="M214" s="65"/>
      <c r="N214" s="67"/>
      <c r="O214" s="67"/>
      <c r="P214" s="95"/>
      <c r="Q214" s="99"/>
      <c r="R214" s="99"/>
      <c r="S214" s="99"/>
    </row>
    <row r="215" s="27" customFormat="1" ht="55" customHeight="1" spans="1:19">
      <c r="A215" s="65">
        <v>8</v>
      </c>
      <c r="B215" s="110" t="s">
        <v>162</v>
      </c>
      <c r="C215" s="67"/>
      <c r="D215" s="67">
        <f t="shared" si="49"/>
        <v>3000000000</v>
      </c>
      <c r="E215" s="65"/>
      <c r="F215" s="65"/>
      <c r="G215" s="67">
        <v>3000000000</v>
      </c>
      <c r="H215" s="65"/>
      <c r="I215" s="67">
        <f t="shared" si="51"/>
        <v>3000000000</v>
      </c>
      <c r="J215" s="65"/>
      <c r="K215" s="65"/>
      <c r="L215" s="65"/>
      <c r="M215" s="65"/>
      <c r="N215" s="67"/>
      <c r="O215" s="67"/>
      <c r="P215" s="95"/>
      <c r="Q215" s="99"/>
      <c r="R215" s="99"/>
      <c r="S215" s="99"/>
    </row>
    <row r="216" s="27" customFormat="1" ht="36" customHeight="1" spans="1:19">
      <c r="A216" s="65">
        <v>9</v>
      </c>
      <c r="B216" s="66" t="s">
        <v>163</v>
      </c>
      <c r="C216" s="67"/>
      <c r="D216" s="67">
        <f t="shared" si="49"/>
        <v>1277518400</v>
      </c>
      <c r="E216" s="65"/>
      <c r="F216" s="65"/>
      <c r="G216" s="67">
        <f t="shared" ref="G216:I216" si="52">SUM(G217:G220)</f>
        <v>1277518400</v>
      </c>
      <c r="H216" s="67">
        <f t="shared" si="52"/>
        <v>31625000</v>
      </c>
      <c r="I216" s="67">
        <f t="shared" si="52"/>
        <v>1245893400</v>
      </c>
      <c r="J216" s="65"/>
      <c r="K216" s="65"/>
      <c r="L216" s="65"/>
      <c r="M216" s="65"/>
      <c r="N216" s="67"/>
      <c r="O216" s="67"/>
      <c r="P216" s="95"/>
      <c r="Q216" s="99"/>
      <c r="R216" s="99"/>
      <c r="S216" s="99"/>
    </row>
    <row r="217" s="27" customFormat="1" ht="40" customHeight="1" spans="1:19">
      <c r="A217" s="65"/>
      <c r="B217" s="66" t="s">
        <v>35</v>
      </c>
      <c r="C217" s="67"/>
      <c r="D217" s="67"/>
      <c r="E217" s="65">
        <v>11</v>
      </c>
      <c r="F217" s="74">
        <f>+(34.32+5.18)/E217</f>
        <v>3.59090909090909</v>
      </c>
      <c r="G217" s="67">
        <f>+((E217*F217*1490000*12)+(8.18*1490000*12))</f>
        <v>852518400</v>
      </c>
      <c r="H217" s="74"/>
      <c r="I217" s="67">
        <f>+G217</f>
        <v>852518400</v>
      </c>
      <c r="J217" s="65"/>
      <c r="K217" s="65"/>
      <c r="L217" s="65"/>
      <c r="M217" s="65"/>
      <c r="N217" s="67"/>
      <c r="O217" s="67"/>
      <c r="P217" s="95"/>
      <c r="Q217" s="99"/>
      <c r="R217" s="99"/>
      <c r="S217" s="99"/>
    </row>
    <row r="218" s="27" customFormat="1" ht="31.5" customHeight="1" spans="1:19">
      <c r="A218" s="65"/>
      <c r="B218" s="66" t="s">
        <v>36</v>
      </c>
      <c r="C218" s="67"/>
      <c r="D218" s="67"/>
      <c r="E218" s="65"/>
      <c r="F218" s="75">
        <v>25000000</v>
      </c>
      <c r="G218" s="109">
        <f>+E217*F218</f>
        <v>275000000</v>
      </c>
      <c r="H218" s="67">
        <f>+G218*11.5%</f>
        <v>31625000</v>
      </c>
      <c r="I218" s="67">
        <f t="shared" ref="I218:I221" si="53">+G218-H218</f>
        <v>243375000</v>
      </c>
      <c r="J218" s="65"/>
      <c r="K218" s="65"/>
      <c r="L218" s="65"/>
      <c r="M218" s="65"/>
      <c r="N218" s="67"/>
      <c r="O218" s="67"/>
      <c r="P218" s="95"/>
      <c r="Q218" s="99"/>
      <c r="R218" s="99"/>
      <c r="S218" s="99"/>
    </row>
    <row r="219" s="27" customFormat="1" ht="42" customHeight="1" spans="1:19">
      <c r="A219" s="65"/>
      <c r="B219" s="66" t="s">
        <v>133</v>
      </c>
      <c r="C219" s="67"/>
      <c r="D219" s="67">
        <f>+F219</f>
        <v>30000000</v>
      </c>
      <c r="E219" s="65">
        <v>1</v>
      </c>
      <c r="F219" s="75">
        <v>30000000</v>
      </c>
      <c r="G219" s="67">
        <f>+H219+I219</f>
        <v>30000000</v>
      </c>
      <c r="H219" s="67"/>
      <c r="I219" s="67">
        <f>F219*E219</f>
        <v>30000000</v>
      </c>
      <c r="J219" s="65"/>
      <c r="K219" s="65"/>
      <c r="L219" s="65"/>
      <c r="M219" s="65"/>
      <c r="N219" s="67"/>
      <c r="O219" s="67"/>
      <c r="P219" s="95"/>
      <c r="Q219" s="99"/>
      <c r="R219" s="99"/>
      <c r="S219" s="99"/>
    </row>
    <row r="220" s="27" customFormat="1" ht="48" customHeight="1" spans="1:19">
      <c r="A220" s="65"/>
      <c r="B220" s="66" t="s">
        <v>164</v>
      </c>
      <c r="C220" s="67"/>
      <c r="D220" s="67"/>
      <c r="E220" s="65"/>
      <c r="F220" s="75"/>
      <c r="G220" s="109">
        <v>120000000</v>
      </c>
      <c r="H220" s="75"/>
      <c r="I220" s="67">
        <f t="shared" si="53"/>
        <v>120000000</v>
      </c>
      <c r="J220" s="65"/>
      <c r="K220" s="65"/>
      <c r="L220" s="65"/>
      <c r="M220" s="65"/>
      <c r="N220" s="67"/>
      <c r="O220" s="67"/>
      <c r="P220" s="95"/>
      <c r="Q220" s="99"/>
      <c r="R220" s="99"/>
      <c r="S220" s="99"/>
    </row>
    <row r="221" s="26" customFormat="1" ht="30.75" customHeight="1" spans="1:19">
      <c r="A221" s="69" t="s">
        <v>165</v>
      </c>
      <c r="B221" s="116" t="s">
        <v>166</v>
      </c>
      <c r="C221" s="71"/>
      <c r="D221" s="71">
        <f>+G221+L221</f>
        <v>3310000000</v>
      </c>
      <c r="E221" s="69"/>
      <c r="F221" s="107"/>
      <c r="G221" s="71">
        <f>SUM(G222:G233)</f>
        <v>3165000000</v>
      </c>
      <c r="H221" s="71">
        <v>0</v>
      </c>
      <c r="I221" s="71">
        <f t="shared" si="53"/>
        <v>3165000000</v>
      </c>
      <c r="J221" s="71"/>
      <c r="K221" s="71"/>
      <c r="L221" s="71">
        <f t="shared" ref="L221:N221" si="54">SUM(L222:L233)</f>
        <v>145000000</v>
      </c>
      <c r="M221" s="71">
        <f t="shared" si="54"/>
        <v>0</v>
      </c>
      <c r="N221" s="71">
        <f t="shared" si="54"/>
        <v>145000000</v>
      </c>
      <c r="O221" s="71"/>
      <c r="P221" s="94"/>
      <c r="Q221" s="97"/>
      <c r="R221" s="97"/>
      <c r="S221" s="97"/>
    </row>
    <row r="222" s="27" customFormat="1" ht="37" hidden="1" customHeight="1" spans="1:19">
      <c r="A222" s="65"/>
      <c r="B222" s="110" t="s">
        <v>167</v>
      </c>
      <c r="C222" s="67"/>
      <c r="D222" s="67"/>
      <c r="E222" s="65"/>
      <c r="F222" s="75"/>
      <c r="G222" s="67">
        <v>90000000</v>
      </c>
      <c r="H222" s="67"/>
      <c r="I222" s="67">
        <f t="shared" ref="I222:I227" si="55">+G222</f>
        <v>90000000</v>
      </c>
      <c r="J222" s="65"/>
      <c r="K222" s="65"/>
      <c r="L222" s="65"/>
      <c r="M222" s="65"/>
      <c r="N222" s="67"/>
      <c r="O222" s="67"/>
      <c r="P222" s="95"/>
      <c r="Q222" s="99"/>
      <c r="R222" s="99"/>
      <c r="S222" s="99"/>
    </row>
    <row r="223" s="27" customFormat="1" ht="24.75" hidden="1" customHeight="1" spans="1:19">
      <c r="A223" s="65"/>
      <c r="B223" s="110" t="s">
        <v>168</v>
      </c>
      <c r="C223" s="67"/>
      <c r="D223" s="67"/>
      <c r="E223" s="65"/>
      <c r="F223" s="75"/>
      <c r="G223" s="67">
        <v>200000000</v>
      </c>
      <c r="H223" s="67"/>
      <c r="I223" s="67">
        <f t="shared" si="55"/>
        <v>200000000</v>
      </c>
      <c r="J223" s="65"/>
      <c r="K223" s="65"/>
      <c r="L223" s="65"/>
      <c r="M223" s="65"/>
      <c r="N223" s="67"/>
      <c r="O223" s="67"/>
      <c r="P223" s="95"/>
      <c r="Q223" s="99"/>
      <c r="R223" s="99"/>
      <c r="S223" s="99"/>
    </row>
    <row r="224" s="27" customFormat="1" ht="60" hidden="1" customHeight="1" spans="1:19">
      <c r="A224" s="65"/>
      <c r="B224" s="110" t="s">
        <v>169</v>
      </c>
      <c r="C224" s="67"/>
      <c r="D224" s="67"/>
      <c r="E224" s="65"/>
      <c r="F224" s="75"/>
      <c r="G224" s="67">
        <f>660000000-60000000</f>
        <v>600000000</v>
      </c>
      <c r="H224" s="67"/>
      <c r="I224" s="67">
        <f t="shared" si="55"/>
        <v>600000000</v>
      </c>
      <c r="J224" s="65"/>
      <c r="K224" s="65"/>
      <c r="L224" s="65"/>
      <c r="M224" s="65"/>
      <c r="N224" s="67"/>
      <c r="O224" s="67"/>
      <c r="P224" s="95"/>
      <c r="Q224" s="99"/>
      <c r="R224" s="99"/>
      <c r="S224" s="99"/>
    </row>
    <row r="225" s="27" customFormat="1" ht="39" hidden="1" customHeight="1" spans="1:19">
      <c r="A225" s="65"/>
      <c r="B225" s="110" t="s">
        <v>170</v>
      </c>
      <c r="C225" s="67"/>
      <c r="D225" s="67"/>
      <c r="E225" s="65"/>
      <c r="F225" s="75"/>
      <c r="G225" s="67">
        <v>50000000</v>
      </c>
      <c r="H225" s="67"/>
      <c r="I225" s="67">
        <f t="shared" si="55"/>
        <v>50000000</v>
      </c>
      <c r="J225" s="65"/>
      <c r="K225" s="65"/>
      <c r="L225" s="65"/>
      <c r="M225" s="65"/>
      <c r="N225" s="67"/>
      <c r="O225" s="67"/>
      <c r="P225" s="95"/>
      <c r="Q225" s="99"/>
      <c r="R225" s="99"/>
      <c r="S225" s="99"/>
    </row>
    <row r="226" s="27" customFormat="1" ht="39" hidden="1" customHeight="1" spans="1:19">
      <c r="A226" s="65"/>
      <c r="B226" s="110" t="s">
        <v>171</v>
      </c>
      <c r="C226" s="67"/>
      <c r="D226" s="67"/>
      <c r="E226" s="65"/>
      <c r="F226" s="75"/>
      <c r="G226" s="67">
        <v>200000000</v>
      </c>
      <c r="H226" s="67"/>
      <c r="I226" s="67">
        <f t="shared" si="55"/>
        <v>200000000</v>
      </c>
      <c r="J226" s="65"/>
      <c r="K226" s="65"/>
      <c r="L226" s="65"/>
      <c r="M226" s="65"/>
      <c r="N226" s="67"/>
      <c r="O226" s="67"/>
      <c r="P226" s="95"/>
      <c r="Q226" s="99"/>
      <c r="R226" s="99"/>
      <c r="S226" s="99"/>
    </row>
    <row r="227" s="27" customFormat="1" ht="39" hidden="1" customHeight="1" spans="1:19">
      <c r="A227" s="65"/>
      <c r="B227" s="110" t="s">
        <v>172</v>
      </c>
      <c r="C227" s="67"/>
      <c r="D227" s="67"/>
      <c r="E227" s="65"/>
      <c r="F227" s="75"/>
      <c r="G227" s="67">
        <f>125000000+1100000000-50000000-250000000+60000000</f>
        <v>985000000</v>
      </c>
      <c r="H227" s="67"/>
      <c r="I227" s="67">
        <f t="shared" si="55"/>
        <v>985000000</v>
      </c>
      <c r="J227" s="65"/>
      <c r="K227" s="65"/>
      <c r="L227" s="65"/>
      <c r="M227" s="65"/>
      <c r="N227" s="67"/>
      <c r="O227" s="67"/>
      <c r="P227" s="95"/>
      <c r="Q227" s="99"/>
      <c r="R227" s="99"/>
      <c r="S227" s="99"/>
    </row>
    <row r="228" s="27" customFormat="1" ht="42" hidden="1" customHeight="1" spans="1:19">
      <c r="A228" s="65"/>
      <c r="B228" s="110" t="s">
        <v>173</v>
      </c>
      <c r="C228" s="67"/>
      <c r="D228" s="67">
        <f>+G228+L228</f>
        <v>250000000</v>
      </c>
      <c r="E228" s="65"/>
      <c r="F228" s="65"/>
      <c r="G228" s="67">
        <v>250000000</v>
      </c>
      <c r="H228" s="67"/>
      <c r="I228" s="67">
        <f>+G228-H228</f>
        <v>250000000</v>
      </c>
      <c r="J228" s="65"/>
      <c r="K228" s="65"/>
      <c r="L228" s="65"/>
      <c r="M228" s="65"/>
      <c r="N228" s="67"/>
      <c r="O228" s="67"/>
      <c r="P228" s="95"/>
      <c r="Q228" s="99"/>
      <c r="R228" s="99"/>
      <c r="S228" s="99"/>
    </row>
    <row r="229" s="27" customFormat="1" ht="71" hidden="1" customHeight="1" spans="1:19">
      <c r="A229" s="65"/>
      <c r="B229" s="110" t="s">
        <v>174</v>
      </c>
      <c r="C229" s="67"/>
      <c r="D229" s="67"/>
      <c r="E229" s="65"/>
      <c r="F229" s="75"/>
      <c r="G229" s="67">
        <v>500000000</v>
      </c>
      <c r="H229" s="67"/>
      <c r="I229" s="67">
        <f t="shared" ref="I229:I233" si="56">+G229</f>
        <v>500000000</v>
      </c>
      <c r="J229" s="65"/>
      <c r="K229" s="65"/>
      <c r="L229" s="65"/>
      <c r="M229" s="65"/>
      <c r="N229" s="67"/>
      <c r="O229" s="67"/>
      <c r="P229" s="95"/>
      <c r="Q229" s="99"/>
      <c r="R229" s="99"/>
      <c r="S229" s="99"/>
    </row>
    <row r="230" s="27" customFormat="1" ht="37" hidden="1" customHeight="1" spans="1:19">
      <c r="A230" s="65"/>
      <c r="B230" s="110" t="s">
        <v>175</v>
      </c>
      <c r="C230" s="67"/>
      <c r="D230" s="67"/>
      <c r="E230" s="65"/>
      <c r="F230" s="75"/>
      <c r="G230" s="67">
        <v>90000000</v>
      </c>
      <c r="H230" s="67"/>
      <c r="I230" s="67">
        <f t="shared" si="56"/>
        <v>90000000</v>
      </c>
      <c r="J230" s="65"/>
      <c r="K230" s="65"/>
      <c r="L230" s="65"/>
      <c r="M230" s="65"/>
      <c r="N230" s="67"/>
      <c r="O230" s="67"/>
      <c r="P230" s="95"/>
      <c r="Q230" s="99"/>
      <c r="R230" s="99"/>
      <c r="S230" s="99"/>
    </row>
    <row r="231" s="27" customFormat="1" ht="39" hidden="1" customHeight="1" spans="1:19">
      <c r="A231" s="65"/>
      <c r="B231" s="110" t="s">
        <v>176</v>
      </c>
      <c r="C231" s="67"/>
      <c r="D231" s="67"/>
      <c r="E231" s="65"/>
      <c r="F231" s="75"/>
      <c r="G231" s="67">
        <f>I231</f>
        <v>50000000</v>
      </c>
      <c r="H231" s="67"/>
      <c r="I231" s="67">
        <v>50000000</v>
      </c>
      <c r="J231" s="65"/>
      <c r="K231" s="65"/>
      <c r="L231" s="65"/>
      <c r="M231" s="65"/>
      <c r="N231" s="67"/>
      <c r="O231" s="67"/>
      <c r="P231" s="95"/>
      <c r="Q231" s="99"/>
      <c r="R231" s="99"/>
      <c r="S231" s="99"/>
    </row>
    <row r="232" s="27" customFormat="1" ht="60" hidden="1" customHeight="1" spans="1:19">
      <c r="A232" s="65"/>
      <c r="B232" s="110" t="s">
        <v>177</v>
      </c>
      <c r="C232" s="67"/>
      <c r="D232" s="67"/>
      <c r="E232" s="65"/>
      <c r="F232" s="75"/>
      <c r="G232" s="67">
        <f>50000000+30000000</f>
        <v>80000000</v>
      </c>
      <c r="H232" s="67"/>
      <c r="I232" s="67">
        <f t="shared" si="56"/>
        <v>80000000</v>
      </c>
      <c r="J232" s="65"/>
      <c r="K232" s="65"/>
      <c r="L232" s="67">
        <v>145000000</v>
      </c>
      <c r="M232" s="65"/>
      <c r="N232" s="67">
        <f>+L232-M232</f>
        <v>145000000</v>
      </c>
      <c r="O232" s="67"/>
      <c r="P232" s="95" t="s">
        <v>178</v>
      </c>
      <c r="Q232" s="99"/>
      <c r="R232" s="99"/>
      <c r="S232" s="99"/>
    </row>
    <row r="233" s="27" customFormat="1" ht="42" hidden="1" customHeight="1" spans="1:19">
      <c r="A233" s="65"/>
      <c r="B233" s="110" t="s">
        <v>179</v>
      </c>
      <c r="C233" s="67"/>
      <c r="D233" s="67"/>
      <c r="E233" s="65"/>
      <c r="F233" s="75"/>
      <c r="G233" s="67">
        <v>70000000</v>
      </c>
      <c r="H233" s="67"/>
      <c r="I233" s="67">
        <f t="shared" si="56"/>
        <v>70000000</v>
      </c>
      <c r="J233" s="65"/>
      <c r="K233" s="65"/>
      <c r="L233" s="65"/>
      <c r="M233" s="65"/>
      <c r="N233" s="67"/>
      <c r="O233" s="67"/>
      <c r="P233" s="95"/>
      <c r="Q233" s="99"/>
      <c r="R233" s="99"/>
      <c r="S233" s="99"/>
    </row>
    <row r="234" s="26" customFormat="1" ht="27.75" customHeight="1" spans="1:19">
      <c r="A234" s="69" t="s">
        <v>165</v>
      </c>
      <c r="B234" s="70" t="s">
        <v>180</v>
      </c>
      <c r="C234" s="71"/>
      <c r="D234" s="71">
        <f t="shared" ref="D234:D237" si="57">+G234+L234</f>
        <v>350000000</v>
      </c>
      <c r="E234" s="69"/>
      <c r="F234" s="69"/>
      <c r="G234" s="71">
        <v>350000000</v>
      </c>
      <c r="H234" s="69"/>
      <c r="I234" s="71">
        <v>350000000</v>
      </c>
      <c r="J234" s="69"/>
      <c r="K234" s="69"/>
      <c r="L234" s="69"/>
      <c r="M234" s="69"/>
      <c r="N234" s="71"/>
      <c r="O234" s="71"/>
      <c r="P234" s="94"/>
      <c r="Q234" s="97"/>
      <c r="R234" s="97"/>
      <c r="S234" s="97"/>
    </row>
    <row r="235" s="26" customFormat="1" ht="27.75" customHeight="1" spans="1:19">
      <c r="A235" s="69" t="s">
        <v>181</v>
      </c>
      <c r="B235" s="70" t="s">
        <v>182</v>
      </c>
      <c r="C235" s="71"/>
      <c r="D235" s="71">
        <f t="shared" si="57"/>
        <v>90199457512.6533</v>
      </c>
      <c r="E235" s="69"/>
      <c r="F235" s="69"/>
      <c r="G235" s="71">
        <f t="shared" ref="G235:N235" si="58">+G236+G272+G380</f>
        <v>33961341149.0169</v>
      </c>
      <c r="H235" s="71">
        <f t="shared" si="58"/>
        <v>1187568193.50283</v>
      </c>
      <c r="I235" s="71">
        <f t="shared" si="58"/>
        <v>32773772955.5141</v>
      </c>
      <c r="J235" s="71">
        <f t="shared" si="58"/>
        <v>172</v>
      </c>
      <c r="K235" s="71">
        <f t="shared" si="58"/>
        <v>25000000</v>
      </c>
      <c r="L235" s="71">
        <f t="shared" si="58"/>
        <v>56238116363.6364</v>
      </c>
      <c r="M235" s="71">
        <f t="shared" si="58"/>
        <v>568560000</v>
      </c>
      <c r="N235" s="71">
        <f t="shared" si="58"/>
        <v>55669556363.6364</v>
      </c>
      <c r="O235" s="71"/>
      <c r="P235" s="94">
        <f>40990145933</f>
        <v>40990145933</v>
      </c>
      <c r="Q235" s="97">
        <v>5216400000</v>
      </c>
      <c r="R235" s="97"/>
      <c r="S235" s="97"/>
    </row>
    <row r="236" s="29" customFormat="1" ht="27.75" customHeight="1" spans="1:19">
      <c r="A236" s="117" t="s">
        <v>183</v>
      </c>
      <c r="B236" s="118" t="s">
        <v>184</v>
      </c>
      <c r="C236" s="119"/>
      <c r="D236" s="119">
        <f t="shared" si="57"/>
        <v>13711576518.9149</v>
      </c>
      <c r="E236" s="117"/>
      <c r="F236" s="117"/>
      <c r="G236" s="119">
        <f t="shared" ref="G236:I236" si="59">+G237+G245+G246+G247+G248+G249+G250+G251+G252+G253+G254+G255+G256+G257+G258+G259+G260+G261+G262+G265+G266+G267+G268</f>
        <v>8654165907.34463</v>
      </c>
      <c r="H236" s="119">
        <f t="shared" si="59"/>
        <v>309655139.830509</v>
      </c>
      <c r="I236" s="119">
        <f t="shared" si="59"/>
        <v>8344510767.51412</v>
      </c>
      <c r="J236" s="119">
        <f t="shared" ref="J236:M236" si="60">+J237+SUM(J245:J268)</f>
        <v>172</v>
      </c>
      <c r="K236" s="119">
        <f t="shared" si="60"/>
        <v>25000000</v>
      </c>
      <c r="L236" s="119">
        <f t="shared" si="60"/>
        <v>5057410611.57025</v>
      </c>
      <c r="M236" s="119">
        <f t="shared" si="60"/>
        <v>58650000</v>
      </c>
      <c r="N236" s="119">
        <f t="shared" ref="N236:N240" si="61">+L236-M236</f>
        <v>4998760611.57025</v>
      </c>
      <c r="O236" s="119"/>
      <c r="P236" s="121">
        <v>4469930000</v>
      </c>
      <c r="Q236" s="124"/>
      <c r="R236" s="124"/>
      <c r="S236" s="124"/>
    </row>
    <row r="237" s="27" customFormat="1" ht="27.75" customHeight="1" spans="1:19">
      <c r="A237" s="65">
        <v>1</v>
      </c>
      <c r="B237" s="110" t="s">
        <v>185</v>
      </c>
      <c r="C237" s="67"/>
      <c r="D237" s="67">
        <f t="shared" si="57"/>
        <v>8705638561.85273</v>
      </c>
      <c r="E237" s="65"/>
      <c r="F237" s="65"/>
      <c r="G237" s="67">
        <f t="shared" ref="G237:O237" si="62">+SUM(G238:G244)</f>
        <v>5420371950.28249</v>
      </c>
      <c r="H237" s="67">
        <f t="shared" si="62"/>
        <v>123279350.282486</v>
      </c>
      <c r="I237" s="67">
        <f t="shared" si="62"/>
        <v>5297092600</v>
      </c>
      <c r="J237" s="67">
        <f t="shared" si="62"/>
        <v>33</v>
      </c>
      <c r="K237" s="67">
        <f t="shared" si="62"/>
        <v>25000000</v>
      </c>
      <c r="L237" s="67">
        <f t="shared" si="62"/>
        <v>3285266611.57025</v>
      </c>
      <c r="M237" s="67">
        <f t="shared" si="62"/>
        <v>58650000</v>
      </c>
      <c r="N237" s="67">
        <f t="shared" si="62"/>
        <v>3226616611.57025</v>
      </c>
      <c r="O237" s="67">
        <f t="shared" si="62"/>
        <v>0</v>
      </c>
      <c r="P237" s="95">
        <v>8126597000</v>
      </c>
      <c r="Q237" s="99"/>
      <c r="R237" s="99"/>
      <c r="S237" s="99"/>
    </row>
    <row r="238" s="27" customFormat="1" ht="35" customHeight="1" spans="1:19">
      <c r="A238" s="65"/>
      <c r="B238" s="66" t="s">
        <v>35</v>
      </c>
      <c r="C238" s="67"/>
      <c r="D238" s="67"/>
      <c r="E238" s="65">
        <v>32</v>
      </c>
      <c r="F238" s="74">
        <f>+(122.95+78.51)/E238</f>
        <v>6.295625</v>
      </c>
      <c r="G238" s="67">
        <f>+((E238*F238*1490000*12)+(29.2*1490000*12))</f>
        <v>4124200800</v>
      </c>
      <c r="H238" s="74"/>
      <c r="I238" s="67">
        <f t="shared" ref="I238:I243" si="63">+G238-H238</f>
        <v>4124200800</v>
      </c>
      <c r="J238" s="65">
        <v>24</v>
      </c>
      <c r="K238" s="122"/>
      <c r="L238" s="67">
        <f>2253740000*1490000/1210000</f>
        <v>2775266611.57025</v>
      </c>
      <c r="M238" s="122"/>
      <c r="N238" s="67">
        <f>L238-M238</f>
        <v>2775266611.57025</v>
      </c>
      <c r="O238" s="111"/>
      <c r="P238" s="95">
        <f>P235+P236+P237</f>
        <v>53586672933</v>
      </c>
      <c r="Q238" s="99"/>
      <c r="R238" s="99"/>
      <c r="S238" s="99"/>
    </row>
    <row r="239" s="27" customFormat="1" ht="27.75" customHeight="1" spans="1:19">
      <c r="A239" s="65"/>
      <c r="B239" s="66" t="s">
        <v>36</v>
      </c>
      <c r="C239" s="67"/>
      <c r="D239" s="67"/>
      <c r="E239" s="65"/>
      <c r="F239" s="75">
        <v>25000000</v>
      </c>
      <c r="G239" s="109">
        <f>+E238*F239</f>
        <v>800000000</v>
      </c>
      <c r="H239" s="67">
        <f t="shared" ref="H239:H242" si="64">+G239*11.5%</f>
        <v>92000000</v>
      </c>
      <c r="I239" s="109">
        <f t="shared" si="63"/>
        <v>708000000</v>
      </c>
      <c r="J239" s="65"/>
      <c r="K239" s="67">
        <v>19000000</v>
      </c>
      <c r="L239" s="67">
        <f>+J238*K239</f>
        <v>456000000</v>
      </c>
      <c r="M239" s="67">
        <f>+L239*11.5%</f>
        <v>52440000</v>
      </c>
      <c r="N239" s="67">
        <f t="shared" si="61"/>
        <v>403560000</v>
      </c>
      <c r="O239" s="67"/>
      <c r="P239" s="95">
        <f>+P238-P252-P253</f>
        <v>52264808933</v>
      </c>
      <c r="Q239" s="99"/>
      <c r="R239" s="99"/>
      <c r="S239" s="99"/>
    </row>
    <row r="240" s="27" customFormat="1" ht="41" customHeight="1" spans="1:19">
      <c r="A240" s="65"/>
      <c r="B240" s="66" t="s">
        <v>186</v>
      </c>
      <c r="C240" s="67"/>
      <c r="D240" s="67"/>
      <c r="E240" s="65"/>
      <c r="F240" s="75"/>
      <c r="G240" s="67"/>
      <c r="H240" s="75"/>
      <c r="I240" s="67"/>
      <c r="J240" s="65">
        <v>9</v>
      </c>
      <c r="K240" s="67">
        <v>6000000</v>
      </c>
      <c r="L240" s="67">
        <f>+J240*K240</f>
        <v>54000000</v>
      </c>
      <c r="M240" s="67">
        <f>+L240*11.5%</f>
        <v>6210000</v>
      </c>
      <c r="N240" s="67">
        <f t="shared" si="61"/>
        <v>47790000</v>
      </c>
      <c r="O240" s="67"/>
      <c r="P240" s="95"/>
      <c r="Q240" s="99"/>
      <c r="R240" s="99"/>
      <c r="S240" s="99"/>
    </row>
    <row r="241" s="27" customFormat="1" ht="38" customHeight="1" spans="1:19">
      <c r="A241" s="65"/>
      <c r="B241" s="66" t="s">
        <v>187</v>
      </c>
      <c r="C241" s="67"/>
      <c r="D241" s="67"/>
      <c r="E241" s="65"/>
      <c r="F241" s="65"/>
      <c r="G241" s="67">
        <f>100000000/0.885</f>
        <v>112994350.282486</v>
      </c>
      <c r="H241" s="67">
        <f t="shared" si="64"/>
        <v>12994350.2824859</v>
      </c>
      <c r="I241" s="67">
        <f t="shared" si="63"/>
        <v>100000000</v>
      </c>
      <c r="J241" s="65"/>
      <c r="K241" s="65"/>
      <c r="L241" s="65"/>
      <c r="M241" s="65"/>
      <c r="N241" s="67"/>
      <c r="O241" s="67"/>
      <c r="P241" s="95"/>
      <c r="Q241" s="99"/>
      <c r="R241" s="99"/>
      <c r="S241" s="99"/>
    </row>
    <row r="242" s="27" customFormat="1" ht="39" customHeight="1" spans="1:19">
      <c r="A242" s="65"/>
      <c r="B242" s="66" t="s">
        <v>188</v>
      </c>
      <c r="C242" s="67"/>
      <c r="D242" s="67"/>
      <c r="E242" s="65"/>
      <c r="F242" s="111"/>
      <c r="G242" s="67">
        <v>119000000</v>
      </c>
      <c r="H242" s="67">
        <f t="shared" si="64"/>
        <v>13685000</v>
      </c>
      <c r="I242" s="67">
        <f t="shared" si="63"/>
        <v>105315000</v>
      </c>
      <c r="J242" s="65"/>
      <c r="K242" s="65"/>
      <c r="L242" s="65"/>
      <c r="M242" s="65"/>
      <c r="N242" s="67"/>
      <c r="O242" s="67"/>
      <c r="P242" s="95"/>
      <c r="Q242" s="99"/>
      <c r="R242" s="99"/>
      <c r="S242" s="99"/>
    </row>
    <row r="243" s="27" customFormat="1" ht="27.75" customHeight="1" spans="1:19">
      <c r="A243" s="65"/>
      <c r="B243" s="66" t="s">
        <v>189</v>
      </c>
      <c r="C243" s="67"/>
      <c r="D243" s="67"/>
      <c r="E243" s="65">
        <v>2</v>
      </c>
      <c r="F243" s="74">
        <f>+(5.89+3.64)/E243</f>
        <v>4.765</v>
      </c>
      <c r="G243" s="67">
        <f>+((E243*F243*1490000*12)+(1.33*1490000*12))+40000000</f>
        <v>234176800</v>
      </c>
      <c r="H243" s="67">
        <f>40000000*11.5%</f>
        <v>4600000</v>
      </c>
      <c r="I243" s="67">
        <f t="shared" si="63"/>
        <v>229576800</v>
      </c>
      <c r="J243" s="65"/>
      <c r="K243" s="65"/>
      <c r="L243" s="65"/>
      <c r="M243" s="65"/>
      <c r="N243" s="67"/>
      <c r="O243" s="67"/>
      <c r="P243" s="95"/>
      <c r="Q243" s="99"/>
      <c r="R243" s="99"/>
      <c r="S243" s="99"/>
    </row>
    <row r="244" s="27" customFormat="1" ht="42" customHeight="1" spans="1:19">
      <c r="A244" s="65"/>
      <c r="B244" s="66" t="s">
        <v>133</v>
      </c>
      <c r="C244" s="67"/>
      <c r="D244" s="67"/>
      <c r="E244" s="65">
        <v>1</v>
      </c>
      <c r="F244" s="75">
        <v>30000000</v>
      </c>
      <c r="G244" s="67">
        <f>+H244+I244</f>
        <v>30000000</v>
      </c>
      <c r="H244" s="67"/>
      <c r="I244" s="67">
        <f>F244*E244</f>
        <v>30000000</v>
      </c>
      <c r="J244" s="65"/>
      <c r="K244" s="65"/>
      <c r="L244" s="65"/>
      <c r="M244" s="65"/>
      <c r="N244" s="67"/>
      <c r="O244" s="67"/>
      <c r="P244" s="95"/>
      <c r="Q244" s="99"/>
      <c r="R244" s="99"/>
      <c r="S244" s="99"/>
    </row>
    <row r="245" s="27" customFormat="1" ht="48" customHeight="1" spans="1:19">
      <c r="A245" s="65">
        <v>2</v>
      </c>
      <c r="B245" s="66" t="s">
        <v>190</v>
      </c>
      <c r="C245" s="67"/>
      <c r="D245" s="67">
        <f t="shared" ref="D245:D262" si="65">+G245+L245</f>
        <v>600000000</v>
      </c>
      <c r="E245" s="65"/>
      <c r="F245" s="65"/>
      <c r="G245" s="67">
        <f>600000000</f>
        <v>600000000</v>
      </c>
      <c r="H245" s="67">
        <f>+G245*11.5%</f>
        <v>69000000</v>
      </c>
      <c r="I245" s="67">
        <f t="shared" ref="I245:I249" si="66">+G245-H245</f>
        <v>531000000</v>
      </c>
      <c r="J245" s="65"/>
      <c r="K245" s="65"/>
      <c r="L245" s="65"/>
      <c r="M245" s="65"/>
      <c r="N245" s="122"/>
      <c r="O245" s="67"/>
      <c r="P245" s="95"/>
      <c r="Q245" s="99"/>
      <c r="R245" s="99"/>
      <c r="S245" s="99"/>
    </row>
    <row r="246" s="27" customFormat="1" ht="71" customHeight="1" spans="1:19">
      <c r="A246" s="65">
        <v>3</v>
      </c>
      <c r="B246" s="110" t="s">
        <v>191</v>
      </c>
      <c r="C246" s="67"/>
      <c r="D246" s="67">
        <f t="shared" si="65"/>
        <v>370000000</v>
      </c>
      <c r="E246" s="65"/>
      <c r="F246" s="65"/>
      <c r="G246" s="67">
        <v>370000000</v>
      </c>
      <c r="H246" s="65"/>
      <c r="I246" s="67">
        <f t="shared" si="66"/>
        <v>370000000</v>
      </c>
      <c r="J246" s="65"/>
      <c r="K246" s="65"/>
      <c r="L246" s="65"/>
      <c r="M246" s="65"/>
      <c r="N246" s="67"/>
      <c r="O246" s="67"/>
      <c r="P246" s="95"/>
      <c r="Q246" s="99"/>
      <c r="R246" s="99"/>
      <c r="S246" s="99"/>
    </row>
    <row r="247" s="27" customFormat="1" ht="31" customHeight="1" spans="1:19">
      <c r="A247" s="65">
        <v>4</v>
      </c>
      <c r="B247" s="110" t="s">
        <v>192</v>
      </c>
      <c r="C247" s="67"/>
      <c r="D247" s="67">
        <f t="shared" si="65"/>
        <v>90395480.2259887</v>
      </c>
      <c r="E247" s="65"/>
      <c r="F247" s="65"/>
      <c r="G247" s="67">
        <f>80000000/0.885</f>
        <v>90395480.2259887</v>
      </c>
      <c r="H247" s="67">
        <f>+G247*0.115</f>
        <v>10395480.2259887</v>
      </c>
      <c r="I247" s="67">
        <f t="shared" si="66"/>
        <v>80000000</v>
      </c>
      <c r="J247" s="65"/>
      <c r="K247" s="65"/>
      <c r="L247" s="65"/>
      <c r="M247" s="65"/>
      <c r="N247" s="67"/>
      <c r="O247" s="67"/>
      <c r="P247" s="95"/>
      <c r="Q247" s="99"/>
      <c r="R247" s="99"/>
      <c r="S247" s="99"/>
    </row>
    <row r="248" s="27" customFormat="1" ht="42" customHeight="1" spans="1:19">
      <c r="A248" s="65">
        <v>5</v>
      </c>
      <c r="B248" s="66" t="s">
        <v>193</v>
      </c>
      <c r="C248" s="67"/>
      <c r="D248" s="67">
        <f t="shared" si="65"/>
        <v>33898305.0847458</v>
      </c>
      <c r="E248" s="65"/>
      <c r="F248" s="65"/>
      <c r="G248" s="67">
        <f>30000000/0.885</f>
        <v>33898305.0847458</v>
      </c>
      <c r="H248" s="67">
        <f>+G248*0.115</f>
        <v>3898305.08474576</v>
      </c>
      <c r="I248" s="67">
        <f t="shared" si="66"/>
        <v>30000000</v>
      </c>
      <c r="J248" s="65"/>
      <c r="K248" s="65"/>
      <c r="L248" s="65"/>
      <c r="M248" s="65"/>
      <c r="N248" s="67"/>
      <c r="O248" s="67"/>
      <c r="P248" s="95"/>
      <c r="Q248" s="99"/>
      <c r="R248" s="99"/>
      <c r="S248" s="99"/>
    </row>
    <row r="249" s="27" customFormat="1" ht="33" customHeight="1" spans="1:19">
      <c r="A249" s="65">
        <v>6</v>
      </c>
      <c r="B249" s="66" t="s">
        <v>194</v>
      </c>
      <c r="C249" s="67"/>
      <c r="D249" s="67">
        <f t="shared" si="65"/>
        <v>32184000</v>
      </c>
      <c r="E249" s="65">
        <v>6</v>
      </c>
      <c r="F249" s="75">
        <f>0.3*1490000*12</f>
        <v>5364000</v>
      </c>
      <c r="G249" s="67">
        <f>+E249*F249</f>
        <v>32184000</v>
      </c>
      <c r="H249" s="111"/>
      <c r="I249" s="67">
        <f t="shared" si="66"/>
        <v>32184000</v>
      </c>
      <c r="J249" s="65"/>
      <c r="K249" s="65"/>
      <c r="L249" s="65"/>
      <c r="M249" s="65"/>
      <c r="N249" s="67"/>
      <c r="O249" s="67"/>
      <c r="P249" s="95"/>
      <c r="Q249" s="99"/>
      <c r="R249" s="99"/>
      <c r="S249" s="99"/>
    </row>
    <row r="250" s="27" customFormat="1" ht="39" customHeight="1" spans="1:19">
      <c r="A250" s="65">
        <v>7</v>
      </c>
      <c r="B250" s="66" t="s">
        <v>195</v>
      </c>
      <c r="C250" s="67"/>
      <c r="D250" s="67">
        <f t="shared" si="65"/>
        <v>117280000</v>
      </c>
      <c r="E250" s="65">
        <v>30</v>
      </c>
      <c r="F250" s="75">
        <f>(0.2*1490000*12)</f>
        <v>3576000</v>
      </c>
      <c r="G250" s="67">
        <f>+E250*F250+10000000</f>
        <v>117280000</v>
      </c>
      <c r="H250" s="111"/>
      <c r="I250" s="67">
        <f>+E250*F250+10000000</f>
        <v>117280000</v>
      </c>
      <c r="J250" s="65"/>
      <c r="K250" s="65"/>
      <c r="L250" s="65"/>
      <c r="M250" s="65"/>
      <c r="N250" s="67"/>
      <c r="O250" s="67"/>
      <c r="P250" s="95"/>
      <c r="Q250" s="99"/>
      <c r="R250" s="99"/>
      <c r="S250" s="99"/>
    </row>
    <row r="251" s="27" customFormat="1" ht="35" customHeight="1" spans="1:19">
      <c r="A251" s="65">
        <v>9</v>
      </c>
      <c r="B251" s="66" t="s">
        <v>196</v>
      </c>
      <c r="C251" s="67"/>
      <c r="D251" s="67">
        <f t="shared" si="65"/>
        <v>933336000</v>
      </c>
      <c r="E251" s="65">
        <v>36</v>
      </c>
      <c r="F251" s="75">
        <f>0.4*1490000*12</f>
        <v>7152000</v>
      </c>
      <c r="G251" s="67">
        <f>+E251*F251</f>
        <v>257472000</v>
      </c>
      <c r="H251" s="111"/>
      <c r="I251" s="67">
        <f>+E251*F251</f>
        <v>257472000</v>
      </c>
      <c r="J251" s="65"/>
      <c r="K251" s="67"/>
      <c r="L251" s="67">
        <v>675864000</v>
      </c>
      <c r="M251" s="67">
        <v>0</v>
      </c>
      <c r="N251" s="67">
        <f>+L251-M251</f>
        <v>675864000</v>
      </c>
      <c r="O251" s="67"/>
      <c r="P251" s="95">
        <v>40990145933</v>
      </c>
      <c r="Q251" s="99">
        <f>548856000*1490000/1210000</f>
        <v>675864000</v>
      </c>
      <c r="R251" s="99"/>
      <c r="S251" s="99"/>
    </row>
    <row r="252" s="27" customFormat="1" ht="43" customHeight="1" spans="1:19">
      <c r="A252" s="65">
        <v>10</v>
      </c>
      <c r="B252" s="66" t="s">
        <v>197</v>
      </c>
      <c r="C252" s="67"/>
      <c r="D252" s="67">
        <f t="shared" si="65"/>
        <v>252248000</v>
      </c>
      <c r="E252" s="65">
        <v>33</v>
      </c>
      <c r="F252" s="75">
        <f>0.3*1490000*12</f>
        <v>5364000</v>
      </c>
      <c r="G252" s="67">
        <f>+E252*F252+75236000</f>
        <v>252248000</v>
      </c>
      <c r="H252" s="111"/>
      <c r="I252" s="67">
        <f t="shared" ref="I252:I255" si="67">+G252-H252</f>
        <v>252248000</v>
      </c>
      <c r="J252" s="65"/>
      <c r="K252" s="67"/>
      <c r="L252" s="67"/>
      <c r="M252" s="67"/>
      <c r="N252" s="67"/>
      <c r="O252" s="67"/>
      <c r="P252" s="95">
        <f>N251</f>
        <v>675864000</v>
      </c>
      <c r="Q252" s="99"/>
      <c r="R252" s="99"/>
      <c r="S252" s="99"/>
    </row>
    <row r="253" s="27" customFormat="1" ht="31" customHeight="1" spans="1:19">
      <c r="A253" s="65">
        <v>11</v>
      </c>
      <c r="B253" s="66" t="s">
        <v>198</v>
      </c>
      <c r="C253" s="67"/>
      <c r="D253" s="67">
        <f t="shared" si="65"/>
        <v>203389830.508475</v>
      </c>
      <c r="E253" s="65"/>
      <c r="F253" s="65"/>
      <c r="G253" s="67">
        <f>180000000/0.885</f>
        <v>203389830.508475</v>
      </c>
      <c r="H253" s="67">
        <f t="shared" ref="H253:H255" si="68">+G253*0.115</f>
        <v>23389830.5084746</v>
      </c>
      <c r="I253" s="67">
        <f t="shared" si="67"/>
        <v>180000000</v>
      </c>
      <c r="J253" s="65"/>
      <c r="K253" s="67"/>
      <c r="L253" s="67"/>
      <c r="M253" s="67"/>
      <c r="N253" s="67"/>
      <c r="O253" s="67"/>
      <c r="P253" s="95">
        <f>N256</f>
        <v>646000000</v>
      </c>
      <c r="Q253" s="99"/>
      <c r="R253" s="99"/>
      <c r="S253" s="99"/>
    </row>
    <row r="254" s="27" customFormat="1" ht="33" customHeight="1" spans="1:19">
      <c r="A254" s="65">
        <v>12</v>
      </c>
      <c r="B254" s="66" t="s">
        <v>199</v>
      </c>
      <c r="C254" s="67"/>
      <c r="D254" s="67">
        <f t="shared" si="65"/>
        <v>45197740.1129944</v>
      </c>
      <c r="E254" s="65"/>
      <c r="F254" s="65"/>
      <c r="G254" s="67">
        <f>40000000/0.885</f>
        <v>45197740.1129944</v>
      </c>
      <c r="H254" s="67">
        <f t="shared" si="68"/>
        <v>5197740.11299435</v>
      </c>
      <c r="I254" s="67">
        <f t="shared" si="67"/>
        <v>40000000</v>
      </c>
      <c r="J254" s="65"/>
      <c r="K254" s="65"/>
      <c r="L254" s="65"/>
      <c r="M254" s="65"/>
      <c r="N254" s="67"/>
      <c r="O254" s="67"/>
      <c r="P254" s="95">
        <f>P251-P252-P253</f>
        <v>39668281933</v>
      </c>
      <c r="Q254" s="99"/>
      <c r="R254" s="99"/>
      <c r="S254" s="99"/>
    </row>
    <row r="255" s="27" customFormat="1" ht="43" customHeight="1" spans="1:19">
      <c r="A255" s="65">
        <v>13</v>
      </c>
      <c r="B255" s="66" t="s">
        <v>200</v>
      </c>
      <c r="C255" s="67"/>
      <c r="D255" s="67">
        <f t="shared" si="65"/>
        <v>22598870.0564972</v>
      </c>
      <c r="E255" s="65"/>
      <c r="F255" s="65"/>
      <c r="G255" s="67">
        <f>20000000/0.885</f>
        <v>22598870.0564972</v>
      </c>
      <c r="H255" s="67">
        <f t="shared" si="68"/>
        <v>2598870.05649718</v>
      </c>
      <c r="I255" s="67">
        <f t="shared" si="67"/>
        <v>20000000</v>
      </c>
      <c r="J255" s="65"/>
      <c r="K255" s="65"/>
      <c r="L255" s="65"/>
      <c r="M255" s="65"/>
      <c r="N255" s="67"/>
      <c r="O255" s="67"/>
      <c r="P255" s="95"/>
      <c r="Q255" s="99"/>
      <c r="R255" s="99"/>
      <c r="S255" s="99"/>
    </row>
    <row r="256" s="27" customFormat="1" ht="39" customHeight="1" spans="1:19">
      <c r="A256" s="65">
        <v>14</v>
      </c>
      <c r="B256" s="66" t="s">
        <v>201</v>
      </c>
      <c r="C256" s="67"/>
      <c r="D256" s="67">
        <f t="shared" si="65"/>
        <v>720000000</v>
      </c>
      <c r="E256" s="65">
        <v>11</v>
      </c>
      <c r="F256" s="65" t="s">
        <v>202</v>
      </c>
      <c r="G256" s="67">
        <f>1764000+72236000</f>
        <v>74000000</v>
      </c>
      <c r="H256" s="67"/>
      <c r="I256" s="67">
        <f>+G256</f>
        <v>74000000</v>
      </c>
      <c r="J256" s="65">
        <v>12</v>
      </c>
      <c r="K256" s="65" t="s">
        <v>202</v>
      </c>
      <c r="L256" s="67">
        <v>646000000</v>
      </c>
      <c r="M256" s="67"/>
      <c r="N256" s="67">
        <f>+L256-M256</f>
        <v>646000000</v>
      </c>
      <c r="O256" s="67"/>
      <c r="P256" s="95"/>
      <c r="Q256" s="99"/>
      <c r="R256" s="99"/>
      <c r="S256" s="99"/>
    </row>
    <row r="257" s="27" customFormat="1" ht="43" customHeight="1" spans="1:19">
      <c r="A257" s="65">
        <v>15</v>
      </c>
      <c r="B257" s="66" t="s">
        <v>203</v>
      </c>
      <c r="C257" s="67"/>
      <c r="D257" s="67">
        <f t="shared" si="65"/>
        <v>33898305.0847458</v>
      </c>
      <c r="E257" s="65"/>
      <c r="F257" s="65"/>
      <c r="G257" s="67">
        <f>30000000/0.885</f>
        <v>33898305.0847458</v>
      </c>
      <c r="H257" s="67">
        <f t="shared" ref="H257:H261" si="69">+G257*0.115</f>
        <v>3898305.08474576</v>
      </c>
      <c r="I257" s="67">
        <f t="shared" ref="I257:I262" si="70">+G257-H257</f>
        <v>30000000</v>
      </c>
      <c r="J257" s="65"/>
      <c r="K257" s="65"/>
      <c r="L257" s="65"/>
      <c r="M257" s="65"/>
      <c r="N257" s="67"/>
      <c r="O257" s="67"/>
      <c r="P257" s="95"/>
      <c r="Q257" s="99"/>
      <c r="R257" s="99"/>
      <c r="S257" s="99"/>
    </row>
    <row r="258" s="27" customFormat="1" ht="39.75" customHeight="1" spans="1:19">
      <c r="A258" s="65">
        <v>16</v>
      </c>
      <c r="B258" s="110" t="s">
        <v>204</v>
      </c>
      <c r="C258" s="67"/>
      <c r="D258" s="67">
        <f t="shared" si="65"/>
        <v>282485875.706215</v>
      </c>
      <c r="E258" s="65"/>
      <c r="F258" s="65"/>
      <c r="G258" s="67">
        <f>250000000/0.885</f>
        <v>282485875.706215</v>
      </c>
      <c r="H258" s="67">
        <f t="shared" si="69"/>
        <v>32485875.7062147</v>
      </c>
      <c r="I258" s="67">
        <f t="shared" si="70"/>
        <v>250000000</v>
      </c>
      <c r="J258" s="65"/>
      <c r="K258" s="65"/>
      <c r="L258" s="65"/>
      <c r="M258" s="65"/>
      <c r="N258" s="67"/>
      <c r="O258" s="67"/>
      <c r="P258" s="95"/>
      <c r="Q258" s="99"/>
      <c r="R258" s="99"/>
      <c r="S258" s="99"/>
    </row>
    <row r="259" s="27" customFormat="1" ht="39.75" customHeight="1" spans="1:19">
      <c r="A259" s="65">
        <v>17</v>
      </c>
      <c r="B259" s="110" t="s">
        <v>205</v>
      </c>
      <c r="C259" s="67"/>
      <c r="D259" s="67">
        <f t="shared" si="65"/>
        <v>54000000</v>
      </c>
      <c r="E259" s="65">
        <v>36</v>
      </c>
      <c r="F259" s="111">
        <v>1500000</v>
      </c>
      <c r="G259" s="67">
        <f>+E259*F259</f>
        <v>54000000</v>
      </c>
      <c r="H259" s="67"/>
      <c r="I259" s="67">
        <f t="shared" si="70"/>
        <v>54000000</v>
      </c>
      <c r="J259" s="65"/>
      <c r="K259" s="65"/>
      <c r="L259" s="65"/>
      <c r="M259" s="65"/>
      <c r="N259" s="67"/>
      <c r="O259" s="67"/>
      <c r="P259" s="95"/>
      <c r="Q259" s="99"/>
      <c r="R259" s="99"/>
      <c r="S259" s="99"/>
    </row>
    <row r="260" s="27" customFormat="1" ht="28.5" customHeight="1" spans="1:19">
      <c r="A260" s="65">
        <v>18</v>
      </c>
      <c r="B260" s="110" t="s">
        <v>206</v>
      </c>
      <c r="C260" s="67"/>
      <c r="D260" s="67">
        <f t="shared" si="65"/>
        <v>45197740.1129944</v>
      </c>
      <c r="E260" s="65"/>
      <c r="F260" s="65"/>
      <c r="G260" s="67">
        <f>40000000/0.885</f>
        <v>45197740.1129944</v>
      </c>
      <c r="H260" s="67">
        <f t="shared" si="69"/>
        <v>5197740.11299435</v>
      </c>
      <c r="I260" s="67">
        <f t="shared" si="70"/>
        <v>40000000</v>
      </c>
      <c r="J260" s="65"/>
      <c r="K260" s="65"/>
      <c r="L260" s="65"/>
      <c r="M260" s="65"/>
      <c r="N260" s="67"/>
      <c r="O260" s="67"/>
      <c r="P260" s="95"/>
      <c r="Q260" s="99"/>
      <c r="R260" s="99"/>
      <c r="S260" s="99"/>
    </row>
    <row r="261" s="27" customFormat="1" ht="44" customHeight="1" spans="1:19">
      <c r="A261" s="65">
        <v>19</v>
      </c>
      <c r="B261" s="110" t="s">
        <v>207</v>
      </c>
      <c r="C261" s="67"/>
      <c r="D261" s="67">
        <f t="shared" si="65"/>
        <v>28248587.5706215</v>
      </c>
      <c r="E261" s="65"/>
      <c r="F261" s="65"/>
      <c r="G261" s="67">
        <f>25000000/0.885</f>
        <v>28248587.5706215</v>
      </c>
      <c r="H261" s="67">
        <f t="shared" si="69"/>
        <v>3248587.57062147</v>
      </c>
      <c r="I261" s="67">
        <f t="shared" si="70"/>
        <v>25000000</v>
      </c>
      <c r="J261" s="65"/>
      <c r="K261" s="65"/>
      <c r="L261" s="65"/>
      <c r="M261" s="65"/>
      <c r="N261" s="67"/>
      <c r="O261" s="67"/>
      <c r="P261" s="95"/>
      <c r="Q261" s="99"/>
      <c r="R261" s="99"/>
      <c r="S261" s="99"/>
    </row>
    <row r="262" s="27" customFormat="1" ht="28.5" customHeight="1" spans="1:19">
      <c r="A262" s="65">
        <v>20</v>
      </c>
      <c r="B262" s="66" t="s">
        <v>208</v>
      </c>
      <c r="C262" s="67"/>
      <c r="D262" s="67">
        <f t="shared" si="65"/>
        <v>132644000</v>
      </c>
      <c r="E262" s="65"/>
      <c r="F262" s="65"/>
      <c r="G262" s="67">
        <f>+G263+G264</f>
        <v>132644000</v>
      </c>
      <c r="H262" s="67"/>
      <c r="I262" s="67">
        <f t="shared" si="70"/>
        <v>132644000</v>
      </c>
      <c r="J262" s="65"/>
      <c r="K262" s="65"/>
      <c r="L262" s="65"/>
      <c r="M262" s="65"/>
      <c r="N262" s="67"/>
      <c r="O262" s="67"/>
      <c r="P262" s="95"/>
      <c r="Q262" s="99"/>
      <c r="R262" s="99"/>
      <c r="S262" s="99"/>
    </row>
    <row r="263" s="28" customFormat="1" ht="28.5" customHeight="1" spans="1:19">
      <c r="A263" s="115"/>
      <c r="B263" s="125" t="s">
        <v>209</v>
      </c>
      <c r="C263" s="114"/>
      <c r="D263" s="114"/>
      <c r="E263" s="115"/>
      <c r="F263" s="115"/>
      <c r="G263" s="114">
        <v>112644000</v>
      </c>
      <c r="H263" s="114"/>
      <c r="I263" s="114">
        <v>112000000</v>
      </c>
      <c r="J263" s="115"/>
      <c r="K263" s="115"/>
      <c r="L263" s="115"/>
      <c r="M263" s="115"/>
      <c r="N263" s="114"/>
      <c r="O263" s="114"/>
      <c r="P263" s="120"/>
      <c r="Q263" s="123"/>
      <c r="R263" s="123"/>
      <c r="S263" s="123"/>
    </row>
    <row r="264" s="28" customFormat="1" ht="40" customHeight="1" spans="1:19">
      <c r="A264" s="115"/>
      <c r="B264" s="125" t="s">
        <v>210</v>
      </c>
      <c r="C264" s="114"/>
      <c r="D264" s="114"/>
      <c r="E264" s="115"/>
      <c r="F264" s="115"/>
      <c r="G264" s="114">
        <v>20000000</v>
      </c>
      <c r="H264" s="114"/>
      <c r="I264" s="114">
        <v>20000000</v>
      </c>
      <c r="J264" s="115"/>
      <c r="K264" s="115"/>
      <c r="L264" s="115"/>
      <c r="M264" s="115"/>
      <c r="N264" s="114"/>
      <c r="O264" s="114"/>
      <c r="P264" s="120"/>
      <c r="Q264" s="123"/>
      <c r="R264" s="123"/>
      <c r="S264" s="123"/>
    </row>
    <row r="265" s="27" customFormat="1" ht="45" customHeight="1" spans="1:19">
      <c r="A265" s="65">
        <v>21</v>
      </c>
      <c r="B265" s="110" t="s">
        <v>211</v>
      </c>
      <c r="C265" s="67"/>
      <c r="D265" s="67">
        <f t="shared" ref="D265:D278" si="71">+G265+L265</f>
        <v>102099717.514124</v>
      </c>
      <c r="E265" s="65"/>
      <c r="F265" s="65"/>
      <c r="G265" s="67">
        <f>+((G239+G241+G242+G245+G246)+40000000)*5%</f>
        <v>102099717.514124</v>
      </c>
      <c r="H265" s="67">
        <v>11666750</v>
      </c>
      <c r="I265" s="67">
        <f t="shared" ref="I265:I269" si="72">+G265-H265</f>
        <v>90432967.5141243</v>
      </c>
      <c r="J265" s="65"/>
      <c r="K265" s="65"/>
      <c r="L265" s="65"/>
      <c r="M265" s="65"/>
      <c r="N265" s="67"/>
      <c r="O265" s="67"/>
      <c r="P265" s="95"/>
      <c r="Q265" s="99"/>
      <c r="R265" s="99"/>
      <c r="S265" s="99"/>
    </row>
    <row r="266" s="27" customFormat="1" ht="79" customHeight="1" spans="1:19">
      <c r="A266" s="65">
        <v>22</v>
      </c>
      <c r="B266" s="110" t="s">
        <v>212</v>
      </c>
      <c r="C266" s="67"/>
      <c r="D266" s="67">
        <f t="shared" si="71"/>
        <v>33898305.0847458</v>
      </c>
      <c r="E266" s="65"/>
      <c r="F266" s="65"/>
      <c r="G266" s="67">
        <f>30000000/0.885</f>
        <v>33898305.0847458</v>
      </c>
      <c r="H266" s="67">
        <f>+G266*0.115</f>
        <v>3898305.08474576</v>
      </c>
      <c r="I266" s="67">
        <f t="shared" si="72"/>
        <v>30000000</v>
      </c>
      <c r="J266" s="65"/>
      <c r="K266" s="65"/>
      <c r="L266" s="67"/>
      <c r="M266" s="65"/>
      <c r="N266" s="67"/>
      <c r="O266" s="67"/>
      <c r="P266" s="95"/>
      <c r="Q266" s="99"/>
      <c r="R266" s="99"/>
      <c r="S266" s="99"/>
    </row>
    <row r="267" s="27" customFormat="1" ht="32" customHeight="1" spans="1:19">
      <c r="A267" s="65">
        <v>23</v>
      </c>
      <c r="B267" s="110" t="s">
        <v>213</v>
      </c>
      <c r="C267" s="67"/>
      <c r="D267" s="67">
        <f t="shared" si="71"/>
        <v>450280000</v>
      </c>
      <c r="E267" s="65"/>
      <c r="F267" s="65"/>
      <c r="G267" s="67"/>
      <c r="H267" s="65"/>
      <c r="I267" s="67"/>
      <c r="J267" s="65">
        <v>127</v>
      </c>
      <c r="K267" s="67"/>
      <c r="L267" s="67">
        <f>218440000+231840000</f>
        <v>450280000</v>
      </c>
      <c r="M267" s="67">
        <v>0</v>
      </c>
      <c r="N267" s="67">
        <f>+L267</f>
        <v>450280000</v>
      </c>
      <c r="O267" s="67"/>
      <c r="P267" s="95"/>
      <c r="Q267" s="99"/>
      <c r="R267" s="99"/>
      <c r="S267" s="99"/>
    </row>
    <row r="268" s="27" customFormat="1" ht="32" customHeight="1" spans="1:19">
      <c r="A268" s="65">
        <v>24</v>
      </c>
      <c r="B268" s="66" t="s">
        <v>81</v>
      </c>
      <c r="C268" s="67"/>
      <c r="D268" s="67">
        <f t="shared" si="71"/>
        <v>422657200</v>
      </c>
      <c r="E268" s="65"/>
      <c r="F268" s="65"/>
      <c r="G268" s="67">
        <f t="shared" ref="G268:I268" si="73">SUM(G269:G271)</f>
        <v>422657200</v>
      </c>
      <c r="H268" s="67">
        <f t="shared" si="73"/>
        <v>11500000</v>
      </c>
      <c r="I268" s="67">
        <f t="shared" si="73"/>
        <v>411157200</v>
      </c>
      <c r="J268" s="65"/>
      <c r="K268" s="109"/>
      <c r="L268" s="109"/>
      <c r="M268" s="109"/>
      <c r="N268" s="67"/>
      <c r="O268" s="67"/>
      <c r="P268" s="95"/>
      <c r="Q268" s="99"/>
      <c r="R268" s="99"/>
      <c r="S268" s="99"/>
    </row>
    <row r="269" s="27" customFormat="1" ht="40" customHeight="1" spans="1:19">
      <c r="A269" s="65"/>
      <c r="B269" s="66" t="s">
        <v>35</v>
      </c>
      <c r="C269" s="67"/>
      <c r="D269" s="67">
        <f t="shared" si="71"/>
        <v>262657200</v>
      </c>
      <c r="E269" s="65">
        <v>4</v>
      </c>
      <c r="F269" s="74">
        <f>+(9.33+3.17)/E269</f>
        <v>3.125</v>
      </c>
      <c r="G269" s="67">
        <f>+((E269*F269*1490000*12)+(2.19*1490000*12))</f>
        <v>262657200</v>
      </c>
      <c r="H269" s="74"/>
      <c r="I269" s="67">
        <f t="shared" si="72"/>
        <v>262657200</v>
      </c>
      <c r="J269" s="65"/>
      <c r="K269" s="65"/>
      <c r="L269" s="65"/>
      <c r="M269" s="65"/>
      <c r="N269" s="67"/>
      <c r="O269" s="67"/>
      <c r="P269" s="95"/>
      <c r="Q269" s="99"/>
      <c r="R269" s="99"/>
      <c r="S269" s="99"/>
    </row>
    <row r="270" s="27" customFormat="1" ht="32" customHeight="1" spans="1:19">
      <c r="A270" s="65"/>
      <c r="B270" s="66" t="s">
        <v>36</v>
      </c>
      <c r="C270" s="67"/>
      <c r="D270" s="67">
        <f t="shared" si="71"/>
        <v>100000000</v>
      </c>
      <c r="E270" s="65"/>
      <c r="F270" s="75">
        <v>25000000</v>
      </c>
      <c r="G270" s="67">
        <f>F270*E269</f>
        <v>100000000</v>
      </c>
      <c r="H270" s="67">
        <f>G270*0.115</f>
        <v>11500000</v>
      </c>
      <c r="I270" s="67">
        <f>G270-H270</f>
        <v>88500000</v>
      </c>
      <c r="J270" s="65"/>
      <c r="K270" s="65"/>
      <c r="L270" s="65"/>
      <c r="M270" s="65"/>
      <c r="N270" s="67"/>
      <c r="O270" s="67"/>
      <c r="P270" s="95"/>
      <c r="Q270" s="99"/>
      <c r="R270" s="99"/>
      <c r="S270" s="99"/>
    </row>
    <row r="271" s="27" customFormat="1" ht="42" customHeight="1" spans="1:19">
      <c r="A271" s="65"/>
      <c r="B271" s="66" t="s">
        <v>133</v>
      </c>
      <c r="C271" s="67"/>
      <c r="D271" s="67">
        <f t="shared" si="71"/>
        <v>60000000</v>
      </c>
      <c r="E271" s="65"/>
      <c r="F271" s="75"/>
      <c r="G271" s="67">
        <f>+H271+I271</f>
        <v>60000000</v>
      </c>
      <c r="H271" s="67"/>
      <c r="I271" s="67">
        <v>60000000</v>
      </c>
      <c r="J271" s="65"/>
      <c r="K271" s="65"/>
      <c r="L271" s="65"/>
      <c r="M271" s="65"/>
      <c r="N271" s="67"/>
      <c r="O271" s="67"/>
      <c r="P271" s="95"/>
      <c r="Q271" s="99"/>
      <c r="R271" s="99"/>
      <c r="S271" s="99"/>
    </row>
    <row r="272" s="29" customFormat="1" ht="27.75" customHeight="1" spans="1:19">
      <c r="A272" s="117" t="s">
        <v>214</v>
      </c>
      <c r="B272" s="118" t="s">
        <v>215</v>
      </c>
      <c r="C272" s="119"/>
      <c r="D272" s="119">
        <f t="shared" si="71"/>
        <v>44016257433.5302</v>
      </c>
      <c r="E272" s="117"/>
      <c r="F272" s="117"/>
      <c r="G272" s="119">
        <f t="shared" ref="G272:I272" si="74">+G273+G291+G295+G300+G304+G307+G311+G323+G332+G336+G342+G348+G353+SUM(G360:G379)</f>
        <v>19957391731.0508</v>
      </c>
      <c r="H272" s="119">
        <f t="shared" si="74"/>
        <v>611850483.050848</v>
      </c>
      <c r="I272" s="119">
        <f t="shared" si="74"/>
        <v>19345541248</v>
      </c>
      <c r="J272" s="117"/>
      <c r="K272" s="119"/>
      <c r="L272" s="119">
        <f t="shared" ref="L272:N272" si="75">+L273+L291+L295+L300+L304+L307+L311+L332+L342+L348+L360+L361+L362+L366+L367+L368+L369+L370+L371+L372+L373+L374+L375+L376+L377+L378+L379</f>
        <v>24058865702.4793</v>
      </c>
      <c r="M272" s="119">
        <f t="shared" si="75"/>
        <v>389850000</v>
      </c>
      <c r="N272" s="119">
        <f t="shared" si="75"/>
        <v>23669015702.4793</v>
      </c>
      <c r="O272" s="119"/>
      <c r="P272" s="121"/>
      <c r="Q272" s="124"/>
      <c r="R272" s="124"/>
      <c r="S272" s="124"/>
    </row>
    <row r="273" s="27" customFormat="1" ht="46" customHeight="1" spans="1:19">
      <c r="A273" s="65">
        <v>1</v>
      </c>
      <c r="B273" s="66" t="s">
        <v>216</v>
      </c>
      <c r="C273" s="67"/>
      <c r="D273" s="67">
        <f t="shared" si="71"/>
        <v>8805621737.85311</v>
      </c>
      <c r="E273" s="65"/>
      <c r="F273" s="65"/>
      <c r="G273" s="67">
        <f t="shared" ref="G273:I273" si="76">SUM(G274:G283)</f>
        <v>5312133737.85311</v>
      </c>
      <c r="H273" s="67">
        <f t="shared" si="76"/>
        <v>295129437.853107</v>
      </c>
      <c r="I273" s="67">
        <f t="shared" si="76"/>
        <v>5017004300</v>
      </c>
      <c r="J273" s="65"/>
      <c r="K273" s="65"/>
      <c r="L273" s="67">
        <f t="shared" ref="L273:N273" si="77">+SUM(L274:L277)+SUM(L278:L283)</f>
        <v>3493488000</v>
      </c>
      <c r="M273" s="67">
        <f t="shared" si="77"/>
        <v>0</v>
      </c>
      <c r="N273" s="67">
        <f t="shared" si="77"/>
        <v>3493488000</v>
      </c>
      <c r="O273" s="67"/>
      <c r="P273" s="95"/>
      <c r="Q273" s="99"/>
      <c r="R273" s="99"/>
      <c r="S273" s="99"/>
    </row>
    <row r="274" s="27" customFormat="1" ht="42" customHeight="1" spans="1:19">
      <c r="A274" s="65"/>
      <c r="B274" s="66" t="s">
        <v>217</v>
      </c>
      <c r="C274" s="67"/>
      <c r="D274" s="67">
        <f t="shared" si="71"/>
        <v>1562533200</v>
      </c>
      <c r="E274" s="65">
        <v>16</v>
      </c>
      <c r="F274" s="74">
        <f>+(54.85+19.34)/E274</f>
        <v>4.636875</v>
      </c>
      <c r="G274" s="67">
        <f>+((E274*F274*1490000*12)+(13.2*1490000*12))</f>
        <v>1562533200</v>
      </c>
      <c r="H274" s="74"/>
      <c r="I274" s="67">
        <f t="shared" ref="I274:I282" si="78">+G274-H274</f>
        <v>1562533200</v>
      </c>
      <c r="J274" s="65"/>
      <c r="K274" s="67"/>
      <c r="L274" s="67"/>
      <c r="M274" s="67"/>
      <c r="N274" s="67"/>
      <c r="O274" s="67"/>
      <c r="P274" s="95"/>
      <c r="Q274" s="99"/>
      <c r="R274" s="99"/>
      <c r="S274" s="99"/>
    </row>
    <row r="275" s="27" customFormat="1" ht="24" customHeight="1" spans="1:19">
      <c r="A275" s="65"/>
      <c r="B275" s="66" t="s">
        <v>218</v>
      </c>
      <c r="C275" s="67"/>
      <c r="D275" s="67">
        <f t="shared" si="71"/>
        <v>400000000</v>
      </c>
      <c r="E275" s="65"/>
      <c r="F275" s="75">
        <v>25000000</v>
      </c>
      <c r="G275" s="67">
        <f>+E274*F275</f>
        <v>400000000</v>
      </c>
      <c r="H275" s="67">
        <f t="shared" ref="H275:H279" si="79">+G275*11.5%</f>
        <v>46000000</v>
      </c>
      <c r="I275" s="67">
        <f t="shared" si="78"/>
        <v>354000000</v>
      </c>
      <c r="J275" s="65"/>
      <c r="K275" s="65"/>
      <c r="L275" s="65"/>
      <c r="M275" s="65"/>
      <c r="N275" s="67"/>
      <c r="O275" s="67"/>
      <c r="P275" s="95"/>
      <c r="Q275" s="99"/>
      <c r="R275" s="99"/>
      <c r="S275" s="99"/>
    </row>
    <row r="276" s="27" customFormat="1" ht="39" customHeight="1" spans="1:19">
      <c r="A276" s="65"/>
      <c r="B276" s="66" t="s">
        <v>219</v>
      </c>
      <c r="C276" s="67"/>
      <c r="D276" s="67">
        <f t="shared" si="71"/>
        <v>150000000</v>
      </c>
      <c r="E276" s="65"/>
      <c r="F276" s="65"/>
      <c r="G276" s="67">
        <f>150000000</f>
        <v>150000000</v>
      </c>
      <c r="H276" s="67">
        <f t="shared" si="79"/>
        <v>17250000</v>
      </c>
      <c r="I276" s="67">
        <f t="shared" si="78"/>
        <v>132750000</v>
      </c>
      <c r="J276" s="65"/>
      <c r="K276" s="65"/>
      <c r="L276" s="65"/>
      <c r="M276" s="65"/>
      <c r="N276" s="67"/>
      <c r="O276" s="67"/>
      <c r="P276" s="95"/>
      <c r="Q276" s="99"/>
      <c r="R276" s="99"/>
      <c r="S276" s="99"/>
    </row>
    <row r="277" s="27" customFormat="1" ht="24" customHeight="1" spans="1:19">
      <c r="A277" s="65"/>
      <c r="B277" s="66" t="s">
        <v>220</v>
      </c>
      <c r="C277" s="67"/>
      <c r="D277" s="67">
        <f t="shared" si="71"/>
        <v>474049600</v>
      </c>
      <c r="E277" s="65">
        <v>5</v>
      </c>
      <c r="F277" s="74">
        <f>+(13.5+4.38)/E277</f>
        <v>3.576</v>
      </c>
      <c r="G277" s="67">
        <f>+((E277*F277*1490000*12)+(3.04*1490000*12))+100000000</f>
        <v>474049600</v>
      </c>
      <c r="H277" s="67">
        <f>100000000*11.5%</f>
        <v>11500000</v>
      </c>
      <c r="I277" s="67">
        <f t="shared" si="78"/>
        <v>462549600</v>
      </c>
      <c r="J277" s="65"/>
      <c r="K277" s="65"/>
      <c r="L277" s="65"/>
      <c r="M277" s="65"/>
      <c r="N277" s="122"/>
      <c r="O277" s="67"/>
      <c r="P277" s="95"/>
      <c r="Q277" s="99"/>
      <c r="R277" s="99"/>
      <c r="S277" s="99"/>
    </row>
    <row r="278" s="27" customFormat="1" ht="40" customHeight="1" spans="1:19">
      <c r="A278" s="65"/>
      <c r="B278" s="66" t="s">
        <v>221</v>
      </c>
      <c r="C278" s="67"/>
      <c r="D278" s="67">
        <f t="shared" si="71"/>
        <v>33898305.0847458</v>
      </c>
      <c r="E278" s="65">
        <v>12</v>
      </c>
      <c r="F278" s="75">
        <v>2500000</v>
      </c>
      <c r="G278" s="67">
        <f>30000000/0.885</f>
        <v>33898305.0847458</v>
      </c>
      <c r="H278" s="67">
        <f t="shared" ref="H278:H282" si="80">+G278*0.115</f>
        <v>3898305.08474576</v>
      </c>
      <c r="I278" s="67">
        <f t="shared" si="78"/>
        <v>30000000</v>
      </c>
      <c r="J278" s="65"/>
      <c r="K278" s="67"/>
      <c r="L278" s="67"/>
      <c r="M278" s="67"/>
      <c r="N278" s="67"/>
      <c r="O278" s="67"/>
      <c r="P278" s="95"/>
      <c r="Q278" s="99"/>
      <c r="R278" s="99"/>
      <c r="S278" s="99"/>
    </row>
    <row r="279" s="27" customFormat="1" ht="45" customHeight="1" spans="1:19">
      <c r="A279" s="65"/>
      <c r="B279" s="66" t="s">
        <v>222</v>
      </c>
      <c r="C279" s="67"/>
      <c r="D279" s="67">
        <f>I279+N279</f>
        <v>619500000</v>
      </c>
      <c r="E279" s="65"/>
      <c r="F279" s="65"/>
      <c r="G279" s="67">
        <f>700000000</f>
        <v>700000000</v>
      </c>
      <c r="H279" s="67">
        <f t="shared" si="79"/>
        <v>80500000</v>
      </c>
      <c r="I279" s="67">
        <f t="shared" si="78"/>
        <v>619500000</v>
      </c>
      <c r="J279" s="65"/>
      <c r="K279" s="65"/>
      <c r="L279" s="65"/>
      <c r="M279" s="65"/>
      <c r="N279" s="67"/>
      <c r="O279" s="67"/>
      <c r="P279" s="95"/>
      <c r="Q279" s="99"/>
      <c r="R279" s="99"/>
      <c r="S279" s="99"/>
    </row>
    <row r="280" s="27" customFormat="1" ht="43" customHeight="1" spans="1:19">
      <c r="A280" s="65"/>
      <c r="B280" s="110" t="s">
        <v>223</v>
      </c>
      <c r="C280" s="67"/>
      <c r="D280" s="67">
        <f t="shared" ref="D280:D283" si="81">+G280+L280</f>
        <v>225988700.564972</v>
      </c>
      <c r="E280" s="65"/>
      <c r="F280" s="75"/>
      <c r="G280" s="67">
        <f>200000000/0.885</f>
        <v>225988700.564972</v>
      </c>
      <c r="H280" s="67">
        <f t="shared" si="80"/>
        <v>25988700.5649718</v>
      </c>
      <c r="I280" s="67">
        <f t="shared" si="78"/>
        <v>200000000</v>
      </c>
      <c r="J280" s="65"/>
      <c r="K280" s="65"/>
      <c r="L280" s="65"/>
      <c r="M280" s="65"/>
      <c r="N280" s="67"/>
      <c r="O280" s="67"/>
      <c r="P280" s="95"/>
      <c r="Q280" s="99"/>
      <c r="R280" s="99"/>
      <c r="S280" s="99"/>
    </row>
    <row r="281" s="27" customFormat="1" ht="47" customHeight="1" spans="1:19">
      <c r="A281" s="65"/>
      <c r="B281" s="66" t="s">
        <v>224</v>
      </c>
      <c r="C281" s="67"/>
      <c r="D281" s="67">
        <f t="shared" si="81"/>
        <v>135593220.338983</v>
      </c>
      <c r="E281" s="65"/>
      <c r="F281" s="65"/>
      <c r="G281" s="67">
        <f>120000000/0.885</f>
        <v>135593220.338983</v>
      </c>
      <c r="H281" s="67">
        <f t="shared" si="80"/>
        <v>15593220.3389831</v>
      </c>
      <c r="I281" s="67">
        <f t="shared" si="78"/>
        <v>120000000</v>
      </c>
      <c r="J281" s="65"/>
      <c r="K281" s="65"/>
      <c r="L281" s="65"/>
      <c r="M281" s="65"/>
      <c r="N281" s="67"/>
      <c r="O281" s="67"/>
      <c r="P281" s="95"/>
      <c r="Q281" s="99"/>
      <c r="R281" s="99"/>
      <c r="S281" s="99"/>
    </row>
    <row r="282" s="27" customFormat="1" ht="45" customHeight="1" spans="1:19">
      <c r="A282" s="65"/>
      <c r="B282" s="66" t="s">
        <v>225</v>
      </c>
      <c r="C282" s="67"/>
      <c r="D282" s="67">
        <f t="shared" si="81"/>
        <v>145762711.864407</v>
      </c>
      <c r="E282" s="65"/>
      <c r="F282" s="65"/>
      <c r="G282" s="67">
        <f>129000000/0.885</f>
        <v>145762711.864407</v>
      </c>
      <c r="H282" s="67">
        <f t="shared" si="80"/>
        <v>16762711.8644068</v>
      </c>
      <c r="I282" s="67">
        <f t="shared" si="78"/>
        <v>129000000</v>
      </c>
      <c r="J282" s="65"/>
      <c r="K282" s="65"/>
      <c r="L282" s="65"/>
      <c r="M282" s="65"/>
      <c r="N282" s="67"/>
      <c r="O282" s="67"/>
      <c r="P282" s="95"/>
      <c r="Q282" s="99"/>
      <c r="R282" s="99"/>
      <c r="S282" s="99"/>
    </row>
    <row r="283" s="27" customFormat="1" ht="24.75" customHeight="1" spans="1:19">
      <c r="A283" s="65"/>
      <c r="B283" s="66" t="s">
        <v>226</v>
      </c>
      <c r="C283" s="67"/>
      <c r="D283" s="67">
        <f t="shared" si="81"/>
        <v>4977796000</v>
      </c>
      <c r="E283" s="65"/>
      <c r="F283" s="65"/>
      <c r="G283" s="67">
        <f t="shared" ref="G283:I283" si="82">SUM(G284:G290)</f>
        <v>1484308000</v>
      </c>
      <c r="H283" s="67">
        <f t="shared" si="82"/>
        <v>77636500</v>
      </c>
      <c r="I283" s="67">
        <f t="shared" si="82"/>
        <v>1406671500</v>
      </c>
      <c r="J283" s="67">
        <f>+J284+J285+J288</f>
        <v>292</v>
      </c>
      <c r="K283" s="67">
        <f>+K284+K285+K288</f>
        <v>8364000</v>
      </c>
      <c r="L283" s="67">
        <f t="shared" ref="L283:N283" si="83">SUM(L284:L290)</f>
        <v>3493488000</v>
      </c>
      <c r="M283" s="67">
        <f t="shared" si="83"/>
        <v>0</v>
      </c>
      <c r="N283" s="67">
        <f t="shared" si="83"/>
        <v>3493488000</v>
      </c>
      <c r="O283" s="67"/>
      <c r="P283" s="95">
        <f>1761564000-1755936000</f>
        <v>5628000</v>
      </c>
      <c r="Q283" s="99"/>
      <c r="R283" s="99"/>
      <c r="S283" s="99"/>
    </row>
    <row r="284" s="27" customFormat="1" ht="43" customHeight="1" spans="1:19">
      <c r="A284" s="65"/>
      <c r="B284" s="66" t="s">
        <v>227</v>
      </c>
      <c r="C284" s="67"/>
      <c r="D284" s="67"/>
      <c r="E284" s="65">
        <v>35</v>
      </c>
      <c r="F284" s="75">
        <f>0.4*1490000*12</f>
        <v>7152000</v>
      </c>
      <c r="G284" s="67">
        <f>+E284*F284</f>
        <v>250320000</v>
      </c>
      <c r="H284" s="75"/>
      <c r="I284" s="67">
        <f t="shared" ref="I284:I288" si="84">+G284-H284</f>
        <v>250320000</v>
      </c>
      <c r="J284" s="65">
        <v>292</v>
      </c>
      <c r="K284" s="67">
        <f>0.3*1490000*12</f>
        <v>5364000</v>
      </c>
      <c r="L284" s="67">
        <f>K284*J284</f>
        <v>1566288000</v>
      </c>
      <c r="M284" s="67">
        <v>0</v>
      </c>
      <c r="N284" s="67">
        <f>L284-M284</f>
        <v>1566288000</v>
      </c>
      <c r="O284" s="67"/>
      <c r="P284" s="95"/>
      <c r="Q284" s="99"/>
      <c r="R284" s="99"/>
      <c r="S284" s="99"/>
    </row>
    <row r="285" s="27" customFormat="1" ht="24.75" customHeight="1" spans="1:19">
      <c r="A285" s="65"/>
      <c r="B285" s="66" t="s">
        <v>228</v>
      </c>
      <c r="C285" s="67"/>
      <c r="D285" s="67"/>
      <c r="E285" s="65"/>
      <c r="F285" s="75">
        <v>7500000</v>
      </c>
      <c r="G285" s="67">
        <f>+E284*F285</f>
        <v>262500000</v>
      </c>
      <c r="H285" s="67">
        <f t="shared" ref="H285:H288" si="85">+G285*11.5%</f>
        <v>30187500</v>
      </c>
      <c r="I285" s="67">
        <f t="shared" si="84"/>
        <v>232312500</v>
      </c>
      <c r="J285" s="65"/>
      <c r="K285" s="67">
        <v>3000000</v>
      </c>
      <c r="L285" s="67">
        <f>J284*K285</f>
        <v>876000000</v>
      </c>
      <c r="M285" s="67"/>
      <c r="N285" s="67">
        <f>+L285-M285</f>
        <v>876000000</v>
      </c>
      <c r="O285" s="67"/>
      <c r="P285" s="95"/>
      <c r="Q285" s="99"/>
      <c r="R285" s="99"/>
      <c r="S285" s="99"/>
    </row>
    <row r="286" s="27" customFormat="1" ht="24.75" customHeight="1" spans="1:19">
      <c r="A286" s="65"/>
      <c r="B286" s="66" t="s">
        <v>229</v>
      </c>
      <c r="C286" s="67"/>
      <c r="D286" s="67"/>
      <c r="E286" s="65"/>
      <c r="F286" s="75"/>
      <c r="G286" s="67">
        <f>112600000</f>
        <v>112600000</v>
      </c>
      <c r="H286" s="67">
        <f t="shared" si="85"/>
        <v>12949000</v>
      </c>
      <c r="I286" s="67">
        <f t="shared" si="84"/>
        <v>99651000</v>
      </c>
      <c r="J286" s="65"/>
      <c r="K286" s="67"/>
      <c r="L286" s="67"/>
      <c r="M286" s="67"/>
      <c r="N286" s="67"/>
      <c r="O286" s="67"/>
      <c r="P286" s="95"/>
      <c r="Q286" s="99"/>
      <c r="R286" s="99"/>
      <c r="S286" s="99"/>
    </row>
    <row r="287" s="27" customFormat="1" ht="41" customHeight="1" spans="1:19">
      <c r="A287" s="65"/>
      <c r="B287" s="66" t="s">
        <v>230</v>
      </c>
      <c r="C287" s="67"/>
      <c r="D287" s="67"/>
      <c r="E287" s="65"/>
      <c r="F287" s="75"/>
      <c r="G287" s="67">
        <f>688888000-310000000</f>
        <v>378888000</v>
      </c>
      <c r="H287" s="75"/>
      <c r="I287" s="67">
        <f t="shared" si="84"/>
        <v>378888000</v>
      </c>
      <c r="J287" s="65">
        <v>292</v>
      </c>
      <c r="K287" s="67">
        <v>3600000</v>
      </c>
      <c r="L287" s="67">
        <f>J287*K287</f>
        <v>1051200000</v>
      </c>
      <c r="M287" s="67"/>
      <c r="N287" s="67">
        <f>+L287-M287</f>
        <v>1051200000</v>
      </c>
      <c r="O287" s="67"/>
      <c r="P287" s="95">
        <f>J287*3600000</f>
        <v>1051200000</v>
      </c>
      <c r="Q287" s="99"/>
      <c r="R287" s="99"/>
      <c r="S287" s="99"/>
    </row>
    <row r="288" s="27" customFormat="1" ht="24.75" customHeight="1" spans="1:19">
      <c r="A288" s="65"/>
      <c r="B288" s="66" t="s">
        <v>231</v>
      </c>
      <c r="C288" s="67"/>
      <c r="D288" s="67"/>
      <c r="E288" s="65"/>
      <c r="F288" s="65"/>
      <c r="G288" s="67">
        <f>300000000</f>
        <v>300000000</v>
      </c>
      <c r="H288" s="67">
        <f t="shared" si="85"/>
        <v>34500000</v>
      </c>
      <c r="I288" s="67">
        <f t="shared" si="84"/>
        <v>265500000</v>
      </c>
      <c r="J288" s="65"/>
      <c r="K288" s="65"/>
      <c r="L288" s="65"/>
      <c r="M288" s="65"/>
      <c r="N288" s="67"/>
      <c r="O288" s="67"/>
      <c r="P288" s="95"/>
      <c r="Q288" s="99"/>
      <c r="R288" s="99"/>
      <c r="S288" s="99"/>
    </row>
    <row r="289" s="27" customFormat="1" ht="42" customHeight="1" spans="1:19">
      <c r="A289" s="65"/>
      <c r="B289" s="66" t="s">
        <v>133</v>
      </c>
      <c r="C289" s="67"/>
      <c r="D289" s="67">
        <f>+F289</f>
        <v>30000000</v>
      </c>
      <c r="E289" s="65">
        <v>1</v>
      </c>
      <c r="F289" s="75">
        <v>30000000</v>
      </c>
      <c r="G289" s="67">
        <f>+H289+I289</f>
        <v>30000000</v>
      </c>
      <c r="H289" s="67"/>
      <c r="I289" s="67">
        <f>F289*E289</f>
        <v>30000000</v>
      </c>
      <c r="J289" s="65"/>
      <c r="K289" s="65"/>
      <c r="L289" s="65"/>
      <c r="M289" s="65"/>
      <c r="N289" s="67"/>
      <c r="O289" s="67"/>
      <c r="P289" s="95"/>
      <c r="Q289" s="99"/>
      <c r="R289" s="99"/>
      <c r="S289" s="99"/>
    </row>
    <row r="290" s="27" customFormat="1" ht="31" customHeight="1" spans="1:19">
      <c r="A290" s="65"/>
      <c r="B290" s="66" t="s">
        <v>232</v>
      </c>
      <c r="C290" s="67"/>
      <c r="D290" s="67"/>
      <c r="E290" s="65"/>
      <c r="F290" s="111"/>
      <c r="G290" s="67">
        <v>150000000</v>
      </c>
      <c r="H290" s="65"/>
      <c r="I290" s="67">
        <f t="shared" ref="I290:I294" si="86">+G290-H290</f>
        <v>150000000</v>
      </c>
      <c r="J290" s="65"/>
      <c r="K290" s="65"/>
      <c r="L290" s="65"/>
      <c r="M290" s="65"/>
      <c r="N290" s="67"/>
      <c r="O290" s="67"/>
      <c r="P290" s="95"/>
      <c r="Q290" s="99"/>
      <c r="R290" s="99"/>
      <c r="S290" s="99"/>
    </row>
    <row r="291" s="27" customFormat="1" ht="30" customHeight="1" spans="1:19">
      <c r="A291" s="65">
        <v>2</v>
      </c>
      <c r="B291" s="66" t="s">
        <v>233</v>
      </c>
      <c r="C291" s="67"/>
      <c r="D291" s="67">
        <f>+G291+L291</f>
        <v>788170060.112994</v>
      </c>
      <c r="E291" s="65"/>
      <c r="F291" s="65"/>
      <c r="G291" s="67">
        <f t="shared" ref="G291:I291" si="87">SUM(G292:G294)</f>
        <v>788170060.112994</v>
      </c>
      <c r="H291" s="67">
        <f t="shared" si="87"/>
        <v>22447740.1129944</v>
      </c>
      <c r="I291" s="67">
        <f t="shared" si="87"/>
        <v>765722320</v>
      </c>
      <c r="J291" s="65"/>
      <c r="K291" s="65"/>
      <c r="L291" s="65"/>
      <c r="M291" s="65"/>
      <c r="N291" s="67"/>
      <c r="O291" s="67"/>
      <c r="P291" s="95"/>
      <c r="Q291" s="99"/>
      <c r="R291" s="99"/>
      <c r="S291" s="99"/>
    </row>
    <row r="292" s="27" customFormat="1" ht="45" customHeight="1" spans="1:19">
      <c r="A292" s="65"/>
      <c r="B292" s="66" t="s">
        <v>35</v>
      </c>
      <c r="C292" s="67"/>
      <c r="D292" s="67"/>
      <c r="E292" s="65">
        <v>6</v>
      </c>
      <c r="F292" s="74">
        <f>+(20.97+7.32)/6</f>
        <v>4.715</v>
      </c>
      <c r="G292" s="67">
        <f>+((E292*F292*1490000*12)+(4.874*1490000*12))</f>
        <v>592972320</v>
      </c>
      <c r="H292" s="74"/>
      <c r="I292" s="67">
        <f t="shared" si="86"/>
        <v>592972320</v>
      </c>
      <c r="J292" s="65"/>
      <c r="K292" s="65"/>
      <c r="L292" s="65"/>
      <c r="M292" s="65"/>
      <c r="N292" s="67"/>
      <c r="O292" s="67"/>
      <c r="P292" s="95"/>
      <c r="Q292" s="99"/>
      <c r="R292" s="99"/>
      <c r="S292" s="99"/>
    </row>
    <row r="293" s="27" customFormat="1" ht="25.5" customHeight="1" spans="1:19">
      <c r="A293" s="65"/>
      <c r="B293" s="66" t="s">
        <v>36</v>
      </c>
      <c r="C293" s="67"/>
      <c r="D293" s="67"/>
      <c r="E293" s="65"/>
      <c r="F293" s="75">
        <v>25000000</v>
      </c>
      <c r="G293" s="67">
        <f>+E292*F293</f>
        <v>150000000</v>
      </c>
      <c r="H293" s="67">
        <f>+G293*11.5%</f>
        <v>17250000</v>
      </c>
      <c r="I293" s="67">
        <f t="shared" si="86"/>
        <v>132750000</v>
      </c>
      <c r="J293" s="65"/>
      <c r="K293" s="65"/>
      <c r="L293" s="65"/>
      <c r="M293" s="65"/>
      <c r="N293" s="67"/>
      <c r="O293" s="67"/>
      <c r="P293" s="95"/>
      <c r="Q293" s="99"/>
      <c r="R293" s="99"/>
      <c r="S293" s="99"/>
    </row>
    <row r="294" s="27" customFormat="1" ht="42" customHeight="1" spans="1:19">
      <c r="A294" s="65"/>
      <c r="B294" s="66" t="s">
        <v>234</v>
      </c>
      <c r="C294" s="67"/>
      <c r="D294" s="67"/>
      <c r="E294" s="65"/>
      <c r="F294" s="75"/>
      <c r="G294" s="67">
        <f>40000000/0.885</f>
        <v>45197740.1129944</v>
      </c>
      <c r="H294" s="67">
        <f>+G294*0.115</f>
        <v>5197740.11299435</v>
      </c>
      <c r="I294" s="67">
        <f t="shared" si="86"/>
        <v>40000000</v>
      </c>
      <c r="J294" s="65"/>
      <c r="K294" s="65"/>
      <c r="L294" s="65"/>
      <c r="M294" s="65"/>
      <c r="N294" s="67"/>
      <c r="O294" s="67"/>
      <c r="P294" s="95"/>
      <c r="Q294" s="99"/>
      <c r="R294" s="99"/>
      <c r="S294" s="99"/>
    </row>
    <row r="295" s="27" customFormat="1" ht="30" customHeight="1" spans="1:19">
      <c r="A295" s="65">
        <v>3</v>
      </c>
      <c r="B295" s="66" t="s">
        <v>235</v>
      </c>
      <c r="C295" s="67"/>
      <c r="D295" s="67">
        <f>+G295+L295</f>
        <v>734805794.056497</v>
      </c>
      <c r="E295" s="65"/>
      <c r="F295" s="65"/>
      <c r="G295" s="67">
        <f t="shared" ref="G295:I295" si="88">SUM(G296:G299)</f>
        <v>734805794.056497</v>
      </c>
      <c r="H295" s="67">
        <f t="shared" si="88"/>
        <v>16973870.0564972</v>
      </c>
      <c r="I295" s="67">
        <f t="shared" si="88"/>
        <v>717831924</v>
      </c>
      <c r="J295" s="65"/>
      <c r="K295" s="65"/>
      <c r="L295" s="65"/>
      <c r="M295" s="65"/>
      <c r="N295" s="67"/>
      <c r="O295" s="67"/>
      <c r="P295" s="95"/>
      <c r="Q295" s="99"/>
      <c r="R295" s="99"/>
      <c r="S295" s="99"/>
    </row>
    <row r="296" s="27" customFormat="1" ht="42" customHeight="1" spans="1:19">
      <c r="A296" s="65"/>
      <c r="B296" s="66" t="s">
        <v>35</v>
      </c>
      <c r="C296" s="67"/>
      <c r="D296" s="67"/>
      <c r="E296" s="65">
        <v>5</v>
      </c>
      <c r="F296" s="74">
        <f>+(14.01+3.31)/E296</f>
        <v>3.464</v>
      </c>
      <c r="G296" s="67">
        <f>+((E296*F296*1490000*12)+(3.2173)*1490000*12)</f>
        <v>367206924</v>
      </c>
      <c r="H296" s="74"/>
      <c r="I296" s="67">
        <f t="shared" ref="I296:I299" si="89">+G296-H296</f>
        <v>367206924</v>
      </c>
      <c r="J296" s="65"/>
      <c r="K296" s="65"/>
      <c r="L296" s="65"/>
      <c r="M296" s="65"/>
      <c r="N296" s="67"/>
      <c r="O296" s="67"/>
      <c r="P296" s="95"/>
      <c r="Q296" s="99"/>
      <c r="R296" s="99"/>
      <c r="S296" s="99"/>
    </row>
    <row r="297" s="27" customFormat="1" ht="25.5" customHeight="1" spans="1:19">
      <c r="A297" s="65"/>
      <c r="B297" s="66" t="s">
        <v>36</v>
      </c>
      <c r="C297" s="67"/>
      <c r="D297" s="67"/>
      <c r="E297" s="65"/>
      <c r="F297" s="75">
        <v>25000000</v>
      </c>
      <c r="G297" s="67">
        <f>+E296*F297</f>
        <v>125000000</v>
      </c>
      <c r="H297" s="75">
        <f>+G297*11.5%</f>
        <v>14375000</v>
      </c>
      <c r="I297" s="67">
        <f t="shared" si="89"/>
        <v>110625000</v>
      </c>
      <c r="J297" s="65"/>
      <c r="K297" s="65"/>
      <c r="L297" s="65"/>
      <c r="M297" s="65"/>
      <c r="N297" s="67"/>
      <c r="O297" s="67"/>
      <c r="P297" s="95"/>
      <c r="Q297" s="99"/>
      <c r="R297" s="99"/>
      <c r="S297" s="99"/>
    </row>
    <row r="298" s="27" customFormat="1" ht="54" customHeight="1" spans="1:19">
      <c r="A298" s="65"/>
      <c r="B298" s="66" t="s">
        <v>236</v>
      </c>
      <c r="C298" s="67"/>
      <c r="D298" s="67"/>
      <c r="E298" s="65"/>
      <c r="F298" s="75"/>
      <c r="G298" s="67">
        <v>220000000</v>
      </c>
      <c r="H298" s="75"/>
      <c r="I298" s="67">
        <f t="shared" si="89"/>
        <v>220000000</v>
      </c>
      <c r="J298" s="65"/>
      <c r="K298" s="65"/>
      <c r="L298" s="65"/>
      <c r="M298" s="65"/>
      <c r="N298" s="67"/>
      <c r="O298" s="67"/>
      <c r="P298" s="95"/>
      <c r="Q298" s="99"/>
      <c r="R298" s="99"/>
      <c r="S298" s="99"/>
    </row>
    <row r="299" s="27" customFormat="1" ht="48" customHeight="1" spans="1:19">
      <c r="A299" s="65"/>
      <c r="B299" s="66" t="s">
        <v>237</v>
      </c>
      <c r="C299" s="67"/>
      <c r="D299" s="67"/>
      <c r="E299" s="65"/>
      <c r="F299" s="75"/>
      <c r="G299" s="67">
        <f>20000000/0.885</f>
        <v>22598870.0564972</v>
      </c>
      <c r="H299" s="67">
        <f>+G299*0.115</f>
        <v>2598870.05649718</v>
      </c>
      <c r="I299" s="67">
        <f t="shared" si="89"/>
        <v>20000000</v>
      </c>
      <c r="J299" s="65"/>
      <c r="K299" s="65"/>
      <c r="L299" s="65"/>
      <c r="M299" s="65"/>
      <c r="N299" s="67"/>
      <c r="O299" s="67"/>
      <c r="P299" s="95"/>
      <c r="Q299" s="99"/>
      <c r="R299" s="99"/>
      <c r="S299" s="99"/>
    </row>
    <row r="300" s="27" customFormat="1" ht="30" customHeight="1" spans="1:19">
      <c r="A300" s="65">
        <v>4</v>
      </c>
      <c r="B300" s="66" t="s">
        <v>238</v>
      </c>
      <c r="C300" s="67"/>
      <c r="D300" s="67">
        <f>+G300+L300</f>
        <v>772959804</v>
      </c>
      <c r="E300" s="65"/>
      <c r="F300" s="65"/>
      <c r="G300" s="67">
        <f t="shared" ref="G300:I300" si="90">SUM(G301:G303)</f>
        <v>772959804</v>
      </c>
      <c r="H300" s="67">
        <f t="shared" si="90"/>
        <v>17250000</v>
      </c>
      <c r="I300" s="67">
        <f t="shared" si="90"/>
        <v>755709804</v>
      </c>
      <c r="J300" s="65"/>
      <c r="K300" s="65"/>
      <c r="L300" s="65"/>
      <c r="M300" s="65"/>
      <c r="N300" s="67"/>
      <c r="O300" s="67"/>
      <c r="P300" s="95"/>
      <c r="Q300" s="99"/>
      <c r="R300" s="99"/>
      <c r="S300" s="99"/>
    </row>
    <row r="301" s="27" customFormat="1" ht="36" customHeight="1" spans="1:19">
      <c r="A301" s="65"/>
      <c r="B301" s="66" t="s">
        <v>35</v>
      </c>
      <c r="C301" s="67"/>
      <c r="D301" s="67"/>
      <c r="E301" s="65">
        <v>6</v>
      </c>
      <c r="F301" s="74">
        <f>+(20.97+7.32)/E301</f>
        <v>4.715</v>
      </c>
      <c r="G301" s="67">
        <f>+((E301*F301*1490000*12)+(4.8733)*1490000*12)</f>
        <v>592959804</v>
      </c>
      <c r="H301" s="74"/>
      <c r="I301" s="67">
        <f t="shared" ref="I301:I306" si="91">+G301-H301</f>
        <v>592959804</v>
      </c>
      <c r="J301" s="65"/>
      <c r="K301" s="67"/>
      <c r="L301" s="67"/>
      <c r="M301" s="67"/>
      <c r="N301" s="67"/>
      <c r="O301" s="67"/>
      <c r="P301" s="95"/>
      <c r="Q301" s="99"/>
      <c r="R301" s="99"/>
      <c r="S301" s="99"/>
    </row>
    <row r="302" s="27" customFormat="1" ht="25" customHeight="1" spans="1:19">
      <c r="A302" s="65"/>
      <c r="B302" s="66" t="s">
        <v>36</v>
      </c>
      <c r="C302" s="67"/>
      <c r="D302" s="67"/>
      <c r="E302" s="65"/>
      <c r="F302" s="75">
        <v>25000000</v>
      </c>
      <c r="G302" s="67">
        <f>F302*E301</f>
        <v>150000000</v>
      </c>
      <c r="H302" s="67">
        <f>+G302*11.5%</f>
        <v>17250000</v>
      </c>
      <c r="I302" s="67">
        <f t="shared" si="91"/>
        <v>132750000</v>
      </c>
      <c r="J302" s="65"/>
      <c r="K302" s="65"/>
      <c r="L302" s="65"/>
      <c r="M302" s="65"/>
      <c r="N302" s="67"/>
      <c r="O302" s="67"/>
      <c r="P302" s="95"/>
      <c r="Q302" s="99"/>
      <c r="R302" s="99"/>
      <c r="S302" s="99"/>
    </row>
    <row r="303" s="27" customFormat="1" ht="42" customHeight="1" spans="1:19">
      <c r="A303" s="65"/>
      <c r="B303" s="66" t="s">
        <v>133</v>
      </c>
      <c r="C303" s="67"/>
      <c r="D303" s="67">
        <f>+F303</f>
        <v>30000000</v>
      </c>
      <c r="E303" s="65">
        <v>1</v>
      </c>
      <c r="F303" s="75">
        <v>30000000</v>
      </c>
      <c r="G303" s="67">
        <f>+H303+I303</f>
        <v>30000000</v>
      </c>
      <c r="H303" s="67"/>
      <c r="I303" s="67">
        <f>F303*E303</f>
        <v>30000000</v>
      </c>
      <c r="J303" s="65"/>
      <c r="K303" s="65"/>
      <c r="L303" s="65"/>
      <c r="M303" s="65"/>
      <c r="N303" s="67"/>
      <c r="O303" s="67"/>
      <c r="P303" s="95"/>
      <c r="Q303" s="99"/>
      <c r="R303" s="99"/>
      <c r="S303" s="99"/>
    </row>
    <row r="304" s="27" customFormat="1" ht="25.5" customHeight="1" spans="1:19">
      <c r="A304" s="65">
        <v>5</v>
      </c>
      <c r="B304" s="66" t="s">
        <v>239</v>
      </c>
      <c r="C304" s="67"/>
      <c r="D304" s="67">
        <f>+G304+L304</f>
        <v>497408400</v>
      </c>
      <c r="E304" s="65"/>
      <c r="F304" s="65"/>
      <c r="G304" s="67">
        <f t="shared" ref="G304:I304" si="92">+G305+G306</f>
        <v>497408400</v>
      </c>
      <c r="H304" s="67">
        <f t="shared" si="92"/>
        <v>17250000</v>
      </c>
      <c r="I304" s="67">
        <f t="shared" si="92"/>
        <v>480158400</v>
      </c>
      <c r="J304" s="65"/>
      <c r="K304" s="65"/>
      <c r="L304" s="65"/>
      <c r="M304" s="65"/>
      <c r="N304" s="67"/>
      <c r="O304" s="67"/>
      <c r="P304" s="95"/>
      <c r="Q304" s="99"/>
      <c r="R304" s="99"/>
      <c r="S304" s="99"/>
    </row>
    <row r="305" s="27" customFormat="1" ht="42" customHeight="1" spans="1:19">
      <c r="A305" s="65"/>
      <c r="B305" s="66" t="s">
        <v>35</v>
      </c>
      <c r="C305" s="67"/>
      <c r="D305" s="67"/>
      <c r="E305" s="65">
        <v>6</v>
      </c>
      <c r="F305" s="74">
        <f>+(12.96+3.51)/E305</f>
        <v>2.745</v>
      </c>
      <c r="G305" s="67">
        <f>+((E305*F305*1490000*12)+(2.96*1490000*12))</f>
        <v>347408400</v>
      </c>
      <c r="H305" s="74"/>
      <c r="I305" s="67">
        <f t="shared" si="91"/>
        <v>347408400</v>
      </c>
      <c r="J305" s="67"/>
      <c r="K305" s="122"/>
      <c r="L305" s="122"/>
      <c r="M305" s="122"/>
      <c r="N305" s="67"/>
      <c r="O305" s="67"/>
      <c r="P305" s="95"/>
      <c r="Q305" s="99"/>
      <c r="R305" s="99"/>
      <c r="S305" s="99"/>
    </row>
    <row r="306" s="27" customFormat="1" ht="25.5" customHeight="1" spans="1:19">
      <c r="A306" s="65"/>
      <c r="B306" s="66" t="s">
        <v>36</v>
      </c>
      <c r="C306" s="67"/>
      <c r="D306" s="67"/>
      <c r="E306" s="65"/>
      <c r="F306" s="75">
        <v>25000000</v>
      </c>
      <c r="G306" s="67">
        <f>+E305*F306</f>
        <v>150000000</v>
      </c>
      <c r="H306" s="67">
        <f>+G306*11.5%</f>
        <v>17250000</v>
      </c>
      <c r="I306" s="67">
        <f t="shared" si="91"/>
        <v>132750000</v>
      </c>
      <c r="J306" s="65"/>
      <c r="K306" s="122"/>
      <c r="L306" s="122"/>
      <c r="M306" s="122"/>
      <c r="N306" s="67"/>
      <c r="O306" s="67"/>
      <c r="P306" s="95"/>
      <c r="Q306" s="99"/>
      <c r="R306" s="99"/>
      <c r="S306" s="99"/>
    </row>
    <row r="307" s="27" customFormat="1" ht="25.5" customHeight="1" spans="1:19">
      <c r="A307" s="65">
        <v>6</v>
      </c>
      <c r="B307" s="66" t="s">
        <v>240</v>
      </c>
      <c r="C307" s="67"/>
      <c r="D307" s="67">
        <f>+G307+L307</f>
        <v>1208828084</v>
      </c>
      <c r="E307" s="65"/>
      <c r="F307" s="65"/>
      <c r="G307" s="67">
        <f>+G308+G309+G310</f>
        <v>1208828084</v>
      </c>
      <c r="H307" s="67">
        <f>+H308+H309</f>
        <v>23000000</v>
      </c>
      <c r="I307" s="67">
        <f>+I308+I309+I310</f>
        <v>1185828084</v>
      </c>
      <c r="J307" s="65"/>
      <c r="K307" s="65"/>
      <c r="L307" s="65"/>
      <c r="M307" s="65"/>
      <c r="N307" s="67"/>
      <c r="O307" s="67"/>
      <c r="P307" s="95"/>
      <c r="Q307" s="99"/>
      <c r="R307" s="99"/>
      <c r="S307" s="99"/>
    </row>
    <row r="308" s="27" customFormat="1" ht="43" customHeight="1" spans="1:19">
      <c r="A308" s="65"/>
      <c r="B308" s="66" t="s">
        <v>241</v>
      </c>
      <c r="C308" s="67"/>
      <c r="D308" s="67"/>
      <c r="E308" s="65">
        <v>8</v>
      </c>
      <c r="F308" s="74">
        <f>+(34.89+11.75)/E308</f>
        <v>5.83</v>
      </c>
      <c r="G308" s="67">
        <f>+((E308*F308*1490000*12)+(8.1043*1490000*12))</f>
        <v>978828084</v>
      </c>
      <c r="H308" s="74"/>
      <c r="I308" s="67">
        <f t="shared" ref="I308:I313" si="93">+G308-H308</f>
        <v>978828084</v>
      </c>
      <c r="J308" s="65"/>
      <c r="K308" s="65"/>
      <c r="L308" s="65"/>
      <c r="M308" s="65"/>
      <c r="N308" s="67"/>
      <c r="O308" s="67"/>
      <c r="P308" s="95"/>
      <c r="Q308" s="99"/>
      <c r="R308" s="99"/>
      <c r="S308" s="99"/>
    </row>
    <row r="309" s="27" customFormat="1" ht="25.5" customHeight="1" spans="1:19">
      <c r="A309" s="65"/>
      <c r="B309" s="66" t="s">
        <v>36</v>
      </c>
      <c r="C309" s="67"/>
      <c r="D309" s="67"/>
      <c r="E309" s="65"/>
      <c r="F309" s="75">
        <v>25000000</v>
      </c>
      <c r="G309" s="67">
        <f>+E308*F309</f>
        <v>200000000</v>
      </c>
      <c r="H309" s="67">
        <f>+G309*11.5%</f>
        <v>23000000</v>
      </c>
      <c r="I309" s="67">
        <f t="shared" si="93"/>
        <v>177000000</v>
      </c>
      <c r="J309" s="65"/>
      <c r="K309" s="65"/>
      <c r="L309" s="65"/>
      <c r="M309" s="65"/>
      <c r="N309" s="67"/>
      <c r="O309" s="67"/>
      <c r="P309" s="95"/>
      <c r="Q309" s="99"/>
      <c r="R309" s="99"/>
      <c r="S309" s="99"/>
    </row>
    <row r="310" s="27" customFormat="1" ht="42" customHeight="1" spans="1:19">
      <c r="A310" s="65"/>
      <c r="B310" s="66" t="s">
        <v>133</v>
      </c>
      <c r="C310" s="67"/>
      <c r="D310" s="67">
        <f>+F310</f>
        <v>30000000</v>
      </c>
      <c r="E310" s="65">
        <v>1</v>
      </c>
      <c r="F310" s="75">
        <v>30000000</v>
      </c>
      <c r="G310" s="67">
        <f>+H310+I310</f>
        <v>30000000</v>
      </c>
      <c r="H310" s="67"/>
      <c r="I310" s="67">
        <f>F310*E310</f>
        <v>30000000</v>
      </c>
      <c r="J310" s="65"/>
      <c r="K310" s="65"/>
      <c r="L310" s="65"/>
      <c r="M310" s="65"/>
      <c r="N310" s="67"/>
      <c r="O310" s="67"/>
      <c r="P310" s="95"/>
      <c r="Q310" s="99"/>
      <c r="R310" s="99"/>
      <c r="S310" s="99"/>
    </row>
    <row r="311" s="27" customFormat="1" ht="25.5" customHeight="1" spans="1:19">
      <c r="A311" s="65">
        <v>7</v>
      </c>
      <c r="B311" s="66" t="s">
        <v>242</v>
      </c>
      <c r="C311" s="67"/>
      <c r="D311" s="67">
        <f>+G311+L311</f>
        <v>879520898.361582</v>
      </c>
      <c r="E311" s="65"/>
      <c r="F311" s="65"/>
      <c r="G311" s="67">
        <f t="shared" ref="G311:I311" si="94">SUM(G312:G322)</f>
        <v>879520898.361582</v>
      </c>
      <c r="H311" s="67">
        <f t="shared" si="94"/>
        <v>51132768.3615819</v>
      </c>
      <c r="I311" s="67">
        <f t="shared" si="94"/>
        <v>828388130</v>
      </c>
      <c r="J311" s="65"/>
      <c r="K311" s="65"/>
      <c r="L311" s="65"/>
      <c r="M311" s="65"/>
      <c r="N311" s="67"/>
      <c r="O311" s="67"/>
      <c r="P311" s="95"/>
      <c r="Q311" s="99"/>
      <c r="R311" s="99"/>
      <c r="S311" s="99"/>
    </row>
    <row r="312" s="27" customFormat="1" ht="40" customHeight="1" spans="1:19">
      <c r="A312" s="65"/>
      <c r="B312" s="66" t="s">
        <v>35</v>
      </c>
      <c r="C312" s="67"/>
      <c r="D312" s="67"/>
      <c r="E312" s="65">
        <v>4</v>
      </c>
      <c r="F312" s="74">
        <f>+(14.31+5)/E312</f>
        <v>4.8275</v>
      </c>
      <c r="G312" s="67">
        <f>+((E312*F312*1490000*12)+(3.33475)*1490000*12)</f>
        <v>404888130</v>
      </c>
      <c r="H312" s="74"/>
      <c r="I312" s="67">
        <f t="shared" si="93"/>
        <v>404888130</v>
      </c>
      <c r="J312" s="65"/>
      <c r="K312" s="65"/>
      <c r="L312" s="65"/>
      <c r="M312" s="65"/>
      <c r="N312" s="67"/>
      <c r="O312" s="67"/>
      <c r="P312" s="95"/>
      <c r="Q312" s="99"/>
      <c r="R312" s="99"/>
      <c r="S312" s="99"/>
    </row>
    <row r="313" s="27" customFormat="1" ht="25.5" customHeight="1" spans="1:19">
      <c r="A313" s="65"/>
      <c r="B313" s="66" t="s">
        <v>36</v>
      </c>
      <c r="C313" s="67"/>
      <c r="D313" s="67"/>
      <c r="E313" s="65"/>
      <c r="F313" s="75">
        <v>25000000</v>
      </c>
      <c r="G313" s="67">
        <f>+E312*F313</f>
        <v>100000000</v>
      </c>
      <c r="H313" s="67">
        <f>+G313*11.5%</f>
        <v>11500000</v>
      </c>
      <c r="I313" s="67">
        <f t="shared" si="93"/>
        <v>88500000</v>
      </c>
      <c r="J313" s="65"/>
      <c r="K313" s="65"/>
      <c r="L313" s="65"/>
      <c r="M313" s="65"/>
      <c r="N313" s="67"/>
      <c r="O313" s="67"/>
      <c r="P313" s="95"/>
      <c r="Q313" s="99"/>
      <c r="R313" s="99"/>
      <c r="S313" s="99"/>
    </row>
    <row r="314" s="27" customFormat="1" ht="46" customHeight="1" spans="1:19">
      <c r="A314" s="65"/>
      <c r="B314" s="66" t="s">
        <v>133</v>
      </c>
      <c r="C314" s="67"/>
      <c r="D314" s="67">
        <f>+F314</f>
        <v>30000000</v>
      </c>
      <c r="E314" s="65">
        <v>1</v>
      </c>
      <c r="F314" s="75">
        <v>30000000</v>
      </c>
      <c r="G314" s="67">
        <f>+H314+I314</f>
        <v>30000000</v>
      </c>
      <c r="H314" s="67"/>
      <c r="I314" s="67">
        <f>F314*E314</f>
        <v>30000000</v>
      </c>
      <c r="J314" s="65"/>
      <c r="K314" s="65"/>
      <c r="L314" s="65"/>
      <c r="M314" s="65"/>
      <c r="N314" s="67"/>
      <c r="O314" s="67"/>
      <c r="P314" s="95"/>
      <c r="Q314" s="99"/>
      <c r="R314" s="99"/>
      <c r="S314" s="99"/>
    </row>
    <row r="315" s="27" customFormat="1" ht="25.5" customHeight="1" spans="1:19">
      <c r="A315" s="65"/>
      <c r="B315" s="66" t="s">
        <v>243</v>
      </c>
      <c r="C315" s="67"/>
      <c r="D315" s="67"/>
      <c r="E315" s="65"/>
      <c r="F315" s="75"/>
      <c r="G315" s="67">
        <f>20000000/0.885</f>
        <v>22598870.0564972</v>
      </c>
      <c r="H315" s="67">
        <f t="shared" ref="H315:H319" si="95">+G315*0.115</f>
        <v>2598870.05649718</v>
      </c>
      <c r="I315" s="67">
        <f t="shared" ref="I315:I322" si="96">+G315-H315</f>
        <v>20000000</v>
      </c>
      <c r="J315" s="65"/>
      <c r="K315" s="65"/>
      <c r="L315" s="65"/>
      <c r="M315" s="65"/>
      <c r="N315" s="67"/>
      <c r="O315" s="67"/>
      <c r="P315" s="95"/>
      <c r="Q315" s="99"/>
      <c r="R315" s="99"/>
      <c r="S315" s="99"/>
    </row>
    <row r="316" s="27" customFormat="1" ht="25.5" customHeight="1" spans="1:19">
      <c r="A316" s="65"/>
      <c r="B316" s="66" t="s">
        <v>244</v>
      </c>
      <c r="C316" s="67"/>
      <c r="D316" s="67"/>
      <c r="E316" s="65"/>
      <c r="F316" s="75"/>
      <c r="G316" s="67">
        <f t="shared" ref="G316:G319" si="97">30000000/0.885</f>
        <v>33898305.0847458</v>
      </c>
      <c r="H316" s="67">
        <f t="shared" si="95"/>
        <v>3898305.08474576</v>
      </c>
      <c r="I316" s="67">
        <f t="shared" si="96"/>
        <v>30000000</v>
      </c>
      <c r="J316" s="65"/>
      <c r="K316" s="65"/>
      <c r="L316" s="65"/>
      <c r="M316" s="65"/>
      <c r="N316" s="67"/>
      <c r="O316" s="67"/>
      <c r="P316" s="95"/>
      <c r="Q316" s="99"/>
      <c r="R316" s="99"/>
      <c r="S316" s="99"/>
    </row>
    <row r="317" s="27" customFormat="1" ht="31" customHeight="1" spans="1:19">
      <c r="A317" s="65"/>
      <c r="B317" s="66" t="s">
        <v>245</v>
      </c>
      <c r="C317" s="67"/>
      <c r="D317" s="67"/>
      <c r="E317" s="65"/>
      <c r="F317" s="75"/>
      <c r="G317" s="67">
        <f>100000000/0.885</f>
        <v>112994350.282486</v>
      </c>
      <c r="H317" s="67">
        <f t="shared" si="95"/>
        <v>12994350.2824859</v>
      </c>
      <c r="I317" s="67">
        <f t="shared" si="96"/>
        <v>100000000</v>
      </c>
      <c r="J317" s="65"/>
      <c r="K317" s="65"/>
      <c r="L317" s="65"/>
      <c r="M317" s="65"/>
      <c r="N317" s="67"/>
      <c r="O317" s="67"/>
      <c r="P317" s="95"/>
      <c r="Q317" s="99"/>
      <c r="R317" s="99"/>
      <c r="S317" s="99"/>
    </row>
    <row r="318" s="27" customFormat="1" ht="31" customHeight="1" spans="1:19">
      <c r="A318" s="65"/>
      <c r="B318" s="66" t="s">
        <v>246</v>
      </c>
      <c r="C318" s="67"/>
      <c r="D318" s="67"/>
      <c r="E318" s="65"/>
      <c r="F318" s="75"/>
      <c r="G318" s="67">
        <f t="shared" si="97"/>
        <v>33898305.0847458</v>
      </c>
      <c r="H318" s="67">
        <f t="shared" si="95"/>
        <v>3898305.08474576</v>
      </c>
      <c r="I318" s="67">
        <f t="shared" si="96"/>
        <v>30000000</v>
      </c>
      <c r="J318" s="65"/>
      <c r="K318" s="65"/>
      <c r="L318" s="65"/>
      <c r="M318" s="65"/>
      <c r="N318" s="67"/>
      <c r="O318" s="67"/>
      <c r="P318" s="95"/>
      <c r="Q318" s="99"/>
      <c r="R318" s="99"/>
      <c r="S318" s="99"/>
    </row>
    <row r="319" s="27" customFormat="1" ht="63" customHeight="1" spans="1:19">
      <c r="A319" s="65"/>
      <c r="B319" s="66" t="s">
        <v>247</v>
      </c>
      <c r="C319" s="67"/>
      <c r="D319" s="67"/>
      <c r="E319" s="65"/>
      <c r="F319" s="75"/>
      <c r="G319" s="67">
        <f t="shared" si="97"/>
        <v>33898305.0847458</v>
      </c>
      <c r="H319" s="67">
        <f t="shared" si="95"/>
        <v>3898305.08474576</v>
      </c>
      <c r="I319" s="67">
        <f t="shared" si="96"/>
        <v>30000000</v>
      </c>
      <c r="J319" s="65"/>
      <c r="K319" s="65"/>
      <c r="L319" s="65"/>
      <c r="M319" s="65"/>
      <c r="N319" s="67"/>
      <c r="O319" s="67"/>
      <c r="P319" s="95"/>
      <c r="Q319" s="99"/>
      <c r="R319" s="99"/>
      <c r="S319" s="99"/>
    </row>
    <row r="320" s="27" customFormat="1" ht="36.75" customHeight="1" spans="1:19">
      <c r="A320" s="65"/>
      <c r="B320" s="110" t="s">
        <v>248</v>
      </c>
      <c r="C320" s="67"/>
      <c r="D320" s="73">
        <f>+G320+L320</f>
        <v>67796610.1694915</v>
      </c>
      <c r="E320" s="65"/>
      <c r="F320" s="65"/>
      <c r="G320" s="67">
        <f>60000000/0.885</f>
        <v>67796610.1694915</v>
      </c>
      <c r="H320" s="67">
        <f>+G320*11.5%</f>
        <v>7796610.16949153</v>
      </c>
      <c r="I320" s="67">
        <f t="shared" si="96"/>
        <v>60000000</v>
      </c>
      <c r="J320" s="65"/>
      <c r="K320" s="65"/>
      <c r="L320" s="65"/>
      <c r="M320" s="65"/>
      <c r="N320" s="67"/>
      <c r="O320" s="67"/>
      <c r="P320" s="95"/>
      <c r="Q320" s="99"/>
      <c r="R320" s="99"/>
      <c r="S320" s="99"/>
    </row>
    <row r="321" s="27" customFormat="1" ht="28" customHeight="1" spans="1:19">
      <c r="A321" s="65"/>
      <c r="B321" s="66" t="s">
        <v>249</v>
      </c>
      <c r="C321" s="67"/>
      <c r="D321" s="67"/>
      <c r="E321" s="65"/>
      <c r="F321" s="75"/>
      <c r="G321" s="67">
        <f>15000000/0.885</f>
        <v>16949152.5423729</v>
      </c>
      <c r="H321" s="67">
        <f t="shared" ref="H321:H328" si="98">+G321*0.115</f>
        <v>1949152.54237288</v>
      </c>
      <c r="I321" s="67">
        <f t="shared" si="96"/>
        <v>15000000</v>
      </c>
      <c r="J321" s="65"/>
      <c r="K321" s="65"/>
      <c r="L321" s="65"/>
      <c r="M321" s="65"/>
      <c r="N321" s="67"/>
      <c r="O321" s="67"/>
      <c r="P321" s="95"/>
      <c r="Q321" s="99"/>
      <c r="R321" s="99"/>
      <c r="S321" s="99"/>
    </row>
    <row r="322" s="27" customFormat="1" ht="60" customHeight="1" spans="1:19">
      <c r="A322" s="65"/>
      <c r="B322" s="66" t="s">
        <v>250</v>
      </c>
      <c r="C322" s="67"/>
      <c r="D322" s="67"/>
      <c r="E322" s="65"/>
      <c r="F322" s="75"/>
      <c r="G322" s="67">
        <f>20000000/0.885</f>
        <v>22598870.0564972</v>
      </c>
      <c r="H322" s="67">
        <f t="shared" si="98"/>
        <v>2598870.05649718</v>
      </c>
      <c r="I322" s="67">
        <f t="shared" si="96"/>
        <v>20000000</v>
      </c>
      <c r="J322" s="65"/>
      <c r="K322" s="65"/>
      <c r="L322" s="65"/>
      <c r="M322" s="65"/>
      <c r="N322" s="67"/>
      <c r="O322" s="67"/>
      <c r="P322" s="95"/>
      <c r="Q322" s="99"/>
      <c r="R322" s="99"/>
      <c r="S322" s="99"/>
    </row>
    <row r="323" s="27" customFormat="1" ht="30" customHeight="1" spans="1:19">
      <c r="A323" s="65">
        <v>8</v>
      </c>
      <c r="B323" s="66" t="s">
        <v>251</v>
      </c>
      <c r="C323" s="67"/>
      <c r="D323" s="67">
        <f>+G323+L323</f>
        <v>1313281315.25424</v>
      </c>
      <c r="E323" s="65"/>
      <c r="F323" s="65"/>
      <c r="G323" s="67">
        <f t="shared" ref="G323:I323" si="99">SUM(G324:G329)</f>
        <v>1313281315.25424</v>
      </c>
      <c r="H323" s="67">
        <f t="shared" si="99"/>
        <v>40444915.2542373</v>
      </c>
      <c r="I323" s="67">
        <f t="shared" si="99"/>
        <v>1272836400</v>
      </c>
      <c r="J323" s="65"/>
      <c r="K323" s="65"/>
      <c r="L323" s="65"/>
      <c r="M323" s="65"/>
      <c r="N323" s="67"/>
      <c r="O323" s="67"/>
      <c r="P323" s="95"/>
      <c r="Q323" s="99"/>
      <c r="R323" s="99"/>
      <c r="S323" s="99"/>
    </row>
    <row r="324" s="27" customFormat="1" ht="45" customHeight="1" spans="1:19">
      <c r="A324" s="65"/>
      <c r="B324" s="66" t="s">
        <v>35</v>
      </c>
      <c r="C324" s="67"/>
      <c r="D324" s="67"/>
      <c r="E324" s="65">
        <v>7</v>
      </c>
      <c r="F324" s="74">
        <f>+(27.05+9.04)/E324</f>
        <v>5.15571428571429</v>
      </c>
      <c r="G324" s="67">
        <f>+((E324*F324*1490000*12)+(6.24*1490000*12))</f>
        <v>756860400</v>
      </c>
      <c r="H324" s="74"/>
      <c r="I324" s="67">
        <f t="shared" ref="I324:I328" si="100">+G324-H324</f>
        <v>756860400</v>
      </c>
      <c r="J324" s="65"/>
      <c r="K324" s="67"/>
      <c r="L324" s="67"/>
      <c r="M324" s="67"/>
      <c r="N324" s="67"/>
      <c r="O324" s="67"/>
      <c r="P324" s="95"/>
      <c r="Q324" s="99"/>
      <c r="R324" s="99"/>
      <c r="S324" s="99"/>
    </row>
    <row r="325" s="27" customFormat="1" ht="32" customHeight="1" spans="1:19">
      <c r="A325" s="65"/>
      <c r="B325" s="66" t="s">
        <v>36</v>
      </c>
      <c r="C325" s="67"/>
      <c r="D325" s="67"/>
      <c r="E325" s="65"/>
      <c r="F325" s="75">
        <v>25000000</v>
      </c>
      <c r="G325" s="67">
        <f>+E324*F325</f>
        <v>175000000</v>
      </c>
      <c r="H325" s="67">
        <f>+G325*11.5%</f>
        <v>20125000</v>
      </c>
      <c r="I325" s="67">
        <f t="shared" si="100"/>
        <v>154875000</v>
      </c>
      <c r="J325" s="65"/>
      <c r="K325" s="67"/>
      <c r="L325" s="67"/>
      <c r="M325" s="67"/>
      <c r="N325" s="122"/>
      <c r="O325" s="67"/>
      <c r="P325" s="95"/>
      <c r="Q325" s="99"/>
      <c r="R325" s="99"/>
      <c r="S325" s="99"/>
    </row>
    <row r="326" s="27" customFormat="1" ht="30" customHeight="1" spans="1:19">
      <c r="A326" s="65"/>
      <c r="B326" s="66" t="s">
        <v>252</v>
      </c>
      <c r="C326" s="67"/>
      <c r="D326" s="67"/>
      <c r="E326" s="65"/>
      <c r="F326" s="65"/>
      <c r="G326" s="67">
        <f>30000000/0.885</f>
        <v>33898305.0847458</v>
      </c>
      <c r="H326" s="67">
        <f t="shared" si="98"/>
        <v>3898305.08474576</v>
      </c>
      <c r="I326" s="67">
        <f t="shared" si="100"/>
        <v>30000000</v>
      </c>
      <c r="J326" s="65"/>
      <c r="K326" s="65"/>
      <c r="L326" s="65"/>
      <c r="M326" s="65"/>
      <c r="N326" s="67"/>
      <c r="O326" s="67"/>
      <c r="P326" s="95"/>
      <c r="Q326" s="99"/>
      <c r="R326" s="99"/>
      <c r="S326" s="99"/>
    </row>
    <row r="327" s="27" customFormat="1" ht="31" customHeight="1" spans="1:19">
      <c r="A327" s="65"/>
      <c r="B327" s="66" t="s">
        <v>253</v>
      </c>
      <c r="C327" s="67"/>
      <c r="D327" s="67"/>
      <c r="E327" s="65"/>
      <c r="F327" s="65"/>
      <c r="G327" s="67">
        <f>50000000/0.885</f>
        <v>56497175.1412429</v>
      </c>
      <c r="H327" s="67">
        <f t="shared" si="98"/>
        <v>6497175.14124294</v>
      </c>
      <c r="I327" s="67">
        <f t="shared" si="100"/>
        <v>50000000</v>
      </c>
      <c r="J327" s="65"/>
      <c r="K327" s="65"/>
      <c r="L327" s="65"/>
      <c r="M327" s="65"/>
      <c r="N327" s="67"/>
      <c r="O327" s="67"/>
      <c r="P327" s="95"/>
      <c r="Q327" s="99"/>
      <c r="R327" s="99"/>
      <c r="S327" s="99"/>
    </row>
    <row r="328" s="27" customFormat="1" ht="42" customHeight="1" spans="1:19">
      <c r="A328" s="65"/>
      <c r="B328" s="66" t="s">
        <v>254</v>
      </c>
      <c r="C328" s="67"/>
      <c r="D328" s="67"/>
      <c r="E328" s="65"/>
      <c r="F328" s="65"/>
      <c r="G328" s="67">
        <f>10000000/0.885</f>
        <v>11299435.0282486</v>
      </c>
      <c r="H328" s="67">
        <f t="shared" si="98"/>
        <v>1299435.02824859</v>
      </c>
      <c r="I328" s="67">
        <f t="shared" si="100"/>
        <v>10000000</v>
      </c>
      <c r="J328" s="65"/>
      <c r="K328" s="65"/>
      <c r="L328" s="65"/>
      <c r="M328" s="65"/>
      <c r="N328" s="67"/>
      <c r="O328" s="67"/>
      <c r="P328" s="95"/>
      <c r="Q328" s="99"/>
      <c r="R328" s="99"/>
      <c r="S328" s="99"/>
    </row>
    <row r="329" s="27" customFormat="1" ht="25.5" customHeight="1" spans="1:19">
      <c r="A329" s="65"/>
      <c r="B329" s="66" t="s">
        <v>255</v>
      </c>
      <c r="C329" s="67"/>
      <c r="D329" s="67"/>
      <c r="E329" s="65"/>
      <c r="F329" s="65"/>
      <c r="G329" s="67">
        <f>+G330+G331</f>
        <v>279726000</v>
      </c>
      <c r="H329" s="67">
        <f>+H331</f>
        <v>8625000</v>
      </c>
      <c r="I329" s="67">
        <f>+I330+I331</f>
        <v>271101000</v>
      </c>
      <c r="J329" s="65"/>
      <c r="K329" s="65"/>
      <c r="L329" s="65"/>
      <c r="M329" s="65"/>
      <c r="N329" s="122"/>
      <c r="O329" s="67"/>
      <c r="P329" s="95"/>
      <c r="Q329" s="99"/>
      <c r="R329" s="99"/>
      <c r="S329" s="99"/>
    </row>
    <row r="330" s="27" customFormat="1" ht="43" customHeight="1" spans="1:19">
      <c r="A330" s="65"/>
      <c r="B330" s="66" t="s">
        <v>227</v>
      </c>
      <c r="C330" s="67"/>
      <c r="D330" s="67"/>
      <c r="E330" s="65">
        <v>3</v>
      </c>
      <c r="F330" s="74">
        <f>+(8.36+1.2)/E330</f>
        <v>3.18666666666667</v>
      </c>
      <c r="G330" s="67">
        <f>+((E330*F330*1490000*12)+(1.89*1490000*12))</f>
        <v>204726000</v>
      </c>
      <c r="H330" s="75"/>
      <c r="I330" s="67">
        <f t="shared" ref="I330:I335" si="101">+G330-H330</f>
        <v>204726000</v>
      </c>
      <c r="J330" s="65"/>
      <c r="K330" s="67"/>
      <c r="L330" s="67"/>
      <c r="M330" s="67"/>
      <c r="N330" s="67"/>
      <c r="O330" s="67"/>
      <c r="P330" s="95"/>
      <c r="Q330" s="99"/>
      <c r="R330" s="99"/>
      <c r="S330" s="99"/>
    </row>
    <row r="331" s="27" customFormat="1" ht="25.5" customHeight="1" spans="1:19">
      <c r="A331" s="65"/>
      <c r="B331" s="66" t="s">
        <v>228</v>
      </c>
      <c r="C331" s="67"/>
      <c r="D331" s="67"/>
      <c r="E331" s="65"/>
      <c r="F331" s="75">
        <v>25000000</v>
      </c>
      <c r="G331" s="67">
        <f>+E330*F331</f>
        <v>75000000</v>
      </c>
      <c r="H331" s="67">
        <f>+G331*11.5%</f>
        <v>8625000</v>
      </c>
      <c r="I331" s="67">
        <f t="shared" si="101"/>
        <v>66375000</v>
      </c>
      <c r="J331" s="65"/>
      <c r="K331" s="65"/>
      <c r="L331" s="65"/>
      <c r="M331" s="65"/>
      <c r="N331" s="67"/>
      <c r="O331" s="67"/>
      <c r="P331" s="95"/>
      <c r="Q331" s="99"/>
      <c r="R331" s="99"/>
      <c r="S331" s="99"/>
    </row>
    <row r="332" s="27" customFormat="1" ht="27" customHeight="1" spans="1:19">
      <c r="A332" s="65">
        <v>9</v>
      </c>
      <c r="B332" s="66" t="s">
        <v>256</v>
      </c>
      <c r="C332" s="67"/>
      <c r="D332" s="67">
        <f>+G332+L332</f>
        <v>315335575.141243</v>
      </c>
      <c r="E332" s="65"/>
      <c r="F332" s="65"/>
      <c r="G332" s="67">
        <f t="shared" ref="G332:I332" si="102">SUM(G333:G335)</f>
        <v>315335575.141243</v>
      </c>
      <c r="H332" s="67">
        <f t="shared" si="102"/>
        <v>12247175.1412429</v>
      </c>
      <c r="I332" s="67">
        <f t="shared" si="102"/>
        <v>303088400</v>
      </c>
      <c r="J332" s="65"/>
      <c r="K332" s="65"/>
      <c r="L332" s="65"/>
      <c r="M332" s="65"/>
      <c r="N332" s="67"/>
      <c r="O332" s="67"/>
      <c r="P332" s="95"/>
      <c r="Q332" s="99"/>
      <c r="R332" s="99"/>
      <c r="S332" s="99"/>
    </row>
    <row r="333" s="27" customFormat="1" ht="43" customHeight="1" spans="1:19">
      <c r="A333" s="65"/>
      <c r="B333" s="66" t="s">
        <v>35</v>
      </c>
      <c r="C333" s="67"/>
      <c r="D333" s="67"/>
      <c r="E333" s="65">
        <v>2</v>
      </c>
      <c r="F333" s="74">
        <f>+(7.65+2.31)/E333</f>
        <v>4.98</v>
      </c>
      <c r="G333" s="67">
        <f>+((E333*F333*1490000*12)+(1.72)*1490000*12)</f>
        <v>208838400</v>
      </c>
      <c r="H333" s="74"/>
      <c r="I333" s="67">
        <f t="shared" si="101"/>
        <v>208838400</v>
      </c>
      <c r="J333" s="65"/>
      <c r="K333" s="65"/>
      <c r="L333" s="65"/>
      <c r="M333" s="65"/>
      <c r="N333" s="67"/>
      <c r="O333" s="67"/>
      <c r="P333" s="95"/>
      <c r="Q333" s="99"/>
      <c r="R333" s="99"/>
      <c r="S333" s="99"/>
    </row>
    <row r="334" s="27" customFormat="1" ht="27" customHeight="1" spans="1:19">
      <c r="A334" s="65"/>
      <c r="B334" s="66" t="s">
        <v>36</v>
      </c>
      <c r="C334" s="67"/>
      <c r="D334" s="67"/>
      <c r="E334" s="65"/>
      <c r="F334" s="75">
        <v>25000000</v>
      </c>
      <c r="G334" s="67">
        <f>+E333*F334</f>
        <v>50000000</v>
      </c>
      <c r="H334" s="67">
        <f>+G334*11.5%</f>
        <v>5750000</v>
      </c>
      <c r="I334" s="67">
        <f t="shared" si="101"/>
        <v>44250000</v>
      </c>
      <c r="J334" s="65"/>
      <c r="K334" s="65"/>
      <c r="L334" s="65"/>
      <c r="M334" s="65"/>
      <c r="N334" s="67"/>
      <c r="O334" s="67"/>
      <c r="P334" s="95"/>
      <c r="Q334" s="99"/>
      <c r="R334" s="99"/>
      <c r="S334" s="99"/>
    </row>
    <row r="335" s="27" customFormat="1" ht="43" customHeight="1" spans="1:19">
      <c r="A335" s="65"/>
      <c r="B335" s="66" t="s">
        <v>257</v>
      </c>
      <c r="C335" s="67"/>
      <c r="D335" s="67"/>
      <c r="E335" s="65"/>
      <c r="F335" s="75"/>
      <c r="G335" s="67">
        <f>50000000/0.885</f>
        <v>56497175.1412429</v>
      </c>
      <c r="H335" s="67">
        <f>+G335*0.115</f>
        <v>6497175.14124294</v>
      </c>
      <c r="I335" s="67">
        <f t="shared" si="101"/>
        <v>50000000</v>
      </c>
      <c r="J335" s="65"/>
      <c r="K335" s="65"/>
      <c r="L335" s="65"/>
      <c r="M335" s="65"/>
      <c r="N335" s="67"/>
      <c r="O335" s="67"/>
      <c r="P335" s="95"/>
      <c r="Q335" s="99"/>
      <c r="R335" s="99"/>
      <c r="S335" s="99"/>
    </row>
    <row r="336" s="30" customFormat="1" ht="27" customHeight="1" spans="1:19">
      <c r="A336" s="126">
        <v>10</v>
      </c>
      <c r="B336" s="127" t="s">
        <v>258</v>
      </c>
      <c r="C336" s="128"/>
      <c r="D336" s="67">
        <f>+G336+L336</f>
        <v>792256470.282486</v>
      </c>
      <c r="E336" s="126"/>
      <c r="F336" s="126"/>
      <c r="G336" s="128">
        <f t="shared" ref="G336:I336" si="103">SUM(G337:G341)</f>
        <v>792256470.282486</v>
      </c>
      <c r="H336" s="128">
        <f t="shared" si="103"/>
        <v>27369350.2824859</v>
      </c>
      <c r="I336" s="128">
        <f t="shared" si="103"/>
        <v>764887120</v>
      </c>
      <c r="J336" s="126"/>
      <c r="K336" s="126"/>
      <c r="L336" s="126"/>
      <c r="M336" s="126"/>
      <c r="N336" s="128"/>
      <c r="O336" s="128"/>
      <c r="P336" s="132"/>
      <c r="Q336" s="31"/>
      <c r="R336" s="31"/>
      <c r="S336" s="31"/>
    </row>
    <row r="337" s="30" customFormat="1" ht="42" customHeight="1" spans="1:19">
      <c r="A337" s="126"/>
      <c r="B337" s="127" t="s">
        <v>35</v>
      </c>
      <c r="C337" s="128"/>
      <c r="D337" s="128"/>
      <c r="E337" s="126">
        <v>5</v>
      </c>
      <c r="F337" s="129">
        <f>+(17.61+9.07)/E337</f>
        <v>5.336</v>
      </c>
      <c r="G337" s="128">
        <f>+((E337*F337*1490000*12)+((4.319)*1490000*12))</f>
        <v>554262120</v>
      </c>
      <c r="H337" s="129"/>
      <c r="I337" s="128">
        <f t="shared" ref="I337:I341" si="104">+G337-H337</f>
        <v>554262120</v>
      </c>
      <c r="J337" s="126"/>
      <c r="K337" s="126"/>
      <c r="L337" s="126"/>
      <c r="M337" s="126"/>
      <c r="N337" s="128"/>
      <c r="O337" s="128"/>
      <c r="P337" s="132"/>
      <c r="Q337" s="31"/>
      <c r="R337" s="31"/>
      <c r="S337" s="31"/>
    </row>
    <row r="338" s="30" customFormat="1" ht="27" customHeight="1" spans="1:19">
      <c r="A338" s="126"/>
      <c r="B338" s="127" t="s">
        <v>36</v>
      </c>
      <c r="C338" s="128"/>
      <c r="D338" s="128"/>
      <c r="E338" s="126"/>
      <c r="F338" s="130">
        <v>25000000</v>
      </c>
      <c r="G338" s="67">
        <f>+E337*F338</f>
        <v>125000000</v>
      </c>
      <c r="H338" s="67">
        <f>+G338*11.5%</f>
        <v>14375000</v>
      </c>
      <c r="I338" s="67">
        <f t="shared" si="104"/>
        <v>110625000</v>
      </c>
      <c r="J338" s="126"/>
      <c r="K338" s="126"/>
      <c r="L338" s="126"/>
      <c r="M338" s="126"/>
      <c r="N338" s="128"/>
      <c r="O338" s="128"/>
      <c r="P338" s="132"/>
      <c r="Q338" s="31"/>
      <c r="R338" s="31"/>
      <c r="S338" s="31"/>
    </row>
    <row r="339" s="31" customFormat="1" ht="60" customHeight="1" spans="1:16">
      <c r="A339" s="126"/>
      <c r="B339" s="131" t="s">
        <v>259</v>
      </c>
      <c r="C339" s="128"/>
      <c r="D339" s="128"/>
      <c r="E339" s="126"/>
      <c r="F339" s="130"/>
      <c r="G339" s="67">
        <f>20000000/0.885</f>
        <v>22598870.0564972</v>
      </c>
      <c r="H339" s="67">
        <f>+G339*0.115</f>
        <v>2598870.05649718</v>
      </c>
      <c r="I339" s="67">
        <f t="shared" si="104"/>
        <v>20000000</v>
      </c>
      <c r="J339" s="126"/>
      <c r="K339" s="126"/>
      <c r="L339" s="126"/>
      <c r="M339" s="126"/>
      <c r="N339" s="128"/>
      <c r="O339" s="128"/>
      <c r="P339" s="132"/>
    </row>
    <row r="340" s="31" customFormat="1" ht="36" customHeight="1" spans="1:16">
      <c r="A340" s="126"/>
      <c r="B340" s="131" t="s">
        <v>260</v>
      </c>
      <c r="C340" s="128"/>
      <c r="D340" s="128"/>
      <c r="E340" s="126"/>
      <c r="F340" s="130"/>
      <c r="G340" s="67">
        <f t="shared" ref="G340:G345" si="105">40000000/0.885</f>
        <v>45197740.1129944</v>
      </c>
      <c r="H340" s="67">
        <f>G340*0.115</f>
        <v>5197740.11299435</v>
      </c>
      <c r="I340" s="67">
        <f t="shared" si="104"/>
        <v>40000000</v>
      </c>
      <c r="J340" s="126"/>
      <c r="K340" s="126"/>
      <c r="L340" s="126"/>
      <c r="M340" s="126"/>
      <c r="N340" s="128"/>
      <c r="O340" s="128"/>
      <c r="P340" s="132"/>
    </row>
    <row r="341" s="30" customFormat="1" ht="27.75" customHeight="1" spans="1:19">
      <c r="A341" s="126"/>
      <c r="B341" s="127" t="s">
        <v>261</v>
      </c>
      <c r="C341" s="128"/>
      <c r="D341" s="128"/>
      <c r="E341" s="126"/>
      <c r="F341" s="126"/>
      <c r="G341" s="128">
        <f t="shared" si="105"/>
        <v>45197740.1129944</v>
      </c>
      <c r="H341" s="67">
        <f t="shared" ref="H341:H346" si="106">+G341*0.115</f>
        <v>5197740.11299435</v>
      </c>
      <c r="I341" s="128">
        <f t="shared" si="104"/>
        <v>40000000</v>
      </c>
      <c r="J341" s="126"/>
      <c r="K341" s="126"/>
      <c r="L341" s="126"/>
      <c r="M341" s="126"/>
      <c r="N341" s="128"/>
      <c r="O341" s="128"/>
      <c r="P341" s="132"/>
      <c r="Q341" s="31"/>
      <c r="R341" s="31"/>
      <c r="S341" s="31"/>
    </row>
    <row r="342" s="27" customFormat="1" ht="27.75" customHeight="1" spans="1:19">
      <c r="A342" s="65">
        <v>11</v>
      </c>
      <c r="B342" s="66" t="s">
        <v>262</v>
      </c>
      <c r="C342" s="67"/>
      <c r="D342" s="67">
        <f>+G342+L342</f>
        <v>655564425.310734</v>
      </c>
      <c r="E342" s="65"/>
      <c r="F342" s="65"/>
      <c r="G342" s="67">
        <f t="shared" ref="G342:I342" si="107">SUM(G343:G346)</f>
        <v>631564425.310734</v>
      </c>
      <c r="H342" s="67">
        <f t="shared" si="107"/>
        <v>25793785.3107345</v>
      </c>
      <c r="I342" s="67">
        <f t="shared" si="107"/>
        <v>605770640</v>
      </c>
      <c r="J342" s="65"/>
      <c r="K342" s="65"/>
      <c r="L342" s="67">
        <f t="shared" ref="L342:N342" si="108">SUM(L343:L347)</f>
        <v>24000000</v>
      </c>
      <c r="M342" s="67">
        <f t="shared" si="108"/>
        <v>0</v>
      </c>
      <c r="N342" s="67">
        <f t="shared" si="108"/>
        <v>24000000</v>
      </c>
      <c r="O342" s="67"/>
      <c r="P342" s="95"/>
      <c r="Q342" s="99"/>
      <c r="R342" s="99"/>
      <c r="S342" s="99"/>
    </row>
    <row r="343" s="27" customFormat="1" ht="42" customHeight="1" spans="1:19">
      <c r="A343" s="65"/>
      <c r="B343" s="66" t="s">
        <v>35</v>
      </c>
      <c r="C343" s="67"/>
      <c r="D343" s="67"/>
      <c r="E343" s="65">
        <v>4</v>
      </c>
      <c r="F343" s="74">
        <f>+(14.4+5.03)/E343</f>
        <v>4.8575</v>
      </c>
      <c r="G343" s="67">
        <f>+((E343*F343*1490000*12)+(3.348)*1490000*12)</f>
        <v>407270640</v>
      </c>
      <c r="H343" s="74"/>
      <c r="I343" s="67">
        <f t="shared" ref="I343:I346" si="109">+G343-H343</f>
        <v>407270640</v>
      </c>
      <c r="J343" s="65"/>
      <c r="K343" s="65"/>
      <c r="L343" s="65"/>
      <c r="M343" s="65"/>
      <c r="N343" s="67"/>
      <c r="O343" s="67"/>
      <c r="P343" s="95"/>
      <c r="Q343" s="99"/>
      <c r="R343" s="99"/>
      <c r="S343" s="99"/>
    </row>
    <row r="344" s="27" customFormat="1" ht="27.75" customHeight="1" spans="1:19">
      <c r="A344" s="65"/>
      <c r="B344" s="66" t="s">
        <v>36</v>
      </c>
      <c r="C344" s="67"/>
      <c r="D344" s="67"/>
      <c r="E344" s="65"/>
      <c r="F344" s="75">
        <v>25000000</v>
      </c>
      <c r="G344" s="67">
        <f>+E343*F344</f>
        <v>100000000</v>
      </c>
      <c r="H344" s="67">
        <f>+G344*11.5%</f>
        <v>11500000</v>
      </c>
      <c r="I344" s="67">
        <f t="shared" si="109"/>
        <v>88500000</v>
      </c>
      <c r="J344" s="65"/>
      <c r="K344" s="65"/>
      <c r="L344" s="65"/>
      <c r="M344" s="65"/>
      <c r="N344" s="67"/>
      <c r="O344" s="67"/>
      <c r="P344" s="95"/>
      <c r="Q344" s="99"/>
      <c r="R344" s="99"/>
      <c r="S344" s="99"/>
    </row>
    <row r="345" s="27" customFormat="1" ht="63" customHeight="1" spans="1:19">
      <c r="A345" s="65"/>
      <c r="B345" s="110" t="s">
        <v>263</v>
      </c>
      <c r="C345" s="67"/>
      <c r="D345" s="67"/>
      <c r="E345" s="65"/>
      <c r="F345" s="75"/>
      <c r="G345" s="67">
        <f t="shared" si="105"/>
        <v>45197740.1129944</v>
      </c>
      <c r="H345" s="75">
        <f t="shared" si="106"/>
        <v>5197740.11299435</v>
      </c>
      <c r="I345" s="67">
        <f t="shared" si="109"/>
        <v>40000000</v>
      </c>
      <c r="J345" s="65"/>
      <c r="K345" s="65"/>
      <c r="L345" s="65"/>
      <c r="M345" s="65"/>
      <c r="N345" s="67"/>
      <c r="O345" s="67"/>
      <c r="P345" s="95"/>
      <c r="Q345" s="99"/>
      <c r="R345" s="99"/>
      <c r="S345" s="99"/>
    </row>
    <row r="346" s="27" customFormat="1" ht="43.5" customHeight="1" spans="1:19">
      <c r="A346" s="65"/>
      <c r="B346" s="110" t="s">
        <v>264</v>
      </c>
      <c r="C346" s="67"/>
      <c r="D346" s="67"/>
      <c r="E346" s="65"/>
      <c r="F346" s="65"/>
      <c r="G346" s="67">
        <f>70000000/0.885</f>
        <v>79096045.1977401</v>
      </c>
      <c r="H346" s="75">
        <f t="shared" si="106"/>
        <v>9096045.19774011</v>
      </c>
      <c r="I346" s="67">
        <f t="shared" si="109"/>
        <v>70000000</v>
      </c>
      <c r="J346" s="65"/>
      <c r="K346" s="67"/>
      <c r="L346" s="67"/>
      <c r="M346" s="67"/>
      <c r="N346" s="67"/>
      <c r="O346" s="67"/>
      <c r="P346" s="95"/>
      <c r="Q346" s="99"/>
      <c r="R346" s="99"/>
      <c r="S346" s="99"/>
    </row>
    <row r="347" s="27" customFormat="1" ht="26.25" customHeight="1" spans="1:19">
      <c r="A347" s="65"/>
      <c r="B347" s="66" t="s">
        <v>265</v>
      </c>
      <c r="C347" s="67"/>
      <c r="D347" s="67"/>
      <c r="E347" s="65"/>
      <c r="F347" s="65"/>
      <c r="G347" s="67"/>
      <c r="H347" s="65"/>
      <c r="I347" s="67"/>
      <c r="J347" s="65">
        <v>12</v>
      </c>
      <c r="K347" s="67">
        <v>2000000</v>
      </c>
      <c r="L347" s="67">
        <v>24000000</v>
      </c>
      <c r="M347" s="67"/>
      <c r="N347" s="67">
        <f>+L347-M347</f>
        <v>24000000</v>
      </c>
      <c r="O347" s="67"/>
      <c r="P347" s="95"/>
      <c r="Q347" s="99"/>
      <c r="R347" s="99"/>
      <c r="S347" s="99"/>
    </row>
    <row r="348" s="27" customFormat="1" ht="30" customHeight="1" spans="1:19">
      <c r="A348" s="65">
        <v>12</v>
      </c>
      <c r="B348" s="66" t="s">
        <v>266</v>
      </c>
      <c r="C348" s="67"/>
      <c r="D348" s="67">
        <f>+G348+L348</f>
        <v>1133058261.59322</v>
      </c>
      <c r="E348" s="65"/>
      <c r="F348" s="65"/>
      <c r="G348" s="67">
        <f t="shared" ref="G348:I348" si="110">SUM(G349:G352)</f>
        <v>1133058261.59322</v>
      </c>
      <c r="H348" s="67">
        <f t="shared" si="110"/>
        <v>47413135.5932203</v>
      </c>
      <c r="I348" s="67">
        <f t="shared" si="110"/>
        <v>1085645126</v>
      </c>
      <c r="J348" s="65"/>
      <c r="K348" s="65"/>
      <c r="L348" s="65"/>
      <c r="M348" s="65"/>
      <c r="N348" s="67"/>
      <c r="O348" s="67"/>
      <c r="P348" s="95"/>
      <c r="Q348" s="99"/>
      <c r="R348" s="99"/>
      <c r="S348" s="99"/>
    </row>
    <row r="349" s="27" customFormat="1" ht="41" customHeight="1" spans="1:19">
      <c r="A349" s="65"/>
      <c r="B349" s="66" t="s">
        <v>35</v>
      </c>
      <c r="C349" s="67"/>
      <c r="D349" s="67"/>
      <c r="E349" s="65">
        <v>7</v>
      </c>
      <c r="F349" s="74">
        <f>+(23.72+8.31)/E349</f>
        <v>4.57571428571429</v>
      </c>
      <c r="G349" s="67">
        <f>+((E349*F349*1490000*12)+(5.49)*1490000*12)+50000000+87881+144294-918519+598870</f>
        <v>720770126</v>
      </c>
      <c r="H349" s="74"/>
      <c r="I349" s="67">
        <f t="shared" ref="I349:I352" si="111">+G349-H349</f>
        <v>720770126</v>
      </c>
      <c r="J349" s="65"/>
      <c r="K349" s="65"/>
      <c r="L349" s="65"/>
      <c r="M349" s="65"/>
      <c r="N349" s="67"/>
      <c r="O349" s="67"/>
      <c r="P349" s="95"/>
      <c r="Q349" s="99"/>
      <c r="R349" s="99"/>
      <c r="S349" s="99"/>
    </row>
    <row r="350" s="27" customFormat="1" ht="26.25" customHeight="1" spans="1:19">
      <c r="A350" s="65"/>
      <c r="B350" s="66" t="s">
        <v>36</v>
      </c>
      <c r="C350" s="67"/>
      <c r="D350" s="67"/>
      <c r="E350" s="65"/>
      <c r="F350" s="75">
        <v>25000000</v>
      </c>
      <c r="G350" s="67">
        <f>+E349*F350</f>
        <v>175000000</v>
      </c>
      <c r="H350" s="67">
        <f>+G350*11.5%</f>
        <v>20125000</v>
      </c>
      <c r="I350" s="67">
        <f t="shared" si="111"/>
        <v>154875000</v>
      </c>
      <c r="J350" s="65"/>
      <c r="K350" s="65"/>
      <c r="L350" s="65"/>
      <c r="M350" s="65"/>
      <c r="N350" s="67"/>
      <c r="O350" s="67"/>
      <c r="P350" s="95"/>
      <c r="Q350" s="99"/>
      <c r="R350" s="99"/>
      <c r="S350" s="99"/>
    </row>
    <row r="351" s="27" customFormat="1" ht="76" customHeight="1" spans="1:19">
      <c r="A351" s="65"/>
      <c r="B351" s="110" t="s">
        <v>267</v>
      </c>
      <c r="C351" s="67"/>
      <c r="D351" s="67"/>
      <c r="E351" s="65"/>
      <c r="F351" s="75"/>
      <c r="G351" s="67">
        <f>110000000/0.885</f>
        <v>124293785.310734</v>
      </c>
      <c r="H351" s="67">
        <f t="shared" ref="H351:H356" si="112">+G351*0.115</f>
        <v>14293785.3107345</v>
      </c>
      <c r="I351" s="67">
        <f t="shared" si="111"/>
        <v>110000000</v>
      </c>
      <c r="J351" s="65"/>
      <c r="K351" s="65"/>
      <c r="L351" s="65"/>
      <c r="M351" s="65"/>
      <c r="N351" s="67"/>
      <c r="O351" s="67"/>
      <c r="P351" s="95"/>
      <c r="Q351" s="99"/>
      <c r="R351" s="99"/>
      <c r="S351" s="99"/>
    </row>
    <row r="352" s="27" customFormat="1" ht="44" customHeight="1" spans="1:19">
      <c r="A352" s="65"/>
      <c r="B352" s="66" t="s">
        <v>268</v>
      </c>
      <c r="C352" s="67"/>
      <c r="D352" s="67"/>
      <c r="E352" s="65"/>
      <c r="F352" s="75"/>
      <c r="G352" s="67">
        <f>100000000/0.885</f>
        <v>112994350.282486</v>
      </c>
      <c r="H352" s="67">
        <f t="shared" si="112"/>
        <v>12994350.2824859</v>
      </c>
      <c r="I352" s="67">
        <f t="shared" si="111"/>
        <v>100000000</v>
      </c>
      <c r="J352" s="65"/>
      <c r="K352" s="65"/>
      <c r="L352" s="65"/>
      <c r="M352" s="65"/>
      <c r="N352" s="67"/>
      <c r="O352" s="67"/>
      <c r="P352" s="95"/>
      <c r="Q352" s="99"/>
      <c r="R352" s="99"/>
      <c r="S352" s="99"/>
    </row>
    <row r="353" s="27" customFormat="1" ht="26.25" customHeight="1" spans="1:19">
      <c r="A353" s="65">
        <v>13</v>
      </c>
      <c r="B353" s="66" t="s">
        <v>269</v>
      </c>
      <c r="C353" s="67"/>
      <c r="D353" s="67">
        <f>+G353+L353</f>
        <v>1162901905.08475</v>
      </c>
      <c r="E353" s="65"/>
      <c r="F353" s="65"/>
      <c r="G353" s="67">
        <f t="shared" ref="G353:I353" si="113">SUM(G354:G359)</f>
        <v>1162901905.08475</v>
      </c>
      <c r="H353" s="67">
        <f t="shared" si="113"/>
        <v>15398305.0847458</v>
      </c>
      <c r="I353" s="67">
        <f t="shared" si="113"/>
        <v>1147503600</v>
      </c>
      <c r="J353" s="65"/>
      <c r="K353" s="65"/>
      <c r="L353" s="65"/>
      <c r="M353" s="65"/>
      <c r="N353" s="67"/>
      <c r="O353" s="67"/>
      <c r="P353" s="95"/>
      <c r="Q353" s="99"/>
      <c r="R353" s="99"/>
      <c r="S353" s="99"/>
    </row>
    <row r="354" s="27" customFormat="1" ht="40" customHeight="1" spans="1:19">
      <c r="A354" s="65"/>
      <c r="B354" s="66" t="s">
        <v>35</v>
      </c>
      <c r="C354" s="67"/>
      <c r="D354" s="67"/>
      <c r="E354" s="65">
        <v>4</v>
      </c>
      <c r="F354" s="74">
        <f>+(13.32+4.02)/E354</f>
        <v>4.335</v>
      </c>
      <c r="G354" s="67">
        <f>+((E354*F354*1490000*12)+(3.13*1490000*12))</f>
        <v>366003600</v>
      </c>
      <c r="H354" s="74"/>
      <c r="I354" s="67">
        <f t="shared" ref="I354:I358" si="114">+G354-H354</f>
        <v>366003600</v>
      </c>
      <c r="J354" s="65"/>
      <c r="K354" s="67"/>
      <c r="L354" s="67"/>
      <c r="M354" s="67"/>
      <c r="N354" s="67"/>
      <c r="O354" s="67"/>
      <c r="P354" s="95"/>
      <c r="Q354" s="99"/>
      <c r="R354" s="99"/>
      <c r="S354" s="99"/>
    </row>
    <row r="355" s="27" customFormat="1" ht="26.25" customHeight="1" spans="1:19">
      <c r="A355" s="65"/>
      <c r="B355" s="66" t="s">
        <v>36</v>
      </c>
      <c r="C355" s="67"/>
      <c r="D355" s="67"/>
      <c r="E355" s="65"/>
      <c r="F355" s="75">
        <v>25000000</v>
      </c>
      <c r="G355" s="67">
        <f>+E354*F355</f>
        <v>100000000</v>
      </c>
      <c r="H355" s="67">
        <f>+G355*11.5%</f>
        <v>11500000</v>
      </c>
      <c r="I355" s="67">
        <f t="shared" si="114"/>
        <v>88500000</v>
      </c>
      <c r="J355" s="65"/>
      <c r="K355" s="65"/>
      <c r="L355" s="65"/>
      <c r="M355" s="65"/>
      <c r="N355" s="67"/>
      <c r="O355" s="67"/>
      <c r="P355" s="95"/>
      <c r="Q355" s="99"/>
      <c r="R355" s="99"/>
      <c r="S355" s="99"/>
    </row>
    <row r="356" s="27" customFormat="1" ht="109" customHeight="1" spans="1:19">
      <c r="A356" s="65"/>
      <c r="B356" s="110" t="s">
        <v>270</v>
      </c>
      <c r="C356" s="67"/>
      <c r="D356" s="67"/>
      <c r="E356" s="65"/>
      <c r="F356" s="75"/>
      <c r="G356" s="67">
        <f>30000000/0.885</f>
        <v>33898305.0847458</v>
      </c>
      <c r="H356" s="75">
        <f t="shared" si="112"/>
        <v>3898305.08474576</v>
      </c>
      <c r="I356" s="67">
        <f>G356-H356</f>
        <v>30000000</v>
      </c>
      <c r="J356" s="65"/>
      <c r="K356" s="65"/>
      <c r="L356" s="65"/>
      <c r="M356" s="65"/>
      <c r="N356" s="67"/>
      <c r="O356" s="67"/>
      <c r="P356" s="95"/>
      <c r="Q356" s="99"/>
      <c r="R356" s="99"/>
      <c r="S356" s="99"/>
    </row>
    <row r="357" s="27" customFormat="1" ht="44" customHeight="1" spans="1:19">
      <c r="A357" s="65"/>
      <c r="B357" s="110" t="s">
        <v>271</v>
      </c>
      <c r="C357" s="67"/>
      <c r="D357" s="67"/>
      <c r="E357" s="65"/>
      <c r="F357" s="75"/>
      <c r="G357" s="67">
        <v>75000000</v>
      </c>
      <c r="H357" s="75"/>
      <c r="I357" s="67">
        <f t="shared" si="114"/>
        <v>75000000</v>
      </c>
      <c r="J357" s="65"/>
      <c r="K357" s="65"/>
      <c r="L357" s="65"/>
      <c r="M357" s="65"/>
      <c r="N357" s="67"/>
      <c r="O357" s="67"/>
      <c r="P357" s="95"/>
      <c r="Q357" s="99"/>
      <c r="R357" s="99"/>
      <c r="S357" s="99"/>
    </row>
    <row r="358" s="27" customFormat="1" ht="57" customHeight="1" spans="1:19">
      <c r="A358" s="65"/>
      <c r="B358" s="110" t="s">
        <v>272</v>
      </c>
      <c r="C358" s="67"/>
      <c r="D358" s="67"/>
      <c r="E358" s="65"/>
      <c r="F358" s="75"/>
      <c r="G358" s="67">
        <v>308000000</v>
      </c>
      <c r="H358" s="75"/>
      <c r="I358" s="67">
        <f t="shared" si="114"/>
        <v>308000000</v>
      </c>
      <c r="J358" s="65"/>
      <c r="K358" s="65"/>
      <c r="L358" s="65"/>
      <c r="M358" s="65"/>
      <c r="N358" s="67"/>
      <c r="O358" s="67"/>
      <c r="P358" s="95"/>
      <c r="Q358" s="99"/>
      <c r="R358" s="99"/>
      <c r="S358" s="99"/>
    </row>
    <row r="359" s="30" customFormat="1" ht="58" customHeight="1" spans="1:19">
      <c r="A359" s="126"/>
      <c r="B359" s="131" t="s">
        <v>273</v>
      </c>
      <c r="C359" s="128"/>
      <c r="D359" s="67"/>
      <c r="E359" s="126"/>
      <c r="F359" s="126"/>
      <c r="G359" s="128">
        <v>280000000</v>
      </c>
      <c r="H359" s="126"/>
      <c r="I359" s="128">
        <f>+G359</f>
        <v>280000000</v>
      </c>
      <c r="J359" s="126"/>
      <c r="K359" s="126"/>
      <c r="L359" s="126"/>
      <c r="M359" s="126"/>
      <c r="N359" s="128"/>
      <c r="O359" s="128"/>
      <c r="P359" s="132"/>
      <c r="Q359" s="31"/>
      <c r="R359" s="31"/>
      <c r="S359" s="31"/>
    </row>
    <row r="360" s="27" customFormat="1" ht="27" customHeight="1" spans="1:19">
      <c r="A360" s="65">
        <v>14</v>
      </c>
      <c r="B360" s="66" t="s">
        <v>274</v>
      </c>
      <c r="C360" s="67"/>
      <c r="D360" s="67">
        <f t="shared" ref="D360:D362" si="115">+G360+L360</f>
        <v>200000000</v>
      </c>
      <c r="E360" s="65"/>
      <c r="F360" s="65"/>
      <c r="G360" s="67">
        <v>200000000</v>
      </c>
      <c r="H360" s="65"/>
      <c r="I360" s="67">
        <f>+G360</f>
        <v>200000000</v>
      </c>
      <c r="J360" s="65"/>
      <c r="K360" s="65"/>
      <c r="L360" s="65"/>
      <c r="M360" s="65"/>
      <c r="N360" s="67"/>
      <c r="O360" s="67"/>
      <c r="P360" s="95"/>
      <c r="Q360" s="99"/>
      <c r="R360" s="99"/>
      <c r="S360" s="99"/>
    </row>
    <row r="361" s="27" customFormat="1" ht="24.75" customHeight="1" spans="1:19">
      <c r="A361" s="65">
        <v>15</v>
      </c>
      <c r="B361" s="66" t="s">
        <v>275</v>
      </c>
      <c r="C361" s="67"/>
      <c r="D361" s="67">
        <f t="shared" si="115"/>
        <v>24000000</v>
      </c>
      <c r="E361" s="65"/>
      <c r="F361" s="65"/>
      <c r="G361" s="67"/>
      <c r="H361" s="65"/>
      <c r="I361" s="67"/>
      <c r="J361" s="65">
        <v>12</v>
      </c>
      <c r="K361" s="67">
        <v>2000000</v>
      </c>
      <c r="L361" s="67">
        <f t="shared" ref="L361:L366" si="116">+J361*K361</f>
        <v>24000000</v>
      </c>
      <c r="M361" s="67">
        <v>0</v>
      </c>
      <c r="N361" s="67">
        <f>+J361*K361</f>
        <v>24000000</v>
      </c>
      <c r="O361" s="67"/>
      <c r="P361" s="95">
        <f>886-24-24</f>
        <v>838</v>
      </c>
      <c r="Q361" s="99"/>
      <c r="R361" s="99"/>
      <c r="S361" s="99"/>
    </row>
    <row r="362" s="27" customFormat="1" ht="24.75" customHeight="1" spans="1:19">
      <c r="A362" s="65">
        <v>16</v>
      </c>
      <c r="B362" s="66" t="s">
        <v>276</v>
      </c>
      <c r="C362" s="67"/>
      <c r="D362" s="67">
        <f t="shared" si="115"/>
        <v>18376825702.4793</v>
      </c>
      <c r="E362" s="65"/>
      <c r="F362" s="65"/>
      <c r="G362" s="67"/>
      <c r="H362" s="65"/>
      <c r="I362" s="67"/>
      <c r="J362" s="65"/>
      <c r="K362" s="65"/>
      <c r="L362" s="67">
        <f t="shared" ref="L362:N362" si="117">SUM(L363:L365)</f>
        <v>18376825702.4793</v>
      </c>
      <c r="M362" s="67">
        <f t="shared" si="117"/>
        <v>389850000</v>
      </c>
      <c r="N362" s="67">
        <f t="shared" si="117"/>
        <v>17986975702.4793</v>
      </c>
      <c r="O362" s="67"/>
      <c r="P362" s="95">
        <f>457+285+96+24+24</f>
        <v>886</v>
      </c>
      <c r="Q362" s="99"/>
      <c r="R362" s="99"/>
      <c r="S362" s="99"/>
    </row>
    <row r="363" s="27" customFormat="1" ht="42" customHeight="1" spans="1:19">
      <c r="A363" s="65"/>
      <c r="B363" s="66" t="s">
        <v>35</v>
      </c>
      <c r="C363" s="67"/>
      <c r="D363" s="67"/>
      <c r="E363" s="65"/>
      <c r="F363" s="65"/>
      <c r="G363" s="67"/>
      <c r="H363" s="65"/>
      <c r="I363" s="67"/>
      <c r="J363" s="65">
        <f>23*3+21*9-(5*12)</f>
        <v>198</v>
      </c>
      <c r="K363" s="133"/>
      <c r="L363" s="67">
        <f>(3946680000+9035910000)*1490000/1210000-1000000000</f>
        <v>14986825702.4793</v>
      </c>
      <c r="M363" s="133"/>
      <c r="N363" s="67">
        <f t="shared" ref="N363:N365" si="118">+L363-M363</f>
        <v>14986825702.4793</v>
      </c>
      <c r="O363" s="67"/>
      <c r="P363" s="95">
        <f>L363/J363/12</f>
        <v>6307586.57511757</v>
      </c>
      <c r="Q363" s="99"/>
      <c r="R363" s="99"/>
      <c r="S363" s="99"/>
    </row>
    <row r="364" s="27" customFormat="1" ht="24.75" customHeight="1" spans="1:19">
      <c r="A364" s="65"/>
      <c r="B364" s="66" t="s">
        <v>36</v>
      </c>
      <c r="C364" s="67"/>
      <c r="D364" s="67"/>
      <c r="E364" s="65"/>
      <c r="F364" s="65"/>
      <c r="G364" s="67"/>
      <c r="H364" s="65"/>
      <c r="I364" s="67"/>
      <c r="J364" s="65"/>
      <c r="K364" s="67">
        <v>17000000</v>
      </c>
      <c r="L364" s="67">
        <f>+J363*K364</f>
        <v>3366000000</v>
      </c>
      <c r="M364" s="67">
        <f>+L364*11.5%</f>
        <v>387090000</v>
      </c>
      <c r="N364" s="67">
        <f t="shared" si="118"/>
        <v>2978910000</v>
      </c>
      <c r="O364" s="67"/>
      <c r="P364" s="95">
        <f>+L364+L239+L383+L398+L410+L419+L430</f>
        <v>4866000000</v>
      </c>
      <c r="Q364" s="99"/>
      <c r="R364" s="99"/>
      <c r="S364" s="99"/>
    </row>
    <row r="365" s="27" customFormat="1" ht="34" customHeight="1" spans="1:19">
      <c r="A365" s="65"/>
      <c r="B365" s="110" t="s">
        <v>277</v>
      </c>
      <c r="C365" s="67"/>
      <c r="D365" s="67"/>
      <c r="E365" s="65"/>
      <c r="F365" s="65"/>
      <c r="G365" s="67"/>
      <c r="H365" s="65"/>
      <c r="I365" s="67"/>
      <c r="J365" s="65">
        <v>3</v>
      </c>
      <c r="K365" s="67">
        <v>8000000</v>
      </c>
      <c r="L365" s="67">
        <f t="shared" si="116"/>
        <v>24000000</v>
      </c>
      <c r="M365" s="67">
        <f>+L365*11.5%</f>
        <v>2760000</v>
      </c>
      <c r="N365" s="67">
        <f t="shared" si="118"/>
        <v>21240000</v>
      </c>
      <c r="O365" s="67"/>
      <c r="P365" s="95"/>
      <c r="Q365" s="99"/>
      <c r="R365" s="99"/>
      <c r="S365" s="99"/>
    </row>
    <row r="366" s="27" customFormat="1" ht="27" customHeight="1" spans="1:19">
      <c r="A366" s="65">
        <v>17</v>
      </c>
      <c r="B366" s="66" t="s">
        <v>278</v>
      </c>
      <c r="C366" s="67"/>
      <c r="D366" s="67">
        <f t="shared" ref="D366:D381" si="119">+G366+L366</f>
        <v>30344000</v>
      </c>
      <c r="E366" s="65"/>
      <c r="F366" s="65"/>
      <c r="G366" s="67"/>
      <c r="H366" s="65"/>
      <c r="I366" s="67"/>
      <c r="J366" s="65">
        <v>1</v>
      </c>
      <c r="K366" s="67">
        <v>30344000</v>
      </c>
      <c r="L366" s="67">
        <f t="shared" si="116"/>
        <v>30344000</v>
      </c>
      <c r="M366" s="67">
        <v>0</v>
      </c>
      <c r="N366" s="67">
        <f>+J366*K366</f>
        <v>30344000</v>
      </c>
      <c r="O366" s="67"/>
      <c r="P366" s="95"/>
      <c r="Q366" s="99"/>
      <c r="R366" s="99"/>
      <c r="S366" s="99"/>
    </row>
    <row r="367" s="27" customFormat="1" ht="27" customHeight="1" spans="1:19">
      <c r="A367" s="65">
        <v>18</v>
      </c>
      <c r="B367" s="66" t="s">
        <v>279</v>
      </c>
      <c r="C367" s="67"/>
      <c r="D367" s="67">
        <f t="shared" si="119"/>
        <v>204208000</v>
      </c>
      <c r="E367" s="65"/>
      <c r="F367" s="65"/>
      <c r="G367" s="67"/>
      <c r="H367" s="65"/>
      <c r="I367" s="67"/>
      <c r="J367" s="65">
        <v>86</v>
      </c>
      <c r="K367" s="67"/>
      <c r="L367" s="67">
        <f>173728000+30480000</f>
        <v>204208000</v>
      </c>
      <c r="M367" s="67">
        <v>0</v>
      </c>
      <c r="N367" s="67">
        <f>+L367</f>
        <v>204208000</v>
      </c>
      <c r="O367" s="67"/>
      <c r="P367" s="95"/>
      <c r="Q367" s="99"/>
      <c r="R367" s="99"/>
      <c r="S367" s="99"/>
    </row>
    <row r="368" s="27" customFormat="1" ht="38" customHeight="1" spans="1:19">
      <c r="A368" s="65">
        <v>19</v>
      </c>
      <c r="B368" s="66" t="s">
        <v>280</v>
      </c>
      <c r="C368" s="67"/>
      <c r="D368" s="67">
        <f t="shared" si="119"/>
        <v>832000000</v>
      </c>
      <c r="E368" s="65"/>
      <c r="F368" s="65"/>
      <c r="G368" s="67"/>
      <c r="H368" s="65"/>
      <c r="I368" s="67"/>
      <c r="J368" s="65"/>
      <c r="K368" s="67"/>
      <c r="L368" s="67">
        <v>832000000</v>
      </c>
      <c r="M368" s="67">
        <v>0</v>
      </c>
      <c r="N368" s="67">
        <f>+L368</f>
        <v>832000000</v>
      </c>
      <c r="O368" s="67"/>
      <c r="P368" s="95"/>
      <c r="Q368" s="99"/>
      <c r="R368" s="99"/>
      <c r="S368" s="99"/>
    </row>
    <row r="369" s="27" customFormat="1" ht="46" customHeight="1" spans="1:19">
      <c r="A369" s="65">
        <v>20</v>
      </c>
      <c r="B369" s="66" t="s">
        <v>281</v>
      </c>
      <c r="C369" s="67"/>
      <c r="D369" s="67">
        <f t="shared" si="119"/>
        <v>1000000000</v>
      </c>
      <c r="E369" s="65"/>
      <c r="F369" s="65"/>
      <c r="G369" s="67">
        <f>+H369+I369</f>
        <v>1000000000</v>
      </c>
      <c r="H369" s="67"/>
      <c r="I369" s="67">
        <v>1000000000</v>
      </c>
      <c r="J369" s="65"/>
      <c r="K369" s="65"/>
      <c r="L369" s="65"/>
      <c r="M369" s="65"/>
      <c r="N369" s="67"/>
      <c r="O369" s="67"/>
      <c r="P369" s="95"/>
      <c r="Q369" s="99"/>
      <c r="R369" s="99"/>
      <c r="S369" s="99"/>
    </row>
    <row r="370" s="27" customFormat="1" ht="45" customHeight="1" spans="1:19">
      <c r="A370" s="65">
        <v>21</v>
      </c>
      <c r="B370" s="110" t="s">
        <v>282</v>
      </c>
      <c r="C370" s="67"/>
      <c r="D370" s="67">
        <f t="shared" si="119"/>
        <v>1150000000</v>
      </c>
      <c r="E370" s="65"/>
      <c r="F370" s="65"/>
      <c r="G370" s="67">
        <v>1000000000</v>
      </c>
      <c r="H370" s="67"/>
      <c r="I370" s="67">
        <f>+G370-H370</f>
        <v>1000000000</v>
      </c>
      <c r="J370" s="65"/>
      <c r="K370" s="65"/>
      <c r="L370" s="67">
        <v>150000000</v>
      </c>
      <c r="M370" s="67"/>
      <c r="N370" s="67">
        <f>+L370-M370</f>
        <v>150000000</v>
      </c>
      <c r="O370" s="67"/>
      <c r="P370" s="95"/>
      <c r="Q370" s="99"/>
      <c r="R370" s="99"/>
      <c r="S370" s="99"/>
    </row>
    <row r="371" s="27" customFormat="1" ht="45" customHeight="1" spans="1:19">
      <c r="A371" s="65">
        <v>22</v>
      </c>
      <c r="B371" s="110" t="s">
        <v>283</v>
      </c>
      <c r="C371" s="67"/>
      <c r="D371" s="67">
        <f t="shared" si="119"/>
        <v>1692000000</v>
      </c>
      <c r="E371" s="65"/>
      <c r="F371" s="65"/>
      <c r="G371" s="67">
        <f t="shared" ref="G371:G376" si="120">+I371</f>
        <v>1192000000</v>
      </c>
      <c r="H371" s="67"/>
      <c r="I371" s="67">
        <f>1500000000-320000000+12000000</f>
        <v>1192000000</v>
      </c>
      <c r="J371" s="65"/>
      <c r="K371" s="67"/>
      <c r="L371" s="67">
        <f>+M371+N371</f>
        <v>500000000</v>
      </c>
      <c r="M371" s="67"/>
      <c r="N371" s="67">
        <v>500000000</v>
      </c>
      <c r="O371" s="67"/>
      <c r="P371" s="95"/>
      <c r="Q371" s="99"/>
      <c r="R371" s="99"/>
      <c r="S371" s="99"/>
    </row>
    <row r="372" s="27" customFormat="1" ht="53" customHeight="1" spans="1:19">
      <c r="A372" s="65">
        <v>23</v>
      </c>
      <c r="B372" s="110" t="s">
        <v>284</v>
      </c>
      <c r="C372" s="67"/>
      <c r="D372" s="67">
        <f t="shared" si="119"/>
        <v>460067000</v>
      </c>
      <c r="E372" s="65"/>
      <c r="F372" s="65"/>
      <c r="G372" s="67">
        <f>+H372+I372</f>
        <v>460067000</v>
      </c>
      <c r="H372" s="65"/>
      <c r="I372" s="67">
        <v>460067000</v>
      </c>
      <c r="J372" s="65"/>
      <c r="K372" s="65"/>
      <c r="L372" s="67"/>
      <c r="M372" s="65"/>
      <c r="N372" s="67"/>
      <c r="O372" s="67"/>
      <c r="P372" s="95"/>
      <c r="Q372" s="99"/>
      <c r="R372" s="99"/>
      <c r="S372" s="99"/>
    </row>
    <row r="373" s="27" customFormat="1" ht="49" customHeight="1" spans="1:19">
      <c r="A373" s="65">
        <v>24</v>
      </c>
      <c r="B373" s="66" t="s">
        <v>285</v>
      </c>
      <c r="C373" s="67"/>
      <c r="D373" s="67">
        <f t="shared" si="119"/>
        <v>60000000</v>
      </c>
      <c r="E373" s="65"/>
      <c r="F373" s="65"/>
      <c r="G373" s="67"/>
      <c r="H373" s="65"/>
      <c r="I373" s="67"/>
      <c r="J373" s="65">
        <v>12</v>
      </c>
      <c r="K373" s="67">
        <v>5000000</v>
      </c>
      <c r="L373" s="67">
        <f t="shared" ref="L373:L378" si="121">+J373*K373</f>
        <v>60000000</v>
      </c>
      <c r="M373" s="67">
        <v>0</v>
      </c>
      <c r="N373" s="67">
        <f>+J373*K373</f>
        <v>60000000</v>
      </c>
      <c r="O373" s="67"/>
      <c r="P373" s="95"/>
      <c r="Q373" s="99"/>
      <c r="R373" s="99"/>
      <c r="S373" s="99"/>
    </row>
    <row r="374" s="27" customFormat="1" ht="27.75" customHeight="1" spans="1:19">
      <c r="A374" s="65">
        <v>25</v>
      </c>
      <c r="B374" s="66" t="s">
        <v>286</v>
      </c>
      <c r="C374" s="67"/>
      <c r="D374" s="67">
        <f t="shared" si="119"/>
        <v>24000000</v>
      </c>
      <c r="E374" s="65"/>
      <c r="F374" s="65"/>
      <c r="G374" s="67"/>
      <c r="H374" s="65"/>
      <c r="I374" s="67"/>
      <c r="J374" s="65">
        <v>12</v>
      </c>
      <c r="K374" s="67">
        <v>2000000</v>
      </c>
      <c r="L374" s="67">
        <f t="shared" si="121"/>
        <v>24000000</v>
      </c>
      <c r="M374" s="67">
        <v>0</v>
      </c>
      <c r="N374" s="67">
        <f>+J374*K374</f>
        <v>24000000</v>
      </c>
      <c r="O374" s="67"/>
      <c r="P374" s="95"/>
      <c r="Q374" s="99"/>
      <c r="R374" s="99"/>
      <c r="S374" s="99"/>
    </row>
    <row r="375" s="27" customFormat="1" ht="42" customHeight="1" spans="1:19">
      <c r="A375" s="65">
        <v>26</v>
      </c>
      <c r="B375" s="110" t="s">
        <v>287</v>
      </c>
      <c r="C375" s="67"/>
      <c r="D375" s="67">
        <f t="shared" si="119"/>
        <v>60000000</v>
      </c>
      <c r="E375" s="65">
        <v>3</v>
      </c>
      <c r="F375" s="111">
        <v>20000000</v>
      </c>
      <c r="G375" s="67">
        <f t="shared" si="120"/>
        <v>60000000</v>
      </c>
      <c r="H375" s="67"/>
      <c r="I375" s="67">
        <v>60000000</v>
      </c>
      <c r="J375" s="65"/>
      <c r="K375" s="65"/>
      <c r="L375" s="65"/>
      <c r="M375" s="65"/>
      <c r="N375" s="67"/>
      <c r="O375" s="67"/>
      <c r="P375" s="95"/>
      <c r="Q375" s="99"/>
      <c r="R375" s="99"/>
      <c r="S375" s="99"/>
    </row>
    <row r="376" s="27" customFormat="1" ht="58" customHeight="1" spans="1:19">
      <c r="A376" s="65">
        <v>27</v>
      </c>
      <c r="B376" s="110" t="s">
        <v>288</v>
      </c>
      <c r="C376" s="67"/>
      <c r="D376" s="67">
        <f t="shared" si="119"/>
        <v>40000000</v>
      </c>
      <c r="E376" s="65">
        <v>2</v>
      </c>
      <c r="F376" s="111">
        <v>20000000</v>
      </c>
      <c r="G376" s="67">
        <f t="shared" si="120"/>
        <v>40000000</v>
      </c>
      <c r="H376" s="67"/>
      <c r="I376" s="67">
        <f>F376*E376</f>
        <v>40000000</v>
      </c>
      <c r="J376" s="65"/>
      <c r="K376" s="65"/>
      <c r="L376" s="65"/>
      <c r="M376" s="65"/>
      <c r="N376" s="67"/>
      <c r="O376" s="67"/>
      <c r="P376" s="95"/>
      <c r="Q376" s="99"/>
      <c r="R376" s="99"/>
      <c r="S376" s="99"/>
    </row>
    <row r="377" s="27" customFormat="1" ht="41" customHeight="1" spans="1:19">
      <c r="A377" s="65">
        <v>28</v>
      </c>
      <c r="B377" s="66" t="s">
        <v>289</v>
      </c>
      <c r="C377" s="67"/>
      <c r="D377" s="67">
        <f t="shared" si="119"/>
        <v>407100000</v>
      </c>
      <c r="E377" s="65"/>
      <c r="F377" s="65"/>
      <c r="G377" s="67">
        <v>407100000</v>
      </c>
      <c r="H377" s="67"/>
      <c r="I377" s="67">
        <v>407100000</v>
      </c>
      <c r="J377" s="65"/>
      <c r="K377" s="65"/>
      <c r="L377" s="65"/>
      <c r="M377" s="65"/>
      <c r="N377" s="67"/>
      <c r="O377" s="67"/>
      <c r="P377" s="95"/>
      <c r="Q377" s="99"/>
      <c r="R377" s="99"/>
      <c r="S377" s="99"/>
    </row>
    <row r="378" s="27" customFormat="1" ht="45" customHeight="1" spans="1:19">
      <c r="A378" s="65">
        <v>29</v>
      </c>
      <c r="B378" s="110" t="s">
        <v>290</v>
      </c>
      <c r="C378" s="67"/>
      <c r="D378" s="67">
        <f t="shared" si="119"/>
        <v>296000000</v>
      </c>
      <c r="E378" s="65"/>
      <c r="F378" s="111"/>
      <c r="G378" s="67">
        <f>+I378</f>
        <v>56000000</v>
      </c>
      <c r="H378" s="111"/>
      <c r="I378" s="67">
        <f>36000000+20000000</f>
        <v>56000000</v>
      </c>
      <c r="J378" s="65">
        <v>12</v>
      </c>
      <c r="K378" s="67">
        <v>20000000</v>
      </c>
      <c r="L378" s="67">
        <f t="shared" si="121"/>
        <v>240000000</v>
      </c>
      <c r="M378" s="111">
        <v>0</v>
      </c>
      <c r="N378" s="67">
        <v>240000000</v>
      </c>
      <c r="O378" s="67"/>
      <c r="P378" s="95"/>
      <c r="Q378" s="99"/>
      <c r="R378" s="99"/>
      <c r="S378" s="99"/>
    </row>
    <row r="379" s="27" customFormat="1" ht="40" customHeight="1" spans="1:19">
      <c r="A379" s="65">
        <v>30</v>
      </c>
      <c r="B379" s="110" t="s">
        <v>291</v>
      </c>
      <c r="C379" s="67"/>
      <c r="D379" s="67">
        <f t="shared" si="119"/>
        <v>100000000</v>
      </c>
      <c r="E379" s="65"/>
      <c r="F379" s="111"/>
      <c r="G379" s="67"/>
      <c r="H379" s="111"/>
      <c r="I379" s="67"/>
      <c r="J379" s="65"/>
      <c r="K379" s="111"/>
      <c r="L379" s="67">
        <v>100000000</v>
      </c>
      <c r="M379" s="111"/>
      <c r="N379" s="67">
        <f t="shared" ref="N379:N383" si="122">+L379-M379</f>
        <v>100000000</v>
      </c>
      <c r="O379" s="67"/>
      <c r="P379" s="95"/>
      <c r="Q379" s="99"/>
      <c r="R379" s="99"/>
      <c r="S379" s="99"/>
    </row>
    <row r="380" s="26" customFormat="1" ht="37" customHeight="1" spans="1:19">
      <c r="A380" s="69" t="s">
        <v>292</v>
      </c>
      <c r="B380" s="70" t="s">
        <v>293</v>
      </c>
      <c r="C380" s="71"/>
      <c r="D380" s="71">
        <f t="shared" si="119"/>
        <v>32471623560.2082</v>
      </c>
      <c r="E380" s="69"/>
      <c r="F380" s="107"/>
      <c r="G380" s="71">
        <f t="shared" ref="G380:I380" si="123">+G381+G396+G408+G417+G428+G435+G436</f>
        <v>5349783510.62147</v>
      </c>
      <c r="H380" s="71">
        <f t="shared" si="123"/>
        <v>266062570.621469</v>
      </c>
      <c r="I380" s="71">
        <f t="shared" si="123"/>
        <v>5083720940</v>
      </c>
      <c r="J380" s="69"/>
      <c r="K380" s="71"/>
      <c r="L380" s="71">
        <f t="shared" ref="L380:N380" si="124">+L381+L396+L408+L417+L428+L438+L442+L443</f>
        <v>27121840049.5868</v>
      </c>
      <c r="M380" s="71">
        <f t="shared" si="124"/>
        <v>120060000</v>
      </c>
      <c r="N380" s="71">
        <f t="shared" si="124"/>
        <v>27001780049.5868</v>
      </c>
      <c r="O380" s="71"/>
      <c r="P380" s="94">
        <f>+L380-M380</f>
        <v>27001780049.5868</v>
      </c>
      <c r="Q380" s="97"/>
      <c r="R380" s="97"/>
      <c r="S380" s="97"/>
    </row>
    <row r="381" s="27" customFormat="1" ht="30.75" customHeight="1" spans="1:19">
      <c r="A381" s="65">
        <v>1</v>
      </c>
      <c r="B381" s="66" t="s">
        <v>294</v>
      </c>
      <c r="C381" s="67"/>
      <c r="D381" s="67">
        <f t="shared" si="119"/>
        <v>2849616425.73656</v>
      </c>
      <c r="E381" s="65"/>
      <c r="F381" s="65"/>
      <c r="G381" s="67">
        <f t="shared" ref="G381:I381" si="125">+SUM(G382:G395)</f>
        <v>1618171615.81921</v>
      </c>
      <c r="H381" s="67">
        <f t="shared" si="125"/>
        <v>85408615.819209</v>
      </c>
      <c r="I381" s="67">
        <f t="shared" si="125"/>
        <v>1532763000</v>
      </c>
      <c r="J381" s="65"/>
      <c r="K381" s="65"/>
      <c r="L381" s="67">
        <f t="shared" ref="L381:N381" si="126">+L382+L383</f>
        <v>1231444809.91736</v>
      </c>
      <c r="M381" s="67">
        <f t="shared" si="126"/>
        <v>26220000</v>
      </c>
      <c r="N381" s="67">
        <f t="shared" si="126"/>
        <v>1205224809.91736</v>
      </c>
      <c r="O381" s="67"/>
      <c r="P381" s="95">
        <f>+P380-N380</f>
        <v>0</v>
      </c>
      <c r="Q381" s="99"/>
      <c r="R381" s="99"/>
      <c r="S381" s="99"/>
    </row>
    <row r="382" s="27" customFormat="1" ht="39" customHeight="1" spans="1:19">
      <c r="A382" s="65"/>
      <c r="B382" s="66" t="s">
        <v>295</v>
      </c>
      <c r="C382" s="67"/>
      <c r="D382" s="67"/>
      <c r="E382" s="65">
        <v>7</v>
      </c>
      <c r="F382" s="74">
        <f>+(19.67+8.58)/E382</f>
        <v>4.03571428571429</v>
      </c>
      <c r="G382" s="67">
        <f>+((E382*F382*1490000*12)+(4.52*1490000*12))</f>
        <v>585927600</v>
      </c>
      <c r="H382" s="74"/>
      <c r="I382" s="67">
        <f t="shared" ref="I382:I389" si="127">+G382-H382</f>
        <v>585927600</v>
      </c>
      <c r="J382" s="65">
        <v>12</v>
      </c>
      <c r="K382" s="74"/>
      <c r="L382" s="67">
        <f>4074390000*1490000/1210000/5</f>
        <v>1003444809.91736</v>
      </c>
      <c r="M382" s="74"/>
      <c r="N382" s="67">
        <f t="shared" si="122"/>
        <v>1003444809.91736</v>
      </c>
      <c r="O382" s="67"/>
      <c r="P382" s="95">
        <f>L382/5</f>
        <v>200688961.983471</v>
      </c>
      <c r="Q382" s="99"/>
      <c r="R382" s="99"/>
      <c r="S382" s="99"/>
    </row>
    <row r="383" s="27" customFormat="1" ht="24" customHeight="1" spans="1:19">
      <c r="A383" s="65"/>
      <c r="B383" s="66" t="s">
        <v>296</v>
      </c>
      <c r="C383" s="67"/>
      <c r="D383" s="67"/>
      <c r="E383" s="65"/>
      <c r="F383" s="75">
        <v>25000000</v>
      </c>
      <c r="G383" s="67">
        <f>+E382*F383</f>
        <v>175000000</v>
      </c>
      <c r="H383" s="75">
        <f>+G383*11.5%</f>
        <v>20125000</v>
      </c>
      <c r="I383" s="67">
        <f t="shared" si="127"/>
        <v>154875000</v>
      </c>
      <c r="J383" s="65"/>
      <c r="K383" s="67">
        <v>19000000</v>
      </c>
      <c r="L383" s="67">
        <f>+J382*K383</f>
        <v>228000000</v>
      </c>
      <c r="M383" s="67">
        <f>+L383*11.5%</f>
        <v>26220000</v>
      </c>
      <c r="N383" s="67">
        <f t="shared" si="122"/>
        <v>201780000</v>
      </c>
      <c r="O383" s="67"/>
      <c r="P383" s="95">
        <f>+L383+L398+L410+L419+L430</f>
        <v>1044000000</v>
      </c>
      <c r="Q383" s="99"/>
      <c r="R383" s="99"/>
      <c r="S383" s="99"/>
    </row>
    <row r="384" s="27" customFormat="1" ht="45" customHeight="1" spans="1:19">
      <c r="A384" s="65"/>
      <c r="B384" s="66" t="s">
        <v>133</v>
      </c>
      <c r="C384" s="67"/>
      <c r="D384" s="67">
        <f>+F384</f>
        <v>30000000</v>
      </c>
      <c r="E384" s="65">
        <v>1</v>
      </c>
      <c r="F384" s="75">
        <v>30000000</v>
      </c>
      <c r="G384" s="67">
        <f>+H384+I384</f>
        <v>30000000</v>
      </c>
      <c r="H384" s="67"/>
      <c r="I384" s="67">
        <f>F384*E384</f>
        <v>30000000</v>
      </c>
      <c r="J384" s="65"/>
      <c r="K384" s="65"/>
      <c r="L384" s="65"/>
      <c r="M384" s="65"/>
      <c r="N384" s="67"/>
      <c r="O384" s="67"/>
      <c r="P384" s="95"/>
      <c r="Q384" s="99"/>
      <c r="R384" s="99"/>
      <c r="S384" s="99"/>
    </row>
    <row r="385" s="27" customFormat="1" ht="30.75" customHeight="1" spans="1:19">
      <c r="A385" s="65"/>
      <c r="B385" s="66" t="s">
        <v>297</v>
      </c>
      <c r="C385" s="67"/>
      <c r="D385" s="67"/>
      <c r="E385" s="65">
        <v>2</v>
      </c>
      <c r="F385" s="74">
        <f>+(6.44+3.94)/E385</f>
        <v>5.19</v>
      </c>
      <c r="G385" s="67">
        <f>+((E385*F385*1490000*12)+(1.45*1490000*12))+40000000</f>
        <v>251520400</v>
      </c>
      <c r="H385" s="75">
        <v>4600000</v>
      </c>
      <c r="I385" s="67">
        <f t="shared" si="127"/>
        <v>246920400</v>
      </c>
      <c r="J385" s="65"/>
      <c r="K385" s="67"/>
      <c r="L385" s="67"/>
      <c r="M385" s="67"/>
      <c r="N385" s="67"/>
      <c r="O385" s="67"/>
      <c r="P385" s="95"/>
      <c r="Q385" s="99"/>
      <c r="R385" s="99"/>
      <c r="S385" s="99"/>
    </row>
    <row r="386" s="27" customFormat="1" ht="30.75" customHeight="1" spans="1:19">
      <c r="A386" s="65"/>
      <c r="B386" s="66" t="s">
        <v>298</v>
      </c>
      <c r="C386" s="67"/>
      <c r="D386" s="67"/>
      <c r="E386" s="65"/>
      <c r="F386" s="65"/>
      <c r="G386" s="67">
        <f>200000000</f>
        <v>200000000</v>
      </c>
      <c r="H386" s="75">
        <f>+G386*11.5%</f>
        <v>23000000</v>
      </c>
      <c r="I386" s="67">
        <f t="shared" si="127"/>
        <v>177000000</v>
      </c>
      <c r="J386" s="65"/>
      <c r="K386" s="65"/>
      <c r="L386" s="65"/>
      <c r="M386" s="65"/>
      <c r="N386" s="67"/>
      <c r="O386" s="67"/>
      <c r="P386" s="95"/>
      <c r="Q386" s="99"/>
      <c r="R386" s="99"/>
      <c r="S386" s="99"/>
    </row>
    <row r="387" s="27" customFormat="1" ht="40.5" customHeight="1" spans="1:19">
      <c r="A387" s="65"/>
      <c r="B387" s="110" t="s">
        <v>299</v>
      </c>
      <c r="C387" s="67"/>
      <c r="D387" s="67"/>
      <c r="E387" s="65"/>
      <c r="F387" s="65"/>
      <c r="G387" s="67">
        <f>60000000/0.885</f>
        <v>67796610.1694915</v>
      </c>
      <c r="H387" s="67">
        <f t="shared" ref="H387:H391" si="128">+G387*0.115</f>
        <v>7796610.16949153</v>
      </c>
      <c r="I387" s="67">
        <f t="shared" si="127"/>
        <v>60000000</v>
      </c>
      <c r="J387" s="65"/>
      <c r="K387" s="65"/>
      <c r="L387" s="65"/>
      <c r="M387" s="65"/>
      <c r="N387" s="67"/>
      <c r="O387" s="67"/>
      <c r="P387" s="95"/>
      <c r="Q387" s="99"/>
      <c r="R387" s="99"/>
      <c r="S387" s="99"/>
    </row>
    <row r="388" s="27" customFormat="1" ht="97" customHeight="1" spans="1:19">
      <c r="A388" s="65"/>
      <c r="B388" s="110" t="s">
        <v>300</v>
      </c>
      <c r="C388" s="67"/>
      <c r="D388" s="67"/>
      <c r="E388" s="65"/>
      <c r="F388" s="65"/>
      <c r="G388" s="67">
        <f>(50000000+10000000)/0.885</f>
        <v>67796610.1694915</v>
      </c>
      <c r="H388" s="67">
        <f t="shared" si="128"/>
        <v>7796610.16949153</v>
      </c>
      <c r="I388" s="67">
        <f t="shared" si="127"/>
        <v>60000000</v>
      </c>
      <c r="J388" s="65"/>
      <c r="K388" s="65"/>
      <c r="L388" s="65"/>
      <c r="M388" s="65"/>
      <c r="N388" s="67"/>
      <c r="O388" s="67"/>
      <c r="P388" s="95"/>
      <c r="Q388" s="99"/>
      <c r="R388" s="99"/>
      <c r="S388" s="99"/>
    </row>
    <row r="389" s="27" customFormat="1" ht="39" customHeight="1" spans="1:19">
      <c r="A389" s="65"/>
      <c r="B389" s="110" t="s">
        <v>301</v>
      </c>
      <c r="C389" s="67"/>
      <c r="D389" s="67"/>
      <c r="E389" s="65"/>
      <c r="F389" s="65"/>
      <c r="G389" s="67">
        <v>23040000</v>
      </c>
      <c r="H389" s="65"/>
      <c r="I389" s="67">
        <f t="shared" si="127"/>
        <v>23040000</v>
      </c>
      <c r="J389" s="65"/>
      <c r="K389" s="65"/>
      <c r="L389" s="65"/>
      <c r="M389" s="65"/>
      <c r="N389" s="67"/>
      <c r="O389" s="67"/>
      <c r="P389" s="95"/>
      <c r="Q389" s="99"/>
      <c r="R389" s="99"/>
      <c r="S389" s="99"/>
    </row>
    <row r="390" s="27" customFormat="1" ht="61" customHeight="1" spans="1:19">
      <c r="A390" s="65"/>
      <c r="B390" s="110" t="s">
        <v>302</v>
      </c>
      <c r="C390" s="67"/>
      <c r="D390" s="67"/>
      <c r="E390" s="65"/>
      <c r="F390" s="65"/>
      <c r="G390" s="67">
        <f>20000000/0.885</f>
        <v>22598870.0564972</v>
      </c>
      <c r="H390" s="67">
        <f>G390*0.115</f>
        <v>2598870.05649718</v>
      </c>
      <c r="I390" s="67">
        <f>G390-H390</f>
        <v>20000000</v>
      </c>
      <c r="J390" s="65"/>
      <c r="K390" s="65"/>
      <c r="L390" s="65"/>
      <c r="M390" s="65"/>
      <c r="N390" s="67"/>
      <c r="O390" s="67"/>
      <c r="P390" s="95"/>
      <c r="Q390" s="99"/>
      <c r="R390" s="99"/>
      <c r="S390" s="99"/>
    </row>
    <row r="391" s="27" customFormat="1" ht="144" customHeight="1" spans="1:19">
      <c r="A391" s="65"/>
      <c r="B391" s="110" t="s">
        <v>303</v>
      </c>
      <c r="C391" s="67"/>
      <c r="D391" s="67"/>
      <c r="E391" s="65"/>
      <c r="F391" s="65"/>
      <c r="G391" s="67">
        <f>80000000/0.885</f>
        <v>90395480.2259887</v>
      </c>
      <c r="H391" s="67">
        <f t="shared" si="128"/>
        <v>10395480.2259887</v>
      </c>
      <c r="I391" s="67">
        <f t="shared" ref="I391:I395" si="129">+G391-H391</f>
        <v>80000000</v>
      </c>
      <c r="J391" s="65"/>
      <c r="K391" s="65"/>
      <c r="L391" s="65"/>
      <c r="M391" s="65"/>
      <c r="N391" s="67"/>
      <c r="O391" s="67"/>
      <c r="P391" s="95"/>
      <c r="Q391" s="99"/>
      <c r="R391" s="99"/>
      <c r="S391" s="99"/>
    </row>
    <row r="392" s="27" customFormat="1" ht="32" customHeight="1" spans="1:19">
      <c r="A392" s="65"/>
      <c r="B392" s="110" t="s">
        <v>304</v>
      </c>
      <c r="C392" s="67"/>
      <c r="D392" s="67"/>
      <c r="E392" s="65"/>
      <c r="F392" s="65"/>
      <c r="G392" s="67">
        <v>20000000</v>
      </c>
      <c r="H392" s="67"/>
      <c r="I392" s="67">
        <v>20000000</v>
      </c>
      <c r="J392" s="65"/>
      <c r="K392" s="65"/>
      <c r="L392" s="65"/>
      <c r="M392" s="65"/>
      <c r="N392" s="67"/>
      <c r="O392" s="67"/>
      <c r="P392" s="95"/>
      <c r="Q392" s="99"/>
      <c r="R392" s="99"/>
      <c r="S392" s="99"/>
    </row>
    <row r="393" s="27" customFormat="1" ht="31" customHeight="1" spans="1:19">
      <c r="A393" s="65"/>
      <c r="B393" s="110" t="s">
        <v>305</v>
      </c>
      <c r="C393" s="67"/>
      <c r="D393" s="67"/>
      <c r="E393" s="65"/>
      <c r="F393" s="65"/>
      <c r="G393" s="67">
        <f>20000000/0.885</f>
        <v>22598870.0564972</v>
      </c>
      <c r="H393" s="67">
        <f>+G393*0.115</f>
        <v>2598870.05649718</v>
      </c>
      <c r="I393" s="67">
        <f t="shared" si="129"/>
        <v>20000000</v>
      </c>
      <c r="J393" s="65"/>
      <c r="K393" s="65"/>
      <c r="L393" s="65"/>
      <c r="M393" s="65"/>
      <c r="N393" s="67"/>
      <c r="O393" s="67"/>
      <c r="P393" s="95"/>
      <c r="Q393" s="99"/>
      <c r="R393" s="99"/>
      <c r="S393" s="99"/>
    </row>
    <row r="394" s="27" customFormat="1" ht="45" customHeight="1" spans="1:19">
      <c r="A394" s="65"/>
      <c r="B394" s="110" t="s">
        <v>306</v>
      </c>
      <c r="C394" s="67"/>
      <c r="D394" s="67"/>
      <c r="E394" s="65"/>
      <c r="F394" s="65"/>
      <c r="G394" s="67">
        <f>+I394</f>
        <v>5000000</v>
      </c>
      <c r="H394" s="67"/>
      <c r="I394" s="67">
        <v>5000000</v>
      </c>
      <c r="J394" s="65"/>
      <c r="K394" s="65"/>
      <c r="L394" s="65"/>
      <c r="M394" s="65"/>
      <c r="N394" s="67"/>
      <c r="O394" s="67"/>
      <c r="P394" s="95"/>
      <c r="Q394" s="99"/>
      <c r="R394" s="99"/>
      <c r="S394" s="99"/>
    </row>
    <row r="395" s="27" customFormat="1" ht="60" customHeight="1" spans="1:19">
      <c r="A395" s="65"/>
      <c r="B395" s="110" t="s">
        <v>307</v>
      </c>
      <c r="C395" s="67"/>
      <c r="D395" s="67"/>
      <c r="E395" s="65"/>
      <c r="F395" s="65"/>
      <c r="G395" s="67">
        <f>50000000/0.885</f>
        <v>56497175.1412429</v>
      </c>
      <c r="H395" s="67">
        <f t="shared" ref="H395:H405" si="130">+G395*0.115</f>
        <v>6497175.14124294</v>
      </c>
      <c r="I395" s="67">
        <f t="shared" si="129"/>
        <v>50000000</v>
      </c>
      <c r="J395" s="65"/>
      <c r="K395" s="65"/>
      <c r="L395" s="65"/>
      <c r="M395" s="65"/>
      <c r="N395" s="67"/>
      <c r="O395" s="67"/>
      <c r="P395" s="95"/>
      <c r="Q395" s="99"/>
      <c r="R395" s="99"/>
      <c r="S395" s="99"/>
    </row>
    <row r="396" s="27" customFormat="1" ht="25.5" customHeight="1" spans="1:19">
      <c r="A396" s="65">
        <v>2</v>
      </c>
      <c r="B396" s="66" t="s">
        <v>308</v>
      </c>
      <c r="C396" s="67"/>
      <c r="D396" s="67">
        <f>+G396+L396</f>
        <v>1945923195.45408</v>
      </c>
      <c r="E396" s="65"/>
      <c r="F396" s="65"/>
      <c r="G396" s="67">
        <f t="shared" ref="G396:I396" si="131">SUM(G397:G407)</f>
        <v>738478385.536723</v>
      </c>
      <c r="H396" s="67">
        <f t="shared" si="131"/>
        <v>39064265.5367232</v>
      </c>
      <c r="I396" s="67">
        <f t="shared" si="131"/>
        <v>699414120</v>
      </c>
      <c r="J396" s="65"/>
      <c r="K396" s="65"/>
      <c r="L396" s="67">
        <f t="shared" ref="L396:N396" si="132">+L397+L398</f>
        <v>1207444809.91736</v>
      </c>
      <c r="M396" s="67">
        <f t="shared" si="132"/>
        <v>23460000</v>
      </c>
      <c r="N396" s="67">
        <f t="shared" si="132"/>
        <v>1183984809.91736</v>
      </c>
      <c r="O396" s="67"/>
      <c r="P396" s="95"/>
      <c r="Q396" s="99"/>
      <c r="R396" s="99"/>
      <c r="S396" s="99"/>
    </row>
    <row r="397" s="27" customFormat="1" ht="38" customHeight="1" spans="1:19">
      <c r="A397" s="65"/>
      <c r="B397" s="66" t="s">
        <v>241</v>
      </c>
      <c r="C397" s="67"/>
      <c r="D397" s="67"/>
      <c r="E397" s="65">
        <v>5</v>
      </c>
      <c r="F397" s="74">
        <f>+(13.02+5.96)/E397</f>
        <v>3.796</v>
      </c>
      <c r="G397" s="67">
        <f>+((E397*F397*1490000*12)+(3.044*1490000*12))</f>
        <v>393789120</v>
      </c>
      <c r="H397" s="74"/>
      <c r="I397" s="67">
        <f t="shared" ref="I397:I405" si="133">+G397-H397</f>
        <v>393789120</v>
      </c>
      <c r="J397" s="65">
        <v>12</v>
      </c>
      <c r="K397" s="74"/>
      <c r="L397" s="67">
        <f>4074390000*1490000/1210000/5</f>
        <v>1003444809.91736</v>
      </c>
      <c r="M397" s="74"/>
      <c r="N397" s="67">
        <f>+L397-M397</f>
        <v>1003444809.91736</v>
      </c>
      <c r="O397" s="67"/>
      <c r="P397" s="95">
        <f>192000000*4</f>
        <v>768000000</v>
      </c>
      <c r="Q397" s="99"/>
      <c r="R397" s="99"/>
      <c r="S397" s="99"/>
    </row>
    <row r="398" s="27" customFormat="1" ht="25.5" customHeight="1" spans="1:19">
      <c r="A398" s="65"/>
      <c r="B398" s="66" t="s">
        <v>296</v>
      </c>
      <c r="C398" s="67"/>
      <c r="D398" s="67"/>
      <c r="E398" s="65"/>
      <c r="F398" s="75">
        <v>25000000</v>
      </c>
      <c r="G398" s="67">
        <f>+E397*F398</f>
        <v>125000000</v>
      </c>
      <c r="H398" s="75">
        <f>+G398*11.5%</f>
        <v>14375000</v>
      </c>
      <c r="I398" s="67">
        <f t="shared" si="133"/>
        <v>110625000</v>
      </c>
      <c r="J398" s="65"/>
      <c r="K398" s="67">
        <v>17000000</v>
      </c>
      <c r="L398" s="67">
        <f>+J397*K398</f>
        <v>204000000</v>
      </c>
      <c r="M398" s="67">
        <f>+L398*11.5%</f>
        <v>23460000</v>
      </c>
      <c r="N398" s="67">
        <f>+L398-M398</f>
        <v>180540000</v>
      </c>
      <c r="O398" s="67"/>
      <c r="P398" s="95"/>
      <c r="Q398" s="99"/>
      <c r="R398" s="99"/>
      <c r="S398" s="99"/>
    </row>
    <row r="399" s="27" customFormat="1" ht="65" customHeight="1" spans="1:19">
      <c r="A399" s="65"/>
      <c r="B399" s="110" t="s">
        <v>309</v>
      </c>
      <c r="C399" s="67"/>
      <c r="D399" s="67"/>
      <c r="E399" s="65"/>
      <c r="F399" s="75"/>
      <c r="G399" s="67">
        <f>35000000/0.885</f>
        <v>39548022.5988701</v>
      </c>
      <c r="H399" s="75">
        <f t="shared" si="130"/>
        <v>4548022.59887006</v>
      </c>
      <c r="I399" s="67">
        <f t="shared" si="133"/>
        <v>35000000</v>
      </c>
      <c r="J399" s="65"/>
      <c r="K399" s="67"/>
      <c r="L399" s="67"/>
      <c r="M399" s="67"/>
      <c r="N399" s="67"/>
      <c r="O399" s="67"/>
      <c r="P399" s="95"/>
      <c r="Q399" s="99"/>
      <c r="R399" s="99"/>
      <c r="S399" s="99"/>
    </row>
    <row r="400" s="27" customFormat="1" ht="41" customHeight="1" spans="1:19">
      <c r="A400" s="65"/>
      <c r="B400" s="66" t="s">
        <v>310</v>
      </c>
      <c r="C400" s="67"/>
      <c r="D400" s="67"/>
      <c r="E400" s="65"/>
      <c r="F400" s="75"/>
      <c r="G400" s="67">
        <f>15000000/0.885</f>
        <v>16949152.5423729</v>
      </c>
      <c r="H400" s="75">
        <f t="shared" si="130"/>
        <v>1949152.54237288</v>
      </c>
      <c r="I400" s="67">
        <f t="shared" si="133"/>
        <v>15000000</v>
      </c>
      <c r="J400" s="65"/>
      <c r="K400" s="67"/>
      <c r="L400" s="67"/>
      <c r="M400" s="67"/>
      <c r="N400" s="67"/>
      <c r="O400" s="67"/>
      <c r="P400" s="95"/>
      <c r="Q400" s="99"/>
      <c r="R400" s="99"/>
      <c r="S400" s="99"/>
    </row>
    <row r="401" s="27" customFormat="1" ht="37" customHeight="1" spans="1:19">
      <c r="A401" s="65"/>
      <c r="B401" s="66" t="s">
        <v>311</v>
      </c>
      <c r="C401" s="67"/>
      <c r="D401" s="67"/>
      <c r="E401" s="65"/>
      <c r="F401" s="75"/>
      <c r="G401" s="67">
        <f>25000000/0.885</f>
        <v>28248587.5706215</v>
      </c>
      <c r="H401" s="75">
        <f t="shared" si="130"/>
        <v>3248587.57062147</v>
      </c>
      <c r="I401" s="67">
        <f t="shared" si="133"/>
        <v>25000000</v>
      </c>
      <c r="J401" s="65"/>
      <c r="K401" s="67"/>
      <c r="L401" s="67"/>
      <c r="M401" s="67"/>
      <c r="N401" s="67"/>
      <c r="O401" s="67"/>
      <c r="P401" s="95"/>
      <c r="Q401" s="99"/>
      <c r="R401" s="99"/>
      <c r="S401" s="99"/>
    </row>
    <row r="402" s="27" customFormat="1" ht="39.75" customHeight="1" spans="1:19">
      <c r="A402" s="65"/>
      <c r="B402" s="110" t="s">
        <v>312</v>
      </c>
      <c r="C402" s="67"/>
      <c r="D402" s="67"/>
      <c r="E402" s="65"/>
      <c r="F402" s="75"/>
      <c r="G402" s="67">
        <f>20000000/0.885</f>
        <v>22598870.0564972</v>
      </c>
      <c r="H402" s="75">
        <f t="shared" si="130"/>
        <v>2598870.05649718</v>
      </c>
      <c r="I402" s="67">
        <f t="shared" si="133"/>
        <v>20000000</v>
      </c>
      <c r="J402" s="65"/>
      <c r="K402" s="67"/>
      <c r="L402" s="67"/>
      <c r="M402" s="67"/>
      <c r="N402" s="67"/>
      <c r="O402" s="67"/>
      <c r="P402" s="95"/>
      <c r="Q402" s="99"/>
      <c r="R402" s="99"/>
      <c r="S402" s="99"/>
    </row>
    <row r="403" s="27" customFormat="1" ht="58" customHeight="1" spans="1:19">
      <c r="A403" s="65"/>
      <c r="B403" s="110" t="s">
        <v>313</v>
      </c>
      <c r="C403" s="67"/>
      <c r="D403" s="67"/>
      <c r="E403" s="65"/>
      <c r="F403" s="75"/>
      <c r="G403" s="67">
        <f>20000000/0.885</f>
        <v>22598870.0564972</v>
      </c>
      <c r="H403" s="75">
        <f t="shared" si="130"/>
        <v>2598870.05649718</v>
      </c>
      <c r="I403" s="67">
        <f t="shared" si="133"/>
        <v>20000000</v>
      </c>
      <c r="J403" s="65"/>
      <c r="K403" s="67"/>
      <c r="L403" s="67"/>
      <c r="M403" s="67"/>
      <c r="N403" s="67"/>
      <c r="O403" s="67"/>
      <c r="P403" s="95"/>
      <c r="Q403" s="99"/>
      <c r="R403" s="99"/>
      <c r="S403" s="99"/>
    </row>
    <row r="404" s="27" customFormat="1" ht="60" customHeight="1" spans="1:19">
      <c r="A404" s="65"/>
      <c r="B404" s="110" t="s">
        <v>314</v>
      </c>
      <c r="C404" s="67"/>
      <c r="D404" s="67"/>
      <c r="E404" s="65"/>
      <c r="F404" s="75"/>
      <c r="G404" s="67">
        <f>25000000/0.885</f>
        <v>28248587.5706215</v>
      </c>
      <c r="H404" s="75">
        <f t="shared" si="130"/>
        <v>3248587.57062147</v>
      </c>
      <c r="I404" s="67">
        <f t="shared" si="133"/>
        <v>25000000</v>
      </c>
      <c r="J404" s="65"/>
      <c r="K404" s="67"/>
      <c r="L404" s="67"/>
      <c r="M404" s="67"/>
      <c r="N404" s="67"/>
      <c r="O404" s="67"/>
      <c r="P404" s="95"/>
      <c r="Q404" s="99"/>
      <c r="R404" s="99"/>
      <c r="S404" s="99"/>
    </row>
    <row r="405" s="27" customFormat="1" ht="30" customHeight="1" spans="1:19">
      <c r="A405" s="65"/>
      <c r="B405" s="110" t="s">
        <v>315</v>
      </c>
      <c r="C405" s="67"/>
      <c r="D405" s="67"/>
      <c r="E405" s="65"/>
      <c r="F405" s="75"/>
      <c r="G405" s="67">
        <f>10000000/0.885</f>
        <v>11299435.0282486</v>
      </c>
      <c r="H405" s="75">
        <f t="shared" si="130"/>
        <v>1299435.02824859</v>
      </c>
      <c r="I405" s="67">
        <f t="shared" si="133"/>
        <v>10000000</v>
      </c>
      <c r="J405" s="65"/>
      <c r="K405" s="67"/>
      <c r="L405" s="67"/>
      <c r="M405" s="67"/>
      <c r="N405" s="67"/>
      <c r="O405" s="67"/>
      <c r="P405" s="95"/>
      <c r="Q405" s="99"/>
      <c r="R405" s="99"/>
      <c r="S405" s="99"/>
    </row>
    <row r="406" s="27" customFormat="1" ht="45" customHeight="1" spans="1:19">
      <c r="A406" s="65"/>
      <c r="B406" s="110" t="s">
        <v>316</v>
      </c>
      <c r="C406" s="67"/>
      <c r="D406" s="67"/>
      <c r="E406" s="65"/>
      <c r="F406" s="65"/>
      <c r="G406" s="67">
        <f>+I406</f>
        <v>5000000</v>
      </c>
      <c r="H406" s="67"/>
      <c r="I406" s="67">
        <v>5000000</v>
      </c>
      <c r="J406" s="65"/>
      <c r="K406" s="65"/>
      <c r="L406" s="65"/>
      <c r="M406" s="65"/>
      <c r="N406" s="67"/>
      <c r="O406" s="67"/>
      <c r="P406" s="95"/>
      <c r="Q406" s="99"/>
      <c r="R406" s="99"/>
      <c r="S406" s="99"/>
    </row>
    <row r="407" s="27" customFormat="1" ht="66" customHeight="1" spans="1:19">
      <c r="A407" s="65"/>
      <c r="B407" s="110" t="s">
        <v>317</v>
      </c>
      <c r="C407" s="67"/>
      <c r="D407" s="67"/>
      <c r="E407" s="65"/>
      <c r="F407" s="75"/>
      <c r="G407" s="67">
        <f>40000000/0.885</f>
        <v>45197740.1129944</v>
      </c>
      <c r="H407" s="75">
        <f t="shared" ref="H407:H413" si="134">+G407*0.115</f>
        <v>5197740.11299435</v>
      </c>
      <c r="I407" s="67">
        <f t="shared" ref="I407:I413" si="135">+G407-H407</f>
        <v>40000000</v>
      </c>
      <c r="J407" s="65"/>
      <c r="K407" s="67"/>
      <c r="L407" s="67"/>
      <c r="M407" s="67"/>
      <c r="N407" s="67"/>
      <c r="O407" s="67"/>
      <c r="P407" s="95"/>
      <c r="Q407" s="99"/>
      <c r="R407" s="99"/>
      <c r="S407" s="99"/>
    </row>
    <row r="408" s="27" customFormat="1" ht="31" customHeight="1" spans="1:19">
      <c r="A408" s="65">
        <v>3</v>
      </c>
      <c r="B408" s="66" t="s">
        <v>318</v>
      </c>
      <c r="C408" s="67"/>
      <c r="D408" s="67">
        <f>+G408+L408</f>
        <v>2331652531.45408</v>
      </c>
      <c r="E408" s="65"/>
      <c r="F408" s="65"/>
      <c r="G408" s="67">
        <f t="shared" ref="G408:I408" si="136">SUM(G409:G416)</f>
        <v>999207721.536723</v>
      </c>
      <c r="H408" s="67">
        <f t="shared" si="136"/>
        <v>39064265.5367232</v>
      </c>
      <c r="I408" s="67">
        <f t="shared" si="136"/>
        <v>960143456</v>
      </c>
      <c r="J408" s="65"/>
      <c r="K408" s="65"/>
      <c r="L408" s="67">
        <f t="shared" ref="L408:N408" si="137">+L409+L410+L415</f>
        <v>1332444809.91736</v>
      </c>
      <c r="M408" s="67">
        <f t="shared" si="137"/>
        <v>23460000</v>
      </c>
      <c r="N408" s="67">
        <f t="shared" si="137"/>
        <v>1308984809.91736</v>
      </c>
      <c r="O408" s="67"/>
      <c r="P408" s="95"/>
      <c r="Q408" s="99"/>
      <c r="R408" s="99"/>
      <c r="S408" s="99"/>
    </row>
    <row r="409" s="27" customFormat="1" ht="37" customHeight="1" spans="1:19">
      <c r="A409" s="65"/>
      <c r="B409" s="66" t="s">
        <v>241</v>
      </c>
      <c r="C409" s="67"/>
      <c r="D409" s="67"/>
      <c r="E409" s="65">
        <v>5</v>
      </c>
      <c r="F409" s="74">
        <f>+(15.79+9.21)/E409</f>
        <v>5</v>
      </c>
      <c r="G409" s="67">
        <f>+((E409*F409*1490000*12)+(3.7762*1490000*12))</f>
        <v>514518456</v>
      </c>
      <c r="H409" s="74"/>
      <c r="I409" s="67">
        <f t="shared" si="135"/>
        <v>514518456</v>
      </c>
      <c r="J409" s="65">
        <v>12</v>
      </c>
      <c r="K409" s="74"/>
      <c r="L409" s="67">
        <f>4074390000*1490000/1210000/5</f>
        <v>1003444809.91736</v>
      </c>
      <c r="M409" s="74"/>
      <c r="N409" s="67">
        <f>+L409-M409</f>
        <v>1003444809.91736</v>
      </c>
      <c r="O409" s="67"/>
      <c r="P409" s="95"/>
      <c r="Q409" s="99"/>
      <c r="R409" s="99"/>
      <c r="S409" s="99"/>
    </row>
    <row r="410" s="27" customFormat="1" ht="35" customHeight="1" spans="1:19">
      <c r="A410" s="65"/>
      <c r="B410" s="66" t="s">
        <v>296</v>
      </c>
      <c r="C410" s="67"/>
      <c r="D410" s="67"/>
      <c r="E410" s="65"/>
      <c r="F410" s="75">
        <v>25000000</v>
      </c>
      <c r="G410" s="67">
        <f>+E409*F410</f>
        <v>125000000</v>
      </c>
      <c r="H410" s="75">
        <f>+G410*11.5%</f>
        <v>14375000</v>
      </c>
      <c r="I410" s="67">
        <f t="shared" si="135"/>
        <v>110625000</v>
      </c>
      <c r="J410" s="65"/>
      <c r="K410" s="67">
        <v>17000000</v>
      </c>
      <c r="L410" s="67">
        <f>+J409*K410</f>
        <v>204000000</v>
      </c>
      <c r="M410" s="67">
        <f>+L410*11.5%</f>
        <v>23460000</v>
      </c>
      <c r="N410" s="67">
        <f>+L410-M410</f>
        <v>180540000</v>
      </c>
      <c r="O410" s="67"/>
      <c r="P410" s="95"/>
      <c r="Q410" s="99"/>
      <c r="R410" s="99"/>
      <c r="S410" s="99"/>
    </row>
    <row r="411" s="27" customFormat="1" ht="42.75" customHeight="1" spans="1:19">
      <c r="A411" s="65"/>
      <c r="B411" s="110" t="s">
        <v>319</v>
      </c>
      <c r="C411" s="67"/>
      <c r="D411" s="67"/>
      <c r="E411" s="65"/>
      <c r="F411" s="75"/>
      <c r="G411" s="67">
        <f>40000000/0.885</f>
        <v>45197740.1129944</v>
      </c>
      <c r="H411" s="75">
        <f t="shared" si="134"/>
        <v>5197740.11299435</v>
      </c>
      <c r="I411" s="67">
        <f t="shared" si="135"/>
        <v>40000000</v>
      </c>
      <c r="J411" s="65"/>
      <c r="K411" s="67"/>
      <c r="L411" s="67"/>
      <c r="M411" s="67"/>
      <c r="N411" s="67"/>
      <c r="O411" s="67"/>
      <c r="P411" s="95"/>
      <c r="Q411" s="99"/>
      <c r="R411" s="99"/>
      <c r="S411" s="99"/>
    </row>
    <row r="412" s="27" customFormat="1" ht="157" customHeight="1" spans="1:19">
      <c r="A412" s="65"/>
      <c r="B412" s="110" t="s">
        <v>320</v>
      </c>
      <c r="C412" s="67"/>
      <c r="D412" s="67"/>
      <c r="E412" s="65"/>
      <c r="F412" s="75"/>
      <c r="G412" s="67">
        <f>110000000/0.885</f>
        <v>124293785.310734</v>
      </c>
      <c r="H412" s="75">
        <f t="shared" si="134"/>
        <v>14293785.3107345</v>
      </c>
      <c r="I412" s="67">
        <f t="shared" si="135"/>
        <v>110000000</v>
      </c>
      <c r="J412" s="65"/>
      <c r="K412" s="67"/>
      <c r="L412" s="67"/>
      <c r="M412" s="67"/>
      <c r="N412" s="67"/>
      <c r="O412" s="67"/>
      <c r="P412" s="95"/>
      <c r="Q412" s="99"/>
      <c r="R412" s="99"/>
      <c r="S412" s="99"/>
    </row>
    <row r="413" s="27" customFormat="1" ht="37" customHeight="1" spans="1:19">
      <c r="A413" s="65"/>
      <c r="B413" s="110" t="s">
        <v>305</v>
      </c>
      <c r="C413" s="67"/>
      <c r="D413" s="67"/>
      <c r="E413" s="65"/>
      <c r="F413" s="75"/>
      <c r="G413" s="67">
        <f>10000000/0.885</f>
        <v>11299435.0282486</v>
      </c>
      <c r="H413" s="75">
        <f t="shared" si="134"/>
        <v>1299435.02824859</v>
      </c>
      <c r="I413" s="67">
        <f t="shared" si="135"/>
        <v>10000000</v>
      </c>
      <c r="J413" s="65"/>
      <c r="K413" s="67"/>
      <c r="L413" s="67"/>
      <c r="M413" s="67"/>
      <c r="N413" s="67"/>
      <c r="O413" s="67"/>
      <c r="P413" s="95"/>
      <c r="Q413" s="99"/>
      <c r="R413" s="99"/>
      <c r="S413" s="99"/>
    </row>
    <row r="414" s="27" customFormat="1" ht="45" customHeight="1" spans="1:19">
      <c r="A414" s="65"/>
      <c r="B414" s="110" t="s">
        <v>316</v>
      </c>
      <c r="C414" s="67"/>
      <c r="D414" s="67"/>
      <c r="E414" s="65"/>
      <c r="F414" s="65"/>
      <c r="G414" s="67">
        <f>+I414</f>
        <v>5000000</v>
      </c>
      <c r="H414" s="67"/>
      <c r="I414" s="67">
        <v>5000000</v>
      </c>
      <c r="J414" s="65"/>
      <c r="K414" s="65"/>
      <c r="L414" s="65"/>
      <c r="M414" s="65"/>
      <c r="N414" s="67"/>
      <c r="O414" s="67"/>
      <c r="P414" s="95"/>
      <c r="Q414" s="99"/>
      <c r="R414" s="99"/>
      <c r="S414" s="99"/>
    </row>
    <row r="415" s="27" customFormat="1" ht="43" customHeight="1" spans="1:19">
      <c r="A415" s="65"/>
      <c r="B415" s="110" t="s">
        <v>321</v>
      </c>
      <c r="C415" s="67"/>
      <c r="D415" s="67"/>
      <c r="E415" s="65"/>
      <c r="F415" s="75"/>
      <c r="G415" s="67">
        <f>140000000</f>
        <v>140000000</v>
      </c>
      <c r="H415" s="75"/>
      <c r="I415" s="67">
        <f t="shared" ref="I415:I420" si="138">+G415-H415</f>
        <v>140000000</v>
      </c>
      <c r="J415" s="65"/>
      <c r="K415" s="67"/>
      <c r="L415" s="67">
        <f>15000000+10000000*11</f>
        <v>125000000</v>
      </c>
      <c r="M415" s="67"/>
      <c r="N415" s="67">
        <f t="shared" ref="N415:N419" si="139">+L415-M415</f>
        <v>125000000</v>
      </c>
      <c r="O415" s="67"/>
      <c r="P415" s="95"/>
      <c r="Q415" s="99"/>
      <c r="R415" s="99"/>
      <c r="S415" s="99"/>
    </row>
    <row r="416" s="27" customFormat="1" ht="44" customHeight="1" spans="1:19">
      <c r="A416" s="65"/>
      <c r="B416" s="110" t="s">
        <v>322</v>
      </c>
      <c r="C416" s="67"/>
      <c r="D416" s="67"/>
      <c r="E416" s="65"/>
      <c r="F416" s="75"/>
      <c r="G416" s="67">
        <f>30000000/0.885</f>
        <v>33898305.0847458</v>
      </c>
      <c r="H416" s="75">
        <f t="shared" ref="H416:H425" si="140">+G416*0.115</f>
        <v>3898305.08474576</v>
      </c>
      <c r="I416" s="67">
        <f t="shared" si="138"/>
        <v>30000000</v>
      </c>
      <c r="J416" s="65"/>
      <c r="K416" s="67"/>
      <c r="L416" s="67"/>
      <c r="M416" s="67"/>
      <c r="N416" s="67"/>
      <c r="O416" s="67"/>
      <c r="P416" s="95"/>
      <c r="Q416" s="99"/>
      <c r="R416" s="99"/>
      <c r="S416" s="99"/>
    </row>
    <row r="417" s="27" customFormat="1" ht="24.75" customHeight="1" spans="1:19">
      <c r="A417" s="65">
        <v>4</v>
      </c>
      <c r="B417" s="66" t="s">
        <v>323</v>
      </c>
      <c r="C417" s="67"/>
      <c r="D417" s="67">
        <f>+G417+L417</f>
        <v>2374876764.87781</v>
      </c>
      <c r="E417" s="65"/>
      <c r="F417" s="74"/>
      <c r="G417" s="67">
        <f t="shared" ref="G417:I417" si="141">SUM(G418:G427)</f>
        <v>1167431954.96045</v>
      </c>
      <c r="H417" s="67">
        <f t="shared" si="141"/>
        <v>58555790.960452</v>
      </c>
      <c r="I417" s="67">
        <f t="shared" si="141"/>
        <v>1108876164</v>
      </c>
      <c r="J417" s="65"/>
      <c r="K417" s="65"/>
      <c r="L417" s="67">
        <f t="shared" ref="L417:N417" si="142">SUM(L418:L427)</f>
        <v>1207444809.91736</v>
      </c>
      <c r="M417" s="67">
        <f t="shared" si="142"/>
        <v>23460000</v>
      </c>
      <c r="N417" s="67">
        <f t="shared" si="142"/>
        <v>1183984809.91736</v>
      </c>
      <c r="O417" s="67"/>
      <c r="P417" s="95"/>
      <c r="Q417" s="99"/>
      <c r="R417" s="99"/>
      <c r="S417" s="99"/>
    </row>
    <row r="418" s="27" customFormat="1" ht="36" customHeight="1" spans="1:19">
      <c r="A418" s="65"/>
      <c r="B418" s="66" t="s">
        <v>241</v>
      </c>
      <c r="C418" s="67"/>
      <c r="D418" s="67"/>
      <c r="E418" s="65">
        <v>5</v>
      </c>
      <c r="F418" s="74">
        <f>+(19.46+12.38)/E418</f>
        <v>6.368</v>
      </c>
      <c r="G418" s="67">
        <f>+((E418*F418*1490000*12)+(4.6953*1490000*12))</f>
        <v>653251164</v>
      </c>
      <c r="H418" s="74"/>
      <c r="I418" s="67">
        <f t="shared" si="138"/>
        <v>653251164</v>
      </c>
      <c r="J418" s="65">
        <v>12</v>
      </c>
      <c r="K418" s="74"/>
      <c r="L418" s="67">
        <f>4074390000*1490000/1210000/5</f>
        <v>1003444809.91736</v>
      </c>
      <c r="M418" s="74"/>
      <c r="N418" s="67">
        <f t="shared" si="139"/>
        <v>1003444809.91736</v>
      </c>
      <c r="O418" s="67"/>
      <c r="P418" s="95"/>
      <c r="Q418" s="99"/>
      <c r="R418" s="99"/>
      <c r="S418" s="99"/>
    </row>
    <row r="419" s="27" customFormat="1" ht="24.75" customHeight="1" spans="1:19">
      <c r="A419" s="65"/>
      <c r="B419" s="66" t="s">
        <v>324</v>
      </c>
      <c r="C419" s="67"/>
      <c r="D419" s="67"/>
      <c r="E419" s="65"/>
      <c r="F419" s="75">
        <v>25000000</v>
      </c>
      <c r="G419" s="67">
        <f>+E418*F419</f>
        <v>125000000</v>
      </c>
      <c r="H419" s="75">
        <f>+G419*11.5%</f>
        <v>14375000</v>
      </c>
      <c r="I419" s="67">
        <f t="shared" si="138"/>
        <v>110625000</v>
      </c>
      <c r="J419" s="65"/>
      <c r="K419" s="67">
        <v>17000000</v>
      </c>
      <c r="L419" s="67">
        <f>+J418*K419</f>
        <v>204000000</v>
      </c>
      <c r="M419" s="67">
        <f>+L419*11.5%</f>
        <v>23460000</v>
      </c>
      <c r="N419" s="67">
        <f t="shared" si="139"/>
        <v>180540000</v>
      </c>
      <c r="O419" s="67"/>
      <c r="P419" s="95"/>
      <c r="Q419" s="99"/>
      <c r="R419" s="99"/>
      <c r="S419" s="99"/>
    </row>
    <row r="420" s="27" customFormat="1" ht="94" customHeight="1" spans="1:19">
      <c r="A420" s="65"/>
      <c r="B420" s="110" t="s">
        <v>325</v>
      </c>
      <c r="C420" s="67"/>
      <c r="D420" s="67"/>
      <c r="E420" s="65"/>
      <c r="F420" s="75"/>
      <c r="G420" s="67">
        <f>25000000/0.885</f>
        <v>28248587.5706215</v>
      </c>
      <c r="H420" s="75">
        <f t="shared" si="140"/>
        <v>3248587.57062147</v>
      </c>
      <c r="I420" s="67">
        <f t="shared" si="138"/>
        <v>25000000</v>
      </c>
      <c r="J420" s="65"/>
      <c r="K420" s="67"/>
      <c r="L420" s="67"/>
      <c r="M420" s="67"/>
      <c r="N420" s="67"/>
      <c r="O420" s="67"/>
      <c r="P420" s="95"/>
      <c r="Q420" s="99"/>
      <c r="R420" s="99"/>
      <c r="S420" s="99"/>
    </row>
    <row r="421" s="27" customFormat="1" ht="42" customHeight="1" spans="1:19">
      <c r="A421" s="65"/>
      <c r="B421" s="110" t="s">
        <v>326</v>
      </c>
      <c r="C421" s="67"/>
      <c r="D421" s="67"/>
      <c r="E421" s="65"/>
      <c r="F421" s="75"/>
      <c r="G421" s="67">
        <f>10000000/0.885</f>
        <v>11299435.0282486</v>
      </c>
      <c r="H421" s="75">
        <f t="shared" si="140"/>
        <v>1299435.02824859</v>
      </c>
      <c r="I421" s="67">
        <f>G421-H421</f>
        <v>10000000</v>
      </c>
      <c r="J421" s="65"/>
      <c r="K421" s="67"/>
      <c r="L421" s="67"/>
      <c r="M421" s="67"/>
      <c r="N421" s="67"/>
      <c r="O421" s="67"/>
      <c r="P421" s="95"/>
      <c r="Q421" s="99"/>
      <c r="R421" s="99"/>
      <c r="S421" s="99"/>
    </row>
    <row r="422" s="27" customFormat="1" ht="58" customHeight="1" spans="1:19">
      <c r="A422" s="65"/>
      <c r="B422" s="110" t="s">
        <v>327</v>
      </c>
      <c r="C422" s="67"/>
      <c r="D422" s="67"/>
      <c r="E422" s="65"/>
      <c r="F422" s="75"/>
      <c r="G422" s="67">
        <f>30000000/0.885</f>
        <v>33898305.0847458</v>
      </c>
      <c r="H422" s="75">
        <f t="shared" si="140"/>
        <v>3898305.08474576</v>
      </c>
      <c r="I422" s="67">
        <f t="shared" ref="I422:I425" si="143">+G422-H422</f>
        <v>30000000</v>
      </c>
      <c r="J422" s="65"/>
      <c r="K422" s="67"/>
      <c r="L422" s="67"/>
      <c r="M422" s="67"/>
      <c r="N422" s="67"/>
      <c r="O422" s="67"/>
      <c r="P422" s="95"/>
      <c r="Q422" s="99"/>
      <c r="R422" s="99"/>
      <c r="S422" s="99"/>
    </row>
    <row r="423" s="27" customFormat="1" ht="78" customHeight="1" spans="1:19">
      <c r="A423" s="65"/>
      <c r="B423" s="110" t="s">
        <v>328</v>
      </c>
      <c r="C423" s="67"/>
      <c r="D423" s="67"/>
      <c r="E423" s="65"/>
      <c r="F423" s="75"/>
      <c r="G423" s="67">
        <f>20000000/0.885</f>
        <v>22598870.0564972</v>
      </c>
      <c r="H423" s="75">
        <f t="shared" si="140"/>
        <v>2598870.05649718</v>
      </c>
      <c r="I423" s="67">
        <f t="shared" si="143"/>
        <v>20000000</v>
      </c>
      <c r="J423" s="65"/>
      <c r="K423" s="67"/>
      <c r="L423" s="67"/>
      <c r="M423" s="67"/>
      <c r="N423" s="67"/>
      <c r="O423" s="67"/>
      <c r="P423" s="95"/>
      <c r="Q423" s="99"/>
      <c r="R423" s="99"/>
      <c r="S423" s="99"/>
    </row>
    <row r="424" s="27" customFormat="1" ht="76" customHeight="1" spans="1:19">
      <c r="A424" s="65"/>
      <c r="B424" s="110" t="s">
        <v>329</v>
      </c>
      <c r="C424" s="67"/>
      <c r="D424" s="67"/>
      <c r="E424" s="65"/>
      <c r="F424" s="75"/>
      <c r="G424" s="67">
        <f>45000000/0.885</f>
        <v>50847457.6271186</v>
      </c>
      <c r="H424" s="75">
        <f t="shared" si="140"/>
        <v>5847457.62711864</v>
      </c>
      <c r="I424" s="67">
        <f t="shared" si="143"/>
        <v>45000000</v>
      </c>
      <c r="J424" s="65"/>
      <c r="K424" s="67"/>
      <c r="L424" s="67"/>
      <c r="M424" s="67"/>
      <c r="N424" s="67"/>
      <c r="O424" s="67"/>
      <c r="P424" s="95"/>
      <c r="Q424" s="99"/>
      <c r="R424" s="99"/>
      <c r="S424" s="99"/>
    </row>
    <row r="425" s="27" customFormat="1" ht="24.75" customHeight="1" spans="1:19">
      <c r="A425" s="65"/>
      <c r="B425" s="110" t="s">
        <v>305</v>
      </c>
      <c r="C425" s="67"/>
      <c r="D425" s="67"/>
      <c r="E425" s="65"/>
      <c r="F425" s="75"/>
      <c r="G425" s="67">
        <f>10000000/0.885</f>
        <v>11299435.0282486</v>
      </c>
      <c r="H425" s="75">
        <f t="shared" si="140"/>
        <v>1299435.02824859</v>
      </c>
      <c r="I425" s="67">
        <f t="shared" si="143"/>
        <v>10000000</v>
      </c>
      <c r="J425" s="65"/>
      <c r="K425" s="67"/>
      <c r="L425" s="67"/>
      <c r="M425" s="67"/>
      <c r="N425" s="67"/>
      <c r="O425" s="67"/>
      <c r="P425" s="95"/>
      <c r="Q425" s="99"/>
      <c r="R425" s="99"/>
      <c r="S425" s="99"/>
    </row>
    <row r="426" s="27" customFormat="1" ht="45" customHeight="1" spans="1:19">
      <c r="A426" s="65"/>
      <c r="B426" s="110" t="s">
        <v>316</v>
      </c>
      <c r="C426" s="67"/>
      <c r="D426" s="67"/>
      <c r="E426" s="65"/>
      <c r="F426" s="65"/>
      <c r="G426" s="67">
        <f>+I426</f>
        <v>5000000</v>
      </c>
      <c r="H426" s="67"/>
      <c r="I426" s="67">
        <v>5000000</v>
      </c>
      <c r="J426" s="65"/>
      <c r="K426" s="65"/>
      <c r="L426" s="65"/>
      <c r="M426" s="65"/>
      <c r="N426" s="67"/>
      <c r="O426" s="67"/>
      <c r="P426" s="95"/>
      <c r="Q426" s="99"/>
      <c r="R426" s="99"/>
      <c r="S426" s="99"/>
    </row>
    <row r="427" s="27" customFormat="1" ht="24.75" customHeight="1" spans="1:19">
      <c r="A427" s="65"/>
      <c r="B427" s="110" t="s">
        <v>330</v>
      </c>
      <c r="C427" s="67"/>
      <c r="D427" s="67"/>
      <c r="E427" s="65"/>
      <c r="F427" s="75"/>
      <c r="G427" s="67">
        <f>200000000/0.885</f>
        <v>225988700.564972</v>
      </c>
      <c r="H427" s="75">
        <f>+G427*0.115</f>
        <v>25988700.5649718</v>
      </c>
      <c r="I427" s="67">
        <f t="shared" ref="I427:I430" si="144">+G427-H427</f>
        <v>200000000</v>
      </c>
      <c r="J427" s="65"/>
      <c r="K427" s="67"/>
      <c r="L427" s="67"/>
      <c r="M427" s="67"/>
      <c r="N427" s="67"/>
      <c r="O427" s="67"/>
      <c r="P427" s="95"/>
      <c r="Q427" s="99"/>
      <c r="R427" s="99"/>
      <c r="S427" s="99"/>
    </row>
    <row r="428" s="27" customFormat="1" ht="26.25" customHeight="1" spans="1:19">
      <c r="A428" s="65">
        <v>5</v>
      </c>
      <c r="B428" s="66" t="s">
        <v>331</v>
      </c>
      <c r="C428" s="67"/>
      <c r="D428" s="67">
        <f>+G428+L428</f>
        <v>1658276315.0021</v>
      </c>
      <c r="E428" s="65"/>
      <c r="F428" s="75"/>
      <c r="G428" s="67">
        <f t="shared" ref="G428:I428" si="145">SUM(G429:G434)</f>
        <v>450831505.084746</v>
      </c>
      <c r="H428" s="67">
        <f t="shared" si="145"/>
        <v>12523305.0847458</v>
      </c>
      <c r="I428" s="67">
        <f t="shared" si="145"/>
        <v>438308200</v>
      </c>
      <c r="J428" s="65"/>
      <c r="K428" s="65"/>
      <c r="L428" s="67">
        <f t="shared" ref="L428:N428" si="146">+L429+L430+L432</f>
        <v>1207444809.91736</v>
      </c>
      <c r="M428" s="67">
        <f t="shared" si="146"/>
        <v>23460000</v>
      </c>
      <c r="N428" s="67">
        <f t="shared" si="146"/>
        <v>1183984809.91736</v>
      </c>
      <c r="O428" s="67"/>
      <c r="P428" s="95"/>
      <c r="Q428" s="99"/>
      <c r="R428" s="99"/>
      <c r="S428" s="99"/>
    </row>
    <row r="429" s="27" customFormat="1" ht="39" customHeight="1" spans="1:19">
      <c r="A429" s="65"/>
      <c r="B429" s="66" t="s">
        <v>241</v>
      </c>
      <c r="C429" s="67"/>
      <c r="D429" s="67"/>
      <c r="E429" s="65">
        <v>3</v>
      </c>
      <c r="F429" s="74">
        <f>+(9.65+6.99)/E429</f>
        <v>5.54666666666667</v>
      </c>
      <c r="G429" s="67">
        <f>+((E429*F429*1490000*12)+(0.75*1490000*12))</f>
        <v>310933200</v>
      </c>
      <c r="H429" s="74"/>
      <c r="I429" s="67">
        <f t="shared" si="144"/>
        <v>310933200</v>
      </c>
      <c r="J429" s="65">
        <v>12</v>
      </c>
      <c r="K429" s="74"/>
      <c r="L429" s="67">
        <f>4074390000*1490000/1210000/5</f>
        <v>1003444809.91736</v>
      </c>
      <c r="M429" s="74"/>
      <c r="N429" s="67">
        <f>+L429-M429</f>
        <v>1003444809.91736</v>
      </c>
      <c r="O429" s="67"/>
      <c r="P429" s="95"/>
      <c r="Q429" s="99"/>
      <c r="R429" s="99"/>
      <c r="S429" s="99"/>
    </row>
    <row r="430" s="27" customFormat="1" ht="26.25" customHeight="1" spans="1:19">
      <c r="A430" s="65"/>
      <c r="B430" s="66" t="s">
        <v>296</v>
      </c>
      <c r="C430" s="67"/>
      <c r="D430" s="67"/>
      <c r="E430" s="65"/>
      <c r="F430" s="75">
        <v>25000000</v>
      </c>
      <c r="G430" s="67">
        <f>+E429*F430</f>
        <v>75000000</v>
      </c>
      <c r="H430" s="75">
        <f>+G430*11.5%</f>
        <v>8625000</v>
      </c>
      <c r="I430" s="67">
        <f t="shared" si="144"/>
        <v>66375000</v>
      </c>
      <c r="J430" s="65"/>
      <c r="K430" s="67">
        <v>17000000</v>
      </c>
      <c r="L430" s="67">
        <f>+J429*K430</f>
        <v>204000000</v>
      </c>
      <c r="M430" s="67">
        <f>+L430*11.5%</f>
        <v>23460000</v>
      </c>
      <c r="N430" s="67">
        <f>+L430-M430</f>
        <v>180540000</v>
      </c>
      <c r="O430" s="67"/>
      <c r="P430" s="95"/>
      <c r="Q430" s="99"/>
      <c r="R430" s="99"/>
      <c r="S430" s="99"/>
    </row>
    <row r="431" s="27" customFormat="1" ht="43" customHeight="1" spans="1:19">
      <c r="A431" s="65"/>
      <c r="B431" s="110" t="s">
        <v>332</v>
      </c>
      <c r="C431" s="67"/>
      <c r="D431" s="67"/>
      <c r="E431" s="65"/>
      <c r="F431" s="75"/>
      <c r="G431" s="67">
        <v>26000000</v>
      </c>
      <c r="H431" s="75"/>
      <c r="I431" s="67">
        <v>26000000</v>
      </c>
      <c r="J431" s="65"/>
      <c r="K431" s="67"/>
      <c r="L431" s="67"/>
      <c r="M431" s="67"/>
      <c r="N431" s="67"/>
      <c r="O431" s="67"/>
      <c r="P431" s="95">
        <f>+L238+L273+L284+L363+L382+L397+L409+L418+L429</f>
        <v>27839092363.6364</v>
      </c>
      <c r="Q431" s="99"/>
      <c r="R431" s="99"/>
      <c r="S431" s="99"/>
    </row>
    <row r="432" s="27" customFormat="1" ht="36" customHeight="1" spans="1:19">
      <c r="A432" s="65"/>
      <c r="B432" s="179" t="s">
        <v>333</v>
      </c>
      <c r="C432" s="67"/>
      <c r="D432" s="67"/>
      <c r="E432" s="65"/>
      <c r="F432" s="75"/>
      <c r="G432" s="67">
        <f>20000000/0.885</f>
        <v>22598870.0564972</v>
      </c>
      <c r="H432" s="75">
        <f t="shared" ref="H432:H435" si="147">+G432*0.115</f>
        <v>2598870.05649718</v>
      </c>
      <c r="I432" s="67">
        <f t="shared" ref="I432:I435" si="148">+G432-H432</f>
        <v>20000000</v>
      </c>
      <c r="J432" s="65"/>
      <c r="K432" s="67"/>
      <c r="L432" s="67"/>
      <c r="M432" s="67"/>
      <c r="N432" s="67"/>
      <c r="O432" s="67"/>
      <c r="P432" s="95"/>
      <c r="Q432" s="99"/>
      <c r="R432" s="99"/>
      <c r="S432" s="99"/>
    </row>
    <row r="433" s="27" customFormat="1" ht="45" customHeight="1" spans="1:19">
      <c r="A433" s="65"/>
      <c r="B433" s="110" t="s">
        <v>316</v>
      </c>
      <c r="C433" s="67"/>
      <c r="D433" s="67"/>
      <c r="E433" s="65"/>
      <c r="F433" s="65"/>
      <c r="G433" s="67">
        <f>+I433</f>
        <v>5000000</v>
      </c>
      <c r="H433" s="67"/>
      <c r="I433" s="67">
        <v>5000000</v>
      </c>
      <c r="J433" s="65"/>
      <c r="K433" s="65"/>
      <c r="L433" s="65"/>
      <c r="M433" s="65"/>
      <c r="N433" s="67"/>
      <c r="O433" s="67"/>
      <c r="P433" s="95"/>
      <c r="Q433" s="99"/>
      <c r="R433" s="99"/>
      <c r="S433" s="99"/>
    </row>
    <row r="434" s="27" customFormat="1" ht="27.75" customHeight="1" spans="1:19">
      <c r="A434" s="65"/>
      <c r="B434" s="110" t="s">
        <v>334</v>
      </c>
      <c r="C434" s="67"/>
      <c r="D434" s="67"/>
      <c r="E434" s="65"/>
      <c r="F434" s="75"/>
      <c r="G434" s="67">
        <f>10000000/0.885</f>
        <v>11299435.0282486</v>
      </c>
      <c r="H434" s="75">
        <f t="shared" si="147"/>
        <v>1299435.02824859</v>
      </c>
      <c r="I434" s="67">
        <f t="shared" si="148"/>
        <v>10000000</v>
      </c>
      <c r="J434" s="65"/>
      <c r="K434" s="67"/>
      <c r="L434" s="67"/>
      <c r="M434" s="67"/>
      <c r="N434" s="67"/>
      <c r="O434" s="67"/>
      <c r="P434" s="95"/>
      <c r="Q434" s="99"/>
      <c r="R434" s="99"/>
      <c r="S434" s="99"/>
    </row>
    <row r="435" s="27" customFormat="1" ht="27.75" customHeight="1" spans="1:19">
      <c r="A435" s="65">
        <v>6</v>
      </c>
      <c r="B435" s="66" t="s">
        <v>335</v>
      </c>
      <c r="C435" s="67"/>
      <c r="D435" s="67">
        <f t="shared" ref="D435:D438" si="149">+G435+L435</f>
        <v>33898305.0847458</v>
      </c>
      <c r="E435" s="65"/>
      <c r="F435" s="65"/>
      <c r="G435" s="67">
        <f>30000000/0.885</f>
        <v>33898305.0847458</v>
      </c>
      <c r="H435" s="75">
        <f t="shared" si="147"/>
        <v>3898305.08474576</v>
      </c>
      <c r="I435" s="67">
        <f t="shared" si="148"/>
        <v>30000000</v>
      </c>
      <c r="J435" s="65"/>
      <c r="K435" s="65"/>
      <c r="L435" s="65"/>
      <c r="M435" s="65"/>
      <c r="N435" s="67"/>
      <c r="O435" s="67"/>
      <c r="P435" s="95"/>
      <c r="Q435" s="99"/>
      <c r="R435" s="99"/>
      <c r="S435" s="99"/>
    </row>
    <row r="436" s="27" customFormat="1" ht="27.75" customHeight="1" spans="1:19">
      <c r="A436" s="65">
        <v>7</v>
      </c>
      <c r="B436" s="66" t="s">
        <v>336</v>
      </c>
      <c r="C436" s="67"/>
      <c r="D436" s="67">
        <f t="shared" si="149"/>
        <v>341764022.59887</v>
      </c>
      <c r="E436" s="65"/>
      <c r="F436" s="65"/>
      <c r="G436" s="67">
        <f t="shared" ref="G436:I436" si="150">SUM(G437:G441)</f>
        <v>341764022.59887</v>
      </c>
      <c r="H436" s="67">
        <f t="shared" si="150"/>
        <v>27548022.5988701</v>
      </c>
      <c r="I436" s="67">
        <f t="shared" si="150"/>
        <v>314216000</v>
      </c>
      <c r="J436" s="65"/>
      <c r="K436" s="65"/>
      <c r="L436" s="65"/>
      <c r="M436" s="65"/>
      <c r="N436" s="67"/>
      <c r="O436" s="67"/>
      <c r="P436" s="95"/>
      <c r="Q436" s="99"/>
      <c r="R436" s="99"/>
      <c r="S436" s="99"/>
    </row>
    <row r="437" s="27" customFormat="1" ht="39" customHeight="1" spans="1:19">
      <c r="A437" s="65"/>
      <c r="B437" s="66" t="s">
        <v>337</v>
      </c>
      <c r="C437" s="67"/>
      <c r="D437" s="67">
        <f t="shared" si="149"/>
        <v>72216000</v>
      </c>
      <c r="E437" s="65"/>
      <c r="F437" s="65"/>
      <c r="G437" s="67">
        <f>3.2*1490000*12+15000000</f>
        <v>72216000</v>
      </c>
      <c r="H437" s="65"/>
      <c r="I437" s="67">
        <f t="shared" ref="I437:I441" si="151">+G437-H437</f>
        <v>72216000</v>
      </c>
      <c r="J437" s="65"/>
      <c r="K437" s="65"/>
      <c r="L437" s="65"/>
      <c r="M437" s="65"/>
      <c r="N437" s="67"/>
      <c r="O437" s="67"/>
      <c r="P437" s="95"/>
      <c r="Q437" s="99"/>
      <c r="R437" s="99"/>
      <c r="S437" s="99"/>
    </row>
    <row r="438" s="27" customFormat="1" ht="27.75" customHeight="1" spans="1:19">
      <c r="A438" s="65"/>
      <c r="B438" s="110" t="s">
        <v>338</v>
      </c>
      <c r="C438" s="67"/>
      <c r="D438" s="67">
        <f t="shared" si="149"/>
        <v>117000000</v>
      </c>
      <c r="E438" s="65"/>
      <c r="F438" s="65"/>
      <c r="G438" s="67">
        <f>30000000</f>
        <v>30000000</v>
      </c>
      <c r="H438" s="75"/>
      <c r="I438" s="67">
        <f t="shared" si="151"/>
        <v>30000000</v>
      </c>
      <c r="J438" s="65"/>
      <c r="K438" s="65"/>
      <c r="L438" s="67">
        <f>10000000+7000000*11</f>
        <v>87000000</v>
      </c>
      <c r="M438" s="67"/>
      <c r="N438" s="67">
        <f>+L438-M438</f>
        <v>87000000</v>
      </c>
      <c r="O438" s="67"/>
      <c r="P438" s="95"/>
      <c r="Q438" s="99"/>
      <c r="R438" s="99"/>
      <c r="S438" s="99"/>
    </row>
    <row r="439" s="27" customFormat="1" ht="42" customHeight="1" spans="1:19">
      <c r="A439" s="65"/>
      <c r="B439" s="66" t="s">
        <v>339</v>
      </c>
      <c r="C439" s="67"/>
      <c r="D439" s="67"/>
      <c r="E439" s="65"/>
      <c r="F439" s="65"/>
      <c r="G439" s="67">
        <f>20000000/0.885</f>
        <v>22598870.0564972</v>
      </c>
      <c r="H439" s="75">
        <f t="shared" ref="H439:H441" si="152">+G439*0.115</f>
        <v>2598870.05649718</v>
      </c>
      <c r="I439" s="67">
        <f t="shared" si="151"/>
        <v>20000000</v>
      </c>
      <c r="J439" s="65"/>
      <c r="K439" s="65"/>
      <c r="L439" s="65"/>
      <c r="M439" s="65"/>
      <c r="N439" s="67"/>
      <c r="O439" s="67"/>
      <c r="P439" s="95"/>
      <c r="Q439" s="99"/>
      <c r="R439" s="99"/>
      <c r="S439" s="99"/>
    </row>
    <row r="440" s="27" customFormat="1" ht="42" customHeight="1" spans="1:19">
      <c r="A440" s="65"/>
      <c r="B440" s="66" t="s">
        <v>340</v>
      </c>
      <c r="C440" s="67"/>
      <c r="D440" s="67"/>
      <c r="E440" s="65"/>
      <c r="F440" s="65"/>
      <c r="G440" s="67">
        <f>10000000/0.885</f>
        <v>11299435.0282486</v>
      </c>
      <c r="H440" s="75">
        <f t="shared" si="152"/>
        <v>1299435.02824859</v>
      </c>
      <c r="I440" s="67">
        <f t="shared" si="151"/>
        <v>10000000</v>
      </c>
      <c r="J440" s="65"/>
      <c r="K440" s="65"/>
      <c r="L440" s="65"/>
      <c r="M440" s="65"/>
      <c r="N440" s="67"/>
      <c r="O440" s="67"/>
      <c r="P440" s="95"/>
      <c r="Q440" s="99"/>
      <c r="R440" s="99"/>
      <c r="S440" s="99"/>
    </row>
    <row r="441" s="27" customFormat="1" ht="59" customHeight="1" spans="1:19">
      <c r="A441" s="65"/>
      <c r="B441" s="66" t="s">
        <v>341</v>
      </c>
      <c r="C441" s="67"/>
      <c r="D441" s="67">
        <f t="shared" ref="D441:D467" si="153">+G441+L441</f>
        <v>205649717.514124</v>
      </c>
      <c r="E441" s="65"/>
      <c r="F441" s="65"/>
      <c r="G441" s="67">
        <f>182000000/0.885</f>
        <v>205649717.514124</v>
      </c>
      <c r="H441" s="75">
        <f t="shared" si="152"/>
        <v>23649717.5141243</v>
      </c>
      <c r="I441" s="67">
        <f t="shared" si="151"/>
        <v>182000000</v>
      </c>
      <c r="J441" s="65"/>
      <c r="K441" s="65"/>
      <c r="L441" s="65"/>
      <c r="M441" s="65"/>
      <c r="N441" s="67"/>
      <c r="O441" s="67"/>
      <c r="P441" s="95"/>
      <c r="Q441" s="99"/>
      <c r="R441" s="99"/>
      <c r="S441" s="99"/>
    </row>
    <row r="442" s="27" customFormat="1" ht="42" customHeight="1" spans="1:19">
      <c r="A442" s="65">
        <v>9</v>
      </c>
      <c r="B442" s="66" t="s">
        <v>342</v>
      </c>
      <c r="C442" s="67"/>
      <c r="D442" s="67">
        <f t="shared" si="153"/>
        <v>140000000</v>
      </c>
      <c r="E442" s="65"/>
      <c r="F442" s="65"/>
      <c r="G442" s="67"/>
      <c r="H442" s="65"/>
      <c r="I442" s="67"/>
      <c r="J442" s="65"/>
      <c r="K442" s="67"/>
      <c r="L442" s="67">
        <v>140000000</v>
      </c>
      <c r="M442" s="67"/>
      <c r="N442" s="67">
        <f>+L442-M442</f>
        <v>140000000</v>
      </c>
      <c r="O442" s="67"/>
      <c r="P442" s="95"/>
      <c r="Q442" s="99"/>
      <c r="R442" s="99"/>
      <c r="S442" s="99"/>
    </row>
    <row r="443" s="27" customFormat="1" ht="40" customHeight="1" spans="1:19">
      <c r="A443" s="65">
        <v>10</v>
      </c>
      <c r="B443" s="66" t="s">
        <v>343</v>
      </c>
      <c r="C443" s="67"/>
      <c r="D443" s="67">
        <f t="shared" si="153"/>
        <v>20708616000</v>
      </c>
      <c r="E443" s="65"/>
      <c r="F443" s="65"/>
      <c r="G443" s="111"/>
      <c r="H443" s="65"/>
      <c r="I443" s="111"/>
      <c r="J443" s="65"/>
      <c r="K443" s="65"/>
      <c r="L443" s="67">
        <f>SUM(L444,L447,L451)</f>
        <v>20708616000</v>
      </c>
      <c r="M443" s="65"/>
      <c r="N443" s="67">
        <f>SUM(N444,N447,N451)</f>
        <v>20708616000</v>
      </c>
      <c r="O443" s="67"/>
      <c r="P443" s="95"/>
      <c r="Q443" s="99"/>
      <c r="R443" s="99"/>
      <c r="S443" s="99"/>
    </row>
    <row r="444" s="27" customFormat="1" ht="27.75" customHeight="1" spans="1:19">
      <c r="A444" s="65" t="s">
        <v>183</v>
      </c>
      <c r="B444" s="66" t="s">
        <v>344</v>
      </c>
      <c r="C444" s="67"/>
      <c r="D444" s="67">
        <f t="shared" si="153"/>
        <v>10354308000</v>
      </c>
      <c r="E444" s="67"/>
      <c r="F444" s="67"/>
      <c r="G444" s="111"/>
      <c r="H444" s="67"/>
      <c r="I444" s="111"/>
      <c r="J444" s="67"/>
      <c r="K444" s="67"/>
      <c r="L444" s="67">
        <f>+L445+L446</f>
        <v>10354308000</v>
      </c>
      <c r="M444" s="67"/>
      <c r="N444" s="67">
        <f>+N445+N446</f>
        <v>10354308000</v>
      </c>
      <c r="O444" s="67"/>
      <c r="P444" s="95"/>
      <c r="Q444" s="99"/>
      <c r="R444" s="99"/>
      <c r="S444" s="99"/>
    </row>
    <row r="445" s="28" customFormat="1" ht="27.75" customHeight="1" spans="1:19">
      <c r="A445" s="115"/>
      <c r="B445" s="125" t="s">
        <v>345</v>
      </c>
      <c r="C445" s="114"/>
      <c r="D445" s="67">
        <f t="shared" si="153"/>
        <v>4291200000</v>
      </c>
      <c r="E445" s="115"/>
      <c r="F445" s="115"/>
      <c r="G445" s="134"/>
      <c r="H445" s="115"/>
      <c r="I445" s="134"/>
      <c r="J445" s="115"/>
      <c r="K445" s="114"/>
      <c r="L445" s="114">
        <f t="shared" ref="L445:L451" si="154">+N445</f>
        <v>4291200000</v>
      </c>
      <c r="M445" s="114"/>
      <c r="N445" s="114">
        <f>3484800000/1210000*1490000</f>
        <v>4291200000</v>
      </c>
      <c r="O445" s="114"/>
      <c r="P445" s="120"/>
      <c r="Q445" s="123"/>
      <c r="R445" s="123"/>
      <c r="S445" s="123"/>
    </row>
    <row r="446" s="28" customFormat="1" ht="40" customHeight="1" spans="1:19">
      <c r="A446" s="115"/>
      <c r="B446" s="125" t="s">
        <v>346</v>
      </c>
      <c r="C446" s="114"/>
      <c r="D446" s="67">
        <f t="shared" si="153"/>
        <v>6063108000</v>
      </c>
      <c r="E446" s="115"/>
      <c r="F446" s="115"/>
      <c r="G446" s="134"/>
      <c r="H446" s="115"/>
      <c r="I446" s="134"/>
      <c r="J446" s="115"/>
      <c r="K446" s="114"/>
      <c r="L446" s="114">
        <f t="shared" si="154"/>
        <v>6063108000</v>
      </c>
      <c r="M446" s="114"/>
      <c r="N446" s="114">
        <f>4923732000/1210000*1490000</f>
        <v>6063108000</v>
      </c>
      <c r="O446" s="114"/>
      <c r="P446" s="120"/>
      <c r="Q446" s="123"/>
      <c r="R446" s="123"/>
      <c r="S446" s="123"/>
    </row>
    <row r="447" s="27" customFormat="1" ht="39" customHeight="1" spans="1:19">
      <c r="A447" s="65" t="s">
        <v>214</v>
      </c>
      <c r="B447" s="66" t="s">
        <v>347</v>
      </c>
      <c r="C447" s="67"/>
      <c r="D447" s="67">
        <f t="shared" si="153"/>
        <v>9369120000</v>
      </c>
      <c r="E447" s="67"/>
      <c r="F447" s="67"/>
      <c r="G447" s="111"/>
      <c r="H447" s="67"/>
      <c r="I447" s="111"/>
      <c r="J447" s="67"/>
      <c r="K447" s="67"/>
      <c r="L447" s="67">
        <f>SUM(L448:L450)</f>
        <v>9369120000</v>
      </c>
      <c r="M447" s="67"/>
      <c r="N447" s="67">
        <f>SUM(N448:N450)</f>
        <v>9369120000</v>
      </c>
      <c r="O447" s="67"/>
      <c r="P447" s="95"/>
      <c r="Q447" s="99"/>
      <c r="R447" s="99"/>
      <c r="S447" s="99"/>
    </row>
    <row r="448" s="28" customFormat="1" ht="27.75" customHeight="1" spans="1:19">
      <c r="A448" s="115"/>
      <c r="B448" s="125" t="s">
        <v>348</v>
      </c>
      <c r="C448" s="114"/>
      <c r="D448" s="67">
        <f t="shared" si="153"/>
        <v>1287360000</v>
      </c>
      <c r="E448" s="115"/>
      <c r="F448" s="115"/>
      <c r="G448" s="134"/>
      <c r="H448" s="115"/>
      <c r="I448" s="134"/>
      <c r="J448" s="115"/>
      <c r="K448" s="114"/>
      <c r="L448" s="114">
        <f t="shared" si="154"/>
        <v>1287360000</v>
      </c>
      <c r="M448" s="114"/>
      <c r="N448" s="114">
        <f>1045440000/1210000*1490000</f>
        <v>1287360000</v>
      </c>
      <c r="O448" s="114"/>
      <c r="P448" s="120"/>
      <c r="Q448" s="123"/>
      <c r="R448" s="123"/>
      <c r="S448" s="123"/>
    </row>
    <row r="449" s="28" customFormat="1" ht="27.75" customHeight="1" spans="1:19">
      <c r="A449" s="115"/>
      <c r="B449" s="125" t="s">
        <v>349</v>
      </c>
      <c r="C449" s="114"/>
      <c r="D449" s="67">
        <f t="shared" si="153"/>
        <v>6436800000</v>
      </c>
      <c r="E449" s="115"/>
      <c r="F449" s="115"/>
      <c r="G449" s="134"/>
      <c r="H449" s="115"/>
      <c r="I449" s="134"/>
      <c r="J449" s="115"/>
      <c r="K449" s="114"/>
      <c r="L449" s="114">
        <f t="shared" si="154"/>
        <v>6436800000</v>
      </c>
      <c r="M449" s="114"/>
      <c r="N449" s="114">
        <f>5227200000/1210000*1490000</f>
        <v>6436800000</v>
      </c>
      <c r="O449" s="114"/>
      <c r="P449" s="120"/>
      <c r="Q449" s="123"/>
      <c r="R449" s="123"/>
      <c r="S449" s="123"/>
    </row>
    <row r="450" s="28" customFormat="1" ht="27.75" customHeight="1" spans="1:19">
      <c r="A450" s="115"/>
      <c r="B450" s="125" t="s">
        <v>350</v>
      </c>
      <c r="C450" s="114"/>
      <c r="D450" s="67">
        <f t="shared" si="153"/>
        <v>1644960000</v>
      </c>
      <c r="E450" s="115"/>
      <c r="F450" s="115"/>
      <c r="G450" s="134"/>
      <c r="H450" s="115"/>
      <c r="I450" s="134"/>
      <c r="J450" s="115"/>
      <c r="K450" s="114"/>
      <c r="L450" s="114">
        <f t="shared" si="154"/>
        <v>1644960000</v>
      </c>
      <c r="M450" s="114"/>
      <c r="N450" s="114">
        <f>1335840000/1210000*1490000</f>
        <v>1644960000</v>
      </c>
      <c r="O450" s="114"/>
      <c r="P450" s="120"/>
      <c r="Q450" s="123"/>
      <c r="R450" s="123"/>
      <c r="S450" s="123"/>
    </row>
    <row r="451" s="27" customFormat="1" ht="39" customHeight="1" spans="1:19">
      <c r="A451" s="65" t="s">
        <v>292</v>
      </c>
      <c r="B451" s="66" t="s">
        <v>351</v>
      </c>
      <c r="C451" s="67"/>
      <c r="D451" s="67">
        <f t="shared" si="153"/>
        <v>985188000</v>
      </c>
      <c r="E451" s="67"/>
      <c r="F451" s="67"/>
      <c r="G451" s="111"/>
      <c r="H451" s="67"/>
      <c r="I451" s="111"/>
      <c r="J451" s="67"/>
      <c r="K451" s="67"/>
      <c r="L451" s="67">
        <f t="shared" si="154"/>
        <v>985188000</v>
      </c>
      <c r="M451" s="67"/>
      <c r="N451" s="67">
        <f>800052000/1210000*1490000</f>
        <v>985188000</v>
      </c>
      <c r="O451" s="67"/>
      <c r="P451" s="95"/>
      <c r="Q451" s="99"/>
      <c r="R451" s="138"/>
      <c r="S451" s="99"/>
    </row>
    <row r="452" s="26" customFormat="1" ht="27.75" customHeight="1" spans="1:19">
      <c r="A452" s="69" t="s">
        <v>352</v>
      </c>
      <c r="B452" s="70" t="s">
        <v>353</v>
      </c>
      <c r="C452" s="71"/>
      <c r="D452" s="71">
        <f t="shared" si="153"/>
        <v>4140744632.76836</v>
      </c>
      <c r="E452" s="69">
        <f>SUM(E453:E453)</f>
        <v>0</v>
      </c>
      <c r="F452" s="69">
        <f>SUM(F453:F453)</f>
        <v>0</v>
      </c>
      <c r="G452" s="71">
        <f t="shared" ref="G452:I452" si="155">SUM(G453:G461)</f>
        <v>907344632.768362</v>
      </c>
      <c r="H452" s="71">
        <f t="shared" si="155"/>
        <v>104344632.768362</v>
      </c>
      <c r="I452" s="71">
        <f t="shared" si="155"/>
        <v>803000000</v>
      </c>
      <c r="J452" s="69"/>
      <c r="K452" s="69"/>
      <c r="L452" s="71">
        <f t="shared" ref="L452:N452" si="156">SUM(L453:L461)</f>
        <v>3233400000</v>
      </c>
      <c r="M452" s="71">
        <f t="shared" si="156"/>
        <v>0</v>
      </c>
      <c r="N452" s="71">
        <f t="shared" si="156"/>
        <v>3233400000</v>
      </c>
      <c r="O452" s="71">
        <f>SUM(O453:O453)</f>
        <v>0</v>
      </c>
      <c r="P452" s="94"/>
      <c r="Q452" s="97"/>
      <c r="R452" s="97"/>
      <c r="S452" s="97"/>
    </row>
    <row r="453" s="27" customFormat="1" ht="27.75" customHeight="1" spans="1:19">
      <c r="A453" s="65"/>
      <c r="B453" s="66" t="s">
        <v>354</v>
      </c>
      <c r="C453" s="67"/>
      <c r="D453" s="67">
        <f t="shared" si="153"/>
        <v>200000000</v>
      </c>
      <c r="E453" s="65"/>
      <c r="F453" s="65"/>
      <c r="G453" s="67">
        <v>200000000</v>
      </c>
      <c r="H453" s="75">
        <f>+G453*11.5%</f>
        <v>23000000</v>
      </c>
      <c r="I453" s="67">
        <f t="shared" ref="I453:I458" si="157">+G453-H453</f>
        <v>177000000</v>
      </c>
      <c r="J453" s="65"/>
      <c r="K453" s="65"/>
      <c r="L453" s="65"/>
      <c r="M453" s="65"/>
      <c r="N453" s="67"/>
      <c r="O453" s="67"/>
      <c r="P453" s="95"/>
      <c r="Q453" s="99"/>
      <c r="R453" s="99"/>
      <c r="S453" s="99"/>
    </row>
    <row r="454" s="27" customFormat="1" ht="55" customHeight="1" spans="1:19">
      <c r="A454" s="65"/>
      <c r="B454" s="110" t="s">
        <v>355</v>
      </c>
      <c r="C454" s="67"/>
      <c r="D454" s="67">
        <f t="shared" si="153"/>
        <v>67796610.1694915</v>
      </c>
      <c r="E454" s="65"/>
      <c r="F454" s="65"/>
      <c r="G454" s="67">
        <f>60000000/0.885</f>
        <v>67796610.1694915</v>
      </c>
      <c r="H454" s="75">
        <f t="shared" ref="H454:H458" si="158">+G454*0.115</f>
        <v>7796610.16949153</v>
      </c>
      <c r="I454" s="67">
        <f t="shared" si="157"/>
        <v>60000000</v>
      </c>
      <c r="J454" s="65"/>
      <c r="K454" s="65"/>
      <c r="L454" s="67"/>
      <c r="M454" s="65"/>
      <c r="N454" s="67"/>
      <c r="O454" s="67"/>
      <c r="P454" s="95"/>
      <c r="Q454" s="99"/>
      <c r="R454" s="99"/>
      <c r="S454" s="99"/>
    </row>
    <row r="455" s="27" customFormat="1" ht="59" customHeight="1" spans="1:19">
      <c r="A455" s="65"/>
      <c r="B455" s="110" t="s">
        <v>356</v>
      </c>
      <c r="C455" s="67"/>
      <c r="D455" s="67">
        <f t="shared" si="153"/>
        <v>56497175.1412429</v>
      </c>
      <c r="E455" s="65"/>
      <c r="F455" s="65"/>
      <c r="G455" s="67">
        <f>50000000/0.885</f>
        <v>56497175.1412429</v>
      </c>
      <c r="H455" s="75">
        <f t="shared" si="158"/>
        <v>6497175.14124294</v>
      </c>
      <c r="I455" s="67">
        <f t="shared" si="157"/>
        <v>50000000</v>
      </c>
      <c r="J455" s="65"/>
      <c r="K455" s="65"/>
      <c r="L455" s="67"/>
      <c r="M455" s="65"/>
      <c r="N455" s="67"/>
      <c r="O455" s="67"/>
      <c r="P455" s="95"/>
      <c r="Q455" s="99"/>
      <c r="R455" s="99"/>
      <c r="S455" s="99"/>
    </row>
    <row r="456" s="27" customFormat="1" ht="62" customHeight="1" spans="1:19">
      <c r="A456" s="65"/>
      <c r="B456" s="110" t="s">
        <v>357</v>
      </c>
      <c r="C456" s="67"/>
      <c r="D456" s="67">
        <f t="shared" si="153"/>
        <v>45197740.1129944</v>
      </c>
      <c r="E456" s="65"/>
      <c r="F456" s="65"/>
      <c r="G456" s="67">
        <f>40000000/0.885</f>
        <v>45197740.1129944</v>
      </c>
      <c r="H456" s="75">
        <f t="shared" si="158"/>
        <v>5197740.11299435</v>
      </c>
      <c r="I456" s="67">
        <f t="shared" si="157"/>
        <v>40000000</v>
      </c>
      <c r="J456" s="65"/>
      <c r="K456" s="65"/>
      <c r="L456" s="67"/>
      <c r="M456" s="65"/>
      <c r="N456" s="67"/>
      <c r="O456" s="67"/>
      <c r="P456" s="95"/>
      <c r="Q456" s="99"/>
      <c r="R456" s="99"/>
      <c r="S456" s="99"/>
    </row>
    <row r="457" s="27" customFormat="1" ht="40" customHeight="1" spans="1:19">
      <c r="A457" s="65"/>
      <c r="B457" s="110" t="s">
        <v>358</v>
      </c>
      <c r="C457" s="67"/>
      <c r="D457" s="67">
        <f t="shared" si="153"/>
        <v>22598870.0564972</v>
      </c>
      <c r="E457" s="65"/>
      <c r="F457" s="65"/>
      <c r="G457" s="67">
        <f>20000000/0.885</f>
        <v>22598870.0564972</v>
      </c>
      <c r="H457" s="75">
        <f t="shared" si="158"/>
        <v>2598870.05649718</v>
      </c>
      <c r="I457" s="67">
        <f t="shared" si="157"/>
        <v>20000000</v>
      </c>
      <c r="J457" s="65"/>
      <c r="K457" s="65"/>
      <c r="L457" s="67"/>
      <c r="M457" s="65"/>
      <c r="N457" s="67"/>
      <c r="O457" s="67"/>
      <c r="P457" s="95"/>
      <c r="Q457" s="99"/>
      <c r="R457" s="99"/>
      <c r="S457" s="99"/>
    </row>
    <row r="458" s="27" customFormat="1" ht="94" customHeight="1" spans="1:19">
      <c r="A458" s="65"/>
      <c r="B458" s="110" t="s">
        <v>359</v>
      </c>
      <c r="C458" s="67"/>
      <c r="D458" s="67">
        <f t="shared" si="153"/>
        <v>63276836.1581921</v>
      </c>
      <c r="E458" s="65"/>
      <c r="F458" s="65"/>
      <c r="G458" s="67">
        <f>56000000/0.885</f>
        <v>63276836.1581921</v>
      </c>
      <c r="H458" s="75">
        <f t="shared" si="158"/>
        <v>7276836.15819209</v>
      </c>
      <c r="I458" s="67">
        <f t="shared" si="157"/>
        <v>56000000</v>
      </c>
      <c r="J458" s="65"/>
      <c r="K458" s="65"/>
      <c r="L458" s="67"/>
      <c r="M458" s="65"/>
      <c r="N458" s="67"/>
      <c r="O458" s="67"/>
      <c r="P458" s="95"/>
      <c r="Q458" s="99"/>
      <c r="R458" s="99"/>
      <c r="S458" s="99"/>
    </row>
    <row r="459" s="27" customFormat="1" ht="30.75" customHeight="1" spans="1:19">
      <c r="A459" s="65"/>
      <c r="B459" s="110" t="s">
        <v>360</v>
      </c>
      <c r="C459" s="67"/>
      <c r="D459" s="67">
        <f t="shared" si="153"/>
        <v>36400000</v>
      </c>
      <c r="E459" s="65"/>
      <c r="F459" s="65"/>
      <c r="G459" s="67"/>
      <c r="H459" s="75"/>
      <c r="I459" s="67"/>
      <c r="J459" s="65"/>
      <c r="K459" s="65"/>
      <c r="L459" s="67">
        <v>36400000</v>
      </c>
      <c r="M459" s="65"/>
      <c r="N459" s="67">
        <f>+L459</f>
        <v>36400000</v>
      </c>
      <c r="O459" s="67"/>
      <c r="P459" s="95"/>
      <c r="Q459" s="99"/>
      <c r="R459" s="99"/>
      <c r="S459" s="99"/>
    </row>
    <row r="460" s="27" customFormat="1" ht="46" customHeight="1" spans="1:19">
      <c r="A460" s="65"/>
      <c r="B460" s="110" t="s">
        <v>361</v>
      </c>
      <c r="C460" s="67"/>
      <c r="D460" s="67">
        <f t="shared" si="153"/>
        <v>2400000000</v>
      </c>
      <c r="E460" s="65"/>
      <c r="F460" s="65"/>
      <c r="G460" s="67"/>
      <c r="H460" s="75"/>
      <c r="I460" s="67"/>
      <c r="J460" s="65">
        <v>12</v>
      </c>
      <c r="K460" s="67">
        <v>200000000</v>
      </c>
      <c r="L460" s="67">
        <f>J460*K460</f>
        <v>2400000000</v>
      </c>
      <c r="M460" s="65"/>
      <c r="N460" s="67">
        <f>+L460</f>
        <v>2400000000</v>
      </c>
      <c r="O460" s="67"/>
      <c r="P460" s="95"/>
      <c r="Q460" s="99"/>
      <c r="R460" s="99"/>
      <c r="S460" s="99"/>
    </row>
    <row r="461" s="27" customFormat="1" ht="45" customHeight="1" spans="1:19">
      <c r="A461" s="65"/>
      <c r="B461" s="110" t="s">
        <v>362</v>
      </c>
      <c r="C461" s="67"/>
      <c r="D461" s="67">
        <f t="shared" si="153"/>
        <v>1248977401.12994</v>
      </c>
      <c r="E461" s="65"/>
      <c r="F461" s="65"/>
      <c r="G461" s="67">
        <f>400000000/0.885</f>
        <v>451977401.129943</v>
      </c>
      <c r="H461" s="75">
        <f>+G461*0.115</f>
        <v>51977401.1299435</v>
      </c>
      <c r="I461" s="67">
        <f t="shared" ref="I461:I472" si="159">+G461-H461</f>
        <v>400000000</v>
      </c>
      <c r="J461" s="65"/>
      <c r="K461" s="65"/>
      <c r="L461" s="67">
        <v>797000000</v>
      </c>
      <c r="M461" s="67"/>
      <c r="N461" s="67">
        <f>+L461-M461</f>
        <v>797000000</v>
      </c>
      <c r="O461" s="67"/>
      <c r="P461" s="95">
        <f>797+150</f>
        <v>947</v>
      </c>
      <c r="Q461" s="99"/>
      <c r="R461" s="99"/>
      <c r="S461" s="99"/>
    </row>
    <row r="462" s="26" customFormat="1" ht="30" customHeight="1" spans="1:19">
      <c r="A462" s="69" t="s">
        <v>363</v>
      </c>
      <c r="B462" s="70" t="s">
        <v>364</v>
      </c>
      <c r="C462" s="71"/>
      <c r="D462" s="71">
        <f t="shared" si="153"/>
        <v>10221697574.3917</v>
      </c>
      <c r="E462" s="69"/>
      <c r="F462" s="69"/>
      <c r="G462" s="71">
        <f t="shared" ref="G462:I462" si="160">SUM(G463:G476)</f>
        <v>7166295067.79661</v>
      </c>
      <c r="H462" s="71">
        <f t="shared" si="160"/>
        <v>677493067.79661</v>
      </c>
      <c r="I462" s="71">
        <f t="shared" si="160"/>
        <v>6488802000</v>
      </c>
      <c r="J462" s="69"/>
      <c r="K462" s="71"/>
      <c r="L462" s="71">
        <f t="shared" ref="L462:O462" si="161">SUM(L463:L476)</f>
        <v>3055402506.59504</v>
      </c>
      <c r="M462" s="71">
        <f t="shared" si="161"/>
        <v>0</v>
      </c>
      <c r="N462" s="71">
        <f t="shared" si="161"/>
        <v>3055402506.59504</v>
      </c>
      <c r="O462" s="71">
        <f t="shared" si="161"/>
        <v>0</v>
      </c>
      <c r="P462" s="94"/>
      <c r="Q462" s="97"/>
      <c r="R462" s="97"/>
      <c r="S462" s="97"/>
    </row>
    <row r="463" s="27" customFormat="1" ht="45" customHeight="1" spans="1:19">
      <c r="A463" s="65"/>
      <c r="B463" s="66" t="s">
        <v>365</v>
      </c>
      <c r="C463" s="67"/>
      <c r="D463" s="67">
        <f t="shared" si="153"/>
        <v>700000000</v>
      </c>
      <c r="E463" s="65"/>
      <c r="F463" s="65"/>
      <c r="G463" s="67">
        <v>700000000</v>
      </c>
      <c r="H463" s="75">
        <f>+G463*11.5%</f>
        <v>80500000</v>
      </c>
      <c r="I463" s="67">
        <f t="shared" si="159"/>
        <v>619500000</v>
      </c>
      <c r="J463" s="65"/>
      <c r="K463" s="65"/>
      <c r="L463" s="65"/>
      <c r="M463" s="65"/>
      <c r="N463" s="67"/>
      <c r="O463" s="67"/>
      <c r="P463" s="95"/>
      <c r="Q463" s="99"/>
      <c r="R463" s="99"/>
      <c r="S463" s="99"/>
    </row>
    <row r="464" s="27" customFormat="1" ht="50" customHeight="1" spans="1:19">
      <c r="A464" s="65"/>
      <c r="B464" s="66" t="s">
        <v>366</v>
      </c>
      <c r="C464" s="67"/>
      <c r="D464" s="67">
        <f t="shared" si="153"/>
        <v>720000000</v>
      </c>
      <c r="E464" s="65"/>
      <c r="F464" s="65"/>
      <c r="G464" s="67">
        <v>600000000</v>
      </c>
      <c r="H464" s="75">
        <f>+G464*11.5%</f>
        <v>69000000</v>
      </c>
      <c r="I464" s="67">
        <f t="shared" si="159"/>
        <v>531000000</v>
      </c>
      <c r="J464" s="65">
        <v>12</v>
      </c>
      <c r="K464" s="67">
        <v>10000000</v>
      </c>
      <c r="L464" s="67">
        <f>+N464+M464</f>
        <v>120000000</v>
      </c>
      <c r="M464" s="65"/>
      <c r="N464" s="67">
        <f>12*10000000</f>
        <v>120000000</v>
      </c>
      <c r="O464" s="67"/>
      <c r="P464" s="95"/>
      <c r="Q464" s="99"/>
      <c r="R464" s="99"/>
      <c r="S464" s="99"/>
    </row>
    <row r="465" s="27" customFormat="1" ht="81" customHeight="1" spans="1:19">
      <c r="A465" s="65"/>
      <c r="B465" s="110" t="s">
        <v>367</v>
      </c>
      <c r="C465" s="67"/>
      <c r="D465" s="67">
        <f t="shared" si="153"/>
        <v>2206018768.59504</v>
      </c>
      <c r="E465" s="65"/>
      <c r="F465" s="65"/>
      <c r="G465" s="67">
        <f>540051000</f>
        <v>540051000</v>
      </c>
      <c r="H465" s="75"/>
      <c r="I465" s="67">
        <f t="shared" si="159"/>
        <v>540051000</v>
      </c>
      <c r="J465" s="65"/>
      <c r="K465" s="67"/>
      <c r="L465" s="67">
        <f>1352900000*1490000/1210000</f>
        <v>1665967768.59504</v>
      </c>
      <c r="M465" s="67"/>
      <c r="N465" s="67">
        <f>+L465-M465</f>
        <v>1665967768.59504</v>
      </c>
      <c r="O465" s="67"/>
      <c r="P465" s="95"/>
      <c r="Q465" s="99"/>
      <c r="R465" s="99"/>
      <c r="S465" s="99"/>
    </row>
    <row r="466" s="27" customFormat="1" ht="35" customHeight="1" spans="1:19">
      <c r="A466" s="65"/>
      <c r="B466" s="66" t="s">
        <v>368</v>
      </c>
      <c r="C466" s="67"/>
      <c r="D466" s="67">
        <f t="shared" si="153"/>
        <v>595000000</v>
      </c>
      <c r="E466" s="65"/>
      <c r="F466" s="122"/>
      <c r="G466" s="67">
        <v>595000000</v>
      </c>
      <c r="H466" s="75"/>
      <c r="I466" s="67">
        <f t="shared" si="159"/>
        <v>595000000</v>
      </c>
      <c r="J466" s="65"/>
      <c r="K466" s="65"/>
      <c r="L466" s="67"/>
      <c r="M466" s="65"/>
      <c r="N466" s="67"/>
      <c r="O466" s="67"/>
      <c r="P466" s="95"/>
      <c r="Q466" s="99"/>
      <c r="R466" s="99"/>
      <c r="S466" s="99"/>
    </row>
    <row r="467" s="27" customFormat="1" ht="63" customHeight="1" spans="1:19">
      <c r="A467" s="65"/>
      <c r="B467" s="110" t="s">
        <v>369</v>
      </c>
      <c r="C467" s="67"/>
      <c r="D467" s="67">
        <f t="shared" si="153"/>
        <v>2616681627.11864</v>
      </c>
      <c r="E467" s="65"/>
      <c r="F467" s="122"/>
      <c r="G467" s="67">
        <f>(866976000+695808000)/0.885</f>
        <v>1765857627.11864</v>
      </c>
      <c r="H467" s="75">
        <f>+G467*0.115</f>
        <v>203073627.118644</v>
      </c>
      <c r="I467" s="67">
        <f t="shared" si="159"/>
        <v>1562784000</v>
      </c>
      <c r="J467" s="65"/>
      <c r="K467" s="65"/>
      <c r="L467" s="67">
        <v>850824000</v>
      </c>
      <c r="M467" s="67"/>
      <c r="N467" s="67">
        <f>+L467-M467</f>
        <v>850824000</v>
      </c>
      <c r="O467" s="67"/>
      <c r="P467" s="95"/>
      <c r="Q467" s="99"/>
      <c r="R467" s="99"/>
      <c r="S467" s="99"/>
    </row>
    <row r="468" s="27" customFormat="1" ht="54" customHeight="1" spans="1:19">
      <c r="A468" s="65"/>
      <c r="B468" s="110" t="s">
        <v>370</v>
      </c>
      <c r="C468" s="67"/>
      <c r="D468" s="67"/>
      <c r="E468" s="65"/>
      <c r="F468" s="122"/>
      <c r="G468" s="67">
        <f>(1377617000+201000000)/0.885</f>
        <v>1783748022.59887</v>
      </c>
      <c r="H468" s="75">
        <f>+G468*0.115</f>
        <v>205131022.59887</v>
      </c>
      <c r="I468" s="67">
        <f t="shared" si="159"/>
        <v>1578617000</v>
      </c>
      <c r="J468" s="65"/>
      <c r="K468" s="65"/>
      <c r="L468" s="67"/>
      <c r="M468" s="67"/>
      <c r="N468" s="67"/>
      <c r="O468" s="67"/>
      <c r="P468" s="95"/>
      <c r="Q468" s="99"/>
      <c r="R468" s="99"/>
      <c r="S468" s="99"/>
    </row>
    <row r="469" s="27" customFormat="1" ht="40.5" customHeight="1" spans="1:19">
      <c r="A469" s="65"/>
      <c r="B469" s="110" t="s">
        <v>371</v>
      </c>
      <c r="C469" s="67"/>
      <c r="D469" s="67"/>
      <c r="E469" s="65"/>
      <c r="F469" s="122"/>
      <c r="G469" s="67">
        <v>100000000</v>
      </c>
      <c r="H469" s="75">
        <f>100000000*0.115</f>
        <v>11500000</v>
      </c>
      <c r="I469" s="67">
        <f t="shared" si="159"/>
        <v>88500000</v>
      </c>
      <c r="J469" s="65"/>
      <c r="K469" s="65"/>
      <c r="L469" s="65"/>
      <c r="M469" s="65"/>
      <c r="N469" s="67"/>
      <c r="O469" s="67"/>
      <c r="P469" s="95"/>
      <c r="Q469" s="99"/>
      <c r="R469" s="99"/>
      <c r="S469" s="99"/>
    </row>
    <row r="470" s="27" customFormat="1" ht="40.5" customHeight="1" spans="1:19">
      <c r="A470" s="65"/>
      <c r="B470" s="110" t="s">
        <v>372</v>
      </c>
      <c r="C470" s="67"/>
      <c r="D470" s="67"/>
      <c r="E470" s="65"/>
      <c r="F470" s="122"/>
      <c r="G470" s="67">
        <v>90000000</v>
      </c>
      <c r="H470" s="75"/>
      <c r="I470" s="67">
        <f t="shared" si="159"/>
        <v>90000000</v>
      </c>
      <c r="J470" s="65"/>
      <c r="K470" s="65"/>
      <c r="L470" s="65"/>
      <c r="M470" s="65"/>
      <c r="N470" s="67"/>
      <c r="O470" s="67"/>
      <c r="P470" s="95"/>
      <c r="Q470" s="99"/>
      <c r="R470" s="99"/>
      <c r="S470" s="99"/>
    </row>
    <row r="471" s="27" customFormat="1" ht="37.5" customHeight="1" spans="1:19">
      <c r="A471" s="65"/>
      <c r="B471" s="110" t="s">
        <v>373</v>
      </c>
      <c r="C471" s="67"/>
      <c r="D471" s="67"/>
      <c r="E471" s="65"/>
      <c r="F471" s="122"/>
      <c r="G471" s="67">
        <v>110000000</v>
      </c>
      <c r="H471" s="75">
        <f>110000000*0.115</f>
        <v>12650000</v>
      </c>
      <c r="I471" s="67">
        <f t="shared" si="159"/>
        <v>97350000</v>
      </c>
      <c r="J471" s="65"/>
      <c r="K471" s="65"/>
      <c r="L471" s="65"/>
      <c r="M471" s="65"/>
      <c r="N471" s="67"/>
      <c r="O471" s="67"/>
      <c r="P471" s="95"/>
      <c r="Q471" s="99"/>
      <c r="R471" s="99"/>
      <c r="S471" s="99"/>
    </row>
    <row r="472" s="27" customFormat="1" ht="44" customHeight="1" spans="1:19">
      <c r="A472" s="65"/>
      <c r="B472" s="110" t="s">
        <v>374</v>
      </c>
      <c r="C472" s="67"/>
      <c r="D472" s="67">
        <f t="shared" ref="D472:D478" si="162">+G472+L472</f>
        <v>134000000</v>
      </c>
      <c r="E472" s="65"/>
      <c r="F472" s="122"/>
      <c r="G472" s="67">
        <f>20000000+30000000</f>
        <v>50000000</v>
      </c>
      <c r="H472" s="75"/>
      <c r="I472" s="67">
        <f t="shared" si="159"/>
        <v>50000000</v>
      </c>
      <c r="J472" s="65">
        <v>12</v>
      </c>
      <c r="K472" s="67">
        <v>7000000</v>
      </c>
      <c r="L472" s="67">
        <f>K472*J472</f>
        <v>84000000</v>
      </c>
      <c r="M472" s="65"/>
      <c r="N472" s="67">
        <f>+L472-M472</f>
        <v>84000000</v>
      </c>
      <c r="O472" s="67"/>
      <c r="P472" s="95"/>
      <c r="Q472" s="99"/>
      <c r="R472" s="99"/>
      <c r="S472" s="99"/>
    </row>
    <row r="473" s="27" customFormat="1" ht="39" customHeight="1" spans="1:19">
      <c r="A473" s="65"/>
      <c r="B473" s="110" t="s">
        <v>375</v>
      </c>
      <c r="C473" s="67"/>
      <c r="D473" s="67">
        <f t="shared" si="162"/>
        <v>311162738</v>
      </c>
      <c r="E473" s="65"/>
      <c r="F473" s="122"/>
      <c r="G473" s="67"/>
      <c r="H473" s="75"/>
      <c r="I473" s="67"/>
      <c r="J473" s="65"/>
      <c r="K473" s="65"/>
      <c r="L473" s="67">
        <f>347562738-36400000</f>
        <v>311162738</v>
      </c>
      <c r="M473" s="65"/>
      <c r="N473" s="67">
        <f>+L473</f>
        <v>311162738</v>
      </c>
      <c r="O473" s="67"/>
      <c r="P473" s="95">
        <f>N473-347562738</f>
        <v>-36400000</v>
      </c>
      <c r="Q473" s="99"/>
      <c r="R473" s="99"/>
      <c r="S473" s="99"/>
    </row>
    <row r="474" s="27" customFormat="1" ht="42" customHeight="1" spans="1:19">
      <c r="A474" s="65"/>
      <c r="B474" s="110" t="s">
        <v>376</v>
      </c>
      <c r="C474" s="67"/>
      <c r="D474" s="67">
        <f t="shared" si="162"/>
        <v>605649717.514124</v>
      </c>
      <c r="E474" s="65"/>
      <c r="F474" s="122"/>
      <c r="G474" s="67">
        <f>536000000/0.885</f>
        <v>605649717.514124</v>
      </c>
      <c r="H474" s="75">
        <f>+G474*0.115</f>
        <v>69649717.5141243</v>
      </c>
      <c r="I474" s="67">
        <f t="shared" ref="I474:I479" si="163">+G474-H474</f>
        <v>536000000</v>
      </c>
      <c r="J474" s="65"/>
      <c r="K474" s="65"/>
      <c r="L474" s="65"/>
      <c r="M474" s="65"/>
      <c r="N474" s="67"/>
      <c r="O474" s="67"/>
      <c r="P474" s="95"/>
      <c r="Q474" s="99"/>
      <c r="R474" s="99"/>
      <c r="S474" s="99"/>
    </row>
    <row r="475" s="27" customFormat="1" ht="79" customHeight="1" spans="1:19">
      <c r="A475" s="65"/>
      <c r="B475" s="110" t="s">
        <v>377</v>
      </c>
      <c r="C475" s="67"/>
      <c r="D475" s="67">
        <f t="shared" si="162"/>
        <v>225988700.564972</v>
      </c>
      <c r="E475" s="65"/>
      <c r="F475" s="122"/>
      <c r="G475" s="67">
        <f>200000000/0.885</f>
        <v>225988700.564972</v>
      </c>
      <c r="H475" s="75">
        <f>+G475*0.115</f>
        <v>25988700.5649718</v>
      </c>
      <c r="I475" s="67">
        <f t="shared" si="163"/>
        <v>200000000</v>
      </c>
      <c r="J475" s="65"/>
      <c r="K475" s="65"/>
      <c r="L475" s="65"/>
      <c r="M475" s="65"/>
      <c r="N475" s="67"/>
      <c r="O475" s="67"/>
      <c r="P475" s="95">
        <v>64619235151</v>
      </c>
      <c r="Q475" s="99"/>
      <c r="R475" s="99"/>
      <c r="S475" s="99"/>
    </row>
    <row r="476" s="27" customFormat="1" ht="42" customHeight="1" spans="1:19">
      <c r="A476" s="65"/>
      <c r="B476" s="66" t="s">
        <v>378</v>
      </c>
      <c r="C476" s="67"/>
      <c r="D476" s="67">
        <f t="shared" si="162"/>
        <v>23448000</v>
      </c>
      <c r="E476" s="65"/>
      <c r="F476" s="65"/>
      <c r="G476" s="67"/>
      <c r="H476" s="65"/>
      <c r="I476" s="67"/>
      <c r="J476" s="65">
        <v>12</v>
      </c>
      <c r="K476" s="65"/>
      <c r="L476" s="67">
        <v>23448000</v>
      </c>
      <c r="M476" s="65"/>
      <c r="N476" s="67">
        <f>+L476-M476</f>
        <v>23448000</v>
      </c>
      <c r="O476" s="67"/>
      <c r="P476" s="95">
        <v>1307000000</v>
      </c>
      <c r="Q476" s="99"/>
      <c r="R476" s="99"/>
      <c r="S476" s="99"/>
    </row>
    <row r="477" s="26" customFormat="1" ht="33" customHeight="1" spans="1:19">
      <c r="A477" s="69" t="s">
        <v>379</v>
      </c>
      <c r="B477" s="70" t="s">
        <v>380</v>
      </c>
      <c r="C477" s="71"/>
      <c r="D477" s="71">
        <f t="shared" si="162"/>
        <v>9017683350.28249</v>
      </c>
      <c r="E477" s="69">
        <v>782</v>
      </c>
      <c r="F477" s="69"/>
      <c r="G477" s="71">
        <f>+G478+G487+G492+G496+G502+G510</f>
        <v>7503683350.28249</v>
      </c>
      <c r="H477" s="71">
        <f>+H478+H487+H492+H496+H510+H502</f>
        <v>59808550.2824859</v>
      </c>
      <c r="I477" s="71">
        <f>+I478+I487+I492+I496+I502+I510</f>
        <v>7443874800</v>
      </c>
      <c r="J477" s="71">
        <f>+J478+J487+J492+J496</f>
        <v>0</v>
      </c>
      <c r="K477" s="71">
        <f>+K478+K487+K492+K496</f>
        <v>0</v>
      </c>
      <c r="L477" s="71">
        <f t="shared" ref="L477:N477" si="164">+L478+L483+L487+L492+L496+L506+L510</f>
        <v>1514000000</v>
      </c>
      <c r="M477" s="71">
        <f t="shared" si="164"/>
        <v>0</v>
      </c>
      <c r="N477" s="71">
        <f t="shared" si="164"/>
        <v>1514000000</v>
      </c>
      <c r="O477" s="71"/>
      <c r="P477" s="94">
        <v>677936000</v>
      </c>
      <c r="Q477" s="97"/>
      <c r="R477" s="97"/>
      <c r="S477" s="97"/>
    </row>
    <row r="478" s="27" customFormat="1" ht="29.25" customHeight="1" spans="1:19">
      <c r="A478" s="65">
        <v>1</v>
      </c>
      <c r="B478" s="66" t="s">
        <v>381</v>
      </c>
      <c r="C478" s="67"/>
      <c r="D478" s="67">
        <f t="shared" si="162"/>
        <v>6668173446.32768</v>
      </c>
      <c r="E478" s="65"/>
      <c r="F478" s="65"/>
      <c r="G478" s="67">
        <f t="shared" ref="G478:I478" si="165">+SUM(G479:G486)</f>
        <v>6668173446.32768</v>
      </c>
      <c r="H478" s="67">
        <f t="shared" si="165"/>
        <v>17373446.3276836</v>
      </c>
      <c r="I478" s="67">
        <f t="shared" si="165"/>
        <v>6650800000</v>
      </c>
      <c r="J478" s="65"/>
      <c r="K478" s="65"/>
      <c r="L478" s="65"/>
      <c r="M478" s="65"/>
      <c r="N478" s="67"/>
      <c r="O478" s="67"/>
      <c r="P478" s="95">
        <v>218934000</v>
      </c>
      <c r="Q478" s="99"/>
      <c r="R478" s="99"/>
      <c r="S478" s="99"/>
    </row>
    <row r="479" s="26" customFormat="1" ht="54" customHeight="1" spans="1:19">
      <c r="A479" s="69"/>
      <c r="B479" s="110" t="s">
        <v>382</v>
      </c>
      <c r="C479" s="71"/>
      <c r="D479" s="71"/>
      <c r="E479" s="69"/>
      <c r="F479" s="69"/>
      <c r="G479" s="67">
        <v>6200000000</v>
      </c>
      <c r="H479" s="75"/>
      <c r="I479" s="67">
        <f t="shared" si="163"/>
        <v>6200000000</v>
      </c>
      <c r="J479" s="69"/>
      <c r="K479" s="69"/>
      <c r="L479" s="69"/>
      <c r="M479" s="69"/>
      <c r="N479" s="71"/>
      <c r="O479" s="71"/>
      <c r="P479" s="95">
        <v>84000000</v>
      </c>
      <c r="Q479" s="97"/>
      <c r="R479" s="97"/>
      <c r="S479" s="97"/>
    </row>
    <row r="480" s="26" customFormat="1" ht="40" customHeight="1" spans="1:19">
      <c r="A480" s="69"/>
      <c r="B480" s="66" t="s">
        <v>383</v>
      </c>
      <c r="C480" s="71"/>
      <c r="D480" s="71"/>
      <c r="E480" s="65">
        <v>400</v>
      </c>
      <c r="F480" s="75">
        <v>300000</v>
      </c>
      <c r="G480" s="67">
        <f>+E480*F480</f>
        <v>120000000</v>
      </c>
      <c r="H480" s="111"/>
      <c r="I480" s="67">
        <f>+E480*F480</f>
        <v>120000000</v>
      </c>
      <c r="J480" s="69"/>
      <c r="K480" s="69"/>
      <c r="L480" s="69"/>
      <c r="M480" s="69"/>
      <c r="N480" s="71"/>
      <c r="O480" s="71"/>
      <c r="P480" s="95">
        <v>180000000</v>
      </c>
      <c r="Q480" s="97"/>
      <c r="R480" s="97"/>
      <c r="S480" s="97"/>
    </row>
    <row r="481" s="26" customFormat="1" ht="46" customHeight="1" spans="1:19">
      <c r="A481" s="69"/>
      <c r="B481" s="66" t="s">
        <v>384</v>
      </c>
      <c r="C481" s="71"/>
      <c r="D481" s="71"/>
      <c r="E481" s="65"/>
      <c r="F481" s="111"/>
      <c r="G481" s="67">
        <f>60000000/0.885</f>
        <v>67796610.1694915</v>
      </c>
      <c r="H481" s="75">
        <f t="shared" ref="H481:H484" si="166">+G481*0.115</f>
        <v>7796610.16949153</v>
      </c>
      <c r="I481" s="67">
        <f t="shared" ref="I481:I484" si="167">+G481-H481</f>
        <v>60000000</v>
      </c>
      <c r="J481" s="69"/>
      <c r="K481" s="69"/>
      <c r="L481" s="69"/>
      <c r="M481" s="69"/>
      <c r="N481" s="71"/>
      <c r="O481" s="71"/>
      <c r="P481" s="95">
        <v>144000000</v>
      </c>
      <c r="Q481" s="97"/>
      <c r="R481" s="97"/>
      <c r="S481" s="97"/>
    </row>
    <row r="482" s="26" customFormat="1" ht="59" customHeight="1" spans="1:19">
      <c r="A482" s="69"/>
      <c r="B482" s="110" t="s">
        <v>385</v>
      </c>
      <c r="C482" s="71"/>
      <c r="D482" s="71"/>
      <c r="E482" s="65"/>
      <c r="F482" s="111"/>
      <c r="G482" s="67">
        <v>45000000</v>
      </c>
      <c r="H482" s="75"/>
      <c r="I482" s="67">
        <f t="shared" si="167"/>
        <v>45000000</v>
      </c>
      <c r="J482" s="69"/>
      <c r="K482" s="69"/>
      <c r="L482" s="69"/>
      <c r="M482" s="69"/>
      <c r="N482" s="71"/>
      <c r="O482" s="71"/>
      <c r="P482" s="95">
        <v>500000000</v>
      </c>
      <c r="Q482" s="97"/>
      <c r="R482" s="97"/>
      <c r="S482" s="97"/>
    </row>
    <row r="483" s="26" customFormat="1" ht="40" customHeight="1" spans="1:19">
      <c r="A483" s="69"/>
      <c r="B483" s="110" t="s">
        <v>386</v>
      </c>
      <c r="C483" s="71"/>
      <c r="D483" s="71"/>
      <c r="E483" s="65"/>
      <c r="F483" s="111"/>
      <c r="G483" s="67">
        <f>26000000/0.885</f>
        <v>29378531.0734463</v>
      </c>
      <c r="H483" s="75">
        <f t="shared" si="166"/>
        <v>3378531.07344633</v>
      </c>
      <c r="I483" s="67">
        <f t="shared" si="167"/>
        <v>26000000</v>
      </c>
      <c r="J483" s="65">
        <v>12</v>
      </c>
      <c r="K483" s="67">
        <v>10000000</v>
      </c>
      <c r="L483" s="111">
        <f>J483*K483</f>
        <v>120000000</v>
      </c>
      <c r="M483" s="65"/>
      <c r="N483" s="67">
        <f>+L483-M483</f>
        <v>120000000</v>
      </c>
      <c r="O483" s="71"/>
      <c r="P483" s="95">
        <v>240000000</v>
      </c>
      <c r="Q483" s="97"/>
      <c r="R483" s="97"/>
      <c r="S483" s="97"/>
    </row>
    <row r="484" s="26" customFormat="1" ht="46" customHeight="1" spans="1:19">
      <c r="A484" s="69"/>
      <c r="B484" s="110" t="s">
        <v>387</v>
      </c>
      <c r="C484" s="71"/>
      <c r="D484" s="71"/>
      <c r="E484" s="65"/>
      <c r="F484" s="111"/>
      <c r="G484" s="67">
        <f>30000000/0.885</f>
        <v>33898305.0847458</v>
      </c>
      <c r="H484" s="75">
        <f t="shared" si="166"/>
        <v>3898305.08474576</v>
      </c>
      <c r="I484" s="67">
        <f t="shared" si="167"/>
        <v>30000000</v>
      </c>
      <c r="J484" s="65"/>
      <c r="K484" s="69"/>
      <c r="L484" s="111"/>
      <c r="M484" s="65"/>
      <c r="N484" s="67"/>
      <c r="O484" s="71"/>
      <c r="P484" s="95">
        <f>SUM(P476:P483)</f>
        <v>3351870000</v>
      </c>
      <c r="Q484" s="97"/>
      <c r="R484" s="97"/>
      <c r="S484" s="97"/>
    </row>
    <row r="485" s="26" customFormat="1" ht="42" customHeight="1" spans="1:19">
      <c r="A485" s="69"/>
      <c r="B485" s="110" t="s">
        <v>388</v>
      </c>
      <c r="C485" s="71"/>
      <c r="D485" s="71"/>
      <c r="E485" s="65">
        <v>2</v>
      </c>
      <c r="F485" s="75">
        <v>30000000</v>
      </c>
      <c r="G485" s="67">
        <f>+E485*F485</f>
        <v>60000000</v>
      </c>
      <c r="H485" s="111"/>
      <c r="I485" s="67">
        <f>+E485*F485</f>
        <v>60000000</v>
      </c>
      <c r="J485" s="69"/>
      <c r="K485" s="69"/>
      <c r="L485" s="69"/>
      <c r="M485" s="69"/>
      <c r="N485" s="71"/>
      <c r="O485" s="71"/>
      <c r="P485" s="95">
        <f>+P484+P475</f>
        <v>67971105151</v>
      </c>
      <c r="Q485" s="97"/>
      <c r="R485" s="97"/>
      <c r="S485" s="97"/>
    </row>
    <row r="486" s="26" customFormat="1" ht="30" customHeight="1" spans="1:19">
      <c r="A486" s="69"/>
      <c r="B486" s="66" t="s">
        <v>389</v>
      </c>
      <c r="C486" s="67"/>
      <c r="D486" s="67">
        <f>+G486+L486</f>
        <v>112100000</v>
      </c>
      <c r="E486" s="65"/>
      <c r="F486" s="65"/>
      <c r="G486" s="67">
        <f>92100000+20000000</f>
        <v>112100000</v>
      </c>
      <c r="H486" s="75">
        <f>20000000*11.5%</f>
        <v>2300000</v>
      </c>
      <c r="I486" s="67">
        <f t="shared" ref="I486:I491" si="168">+G486-H486</f>
        <v>109800000</v>
      </c>
      <c r="J486" s="69"/>
      <c r="K486" s="69"/>
      <c r="L486" s="69"/>
      <c r="M486" s="69"/>
      <c r="N486" s="71"/>
      <c r="O486" s="71"/>
      <c r="P486" s="95"/>
      <c r="Q486" s="97"/>
      <c r="R486" s="97"/>
      <c r="S486" s="97"/>
    </row>
    <row r="487" s="26" customFormat="1" ht="49" customHeight="1" spans="1:19">
      <c r="A487" s="65">
        <v>2</v>
      </c>
      <c r="B487" s="66" t="s">
        <v>390</v>
      </c>
      <c r="C487" s="71"/>
      <c r="D487" s="67">
        <f>+G487+L487</f>
        <v>84814870.0564972</v>
      </c>
      <c r="E487" s="69"/>
      <c r="F487" s="69"/>
      <c r="G487" s="67">
        <f t="shared" ref="G487:I487" si="169">SUM(G488:G491)</f>
        <v>84814870.0564972</v>
      </c>
      <c r="H487" s="67">
        <f t="shared" si="169"/>
        <v>2598870.05649718</v>
      </c>
      <c r="I487" s="67">
        <f t="shared" si="169"/>
        <v>82216000</v>
      </c>
      <c r="J487" s="69"/>
      <c r="K487" s="69"/>
      <c r="L487" s="69"/>
      <c r="M487" s="69"/>
      <c r="N487" s="71"/>
      <c r="O487" s="71"/>
      <c r="P487" s="94"/>
      <c r="Q487" s="97"/>
      <c r="R487" s="97"/>
      <c r="S487" s="97"/>
    </row>
    <row r="488" s="26" customFormat="1" ht="33.75" customHeight="1" spans="1:19">
      <c r="A488" s="65"/>
      <c r="B488" s="66" t="s">
        <v>391</v>
      </c>
      <c r="C488" s="71"/>
      <c r="D488" s="71"/>
      <c r="E488" s="69"/>
      <c r="F488" s="69"/>
      <c r="G488" s="67">
        <f>3.2*1490000*12+5000000</f>
        <v>62216000</v>
      </c>
      <c r="H488" s="69"/>
      <c r="I488" s="67">
        <f t="shared" si="168"/>
        <v>62216000</v>
      </c>
      <c r="J488" s="69"/>
      <c r="K488" s="69"/>
      <c r="L488" s="69"/>
      <c r="M488" s="69"/>
      <c r="N488" s="71"/>
      <c r="O488" s="71"/>
      <c r="P488" s="94"/>
      <c r="Q488" s="97"/>
      <c r="R488" s="97"/>
      <c r="S488" s="97"/>
    </row>
    <row r="489" s="26" customFormat="1" ht="33.75" customHeight="1" spans="1:19">
      <c r="A489" s="65"/>
      <c r="B489" s="66" t="s">
        <v>392</v>
      </c>
      <c r="C489" s="71"/>
      <c r="D489" s="71"/>
      <c r="E489" s="69"/>
      <c r="F489" s="69"/>
      <c r="G489" s="67">
        <f t="shared" ref="G489:G495" si="170">5000000/0.885</f>
        <v>5649717.51412429</v>
      </c>
      <c r="H489" s="75">
        <f t="shared" ref="H489:H491" si="171">+G489*0.115</f>
        <v>649717.514124294</v>
      </c>
      <c r="I489" s="67">
        <f t="shared" si="168"/>
        <v>5000000</v>
      </c>
      <c r="J489" s="69"/>
      <c r="K489" s="69"/>
      <c r="L489" s="69"/>
      <c r="M489" s="69"/>
      <c r="N489" s="71"/>
      <c r="O489" s="71"/>
      <c r="P489" s="94"/>
      <c r="Q489" s="97"/>
      <c r="R489" s="97"/>
      <c r="S489" s="97"/>
    </row>
    <row r="490" s="26" customFormat="1" ht="40" customHeight="1" spans="1:19">
      <c r="A490" s="65"/>
      <c r="B490" s="66" t="s">
        <v>393</v>
      </c>
      <c r="C490" s="71"/>
      <c r="D490" s="71"/>
      <c r="E490" s="69"/>
      <c r="F490" s="69"/>
      <c r="G490" s="67">
        <f>10000000/0.885</f>
        <v>11299435.0282486</v>
      </c>
      <c r="H490" s="75">
        <f t="shared" si="171"/>
        <v>1299435.02824859</v>
      </c>
      <c r="I490" s="67">
        <f t="shared" si="168"/>
        <v>10000000</v>
      </c>
      <c r="J490" s="69"/>
      <c r="K490" s="69"/>
      <c r="L490" s="69"/>
      <c r="M490" s="69"/>
      <c r="N490" s="71"/>
      <c r="O490" s="71"/>
      <c r="P490" s="94"/>
      <c r="Q490" s="97"/>
      <c r="R490" s="97"/>
      <c r="S490" s="97"/>
    </row>
    <row r="491" s="26" customFormat="1" ht="33.75" customHeight="1" spans="1:19">
      <c r="A491" s="65"/>
      <c r="B491" s="66" t="s">
        <v>394</v>
      </c>
      <c r="C491" s="71"/>
      <c r="D491" s="71"/>
      <c r="E491" s="69"/>
      <c r="F491" s="69"/>
      <c r="G491" s="67">
        <f t="shared" si="170"/>
        <v>5649717.51412429</v>
      </c>
      <c r="H491" s="75">
        <f t="shared" si="171"/>
        <v>649717.514124294</v>
      </c>
      <c r="I491" s="67">
        <f t="shared" si="168"/>
        <v>5000000</v>
      </c>
      <c r="J491" s="69"/>
      <c r="K491" s="69"/>
      <c r="L491" s="69"/>
      <c r="M491" s="69"/>
      <c r="N491" s="71"/>
      <c r="O491" s="71"/>
      <c r="P491" s="94"/>
      <c r="Q491" s="97"/>
      <c r="R491" s="97"/>
      <c r="S491" s="97"/>
    </row>
    <row r="492" s="26" customFormat="1" ht="43" customHeight="1" spans="1:19">
      <c r="A492" s="65">
        <v>3</v>
      </c>
      <c r="B492" s="66" t="s">
        <v>395</v>
      </c>
      <c r="C492" s="71"/>
      <c r="D492" s="67">
        <f>+G492+L492</f>
        <v>73515435.0282486</v>
      </c>
      <c r="E492" s="69"/>
      <c r="F492" s="69"/>
      <c r="G492" s="67">
        <f t="shared" ref="G492:I492" si="172">SUM(G493:G495)</f>
        <v>73515435.0282486</v>
      </c>
      <c r="H492" s="67">
        <f t="shared" si="172"/>
        <v>1299435.02824859</v>
      </c>
      <c r="I492" s="67">
        <f t="shared" si="172"/>
        <v>72216000</v>
      </c>
      <c r="J492" s="69"/>
      <c r="K492" s="69"/>
      <c r="L492" s="69"/>
      <c r="M492" s="69"/>
      <c r="N492" s="71"/>
      <c r="O492" s="71"/>
      <c r="P492" s="94"/>
      <c r="Q492" s="97"/>
      <c r="R492" s="97"/>
      <c r="S492" s="97"/>
    </row>
    <row r="493" s="26" customFormat="1" ht="33" customHeight="1" spans="1:19">
      <c r="A493" s="65"/>
      <c r="B493" s="66" t="s">
        <v>391</v>
      </c>
      <c r="C493" s="71"/>
      <c r="D493" s="71"/>
      <c r="E493" s="69"/>
      <c r="F493" s="69"/>
      <c r="G493" s="67">
        <f>3.2*1490000*12+5000000</f>
        <v>62216000</v>
      </c>
      <c r="H493" s="75"/>
      <c r="I493" s="67">
        <f t="shared" ref="I493:I495" si="173">+G493-H493</f>
        <v>62216000</v>
      </c>
      <c r="J493" s="69"/>
      <c r="K493" s="69"/>
      <c r="L493" s="69"/>
      <c r="M493" s="69"/>
      <c r="N493" s="71"/>
      <c r="O493" s="71"/>
      <c r="P493" s="94"/>
      <c r="Q493" s="97"/>
      <c r="R493" s="97"/>
      <c r="S493" s="97"/>
    </row>
    <row r="494" s="26" customFormat="1" ht="38" customHeight="1" spans="1:19">
      <c r="A494" s="65"/>
      <c r="B494" s="66" t="s">
        <v>392</v>
      </c>
      <c r="C494" s="71"/>
      <c r="D494" s="71"/>
      <c r="E494" s="69"/>
      <c r="F494" s="69"/>
      <c r="G494" s="67">
        <f t="shared" si="170"/>
        <v>5649717.51412429</v>
      </c>
      <c r="H494" s="75">
        <f t="shared" ref="H494:H501" si="174">+G494*0.115</f>
        <v>649717.514124294</v>
      </c>
      <c r="I494" s="67">
        <f t="shared" si="173"/>
        <v>5000000</v>
      </c>
      <c r="J494" s="69"/>
      <c r="K494" s="69"/>
      <c r="L494" s="69"/>
      <c r="M494" s="69"/>
      <c r="N494" s="71"/>
      <c r="O494" s="71"/>
      <c r="P494" s="94"/>
      <c r="Q494" s="97"/>
      <c r="R494" s="97"/>
      <c r="S494" s="97"/>
    </row>
    <row r="495" s="26" customFormat="1" ht="33" customHeight="1" spans="1:19">
      <c r="A495" s="65"/>
      <c r="B495" s="66" t="s">
        <v>394</v>
      </c>
      <c r="C495" s="71"/>
      <c r="D495" s="71"/>
      <c r="E495" s="69"/>
      <c r="F495" s="69"/>
      <c r="G495" s="67">
        <f t="shared" si="170"/>
        <v>5649717.51412429</v>
      </c>
      <c r="H495" s="75">
        <f t="shared" si="174"/>
        <v>649717.514124294</v>
      </c>
      <c r="I495" s="67">
        <f t="shared" si="173"/>
        <v>5000000</v>
      </c>
      <c r="J495" s="69"/>
      <c r="K495" s="69"/>
      <c r="L495" s="69"/>
      <c r="M495" s="69"/>
      <c r="N495" s="71"/>
      <c r="O495" s="71"/>
      <c r="P495" s="94"/>
      <c r="Q495" s="97"/>
      <c r="R495" s="97"/>
      <c r="S495" s="97"/>
    </row>
    <row r="496" s="26" customFormat="1" ht="40" customHeight="1" spans="1:19">
      <c r="A496" s="65">
        <v>4</v>
      </c>
      <c r="B496" s="66" t="s">
        <v>396</v>
      </c>
      <c r="C496" s="71"/>
      <c r="D496" s="67">
        <f>+G496+L496</f>
        <v>135962666.666667</v>
      </c>
      <c r="E496" s="69"/>
      <c r="F496" s="69"/>
      <c r="G496" s="67">
        <f t="shared" ref="G496:I496" si="175">SUM(G497:G501)</f>
        <v>135962666.666667</v>
      </c>
      <c r="H496" s="67">
        <f t="shared" si="175"/>
        <v>8480866.66666667</v>
      </c>
      <c r="I496" s="67">
        <f t="shared" si="175"/>
        <v>127481800</v>
      </c>
      <c r="J496" s="69"/>
      <c r="K496" s="69"/>
      <c r="L496" s="69"/>
      <c r="M496" s="69"/>
      <c r="N496" s="71"/>
      <c r="O496" s="71"/>
      <c r="P496" s="94"/>
      <c r="Q496" s="97"/>
      <c r="R496" s="97"/>
      <c r="S496" s="97"/>
    </row>
    <row r="497" s="26" customFormat="1" ht="31.5" customHeight="1" spans="1:19">
      <c r="A497" s="65"/>
      <c r="B497" s="66" t="s">
        <v>391</v>
      </c>
      <c r="C497" s="71"/>
      <c r="D497" s="71"/>
      <c r="E497" s="69"/>
      <c r="F497" s="69"/>
      <c r="G497" s="67">
        <f>3.2*1490000*12+5000000</f>
        <v>62216000</v>
      </c>
      <c r="H497" s="69"/>
      <c r="I497" s="67">
        <f t="shared" ref="I497:I501" si="176">+G497-H497</f>
        <v>62216000</v>
      </c>
      <c r="J497" s="69"/>
      <c r="K497" s="69"/>
      <c r="L497" s="69"/>
      <c r="M497" s="69"/>
      <c r="N497" s="71"/>
      <c r="O497" s="71"/>
      <c r="P497" s="94"/>
      <c r="Q497" s="97"/>
      <c r="R497" s="97"/>
      <c r="S497" s="97"/>
    </row>
    <row r="498" s="26" customFormat="1" ht="41" customHeight="1" spans="1:19">
      <c r="A498" s="65"/>
      <c r="B498" s="66" t="s">
        <v>397</v>
      </c>
      <c r="C498" s="71"/>
      <c r="D498" s="71"/>
      <c r="E498" s="69"/>
      <c r="F498" s="69"/>
      <c r="G498" s="67">
        <f>15000000/0.885</f>
        <v>16949152.5423729</v>
      </c>
      <c r="H498" s="75">
        <f t="shared" si="174"/>
        <v>1949152.54237288</v>
      </c>
      <c r="I498" s="67">
        <f t="shared" si="176"/>
        <v>15000000</v>
      </c>
      <c r="J498" s="69"/>
      <c r="K498" s="69"/>
      <c r="L498" s="69"/>
      <c r="M498" s="69"/>
      <c r="N498" s="71"/>
      <c r="O498" s="71"/>
      <c r="P498" s="94"/>
      <c r="Q498" s="97"/>
      <c r="R498" s="97"/>
      <c r="S498" s="97"/>
    </row>
    <row r="499" s="26" customFormat="1" ht="38" customHeight="1" spans="1:19">
      <c r="A499" s="65"/>
      <c r="B499" s="110" t="s">
        <v>398</v>
      </c>
      <c r="C499" s="71"/>
      <c r="D499" s="71"/>
      <c r="E499" s="69"/>
      <c r="F499" s="69"/>
      <c r="G499" s="67">
        <f>25000000/0.885</f>
        <v>28248587.5706215</v>
      </c>
      <c r="H499" s="75">
        <f t="shared" si="174"/>
        <v>3248587.57062147</v>
      </c>
      <c r="I499" s="67">
        <f t="shared" si="176"/>
        <v>25000000</v>
      </c>
      <c r="J499" s="69"/>
      <c r="K499" s="69"/>
      <c r="L499" s="69"/>
      <c r="M499" s="69"/>
      <c r="N499" s="71"/>
      <c r="O499" s="71"/>
      <c r="P499" s="94"/>
      <c r="Q499" s="97"/>
      <c r="R499" s="97"/>
      <c r="S499" s="97"/>
    </row>
    <row r="500" s="26" customFormat="1" ht="43" customHeight="1" spans="1:19">
      <c r="A500" s="65"/>
      <c r="B500" s="110" t="s">
        <v>399</v>
      </c>
      <c r="C500" s="71"/>
      <c r="D500" s="71"/>
      <c r="E500" s="69"/>
      <c r="F500" s="69"/>
      <c r="G500" s="67">
        <f>(9000000+10000000)/0.885</f>
        <v>21468926.5536723</v>
      </c>
      <c r="H500" s="75">
        <f t="shared" si="174"/>
        <v>2468926.55367232</v>
      </c>
      <c r="I500" s="67">
        <f t="shared" si="176"/>
        <v>19000000</v>
      </c>
      <c r="J500" s="69"/>
      <c r="K500" s="69"/>
      <c r="L500" s="69"/>
      <c r="M500" s="69"/>
      <c r="N500" s="71"/>
      <c r="O500" s="71"/>
      <c r="P500" s="94"/>
      <c r="Q500" s="97"/>
      <c r="R500" s="97"/>
      <c r="S500" s="97"/>
    </row>
    <row r="501" s="26" customFormat="1" ht="39" customHeight="1" spans="1:19">
      <c r="A501" s="65"/>
      <c r="B501" s="66" t="s">
        <v>400</v>
      </c>
      <c r="C501" s="71"/>
      <c r="D501" s="71"/>
      <c r="E501" s="69"/>
      <c r="F501" s="69"/>
      <c r="G501" s="67">
        <f>(5000000+3000000)*0.885</f>
        <v>7080000</v>
      </c>
      <c r="H501" s="75">
        <f t="shared" si="174"/>
        <v>814200</v>
      </c>
      <c r="I501" s="67">
        <f t="shared" si="176"/>
        <v>6265800</v>
      </c>
      <c r="J501" s="69"/>
      <c r="K501" s="69"/>
      <c r="L501" s="69"/>
      <c r="M501" s="69"/>
      <c r="N501" s="71"/>
      <c r="O501" s="71"/>
      <c r="P501" s="94"/>
      <c r="Q501" s="97"/>
      <c r="R501" s="97"/>
      <c r="S501" s="97"/>
    </row>
    <row r="502" s="26" customFormat="1" ht="27" customHeight="1" spans="1:19">
      <c r="A502" s="65">
        <v>5</v>
      </c>
      <c r="B502" s="66" t="s">
        <v>401</v>
      </c>
      <c r="C502" s="71"/>
      <c r="D502" s="67">
        <f>+G502+L502</f>
        <v>541216932.20339</v>
      </c>
      <c r="E502" s="69"/>
      <c r="F502" s="69"/>
      <c r="G502" s="67">
        <f t="shared" ref="G502:I502" si="177">SUM(G503:G509)</f>
        <v>541216932.20339</v>
      </c>
      <c r="H502" s="67">
        <f t="shared" si="177"/>
        <v>30055932.2033898</v>
      </c>
      <c r="I502" s="67">
        <f t="shared" si="177"/>
        <v>511161000</v>
      </c>
      <c r="J502" s="69"/>
      <c r="K502" s="69"/>
      <c r="L502" s="69"/>
      <c r="M502" s="69"/>
      <c r="N502" s="71"/>
      <c r="O502" s="71"/>
      <c r="P502" s="94"/>
      <c r="Q502" s="97"/>
      <c r="R502" s="97"/>
      <c r="S502" s="97"/>
    </row>
    <row r="503" s="26" customFormat="1" ht="27" customHeight="1" spans="1:19">
      <c r="A503" s="65"/>
      <c r="B503" s="66" t="s">
        <v>402</v>
      </c>
      <c r="C503" s="71"/>
      <c r="D503" s="71"/>
      <c r="E503" s="65">
        <v>3</v>
      </c>
      <c r="F503" s="69"/>
      <c r="G503" s="67">
        <f>229861000</f>
        <v>229861000</v>
      </c>
      <c r="H503" s="111"/>
      <c r="I503" s="67">
        <f t="shared" ref="I503:I509" si="178">+G503-H503</f>
        <v>229861000</v>
      </c>
      <c r="J503" s="69"/>
      <c r="K503" s="69"/>
      <c r="L503" s="69"/>
      <c r="M503" s="69"/>
      <c r="N503" s="71"/>
      <c r="O503" s="71"/>
      <c r="P503" s="94"/>
      <c r="Q503" s="97"/>
      <c r="R503" s="97"/>
      <c r="S503" s="97"/>
    </row>
    <row r="504" s="26" customFormat="1" ht="27" customHeight="1" spans="1:19">
      <c r="A504" s="65"/>
      <c r="B504" s="66" t="s">
        <v>403</v>
      </c>
      <c r="C504" s="71"/>
      <c r="D504" s="71"/>
      <c r="E504" s="69"/>
      <c r="F504" s="111">
        <v>25000000</v>
      </c>
      <c r="G504" s="67">
        <f>75000000/0.885</f>
        <v>84745762.7118644</v>
      </c>
      <c r="H504" s="75">
        <f t="shared" ref="H504:H509" si="179">+G504*0.115</f>
        <v>9745762.71186441</v>
      </c>
      <c r="I504" s="67">
        <f t="shared" si="178"/>
        <v>75000000</v>
      </c>
      <c r="J504" s="69"/>
      <c r="K504" s="69"/>
      <c r="L504" s="69"/>
      <c r="M504" s="69"/>
      <c r="N504" s="71"/>
      <c r="O504" s="71"/>
      <c r="P504" s="94"/>
      <c r="Q504" s="97"/>
      <c r="R504" s="97"/>
      <c r="S504" s="97"/>
    </row>
    <row r="505" s="26" customFormat="1" ht="55" customHeight="1" spans="1:19">
      <c r="A505" s="65"/>
      <c r="B505" s="110" t="s">
        <v>404</v>
      </c>
      <c r="C505" s="71"/>
      <c r="D505" s="71"/>
      <c r="E505" s="69"/>
      <c r="F505" s="69"/>
      <c r="G505" s="67">
        <f>65000000/0.885</f>
        <v>73446327.6836158</v>
      </c>
      <c r="H505" s="75">
        <f t="shared" si="179"/>
        <v>8446327.68361582</v>
      </c>
      <c r="I505" s="67">
        <f t="shared" si="178"/>
        <v>65000000</v>
      </c>
      <c r="J505" s="69"/>
      <c r="K505" s="69"/>
      <c r="L505" s="69"/>
      <c r="M505" s="69"/>
      <c r="N505" s="71"/>
      <c r="O505" s="71"/>
      <c r="P505" s="94"/>
      <c r="Q505" s="97"/>
      <c r="R505" s="97"/>
      <c r="S505" s="97"/>
    </row>
    <row r="506" s="26" customFormat="1" ht="42" customHeight="1" spans="1:19">
      <c r="A506" s="65"/>
      <c r="B506" s="110" t="s">
        <v>405</v>
      </c>
      <c r="C506" s="71"/>
      <c r="D506" s="71"/>
      <c r="E506" s="69"/>
      <c r="F506" s="69"/>
      <c r="G506" s="67">
        <f>50000000</f>
        <v>50000000</v>
      </c>
      <c r="H506" s="75"/>
      <c r="I506" s="67">
        <f t="shared" si="178"/>
        <v>50000000</v>
      </c>
      <c r="J506" s="69"/>
      <c r="K506" s="69"/>
      <c r="L506" s="111">
        <v>87000000</v>
      </c>
      <c r="M506" s="67"/>
      <c r="N506" s="67">
        <f>+L506-M506</f>
        <v>87000000</v>
      </c>
      <c r="O506" s="71"/>
      <c r="P506" s="94"/>
      <c r="Q506" s="97"/>
      <c r="R506" s="97"/>
      <c r="S506" s="97"/>
    </row>
    <row r="507" s="26" customFormat="1" ht="24.75" customHeight="1" spans="1:19">
      <c r="A507" s="65"/>
      <c r="B507" s="110" t="s">
        <v>406</v>
      </c>
      <c r="C507" s="71"/>
      <c r="D507" s="71"/>
      <c r="E507" s="69"/>
      <c r="F507" s="69"/>
      <c r="G507" s="67">
        <f>11300000/0.885</f>
        <v>12768361.5819209</v>
      </c>
      <c r="H507" s="75">
        <f t="shared" si="179"/>
        <v>1468361.5819209</v>
      </c>
      <c r="I507" s="67">
        <f t="shared" si="178"/>
        <v>11300000</v>
      </c>
      <c r="J507" s="69"/>
      <c r="K507" s="69"/>
      <c r="L507" s="69"/>
      <c r="M507" s="69"/>
      <c r="N507" s="71"/>
      <c r="O507" s="71"/>
      <c r="P507" s="94"/>
      <c r="Q507" s="97"/>
      <c r="R507" s="97"/>
      <c r="S507" s="97"/>
    </row>
    <row r="508" s="26" customFormat="1" ht="38" customHeight="1" spans="1:19">
      <c r="A508" s="65"/>
      <c r="B508" s="66" t="s">
        <v>407</v>
      </c>
      <c r="C508" s="71"/>
      <c r="D508" s="71"/>
      <c r="E508" s="69"/>
      <c r="F508" s="69"/>
      <c r="G508" s="67">
        <f>50000000/0.885</f>
        <v>56497175.1412429</v>
      </c>
      <c r="H508" s="75">
        <f t="shared" si="179"/>
        <v>6497175.14124294</v>
      </c>
      <c r="I508" s="67">
        <f t="shared" si="178"/>
        <v>50000000</v>
      </c>
      <c r="J508" s="69"/>
      <c r="K508" s="69"/>
      <c r="L508" s="69"/>
      <c r="M508" s="69"/>
      <c r="N508" s="71"/>
      <c r="O508" s="71"/>
      <c r="P508" s="94"/>
      <c r="Q508" s="97"/>
      <c r="R508" s="97"/>
      <c r="S508" s="97"/>
    </row>
    <row r="509" s="26" customFormat="1" ht="28" customHeight="1" spans="1:19">
      <c r="A509" s="65"/>
      <c r="B509" s="66" t="s">
        <v>408</v>
      </c>
      <c r="C509" s="71"/>
      <c r="D509" s="71"/>
      <c r="E509" s="69"/>
      <c r="F509" s="69"/>
      <c r="G509" s="67">
        <f>30000000/0.885</f>
        <v>33898305.0847458</v>
      </c>
      <c r="H509" s="75">
        <f t="shared" si="179"/>
        <v>3898305.08474576</v>
      </c>
      <c r="I509" s="67">
        <f t="shared" si="178"/>
        <v>30000000</v>
      </c>
      <c r="J509" s="69"/>
      <c r="K509" s="69"/>
      <c r="L509" s="69"/>
      <c r="M509" s="69"/>
      <c r="N509" s="71"/>
      <c r="O509" s="71"/>
      <c r="P509" s="94"/>
      <c r="Q509" s="97"/>
      <c r="R509" s="97"/>
      <c r="S509" s="97"/>
    </row>
    <row r="510" s="26" customFormat="1" ht="27" customHeight="1" spans="1:19">
      <c r="A510" s="65">
        <v>6</v>
      </c>
      <c r="B510" s="66" t="s">
        <v>409</v>
      </c>
      <c r="C510" s="71"/>
      <c r="D510" s="67">
        <f>+G510+L510</f>
        <v>1307000000</v>
      </c>
      <c r="E510" s="69"/>
      <c r="F510" s="69"/>
      <c r="G510" s="67"/>
      <c r="H510" s="69"/>
      <c r="I510" s="67"/>
      <c r="J510" s="69"/>
      <c r="K510" s="69"/>
      <c r="L510" s="67">
        <v>1307000000</v>
      </c>
      <c r="M510" s="69"/>
      <c r="N510" s="67">
        <f>+L510</f>
        <v>1307000000</v>
      </c>
      <c r="O510" s="71"/>
      <c r="P510" s="94"/>
      <c r="Q510" s="97"/>
      <c r="R510" s="97"/>
      <c r="S510" s="97"/>
    </row>
    <row r="511" s="26" customFormat="1" ht="26.25" customHeight="1" spans="1:19">
      <c r="A511" s="69" t="s">
        <v>410</v>
      </c>
      <c r="B511" s="70" t="s">
        <v>411</v>
      </c>
      <c r="C511" s="71">
        <v>6023000000</v>
      </c>
      <c r="D511" s="71">
        <f>+G511+L511</f>
        <v>6023000000</v>
      </c>
      <c r="E511" s="69"/>
      <c r="F511" s="69"/>
      <c r="G511" s="71">
        <f>+I511</f>
        <v>4779141000</v>
      </c>
      <c r="H511" s="69"/>
      <c r="I511" s="71">
        <f>6023000000-1243859000</f>
        <v>4779141000</v>
      </c>
      <c r="J511" s="69"/>
      <c r="K511" s="69"/>
      <c r="L511" s="71">
        <f>+N511+M511</f>
        <v>1243859000</v>
      </c>
      <c r="M511" s="69"/>
      <c r="N511" s="71">
        <v>1243859000</v>
      </c>
      <c r="O511" s="71"/>
      <c r="P511" s="94"/>
      <c r="Q511" s="97"/>
      <c r="R511" s="97"/>
      <c r="S511" s="97"/>
    </row>
    <row r="512" s="26" customFormat="1" ht="26.25" customHeight="1" spans="1:60">
      <c r="A512" s="135" t="s">
        <v>412</v>
      </c>
      <c r="B512" s="136" t="s">
        <v>413</v>
      </c>
      <c r="C512" s="137"/>
      <c r="D512" s="71"/>
      <c r="E512" s="135"/>
      <c r="F512" s="135"/>
      <c r="G512" s="137"/>
      <c r="H512" s="135"/>
      <c r="I512" s="137"/>
      <c r="J512" s="135"/>
      <c r="K512" s="135"/>
      <c r="L512" s="135"/>
      <c r="M512" s="135"/>
      <c r="N512" s="137"/>
      <c r="O512" s="137"/>
      <c r="P512" s="94">
        <f>+P513-P514</f>
        <v>-1429157636.36364</v>
      </c>
      <c r="Q512" s="97"/>
      <c r="R512" s="139"/>
      <c r="S512" s="139"/>
      <c r="T512" s="140"/>
      <c r="U512" s="140"/>
      <c r="V512" s="140"/>
      <c r="W512" s="140"/>
      <c r="X512" s="140"/>
      <c r="Y512" s="140"/>
      <c r="Z512" s="140"/>
      <c r="AA512" s="140"/>
      <c r="AB512" s="140"/>
      <c r="AC512" s="140"/>
      <c r="AD512" s="140"/>
      <c r="AE512" s="140"/>
      <c r="AF512" s="140"/>
      <c r="AG512" s="140"/>
      <c r="AH512" s="140"/>
      <c r="AI512" s="140"/>
      <c r="AJ512" s="140"/>
      <c r="AK512" s="140"/>
      <c r="AL512" s="140"/>
      <c r="AM512" s="140"/>
      <c r="AN512" s="140"/>
      <c r="AO512" s="140"/>
      <c r="AP512" s="140"/>
      <c r="AQ512" s="140"/>
      <c r="AR512" s="140"/>
      <c r="AS512" s="140"/>
      <c r="AT512" s="140"/>
      <c r="AU512" s="140"/>
      <c r="AV512" s="140"/>
      <c r="AW512" s="140"/>
      <c r="AX512" s="140"/>
      <c r="AY512" s="140"/>
      <c r="AZ512" s="140"/>
      <c r="BA512" s="140"/>
      <c r="BB512" s="140"/>
      <c r="BC512" s="140"/>
      <c r="BD512" s="140"/>
      <c r="BE512" s="140"/>
      <c r="BF512" s="140"/>
      <c r="BG512" s="140"/>
      <c r="BH512" s="140"/>
    </row>
    <row r="513" s="32" customFormat="1" ht="26" customHeight="1" spans="1:60">
      <c r="A513" s="141" t="s">
        <v>414</v>
      </c>
      <c r="B513" s="142"/>
      <c r="C513" s="143">
        <f t="shared" ref="C513:O513" si="180">+C10+C16+C511+C512</f>
        <v>341433000000</v>
      </c>
      <c r="D513" s="143">
        <f t="shared" si="180"/>
        <v>341433000000.209</v>
      </c>
      <c r="E513" s="141">
        <f t="shared" si="180"/>
        <v>0</v>
      </c>
      <c r="F513" s="141">
        <f t="shared" si="180"/>
        <v>0</v>
      </c>
      <c r="G513" s="143">
        <f t="shared" si="180"/>
        <v>273040454129.977</v>
      </c>
      <c r="H513" s="143">
        <f t="shared" si="180"/>
        <v>4218607184.46328</v>
      </c>
      <c r="I513" s="143">
        <f t="shared" si="180"/>
        <v>268821846945.514</v>
      </c>
      <c r="J513" s="141">
        <f t="shared" si="180"/>
        <v>0</v>
      </c>
      <c r="K513" s="141">
        <f t="shared" si="180"/>
        <v>0</v>
      </c>
      <c r="L513" s="143">
        <f t="shared" si="180"/>
        <v>68392545870.2314</v>
      </c>
      <c r="M513" s="143">
        <f t="shared" si="180"/>
        <v>568560000</v>
      </c>
      <c r="N513" s="143">
        <f t="shared" si="180"/>
        <v>67823985870.2314</v>
      </c>
      <c r="O513" s="143">
        <f t="shared" si="180"/>
        <v>-0.20880126953125</v>
      </c>
      <c r="P513" s="146">
        <f>+L429+L418+L409+L397+L382+L363+L284+L238</f>
        <v>24345604363.6364</v>
      </c>
      <c r="Q513" s="144">
        <f>6150-1000-458-1000-50-30-100-50</f>
        <v>3462</v>
      </c>
      <c r="R513" s="144"/>
      <c r="S513" s="144"/>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33"/>
      <c r="BE513" s="33"/>
      <c r="BF513" s="33"/>
      <c r="BG513" s="33"/>
      <c r="BH513" s="33"/>
    </row>
    <row r="514" s="33" customFormat="1" ht="24.75" customHeight="1" spans="1:19">
      <c r="A514" s="144"/>
      <c r="B514" s="145"/>
      <c r="C514" s="146"/>
      <c r="D514" s="146"/>
      <c r="E514" s="144"/>
      <c r="F514" s="144"/>
      <c r="G514" s="146">
        <f>+G513-G10</f>
        <v>243912454129.977</v>
      </c>
      <c r="H514" s="146"/>
      <c r="I514" s="146"/>
      <c r="J514" s="144"/>
      <c r="K514" s="144"/>
      <c r="L514" s="146"/>
      <c r="M514" s="146"/>
      <c r="N514" s="146"/>
      <c r="O514" s="146"/>
      <c r="P514" s="146">
        <v>25774762000</v>
      </c>
      <c r="Q514" s="144"/>
      <c r="R514" s="144"/>
      <c r="S514" s="144"/>
    </row>
    <row r="515" ht="16.8" spans="1:60">
      <c r="A515" s="50"/>
      <c r="B515" s="147"/>
      <c r="C515" s="80"/>
      <c r="D515" s="80">
        <f>C513-D513</f>
        <v>-0.20880126953125</v>
      </c>
      <c r="E515" s="50"/>
      <c r="F515" s="50"/>
      <c r="G515" s="146">
        <f>243912454130-4779141000</f>
        <v>239133313130</v>
      </c>
      <c r="H515" s="80"/>
      <c r="I515" s="80"/>
      <c r="J515" s="81"/>
      <c r="K515" s="76" t="s">
        <v>415</v>
      </c>
      <c r="L515" s="76"/>
      <c r="M515" s="76"/>
      <c r="N515" s="76"/>
      <c r="O515" s="76"/>
      <c r="P515" s="77">
        <f>+P513-P513</f>
        <v>0</v>
      </c>
      <c r="Q515" s="50"/>
      <c r="R515" s="174">
        <f>64220508151+3351870520</f>
        <v>67572378671</v>
      </c>
      <c r="S515" s="175"/>
      <c r="T515" s="176"/>
      <c r="U515" s="176"/>
      <c r="V515" s="176"/>
      <c r="W515" s="176"/>
      <c r="X515" s="176"/>
      <c r="Y515" s="176"/>
      <c r="Z515" s="176"/>
      <c r="AA515" s="176"/>
      <c r="AB515" s="176"/>
      <c r="AC515" s="176"/>
      <c r="AD515" s="176"/>
      <c r="AE515" s="176"/>
      <c r="AF515" s="176"/>
      <c r="AG515" s="176"/>
      <c r="AH515" s="176"/>
      <c r="AI515" s="176"/>
      <c r="AJ515" s="176"/>
      <c r="AK515" s="176"/>
      <c r="AL515" s="176"/>
      <c r="AM515" s="176"/>
      <c r="AN515" s="176"/>
      <c r="AO515" s="176"/>
      <c r="AP515" s="176"/>
      <c r="AQ515" s="176"/>
      <c r="AR515" s="176"/>
      <c r="AS515" s="176"/>
      <c r="AT515" s="176"/>
      <c r="AU515" s="176"/>
      <c r="AV515" s="176"/>
      <c r="AW515" s="176"/>
      <c r="AX515" s="176"/>
      <c r="AY515" s="176"/>
      <c r="AZ515" s="176"/>
      <c r="BA515" s="176"/>
      <c r="BB515" s="176"/>
      <c r="BC515" s="176"/>
      <c r="BD515" s="176"/>
      <c r="BE515" s="176"/>
      <c r="BF515" s="176"/>
      <c r="BG515" s="176"/>
      <c r="BH515" s="176"/>
    </row>
    <row r="516" ht="16.8" spans="1:60">
      <c r="A516" s="50"/>
      <c r="B516" s="51"/>
      <c r="C516" s="80"/>
      <c r="D516" s="80"/>
      <c r="E516" s="50"/>
      <c r="F516" s="80"/>
      <c r="G516" s="80">
        <f>+G515-'[55]Tổng hợp'!$C$80</f>
        <v>32981222590.432</v>
      </c>
      <c r="H516" s="80"/>
      <c r="I516" s="80"/>
      <c r="J516" s="81"/>
      <c r="K516" s="161" t="s">
        <v>416</v>
      </c>
      <c r="L516" s="161"/>
      <c r="M516" s="161"/>
      <c r="N516" s="161"/>
      <c r="O516" s="161"/>
      <c r="P516" s="77"/>
      <c r="Q516" s="50"/>
      <c r="R516" s="174">
        <f>N513-R515</f>
        <v>251607199.231407</v>
      </c>
      <c r="S516" s="175"/>
      <c r="T516" s="176"/>
      <c r="U516" s="176"/>
      <c r="V516" s="176"/>
      <c r="W516" s="176"/>
      <c r="X516" s="176"/>
      <c r="Y516" s="176"/>
      <c r="Z516" s="176"/>
      <c r="AA516" s="176"/>
      <c r="AB516" s="176"/>
      <c r="AC516" s="176"/>
      <c r="AD516" s="176"/>
      <c r="AE516" s="176"/>
      <c r="AF516" s="176"/>
      <c r="AG516" s="176"/>
      <c r="AH516" s="176"/>
      <c r="AI516" s="176"/>
      <c r="AJ516" s="176"/>
      <c r="AK516" s="176"/>
      <c r="AL516" s="176"/>
      <c r="AM516" s="176"/>
      <c r="AN516" s="176"/>
      <c r="AO516" s="176"/>
      <c r="AP516" s="176"/>
      <c r="AQ516" s="176"/>
      <c r="AR516" s="176"/>
      <c r="AS516" s="176"/>
      <c r="AT516" s="176"/>
      <c r="AU516" s="176"/>
      <c r="AV516" s="176"/>
      <c r="AW516" s="176"/>
      <c r="AX516" s="176"/>
      <c r="AY516" s="176"/>
      <c r="AZ516" s="176"/>
      <c r="BA516" s="176"/>
      <c r="BB516" s="176"/>
      <c r="BC516" s="176"/>
      <c r="BD516" s="176"/>
      <c r="BE516" s="176"/>
      <c r="BF516" s="176"/>
      <c r="BG516" s="176"/>
      <c r="BH516" s="176"/>
    </row>
    <row r="517" ht="16.8" spans="2:60">
      <c r="B517" s="148"/>
      <c r="G517" s="80">
        <v>32241000000</v>
      </c>
      <c r="H517" s="149"/>
      <c r="I517" s="149"/>
      <c r="K517" s="162"/>
      <c r="L517" s="162"/>
      <c r="M517" s="162"/>
      <c r="N517" s="162"/>
      <c r="O517" s="162"/>
      <c r="Q517" s="38"/>
      <c r="R517" s="176"/>
      <c r="S517" s="176"/>
      <c r="T517" s="176"/>
      <c r="U517" s="176"/>
      <c r="V517" s="176"/>
      <c r="W517" s="176"/>
      <c r="X517" s="176"/>
      <c r="Y517" s="176"/>
      <c r="Z517" s="176"/>
      <c r="AA517" s="176"/>
      <c r="AB517" s="176"/>
      <c r="AC517" s="176"/>
      <c r="AD517" s="176"/>
      <c r="AE517" s="176"/>
      <c r="AF517" s="176"/>
      <c r="AG517" s="176"/>
      <c r="AH517" s="176"/>
      <c r="AI517" s="176"/>
      <c r="AJ517" s="176"/>
      <c r="AK517" s="176"/>
      <c r="AL517" s="176"/>
      <c r="AM517" s="176"/>
      <c r="AN517" s="176"/>
      <c r="AO517" s="176"/>
      <c r="AP517" s="176"/>
      <c r="AQ517" s="176"/>
      <c r="AR517" s="176"/>
      <c r="AS517" s="176"/>
      <c r="AT517" s="176"/>
      <c r="AU517" s="176"/>
      <c r="AV517" s="176"/>
      <c r="AW517" s="176"/>
      <c r="AX517" s="176"/>
      <c r="AY517" s="176"/>
      <c r="AZ517" s="176"/>
      <c r="BA517" s="176"/>
      <c r="BB517" s="176"/>
      <c r="BC517" s="176"/>
      <c r="BD517" s="176"/>
      <c r="BE517" s="176"/>
      <c r="BF517" s="176"/>
      <c r="BG517" s="176"/>
      <c r="BH517" s="176"/>
    </row>
    <row r="518" spans="2:60">
      <c r="B518" s="37" t="s">
        <v>417</v>
      </c>
      <c r="C518" s="38">
        <f>+(H513+M513)/11.5*10</f>
        <v>4162754073.44633</v>
      </c>
      <c r="G518" s="38">
        <f>+G517-G516</f>
        <v>-740222590.432007</v>
      </c>
      <c r="H518" s="38"/>
      <c r="K518" s="162"/>
      <c r="L518" s="162"/>
      <c r="M518" s="162"/>
      <c r="N518" s="162"/>
      <c r="O518" s="162"/>
      <c r="R518" s="177" t="e">
        <f>+#REF!-N513</f>
        <v>#REF!</v>
      </c>
      <c r="S518" s="176"/>
      <c r="T518" s="176"/>
      <c r="U518" s="176"/>
      <c r="V518" s="176"/>
      <c r="W518" s="176"/>
      <c r="X518" s="176"/>
      <c r="Y518" s="176"/>
      <c r="Z518" s="176"/>
      <c r="AA518" s="176"/>
      <c r="AB518" s="176"/>
      <c r="AC518" s="176"/>
      <c r="AD518" s="176"/>
      <c r="AE518" s="176"/>
      <c r="AF518" s="176"/>
      <c r="AG518" s="176"/>
      <c r="AH518" s="176"/>
      <c r="AI518" s="176"/>
      <c r="AJ518" s="176"/>
      <c r="AK518" s="176"/>
      <c r="AL518" s="176"/>
      <c r="AM518" s="176"/>
      <c r="AN518" s="176"/>
      <c r="AO518" s="176"/>
      <c r="AP518" s="176"/>
      <c r="AQ518" s="176"/>
      <c r="AR518" s="176"/>
      <c r="AS518" s="176"/>
      <c r="AT518" s="176"/>
      <c r="AU518" s="176"/>
      <c r="AV518" s="176"/>
      <c r="AW518" s="176"/>
      <c r="AX518" s="176"/>
      <c r="AY518" s="176"/>
      <c r="AZ518" s="176"/>
      <c r="BA518" s="176"/>
      <c r="BB518" s="176"/>
      <c r="BC518" s="176"/>
      <c r="BD518" s="176"/>
      <c r="BE518" s="176"/>
      <c r="BF518" s="176"/>
      <c r="BG518" s="176"/>
      <c r="BH518" s="176"/>
    </row>
    <row r="519" spans="2:60">
      <c r="B519" s="37" t="s">
        <v>418</v>
      </c>
      <c r="C519" s="38">
        <f>+(H513+M513)/11.5*1.5</f>
        <v>624413111.016949</v>
      </c>
      <c r="G519" s="149"/>
      <c r="H519" s="149"/>
      <c r="K519" s="162"/>
      <c r="L519" s="162"/>
      <c r="M519" s="162"/>
      <c r="N519" s="162"/>
      <c r="O519" s="162"/>
      <c r="R519" s="176"/>
      <c r="S519" s="176"/>
      <c r="T519" s="176"/>
      <c r="U519" s="176"/>
      <c r="V519" s="176"/>
      <c r="W519" s="176"/>
      <c r="X519" s="176"/>
      <c r="Y519" s="176"/>
      <c r="Z519" s="176"/>
      <c r="AA519" s="176"/>
      <c r="AB519" s="176"/>
      <c r="AC519" s="176"/>
      <c r="AD519" s="176"/>
      <c r="AE519" s="176"/>
      <c r="AF519" s="176"/>
      <c r="AG519" s="176"/>
      <c r="AH519" s="176"/>
      <c r="AI519" s="176"/>
      <c r="AJ519" s="176"/>
      <c r="AK519" s="176"/>
      <c r="AL519" s="176"/>
      <c r="AM519" s="176"/>
      <c r="AN519" s="176"/>
      <c r="AO519" s="176"/>
      <c r="AP519" s="176"/>
      <c r="AQ519" s="176"/>
      <c r="AR519" s="176"/>
      <c r="AS519" s="176"/>
      <c r="AT519" s="176"/>
      <c r="AU519" s="176"/>
      <c r="AV519" s="176"/>
      <c r="AW519" s="176"/>
      <c r="AX519" s="176"/>
      <c r="AY519" s="176"/>
      <c r="AZ519" s="176"/>
      <c r="BA519" s="176"/>
      <c r="BB519" s="176"/>
      <c r="BC519" s="176"/>
      <c r="BD519" s="176"/>
      <c r="BE519" s="176"/>
      <c r="BF519" s="176"/>
      <c r="BG519" s="176"/>
      <c r="BH519" s="176"/>
    </row>
    <row r="520" spans="2:60">
      <c r="B520" s="150" t="s">
        <v>419</v>
      </c>
      <c r="C520" s="151">
        <f>+C518+C519</f>
        <v>4787167184.46328</v>
      </c>
      <c r="H520" s="38"/>
      <c r="K520" s="162"/>
      <c r="L520" s="162"/>
      <c r="M520" s="162"/>
      <c r="N520" s="162"/>
      <c r="O520" s="162"/>
      <c r="R520" s="176"/>
      <c r="S520" s="176"/>
      <c r="T520" s="176"/>
      <c r="U520" s="176"/>
      <c r="V520" s="176"/>
      <c r="W520" s="176"/>
      <c r="X520" s="176"/>
      <c r="Y520" s="176"/>
      <c r="Z520" s="176"/>
      <c r="AA520" s="176"/>
      <c r="AB520" s="176"/>
      <c r="AC520" s="176"/>
      <c r="AD520" s="176"/>
      <c r="AE520" s="176"/>
      <c r="AF520" s="176"/>
      <c r="AG520" s="176"/>
      <c r="AH520" s="176"/>
      <c r="AI520" s="176"/>
      <c r="AJ520" s="176"/>
      <c r="AK520" s="176"/>
      <c r="AL520" s="176"/>
      <c r="AM520" s="176"/>
      <c r="AN520" s="176"/>
      <c r="AO520" s="176"/>
      <c r="AP520" s="176"/>
      <c r="AQ520" s="176"/>
      <c r="AR520" s="176"/>
      <c r="AS520" s="176"/>
      <c r="AT520" s="176"/>
      <c r="AU520" s="176"/>
      <c r="AV520" s="176"/>
      <c r="AW520" s="176"/>
      <c r="AX520" s="176"/>
      <c r="AY520" s="176"/>
      <c r="AZ520" s="176"/>
      <c r="BA520" s="176"/>
      <c r="BB520" s="176"/>
      <c r="BC520" s="176"/>
      <c r="BD520" s="176"/>
      <c r="BE520" s="176"/>
      <c r="BF520" s="176"/>
      <c r="BG520" s="176"/>
      <c r="BH520" s="176"/>
    </row>
    <row r="521" spans="8:60">
      <c r="H521" s="38"/>
      <c r="K521" s="162"/>
      <c r="L521" s="162"/>
      <c r="M521" s="162"/>
      <c r="N521" s="162"/>
      <c r="O521" s="162"/>
      <c r="R521" s="176"/>
      <c r="S521" s="176"/>
      <c r="T521" s="176"/>
      <c r="U521" s="176"/>
      <c r="V521" s="176"/>
      <c r="W521" s="176"/>
      <c r="X521" s="176"/>
      <c r="Y521" s="176"/>
      <c r="Z521" s="176"/>
      <c r="AA521" s="176"/>
      <c r="AB521" s="176"/>
      <c r="AC521" s="176"/>
      <c r="AD521" s="176"/>
      <c r="AE521" s="176"/>
      <c r="AF521" s="176"/>
      <c r="AG521" s="176"/>
      <c r="AH521" s="176"/>
      <c r="AI521" s="176"/>
      <c r="AJ521" s="176"/>
      <c r="AK521" s="176"/>
      <c r="AL521" s="176"/>
      <c r="AM521" s="176"/>
      <c r="AN521" s="176"/>
      <c r="AO521" s="176"/>
      <c r="AP521" s="176"/>
      <c r="AQ521" s="176"/>
      <c r="AR521" s="176"/>
      <c r="AS521" s="176"/>
      <c r="AT521" s="176"/>
      <c r="AU521" s="176"/>
      <c r="AV521" s="176"/>
      <c r="AW521" s="176"/>
      <c r="AX521" s="176"/>
      <c r="AY521" s="176"/>
      <c r="AZ521" s="176"/>
      <c r="BA521" s="176"/>
      <c r="BB521" s="176"/>
      <c r="BC521" s="176"/>
      <c r="BD521" s="176"/>
      <c r="BE521" s="176"/>
      <c r="BF521" s="176"/>
      <c r="BG521" s="176"/>
      <c r="BH521" s="176"/>
    </row>
    <row r="522" spans="8:60">
      <c r="H522" s="38"/>
      <c r="K522" s="162"/>
      <c r="L522" s="162"/>
      <c r="M522" s="162"/>
      <c r="N522" s="162"/>
      <c r="O522" s="162"/>
      <c r="R522" s="176"/>
      <c r="S522" s="176"/>
      <c r="T522" s="176"/>
      <c r="U522" s="176"/>
      <c r="V522" s="176"/>
      <c r="W522" s="176"/>
      <c r="X522" s="176"/>
      <c r="Y522" s="176"/>
      <c r="Z522" s="176"/>
      <c r="AA522" s="176"/>
      <c r="AB522" s="176"/>
      <c r="AC522" s="176"/>
      <c r="AD522" s="176"/>
      <c r="AE522" s="176"/>
      <c r="AF522" s="176"/>
      <c r="AG522" s="176"/>
      <c r="AH522" s="176"/>
      <c r="AI522" s="176"/>
      <c r="AJ522" s="176"/>
      <c r="AK522" s="176"/>
      <c r="AL522" s="176"/>
      <c r="AM522" s="176"/>
      <c r="AN522" s="176"/>
      <c r="AO522" s="176"/>
      <c r="AP522" s="176"/>
      <c r="AQ522" s="176"/>
      <c r="AR522" s="176"/>
      <c r="AS522" s="176"/>
      <c r="AT522" s="176"/>
      <c r="AU522" s="176"/>
      <c r="AV522" s="176"/>
      <c r="AW522" s="176"/>
      <c r="AX522" s="176"/>
      <c r="AY522" s="176"/>
      <c r="AZ522" s="176"/>
      <c r="BA522" s="176"/>
      <c r="BB522" s="176"/>
      <c r="BC522" s="176"/>
      <c r="BD522" s="176"/>
      <c r="BE522" s="176"/>
      <c r="BF522" s="176"/>
      <c r="BG522" s="176"/>
      <c r="BH522" s="176"/>
    </row>
    <row r="523" spans="8:60">
      <c r="H523" s="38"/>
      <c r="K523" s="162"/>
      <c r="L523" s="162"/>
      <c r="M523" s="162"/>
      <c r="N523" s="162"/>
      <c r="O523" s="162"/>
      <c r="R523" s="176"/>
      <c r="S523" s="176"/>
      <c r="T523" s="176"/>
      <c r="U523" s="176"/>
      <c r="V523" s="176"/>
      <c r="W523" s="176"/>
      <c r="X523" s="176"/>
      <c r="Y523" s="176"/>
      <c r="Z523" s="176"/>
      <c r="AA523" s="176"/>
      <c r="AB523" s="176"/>
      <c r="AC523" s="176"/>
      <c r="AD523" s="176"/>
      <c r="AE523" s="176"/>
      <c r="AF523" s="176"/>
      <c r="AG523" s="176"/>
      <c r="AH523" s="176"/>
      <c r="AI523" s="176"/>
      <c r="AJ523" s="176"/>
      <c r="AK523" s="176"/>
      <c r="AL523" s="176"/>
      <c r="AM523" s="176"/>
      <c r="AN523" s="176"/>
      <c r="AO523" s="176"/>
      <c r="AP523" s="176"/>
      <c r="AQ523" s="176"/>
      <c r="AR523" s="176"/>
      <c r="AS523" s="176"/>
      <c r="AT523" s="176"/>
      <c r="AU523" s="176"/>
      <c r="AV523" s="176"/>
      <c r="AW523" s="176"/>
      <c r="AX523" s="176"/>
      <c r="AY523" s="176"/>
      <c r="AZ523" s="176"/>
      <c r="BA523" s="176"/>
      <c r="BB523" s="176"/>
      <c r="BC523" s="176"/>
      <c r="BD523" s="176"/>
      <c r="BE523" s="176"/>
      <c r="BF523" s="176"/>
      <c r="BG523" s="176"/>
      <c r="BH523" s="176"/>
    </row>
    <row r="524" spans="8:60">
      <c r="H524" s="38"/>
      <c r="K524" s="162"/>
      <c r="L524" s="162"/>
      <c r="M524" s="162"/>
      <c r="N524" s="162"/>
      <c r="O524" s="162"/>
      <c r="R524" s="176"/>
      <c r="S524" s="176"/>
      <c r="T524" s="176"/>
      <c r="U524" s="176"/>
      <c r="V524" s="176"/>
      <c r="W524" s="176"/>
      <c r="X524" s="176"/>
      <c r="Y524" s="176"/>
      <c r="Z524" s="176"/>
      <c r="AA524" s="176"/>
      <c r="AB524" s="176"/>
      <c r="AC524" s="176"/>
      <c r="AD524" s="176"/>
      <c r="AE524" s="176"/>
      <c r="AF524" s="176"/>
      <c r="AG524" s="176"/>
      <c r="AH524" s="176"/>
      <c r="AI524" s="176"/>
      <c r="AJ524" s="176"/>
      <c r="AK524" s="176"/>
      <c r="AL524" s="176"/>
      <c r="AM524" s="176"/>
      <c r="AN524" s="176"/>
      <c r="AO524" s="176"/>
      <c r="AP524" s="176"/>
      <c r="AQ524" s="176"/>
      <c r="AR524" s="176"/>
      <c r="AS524" s="176"/>
      <c r="AT524" s="176"/>
      <c r="AU524" s="176"/>
      <c r="AV524" s="176"/>
      <c r="AW524" s="176"/>
      <c r="AX524" s="176"/>
      <c r="AY524" s="176"/>
      <c r="AZ524" s="176"/>
      <c r="BA524" s="176"/>
      <c r="BB524" s="176"/>
      <c r="BC524" s="176"/>
      <c r="BD524" s="176"/>
      <c r="BE524" s="176"/>
      <c r="BF524" s="176"/>
      <c r="BG524" s="176"/>
      <c r="BH524" s="176"/>
    </row>
    <row r="525" spans="8:60">
      <c r="H525" s="38"/>
      <c r="K525" s="162"/>
      <c r="L525" s="162"/>
      <c r="M525" s="162"/>
      <c r="N525" s="162"/>
      <c r="O525" s="162"/>
      <c r="R525" s="176"/>
      <c r="S525" s="176"/>
      <c r="T525" s="176"/>
      <c r="U525" s="176"/>
      <c r="V525" s="176"/>
      <c r="W525" s="176"/>
      <c r="X525" s="176"/>
      <c r="Y525" s="176"/>
      <c r="Z525" s="176"/>
      <c r="AA525" s="176"/>
      <c r="AB525" s="176"/>
      <c r="AC525" s="176"/>
      <c r="AD525" s="176"/>
      <c r="AE525" s="176"/>
      <c r="AF525" s="176"/>
      <c r="AG525" s="176"/>
      <c r="AH525" s="176"/>
      <c r="AI525" s="176"/>
      <c r="AJ525" s="176"/>
      <c r="AK525" s="176"/>
      <c r="AL525" s="176"/>
      <c r="AM525" s="176"/>
      <c r="AN525" s="176"/>
      <c r="AO525" s="176"/>
      <c r="AP525" s="176"/>
      <c r="AQ525" s="176"/>
      <c r="AR525" s="176"/>
      <c r="AS525" s="176"/>
      <c r="AT525" s="176"/>
      <c r="AU525" s="176"/>
      <c r="AV525" s="176"/>
      <c r="AW525" s="176"/>
      <c r="AX525" s="176"/>
      <c r="AY525" s="176"/>
      <c r="AZ525" s="176"/>
      <c r="BA525" s="176"/>
      <c r="BB525" s="176"/>
      <c r="BC525" s="176"/>
      <c r="BD525" s="176"/>
      <c r="BE525" s="176"/>
      <c r="BF525" s="176"/>
      <c r="BG525" s="176"/>
      <c r="BH525" s="176"/>
    </row>
    <row r="526" spans="8:60">
      <c r="H526" s="38"/>
      <c r="K526" s="162"/>
      <c r="L526" s="162"/>
      <c r="M526" s="162"/>
      <c r="N526" s="162"/>
      <c r="O526" s="162">
        <v>320918519</v>
      </c>
      <c r="R526" s="176"/>
      <c r="S526" s="176"/>
      <c r="T526" s="176"/>
      <c r="U526" s="176"/>
      <c r="V526" s="176"/>
      <c r="W526" s="176"/>
      <c r="X526" s="176"/>
      <c r="Y526" s="176"/>
      <c r="Z526" s="176"/>
      <c r="AA526" s="176"/>
      <c r="AB526" s="176"/>
      <c r="AC526" s="176"/>
      <c r="AD526" s="176"/>
      <c r="AE526" s="176"/>
      <c r="AF526" s="176"/>
      <c r="AG526" s="176"/>
      <c r="AH526" s="176"/>
      <c r="AI526" s="176"/>
      <c r="AJ526" s="176"/>
      <c r="AK526" s="176"/>
      <c r="AL526" s="176"/>
      <c r="AM526" s="176"/>
      <c r="AN526" s="176"/>
      <c r="AO526" s="176"/>
      <c r="AP526" s="176"/>
      <c r="AQ526" s="176"/>
      <c r="AR526" s="176"/>
      <c r="AS526" s="176"/>
      <c r="AT526" s="176"/>
      <c r="AU526" s="176"/>
      <c r="AV526" s="176"/>
      <c r="AW526" s="176"/>
      <c r="AX526" s="176"/>
      <c r="AY526" s="176"/>
      <c r="AZ526" s="176"/>
      <c r="BA526" s="176"/>
      <c r="BB526" s="176"/>
      <c r="BC526" s="176"/>
      <c r="BD526" s="176"/>
      <c r="BE526" s="176"/>
      <c r="BF526" s="176"/>
      <c r="BG526" s="176"/>
      <c r="BH526" s="176"/>
    </row>
    <row r="527" spans="8:60">
      <c r="H527" s="38"/>
      <c r="K527" s="162"/>
      <c r="L527" s="162"/>
      <c r="M527" s="162" t="s">
        <v>420</v>
      </c>
      <c r="N527" s="162"/>
      <c r="O527" s="162"/>
      <c r="R527" s="176"/>
      <c r="S527" s="176"/>
      <c r="T527" s="176"/>
      <c r="U527" s="176"/>
      <c r="V527" s="176"/>
      <c r="W527" s="176"/>
      <c r="X527" s="176"/>
      <c r="Y527" s="176"/>
      <c r="Z527" s="176"/>
      <c r="AA527" s="176"/>
      <c r="AB527" s="176"/>
      <c r="AC527" s="176"/>
      <c r="AD527" s="176"/>
      <c r="AE527" s="176"/>
      <c r="AF527" s="176"/>
      <c r="AG527" s="176"/>
      <c r="AH527" s="176"/>
      <c r="AI527" s="176"/>
      <c r="AJ527" s="176"/>
      <c r="AK527" s="176"/>
      <c r="AL527" s="176"/>
      <c r="AM527" s="176"/>
      <c r="AN527" s="176"/>
      <c r="AO527" s="176"/>
      <c r="AP527" s="176"/>
      <c r="AQ527" s="176"/>
      <c r="AR527" s="176"/>
      <c r="AS527" s="176"/>
      <c r="AT527" s="176"/>
      <c r="AU527" s="176"/>
      <c r="AV527" s="176"/>
      <c r="AW527" s="176"/>
      <c r="AX527" s="176"/>
      <c r="AY527" s="176"/>
      <c r="AZ527" s="176"/>
      <c r="BA527" s="176"/>
      <c r="BB527" s="176"/>
      <c r="BC527" s="176"/>
      <c r="BD527" s="176"/>
      <c r="BE527" s="176"/>
      <c r="BF527" s="176"/>
      <c r="BG527" s="176"/>
      <c r="BH527" s="176"/>
    </row>
    <row r="528" spans="8:60">
      <c r="H528" s="38"/>
      <c r="K528" s="162"/>
      <c r="L528" s="162"/>
      <c r="M528" s="162"/>
      <c r="N528" s="162"/>
      <c r="O528" s="162"/>
      <c r="R528" s="176"/>
      <c r="S528" s="176"/>
      <c r="T528" s="176"/>
      <c r="U528" s="176"/>
      <c r="V528" s="176"/>
      <c r="W528" s="176"/>
      <c r="X528" s="176"/>
      <c r="Y528" s="176"/>
      <c r="Z528" s="176"/>
      <c r="AA528" s="176"/>
      <c r="AB528" s="176"/>
      <c r="AC528" s="176"/>
      <c r="AD528" s="176"/>
      <c r="AE528" s="176"/>
      <c r="AF528" s="176"/>
      <c r="AG528" s="176"/>
      <c r="AH528" s="176"/>
      <c r="AI528" s="176"/>
      <c r="AJ528" s="176"/>
      <c r="AK528" s="176"/>
      <c r="AL528" s="176"/>
      <c r="AM528" s="176"/>
      <c r="AN528" s="176"/>
      <c r="AO528" s="176"/>
      <c r="AP528" s="176"/>
      <c r="AQ528" s="176"/>
      <c r="AR528" s="176"/>
      <c r="AS528" s="176"/>
      <c r="AT528" s="176"/>
      <c r="AU528" s="176"/>
      <c r="AV528" s="176"/>
      <c r="AW528" s="176"/>
      <c r="AX528" s="176"/>
      <c r="AY528" s="176"/>
      <c r="AZ528" s="176"/>
      <c r="BA528" s="176"/>
      <c r="BB528" s="176"/>
      <c r="BC528" s="176"/>
      <c r="BD528" s="176"/>
      <c r="BE528" s="176"/>
      <c r="BF528" s="176"/>
      <c r="BG528" s="176"/>
      <c r="BH528" s="176"/>
    </row>
    <row r="529" spans="8:60">
      <c r="H529" s="38"/>
      <c r="K529" s="162"/>
      <c r="L529" s="162"/>
      <c r="M529" s="162"/>
      <c r="N529" s="162"/>
      <c r="O529" s="162"/>
      <c r="R529" s="176"/>
      <c r="S529" s="176"/>
      <c r="T529" s="176"/>
      <c r="U529" s="176"/>
      <c r="V529" s="176"/>
      <c r="W529" s="176"/>
      <c r="X529" s="176"/>
      <c r="Y529" s="176"/>
      <c r="Z529" s="176"/>
      <c r="AA529" s="176"/>
      <c r="AB529" s="176"/>
      <c r="AC529" s="176"/>
      <c r="AD529" s="176"/>
      <c r="AE529" s="176"/>
      <c r="AF529" s="176"/>
      <c r="AG529" s="176"/>
      <c r="AH529" s="176"/>
      <c r="AI529" s="176"/>
      <c r="AJ529" s="176"/>
      <c r="AK529" s="176"/>
      <c r="AL529" s="176"/>
      <c r="AM529" s="176"/>
      <c r="AN529" s="176"/>
      <c r="AO529" s="176"/>
      <c r="AP529" s="176"/>
      <c r="AQ529" s="176"/>
      <c r="AR529" s="176"/>
      <c r="AS529" s="176"/>
      <c r="AT529" s="176"/>
      <c r="AU529" s="176"/>
      <c r="AV529" s="176"/>
      <c r="AW529" s="176"/>
      <c r="AX529" s="176"/>
      <c r="AY529" s="176"/>
      <c r="AZ529" s="176"/>
      <c r="BA529" s="176"/>
      <c r="BB529" s="176"/>
      <c r="BC529" s="176"/>
      <c r="BD529" s="176"/>
      <c r="BE529" s="176"/>
      <c r="BF529" s="176"/>
      <c r="BG529" s="176"/>
      <c r="BH529" s="176"/>
    </row>
    <row r="530" spans="8:60">
      <c r="H530" s="38"/>
      <c r="K530" s="162"/>
      <c r="L530" s="162"/>
      <c r="M530" s="162" t="s">
        <v>421</v>
      </c>
      <c r="N530" s="162"/>
      <c r="O530" s="162">
        <v>1500000000</v>
      </c>
      <c r="R530" s="176"/>
      <c r="S530" s="176"/>
      <c r="T530" s="176"/>
      <c r="U530" s="176"/>
      <c r="V530" s="176"/>
      <c r="W530" s="176"/>
      <c r="X530" s="176"/>
      <c r="Y530" s="176"/>
      <c r="Z530" s="176"/>
      <c r="AA530" s="176"/>
      <c r="AB530" s="176"/>
      <c r="AC530" s="176"/>
      <c r="AD530" s="176"/>
      <c r="AE530" s="176"/>
      <c r="AF530" s="176"/>
      <c r="AG530" s="176"/>
      <c r="AH530" s="176"/>
      <c r="AI530" s="176"/>
      <c r="AJ530" s="176"/>
      <c r="AK530" s="176"/>
      <c r="AL530" s="176"/>
      <c r="AM530" s="176"/>
      <c r="AN530" s="176"/>
      <c r="AO530" s="176"/>
      <c r="AP530" s="176"/>
      <c r="AQ530" s="176"/>
      <c r="AR530" s="176"/>
      <c r="AS530" s="176"/>
      <c r="AT530" s="176"/>
      <c r="AU530" s="176"/>
      <c r="AV530" s="176"/>
      <c r="AW530" s="176"/>
      <c r="AX530" s="176"/>
      <c r="AY530" s="176"/>
      <c r="AZ530" s="176"/>
      <c r="BA530" s="176"/>
      <c r="BB530" s="176"/>
      <c r="BC530" s="176"/>
      <c r="BD530" s="176"/>
      <c r="BE530" s="176"/>
      <c r="BF530" s="176"/>
      <c r="BG530" s="176"/>
      <c r="BH530" s="176"/>
    </row>
    <row r="531" spans="8:60">
      <c r="H531" s="38"/>
      <c r="K531" s="162"/>
      <c r="L531" s="162"/>
      <c r="M531" s="162" t="s">
        <v>422</v>
      </c>
      <c r="N531" s="162"/>
      <c r="O531" s="162">
        <v>1000000000</v>
      </c>
      <c r="R531" s="176"/>
      <c r="S531" s="176"/>
      <c r="T531" s="176"/>
      <c r="U531" s="176"/>
      <c r="V531" s="176"/>
      <c r="W531" s="176"/>
      <c r="X531" s="176"/>
      <c r="Y531" s="176"/>
      <c r="Z531" s="176"/>
      <c r="AA531" s="176"/>
      <c r="AB531" s="176"/>
      <c r="AC531" s="176"/>
      <c r="AD531" s="176"/>
      <c r="AE531" s="176"/>
      <c r="AF531" s="176"/>
      <c r="AG531" s="176"/>
      <c r="AH531" s="176"/>
      <c r="AI531" s="176"/>
      <c r="AJ531" s="176"/>
      <c r="AK531" s="176"/>
      <c r="AL531" s="176"/>
      <c r="AM531" s="176"/>
      <c r="AN531" s="176"/>
      <c r="AO531" s="176"/>
      <c r="AP531" s="176"/>
      <c r="AQ531" s="176"/>
      <c r="AR531" s="176"/>
      <c r="AS531" s="176"/>
      <c r="AT531" s="176"/>
      <c r="AU531" s="176"/>
      <c r="AV531" s="176"/>
      <c r="AW531" s="176"/>
      <c r="AX531" s="176"/>
      <c r="AY531" s="176"/>
      <c r="AZ531" s="176"/>
      <c r="BA531" s="176"/>
      <c r="BB531" s="176"/>
      <c r="BC531" s="176"/>
      <c r="BD531" s="176"/>
      <c r="BE531" s="176"/>
      <c r="BF531" s="176"/>
      <c r="BG531" s="176"/>
      <c r="BH531" s="176"/>
    </row>
    <row r="532" spans="8:60">
      <c r="H532" s="38"/>
      <c r="K532" s="162"/>
      <c r="L532" s="162"/>
      <c r="M532" s="162"/>
      <c r="N532" s="162"/>
      <c r="O532" s="162">
        <f>O522+O530+O531</f>
        <v>2500000000</v>
      </c>
      <c r="R532" s="176"/>
      <c r="S532" s="176"/>
      <c r="T532" s="176"/>
      <c r="U532" s="176"/>
      <c r="V532" s="176"/>
      <c r="W532" s="176"/>
      <c r="X532" s="176"/>
      <c r="Y532" s="176"/>
      <c r="Z532" s="176"/>
      <c r="AA532" s="176"/>
      <c r="AB532" s="176"/>
      <c r="AC532" s="176"/>
      <c r="AD532" s="176"/>
      <c r="AE532" s="176"/>
      <c r="AF532" s="176"/>
      <c r="AG532" s="176"/>
      <c r="AH532" s="176"/>
      <c r="AI532" s="176"/>
      <c r="AJ532" s="176"/>
      <c r="AK532" s="176"/>
      <c r="AL532" s="176"/>
      <c r="AM532" s="176"/>
      <c r="AN532" s="176"/>
      <c r="AO532" s="176"/>
      <c r="AP532" s="176"/>
      <c r="AQ532" s="176"/>
      <c r="AR532" s="176"/>
      <c r="AS532" s="176"/>
      <c r="AT532" s="176"/>
      <c r="AU532" s="176"/>
      <c r="AV532" s="176"/>
      <c r="AW532" s="176"/>
      <c r="AX532" s="176"/>
      <c r="AY532" s="176"/>
      <c r="AZ532" s="176"/>
      <c r="BA532" s="176"/>
      <c r="BB532" s="176"/>
      <c r="BC532" s="176"/>
      <c r="BD532" s="176"/>
      <c r="BE532" s="176"/>
      <c r="BF532" s="176"/>
      <c r="BG532" s="176"/>
      <c r="BH532" s="176"/>
    </row>
    <row r="533" spans="8:60">
      <c r="H533" s="38"/>
      <c r="K533" s="162"/>
      <c r="L533" s="162"/>
      <c r="M533" s="162"/>
      <c r="N533" s="162"/>
      <c r="O533" s="162"/>
      <c r="R533" s="176"/>
      <c r="S533" s="176"/>
      <c r="T533" s="176"/>
      <c r="U533" s="176"/>
      <c r="V533" s="176"/>
      <c r="W533" s="176"/>
      <c r="X533" s="176"/>
      <c r="Y533" s="176"/>
      <c r="Z533" s="176"/>
      <c r="AA533" s="176"/>
      <c r="AB533" s="176"/>
      <c r="AC533" s="176"/>
      <c r="AD533" s="176"/>
      <c r="AE533" s="176"/>
      <c r="AF533" s="176"/>
      <c r="AG533" s="176"/>
      <c r="AH533" s="176"/>
      <c r="AI533" s="176"/>
      <c r="AJ533" s="176"/>
      <c r="AK533" s="176"/>
      <c r="AL533" s="176"/>
      <c r="AM533" s="176"/>
      <c r="AN533" s="176"/>
      <c r="AO533" s="176"/>
      <c r="AP533" s="176"/>
      <c r="AQ533" s="176"/>
      <c r="AR533" s="176"/>
      <c r="AS533" s="176"/>
      <c r="AT533" s="176"/>
      <c r="AU533" s="176"/>
      <c r="AV533" s="176"/>
      <c r="AW533" s="176"/>
      <c r="AX533" s="176"/>
      <c r="AY533" s="176"/>
      <c r="AZ533" s="176"/>
      <c r="BA533" s="176"/>
      <c r="BB533" s="176"/>
      <c r="BC533" s="176"/>
      <c r="BD533" s="176"/>
      <c r="BE533" s="176"/>
      <c r="BF533" s="176"/>
      <c r="BG533" s="176"/>
      <c r="BH533" s="176"/>
    </row>
    <row r="534" spans="8:60">
      <c r="H534" s="38"/>
      <c r="K534" s="162"/>
      <c r="L534" s="162"/>
      <c r="M534" s="162"/>
      <c r="N534" s="162"/>
      <c r="O534" s="162"/>
      <c r="R534" s="176"/>
      <c r="S534" s="176"/>
      <c r="T534" s="176"/>
      <c r="U534" s="176"/>
      <c r="V534" s="176"/>
      <c r="W534" s="176"/>
      <c r="X534" s="176"/>
      <c r="Y534" s="176"/>
      <c r="Z534" s="176"/>
      <c r="AA534" s="176"/>
      <c r="AB534" s="176"/>
      <c r="AC534" s="176"/>
      <c r="AD534" s="176"/>
      <c r="AE534" s="176"/>
      <c r="AF534" s="176"/>
      <c r="AG534" s="176"/>
      <c r="AH534" s="176"/>
      <c r="AI534" s="176"/>
      <c r="AJ534" s="176"/>
      <c r="AK534" s="176"/>
      <c r="AL534" s="176"/>
      <c r="AM534" s="176"/>
      <c r="AN534" s="176"/>
      <c r="AO534" s="176"/>
      <c r="AP534" s="176"/>
      <c r="AQ534" s="176"/>
      <c r="AR534" s="176"/>
      <c r="AS534" s="176"/>
      <c r="AT534" s="176"/>
      <c r="AU534" s="176"/>
      <c r="AV534" s="176"/>
      <c r="AW534" s="176"/>
      <c r="AX534" s="176"/>
      <c r="AY534" s="176"/>
      <c r="AZ534" s="176"/>
      <c r="BA534" s="176"/>
      <c r="BB534" s="176"/>
      <c r="BC534" s="176"/>
      <c r="BD534" s="176"/>
      <c r="BE534" s="176"/>
      <c r="BF534" s="176"/>
      <c r="BG534" s="176"/>
      <c r="BH534" s="176"/>
    </row>
    <row r="535" spans="8:60">
      <c r="H535" s="38"/>
      <c r="K535" s="162"/>
      <c r="L535" s="162"/>
      <c r="M535" s="162"/>
      <c r="N535" s="162"/>
      <c r="O535" s="162"/>
      <c r="R535" s="176"/>
      <c r="S535" s="176"/>
      <c r="T535" s="176"/>
      <c r="U535" s="176"/>
      <c r="V535" s="176"/>
      <c r="W535" s="176"/>
      <c r="X535" s="176"/>
      <c r="Y535" s="176"/>
      <c r="Z535" s="176"/>
      <c r="AA535" s="176"/>
      <c r="AB535" s="176"/>
      <c r="AC535" s="176"/>
      <c r="AD535" s="176"/>
      <c r="AE535" s="176"/>
      <c r="AF535" s="176"/>
      <c r="AG535" s="176"/>
      <c r="AH535" s="176"/>
      <c r="AI535" s="176"/>
      <c r="AJ535" s="176"/>
      <c r="AK535" s="176"/>
      <c r="AL535" s="176"/>
      <c r="AM535" s="176"/>
      <c r="AN535" s="176"/>
      <c r="AO535" s="176"/>
      <c r="AP535" s="176"/>
      <c r="AQ535" s="176"/>
      <c r="AR535" s="176"/>
      <c r="AS535" s="176"/>
      <c r="AT535" s="176"/>
      <c r="AU535" s="176"/>
      <c r="AV535" s="176"/>
      <c r="AW535" s="176"/>
      <c r="AX535" s="176"/>
      <c r="AY535" s="176"/>
      <c r="AZ535" s="176"/>
      <c r="BA535" s="176"/>
      <c r="BB535" s="176"/>
      <c r="BC535" s="176"/>
      <c r="BD535" s="176"/>
      <c r="BE535" s="176"/>
      <c r="BF535" s="176"/>
      <c r="BG535" s="176"/>
      <c r="BH535" s="176"/>
    </row>
    <row r="536" spans="8:60">
      <c r="H536" s="38"/>
      <c r="K536" s="162"/>
      <c r="L536" s="162"/>
      <c r="M536" s="162"/>
      <c r="N536" s="162"/>
      <c r="O536" s="162"/>
      <c r="R536" s="176"/>
      <c r="S536" s="176"/>
      <c r="T536" s="176"/>
      <c r="U536" s="176"/>
      <c r="V536" s="176"/>
      <c r="W536" s="176"/>
      <c r="X536" s="176"/>
      <c r="Y536" s="176"/>
      <c r="Z536" s="176"/>
      <c r="AA536" s="176"/>
      <c r="AB536" s="176"/>
      <c r="AC536" s="176"/>
      <c r="AD536" s="176"/>
      <c r="AE536" s="176"/>
      <c r="AF536" s="176"/>
      <c r="AG536" s="176"/>
      <c r="AH536" s="176"/>
      <c r="AI536" s="176"/>
      <c r="AJ536" s="176"/>
      <c r="AK536" s="176"/>
      <c r="AL536" s="176"/>
      <c r="AM536" s="176"/>
      <c r="AN536" s="176"/>
      <c r="AO536" s="176"/>
      <c r="AP536" s="176"/>
      <c r="AQ536" s="176"/>
      <c r="AR536" s="176"/>
      <c r="AS536" s="176"/>
      <c r="AT536" s="176"/>
      <c r="AU536" s="176"/>
      <c r="AV536" s="176"/>
      <c r="AW536" s="176"/>
      <c r="AX536" s="176"/>
      <c r="AY536" s="176"/>
      <c r="AZ536" s="176"/>
      <c r="BA536" s="176"/>
      <c r="BB536" s="176"/>
      <c r="BC536" s="176"/>
      <c r="BD536" s="176"/>
      <c r="BE536" s="176"/>
      <c r="BF536" s="176"/>
      <c r="BG536" s="176"/>
      <c r="BH536" s="176"/>
    </row>
    <row r="537" spans="8:60">
      <c r="H537" s="38"/>
      <c r="K537" s="162"/>
      <c r="L537" s="162"/>
      <c r="M537" s="162"/>
      <c r="N537" s="162"/>
      <c r="O537" s="162"/>
      <c r="R537" s="176"/>
      <c r="S537" s="176"/>
      <c r="T537" s="176"/>
      <c r="U537" s="176"/>
      <c r="V537" s="176"/>
      <c r="W537" s="176"/>
      <c r="X537" s="176"/>
      <c r="Y537" s="176"/>
      <c r="Z537" s="176"/>
      <c r="AA537" s="176"/>
      <c r="AB537" s="176"/>
      <c r="AC537" s="176"/>
      <c r="AD537" s="176"/>
      <c r="AE537" s="176"/>
      <c r="AF537" s="176"/>
      <c r="AG537" s="176"/>
      <c r="AH537" s="176"/>
      <c r="AI537" s="176"/>
      <c r="AJ537" s="176"/>
      <c r="AK537" s="176"/>
      <c r="AL537" s="176"/>
      <c r="AM537" s="176"/>
      <c r="AN537" s="176"/>
      <c r="AO537" s="176"/>
      <c r="AP537" s="176"/>
      <c r="AQ537" s="176"/>
      <c r="AR537" s="176"/>
      <c r="AS537" s="176"/>
      <c r="AT537" s="176"/>
      <c r="AU537" s="176"/>
      <c r="AV537" s="176"/>
      <c r="AW537" s="176"/>
      <c r="AX537" s="176"/>
      <c r="AY537" s="176"/>
      <c r="AZ537" s="176"/>
      <c r="BA537" s="176"/>
      <c r="BB537" s="176"/>
      <c r="BC537" s="176"/>
      <c r="BD537" s="176"/>
      <c r="BE537" s="176"/>
      <c r="BF537" s="176"/>
      <c r="BG537" s="176"/>
      <c r="BH537" s="176"/>
    </row>
    <row r="538" spans="2:15">
      <c r="B538" s="152"/>
      <c r="H538" s="38"/>
      <c r="J538" s="163"/>
      <c r="K538" s="163"/>
      <c r="L538" s="164"/>
      <c r="M538" s="163"/>
      <c r="N538" s="165"/>
      <c r="O538" s="163"/>
    </row>
    <row r="539" spans="2:15">
      <c r="B539" s="152"/>
      <c r="F539" s="38"/>
      <c r="G539" s="38"/>
      <c r="H539" s="38"/>
      <c r="I539" s="166"/>
      <c r="J539" s="165"/>
      <c r="K539" s="165"/>
      <c r="L539" s="165"/>
      <c r="M539" s="165"/>
      <c r="N539" s="165"/>
      <c r="O539" s="165"/>
    </row>
    <row r="540" spans="2:15">
      <c r="B540" s="152"/>
      <c r="G540" s="38"/>
      <c r="H540" s="38"/>
      <c r="I540" s="167"/>
      <c r="J540" s="162"/>
      <c r="K540" s="162"/>
      <c r="L540" s="162"/>
      <c r="M540" s="162"/>
      <c r="N540" s="162"/>
      <c r="O540" s="162"/>
    </row>
    <row r="541" spans="6:12">
      <c r="F541" s="153"/>
      <c r="G541" s="153"/>
      <c r="H541" s="153"/>
      <c r="I541" s="153"/>
      <c r="L541" s="40"/>
    </row>
    <row r="542" spans="6:12">
      <c r="F542" s="154"/>
      <c r="G542" s="154"/>
      <c r="H542" s="154"/>
      <c r="L542" s="40"/>
    </row>
    <row r="543" spans="6:12">
      <c r="F543" s="154"/>
      <c r="G543" s="154"/>
      <c r="H543" s="153"/>
      <c r="I543" s="153"/>
      <c r="L543" s="40"/>
    </row>
    <row r="544" spans="6:12">
      <c r="F544" s="38"/>
      <c r="G544" s="38"/>
      <c r="H544" s="38"/>
      <c r="L544" s="40"/>
    </row>
    <row r="545" spans="4:14">
      <c r="D545" s="151"/>
      <c r="F545" s="38"/>
      <c r="G545" s="38"/>
      <c r="N545" s="168"/>
    </row>
    <row r="546" spans="4:6">
      <c r="D546" s="151"/>
      <c r="F546" s="41"/>
    </row>
    <row r="547" spans="6:6">
      <c r="F547" s="38"/>
    </row>
    <row r="548" spans="4:4">
      <c r="D548" s="151"/>
    </row>
    <row r="549" spans="4:4">
      <c r="D549" s="151"/>
    </row>
    <row r="550" s="34" customFormat="1" spans="2:16">
      <c r="B550" s="150"/>
      <c r="C550" s="151"/>
      <c r="D550" s="151"/>
      <c r="I550" s="151"/>
      <c r="J550" s="169"/>
      <c r="K550" s="169"/>
      <c r="L550" s="169"/>
      <c r="M550" s="169"/>
      <c r="N550" s="168"/>
      <c r="O550" s="168"/>
      <c r="P550" s="170"/>
    </row>
    <row r="552" spans="2:2">
      <c r="B552" s="37" t="s">
        <v>423</v>
      </c>
    </row>
    <row r="553" s="34" customFormat="1" spans="2:16">
      <c r="B553" s="150"/>
      <c r="C553" s="151"/>
      <c r="D553" s="151"/>
      <c r="I553" s="151"/>
      <c r="J553" s="169"/>
      <c r="K553" s="169"/>
      <c r="L553" s="169"/>
      <c r="M553" s="169"/>
      <c r="N553" s="168"/>
      <c r="O553" s="168"/>
      <c r="P553" s="170"/>
    </row>
    <row r="554" spans="2:3">
      <c r="B554" s="155" t="s">
        <v>424</v>
      </c>
      <c r="C554" s="38">
        <v>744652000</v>
      </c>
    </row>
    <row r="555" spans="2:3">
      <c r="B555" s="155" t="s">
        <v>425</v>
      </c>
      <c r="C555" s="38">
        <v>1272000000</v>
      </c>
    </row>
    <row r="556" spans="2:3">
      <c r="B556" s="155" t="s">
        <v>426</v>
      </c>
      <c r="C556" s="38">
        <v>1980000000</v>
      </c>
    </row>
    <row r="557" spans="3:3">
      <c r="C557" s="151">
        <f>SUM(C554:C556)</f>
        <v>3996652000</v>
      </c>
    </row>
    <row r="558" spans="3:3">
      <c r="C558" s="38">
        <v>57078829800</v>
      </c>
    </row>
    <row r="559" spans="3:3">
      <c r="C559" s="151">
        <f>+C558+C557</f>
        <v>61075481800</v>
      </c>
    </row>
    <row r="560" s="27" customFormat="1" ht="41.25" customHeight="1" spans="1:19">
      <c r="A560" s="65"/>
      <c r="B560" s="113" t="s">
        <v>427</v>
      </c>
      <c r="C560" s="114"/>
      <c r="D560" s="114">
        <f t="shared" ref="D560:D564" si="181">+G560+L560</f>
        <v>500000000</v>
      </c>
      <c r="E560" s="115"/>
      <c r="F560" s="115"/>
      <c r="G560" s="114">
        <v>500000000</v>
      </c>
      <c r="H560" s="114"/>
      <c r="I560" s="114">
        <f>+G560</f>
        <v>500000000</v>
      </c>
      <c r="J560" s="171"/>
      <c r="K560" s="171"/>
      <c r="L560" s="171"/>
      <c r="M560" s="171"/>
      <c r="N560" s="172"/>
      <c r="O560" s="172"/>
      <c r="P560" s="95"/>
      <c r="Q560" s="99"/>
      <c r="R560" s="99"/>
      <c r="S560" s="99"/>
    </row>
    <row r="561" s="27" customFormat="1" ht="40" customHeight="1" spans="1:19">
      <c r="A561" s="65"/>
      <c r="B561" s="113" t="s">
        <v>428</v>
      </c>
      <c r="C561" s="114"/>
      <c r="D561" s="114">
        <f t="shared" si="181"/>
        <v>170000000</v>
      </c>
      <c r="E561" s="115"/>
      <c r="F561" s="115"/>
      <c r="G561" s="114">
        <f>+I561</f>
        <v>170000000</v>
      </c>
      <c r="H561" s="114"/>
      <c r="I561" s="114">
        <v>170000000</v>
      </c>
      <c r="J561" s="171"/>
      <c r="K561" s="171"/>
      <c r="L561" s="171"/>
      <c r="M561" s="171"/>
      <c r="N561" s="172"/>
      <c r="O561" s="172"/>
      <c r="P561" s="95"/>
      <c r="Q561" s="99"/>
      <c r="R561" s="99"/>
      <c r="S561" s="99"/>
    </row>
    <row r="562" s="27" customFormat="1" ht="36" customHeight="1" spans="1:19">
      <c r="A562" s="65"/>
      <c r="B562" s="113" t="s">
        <v>429</v>
      </c>
      <c r="C562" s="114"/>
      <c r="D562" s="114">
        <f t="shared" si="181"/>
        <v>80000000</v>
      </c>
      <c r="E562" s="115"/>
      <c r="F562" s="115"/>
      <c r="G562" s="114">
        <v>80000000</v>
      </c>
      <c r="H562" s="114"/>
      <c r="I562" s="114">
        <f t="shared" ref="I562:I566" si="182">+G562-H562</f>
        <v>80000000</v>
      </c>
      <c r="J562" s="171"/>
      <c r="K562" s="171"/>
      <c r="L562" s="171"/>
      <c r="M562" s="171"/>
      <c r="N562" s="172"/>
      <c r="O562" s="172"/>
      <c r="P562" s="95"/>
      <c r="Q562" s="99"/>
      <c r="R562" s="99"/>
      <c r="S562" s="99"/>
    </row>
    <row r="563" s="27" customFormat="1" ht="73" customHeight="1" spans="1:19">
      <c r="A563" s="65"/>
      <c r="B563" s="125" t="s">
        <v>430</v>
      </c>
      <c r="C563" s="114"/>
      <c r="D563" s="114">
        <f t="shared" si="181"/>
        <v>50000000</v>
      </c>
      <c r="E563" s="115"/>
      <c r="F563" s="115"/>
      <c r="G563" s="114">
        <v>50000000</v>
      </c>
      <c r="H563" s="114"/>
      <c r="I563" s="114">
        <f t="shared" si="182"/>
        <v>50000000</v>
      </c>
      <c r="J563" s="171"/>
      <c r="K563" s="171"/>
      <c r="L563" s="171"/>
      <c r="M563" s="171"/>
      <c r="N563" s="172"/>
      <c r="O563" s="172"/>
      <c r="P563" s="95"/>
      <c r="Q563" s="99"/>
      <c r="R563" s="99"/>
      <c r="S563" s="99"/>
    </row>
    <row r="564" s="35" customFormat="1" ht="55" customHeight="1" spans="1:19">
      <c r="A564" s="156"/>
      <c r="B564" s="157" t="s">
        <v>431</v>
      </c>
      <c r="C564" s="158"/>
      <c r="D564" s="158">
        <f t="shared" si="181"/>
        <v>0</v>
      </c>
      <c r="E564" s="159"/>
      <c r="F564" s="159"/>
      <c r="G564" s="158"/>
      <c r="H564" s="158"/>
      <c r="I564" s="158"/>
      <c r="J564" s="171"/>
      <c r="K564" s="171"/>
      <c r="L564" s="171"/>
      <c r="M564" s="171"/>
      <c r="N564" s="172"/>
      <c r="O564" s="172"/>
      <c r="P564" s="173"/>
      <c r="Q564" s="178"/>
      <c r="R564" s="178"/>
      <c r="S564" s="178"/>
    </row>
    <row r="566" s="27" customFormat="1" ht="59" customHeight="1" spans="1:19">
      <c r="A566" s="65"/>
      <c r="B566" s="113" t="s">
        <v>432</v>
      </c>
      <c r="C566" s="114"/>
      <c r="D566" s="114">
        <f t="shared" ref="D566:D568" si="183">+G566+L566</f>
        <v>300000000</v>
      </c>
      <c r="E566" s="115"/>
      <c r="F566" s="115"/>
      <c r="G566" s="114">
        <v>300000000</v>
      </c>
      <c r="H566" s="114"/>
      <c r="I566" s="114">
        <f t="shared" si="182"/>
        <v>300000000</v>
      </c>
      <c r="J566" s="171"/>
      <c r="K566" s="171"/>
      <c r="L566" s="171"/>
      <c r="M566" s="171"/>
      <c r="N566" s="172"/>
      <c r="O566" s="172"/>
      <c r="P566" s="95"/>
      <c r="Q566" s="99"/>
      <c r="R566" s="99"/>
      <c r="S566" s="99"/>
    </row>
    <row r="567" s="35" customFormat="1" ht="55" customHeight="1" spans="1:19">
      <c r="A567" s="156"/>
      <c r="B567" s="157" t="s">
        <v>433</v>
      </c>
      <c r="C567" s="158"/>
      <c r="D567" s="158">
        <f t="shared" si="183"/>
        <v>0</v>
      </c>
      <c r="E567" s="159"/>
      <c r="F567" s="159"/>
      <c r="G567" s="158"/>
      <c r="H567" s="158"/>
      <c r="I567" s="158"/>
      <c r="J567" s="171"/>
      <c r="K567" s="171"/>
      <c r="L567" s="171"/>
      <c r="M567" s="171"/>
      <c r="N567" s="172"/>
      <c r="O567" s="172"/>
      <c r="P567" s="173"/>
      <c r="Q567" s="178"/>
      <c r="R567" s="178"/>
      <c r="S567" s="178"/>
    </row>
    <row r="568" s="27" customFormat="1" ht="79" customHeight="1" spans="1:19">
      <c r="A568" s="65"/>
      <c r="B568" s="160" t="s">
        <v>434</v>
      </c>
      <c r="C568" s="114"/>
      <c r="D568" s="114">
        <f t="shared" si="183"/>
        <v>550000000</v>
      </c>
      <c r="E568" s="115"/>
      <c r="F568" s="115"/>
      <c r="G568" s="114">
        <v>550000000</v>
      </c>
      <c r="H568" s="114"/>
      <c r="I568" s="114">
        <f>+G568-H568</f>
        <v>550000000</v>
      </c>
      <c r="J568" s="171"/>
      <c r="K568" s="171"/>
      <c r="L568" s="171"/>
      <c r="M568" s="171"/>
      <c r="N568" s="172"/>
      <c r="O568" s="172"/>
      <c r="P568" s="95"/>
      <c r="Q568" s="99"/>
      <c r="R568" s="99"/>
      <c r="S568" s="99"/>
    </row>
    <row r="571" s="27" customFormat="1" ht="61" customHeight="1" spans="1:19">
      <c r="A571" s="65"/>
      <c r="B571" s="110" t="s">
        <v>435</v>
      </c>
      <c r="C571" s="67"/>
      <c r="D571" s="67">
        <f t="shared" ref="D571:D574" si="184">+G571+L571</f>
        <v>666666666.666667</v>
      </c>
      <c r="E571" s="65"/>
      <c r="F571" s="65"/>
      <c r="G571" s="67">
        <f>590000000/0.885</f>
        <v>666666666.666667</v>
      </c>
      <c r="H571" s="67">
        <f>+G571*0.115</f>
        <v>76666666.6666667</v>
      </c>
      <c r="I571" s="67">
        <f>+G571-H571</f>
        <v>590000000</v>
      </c>
      <c r="J571" s="171"/>
      <c r="K571" s="171"/>
      <c r="L571" s="171"/>
      <c r="M571" s="171"/>
      <c r="N571" s="172"/>
      <c r="O571" s="172"/>
      <c r="P571" s="95"/>
      <c r="Q571" s="99"/>
      <c r="R571" s="99"/>
      <c r="S571" s="99"/>
    </row>
    <row r="573" s="27" customFormat="1" ht="91" customHeight="1" spans="1:19">
      <c r="A573" s="65">
        <v>27</v>
      </c>
      <c r="B573" s="110" t="s">
        <v>436</v>
      </c>
      <c r="C573" s="67"/>
      <c r="D573" s="67">
        <f t="shared" si="184"/>
        <v>20000000</v>
      </c>
      <c r="E573" s="65">
        <v>1</v>
      </c>
      <c r="F573" s="111">
        <v>20000000</v>
      </c>
      <c r="G573" s="67">
        <f>+I573</f>
        <v>20000000</v>
      </c>
      <c r="H573" s="67"/>
      <c r="I573" s="67">
        <f>F573*E573</f>
        <v>20000000</v>
      </c>
      <c r="J573" s="171"/>
      <c r="K573" s="171"/>
      <c r="L573" s="171"/>
      <c r="M573" s="171"/>
      <c r="N573" s="172"/>
      <c r="O573" s="172"/>
      <c r="P573" s="95"/>
      <c r="Q573" s="99"/>
      <c r="R573" s="99"/>
      <c r="S573" s="99"/>
    </row>
    <row r="574" s="27" customFormat="1" ht="75" customHeight="1" spans="1:19">
      <c r="A574" s="65">
        <v>28</v>
      </c>
      <c r="B574" s="110" t="s">
        <v>437</v>
      </c>
      <c r="C574" s="67"/>
      <c r="D574" s="67">
        <f t="shared" si="184"/>
        <v>20000000</v>
      </c>
      <c r="E574" s="65">
        <v>1</v>
      </c>
      <c r="F574" s="111">
        <v>20000000</v>
      </c>
      <c r="G574" s="67">
        <f>+I574</f>
        <v>20000000</v>
      </c>
      <c r="H574" s="67"/>
      <c r="I574" s="67">
        <f>F574*E574</f>
        <v>20000000</v>
      </c>
      <c r="J574" s="171"/>
      <c r="K574" s="171"/>
      <c r="L574" s="171"/>
      <c r="M574" s="171"/>
      <c r="N574" s="172"/>
      <c r="O574" s="172"/>
      <c r="P574" s="95"/>
      <c r="Q574" s="99"/>
      <c r="R574" s="99"/>
      <c r="S574" s="99"/>
    </row>
    <row r="576" s="27" customFormat="1" ht="70.5" customHeight="1" spans="1:19">
      <c r="A576" s="65"/>
      <c r="B576" s="110" t="s">
        <v>438</v>
      </c>
      <c r="C576" s="67"/>
      <c r="D576" s="67"/>
      <c r="E576" s="65"/>
      <c r="F576" s="65"/>
      <c r="G576" s="67">
        <f>20000000/0.885</f>
        <v>22598870.0564972</v>
      </c>
      <c r="H576" s="67">
        <f>+G576*0.115</f>
        <v>2598870.05649718</v>
      </c>
      <c r="I576" s="67">
        <f>+G576-H576</f>
        <v>20000000</v>
      </c>
      <c r="J576" s="171"/>
      <c r="K576" s="171"/>
      <c r="L576" s="171"/>
      <c r="M576" s="171"/>
      <c r="N576" s="172"/>
      <c r="O576" s="172"/>
      <c r="P576" s="95"/>
      <c r="Q576" s="99"/>
      <c r="R576" s="99"/>
      <c r="S576" s="99"/>
    </row>
    <row r="578" s="27" customFormat="1" ht="40.5" customHeight="1" spans="1:19">
      <c r="A578" s="65"/>
      <c r="B578" s="113" t="s">
        <v>439</v>
      </c>
      <c r="C578" s="114"/>
      <c r="D578" s="114">
        <f>+G578+L578</f>
        <v>998500000</v>
      </c>
      <c r="E578" s="114"/>
      <c r="F578" s="115"/>
      <c r="G578" s="114">
        <f>+H578+I578</f>
        <v>998500000</v>
      </c>
      <c r="H578" s="115"/>
      <c r="I578" s="114">
        <v>998500000</v>
      </c>
      <c r="J578" s="171"/>
      <c r="K578" s="172"/>
      <c r="L578" s="172"/>
      <c r="M578" s="172"/>
      <c r="N578" s="172"/>
      <c r="O578" s="172"/>
      <c r="P578" s="95"/>
      <c r="Q578" s="99"/>
      <c r="R578" s="99"/>
      <c r="S578" s="99"/>
    </row>
  </sheetData>
  <mergeCells count="30">
    <mergeCell ref="A1:O1"/>
    <mergeCell ref="A2:O2"/>
    <mergeCell ref="A3:B3"/>
    <mergeCell ref="C4:D4"/>
    <mergeCell ref="E4:F4"/>
    <mergeCell ref="N4:O4"/>
    <mergeCell ref="J5:N5"/>
    <mergeCell ref="K515:O515"/>
    <mergeCell ref="K516:O516"/>
    <mergeCell ref="H517:I517"/>
    <mergeCell ref="G519:H519"/>
    <mergeCell ref="F541:I541"/>
    <mergeCell ref="H543:I543"/>
    <mergeCell ref="A5:A8"/>
    <mergeCell ref="B5:B8"/>
    <mergeCell ref="C5:C8"/>
    <mergeCell ref="D5:D8"/>
    <mergeCell ref="E7:E8"/>
    <mergeCell ref="F7:F8"/>
    <mergeCell ref="G7:G8"/>
    <mergeCell ref="H7:H8"/>
    <mergeCell ref="I7:I8"/>
    <mergeCell ref="J7:J8"/>
    <mergeCell ref="K7:K8"/>
    <mergeCell ref="L7:L8"/>
    <mergeCell ref="M7:M8"/>
    <mergeCell ref="N7:N8"/>
    <mergeCell ref="O5:O8"/>
    <mergeCell ref="P5:P8"/>
    <mergeCell ref="E5:I6"/>
  </mergeCells>
  <pageMargins left="0.23" right="0.0784722222222222" top="0.58" bottom="0.49" header="0.56" footer="0.22"/>
  <pageSetup paperSize="1" scale="56" orientation="landscape" horizontalDpi="600" verticalDpi="600"/>
  <headerFooter alignWithMargins="0">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topLeftCell="A5" workbookViewId="0">
      <selection activeCell="E23" sqref="E23"/>
    </sheetView>
  </sheetViews>
  <sheetFormatPr defaultColWidth="8.88888888888889" defaultRowHeight="18" outlineLevelCol="5"/>
  <cols>
    <col min="1" max="1" width="8.88888888888889" style="2"/>
    <col min="2" max="2" width="21" style="2" customWidth="1"/>
    <col min="3" max="3" width="31.1111111111111" style="2" customWidth="1"/>
    <col min="4" max="6" width="21.6666666666667" style="3" customWidth="1"/>
    <col min="7" max="16384" width="8.88888888888889" style="2"/>
  </cols>
  <sheetData>
    <row r="1" ht="20.4" spans="1:6">
      <c r="A1" s="4" t="s">
        <v>440</v>
      </c>
      <c r="B1" s="4"/>
      <c r="C1" s="4"/>
      <c r="D1" s="5"/>
      <c r="E1" s="5"/>
      <c r="F1" s="5"/>
    </row>
    <row r="2" spans="3:6">
      <c r="C2" s="6"/>
      <c r="D2" s="7"/>
      <c r="E2" s="7"/>
      <c r="F2" s="7"/>
    </row>
    <row r="3" customFormat="1" spans="1:6">
      <c r="A3" s="2"/>
      <c r="B3" s="2"/>
      <c r="C3" s="6"/>
      <c r="D3" s="7"/>
      <c r="E3" s="7"/>
      <c r="F3" s="7"/>
    </row>
    <row r="4" s="1" customFormat="1" spans="1:6">
      <c r="A4" s="8" t="s">
        <v>4</v>
      </c>
      <c r="B4" s="9" t="s">
        <v>441</v>
      </c>
      <c r="C4" s="8" t="s">
        <v>5</v>
      </c>
      <c r="D4" s="10" t="s">
        <v>442</v>
      </c>
      <c r="E4" s="10" t="s">
        <v>443</v>
      </c>
      <c r="F4" s="10" t="s">
        <v>444</v>
      </c>
    </row>
    <row r="5" spans="1:6">
      <c r="A5" s="11">
        <v>1</v>
      </c>
      <c r="B5" s="12">
        <v>44210</v>
      </c>
      <c r="C5" s="11" t="s">
        <v>445</v>
      </c>
      <c r="D5" s="13">
        <v>83300000000</v>
      </c>
      <c r="E5" s="13">
        <v>12080000000</v>
      </c>
      <c r="F5" s="13">
        <f>+E5+D5</f>
        <v>95380000000</v>
      </c>
    </row>
    <row r="6" spans="1:6">
      <c r="A6" s="14"/>
      <c r="B6" s="14"/>
      <c r="C6" s="14"/>
      <c r="D6" s="15"/>
      <c r="E6" s="15"/>
      <c r="F6" s="15"/>
    </row>
    <row r="7" spans="1:6">
      <c r="A7" s="14"/>
      <c r="B7" s="14"/>
      <c r="C7" s="14"/>
      <c r="D7" s="15"/>
      <c r="E7" s="15"/>
      <c r="F7" s="15"/>
    </row>
    <row r="8" spans="1:6">
      <c r="A8" s="14"/>
      <c r="B8" s="14"/>
      <c r="C8" s="14"/>
      <c r="D8" s="15"/>
      <c r="E8" s="15"/>
      <c r="F8" s="15"/>
    </row>
    <row r="9" spans="1:6">
      <c r="A9" s="14"/>
      <c r="B9" s="14"/>
      <c r="C9" s="14"/>
      <c r="D9" s="15"/>
      <c r="E9" s="15"/>
      <c r="F9" s="15"/>
    </row>
    <row r="10" spans="1:6">
      <c r="A10" s="14"/>
      <c r="B10" s="14"/>
      <c r="C10" s="14"/>
      <c r="D10" s="15"/>
      <c r="E10" s="15"/>
      <c r="F10" s="15"/>
    </row>
    <row r="11" spans="1:6">
      <c r="A11" s="14"/>
      <c r="B11" s="14"/>
      <c r="C11" s="14"/>
      <c r="D11" s="15"/>
      <c r="E11" s="15"/>
      <c r="F11" s="15"/>
    </row>
    <row r="12" spans="1:6">
      <c r="A12" s="14"/>
      <c r="B12" s="14"/>
      <c r="C12" s="14"/>
      <c r="D12" s="15"/>
      <c r="E12" s="15"/>
      <c r="F12" s="15"/>
    </row>
    <row r="13" spans="1:6">
      <c r="A13" s="14"/>
      <c r="B13" s="14"/>
      <c r="C13" s="14"/>
      <c r="D13" s="15"/>
      <c r="E13" s="15"/>
      <c r="F13" s="15"/>
    </row>
    <row r="14" spans="1:6">
      <c r="A14" s="14"/>
      <c r="B14" s="14"/>
      <c r="C14" s="14"/>
      <c r="D14" s="15"/>
      <c r="E14" s="15"/>
      <c r="F14" s="15"/>
    </row>
    <row r="15" spans="1:6">
      <c r="A15" s="14"/>
      <c r="B15" s="14"/>
      <c r="C15" s="14"/>
      <c r="D15" s="15"/>
      <c r="E15" s="15"/>
      <c r="F15" s="15"/>
    </row>
    <row r="16" spans="1:6">
      <c r="A16" s="14"/>
      <c r="B16" s="14"/>
      <c r="C16" s="14"/>
      <c r="D16" s="15"/>
      <c r="E16" s="15"/>
      <c r="F16" s="15"/>
    </row>
    <row r="17" spans="1:6">
      <c r="A17" s="14"/>
      <c r="B17" s="14"/>
      <c r="C17" s="14"/>
      <c r="D17" s="15"/>
      <c r="E17" s="15"/>
      <c r="F17" s="15"/>
    </row>
    <row r="18" spans="1:6">
      <c r="A18" s="14"/>
      <c r="B18" s="14"/>
      <c r="C18" s="14"/>
      <c r="D18" s="15"/>
      <c r="E18" s="15"/>
      <c r="F18" s="15"/>
    </row>
    <row r="19" ht="18.15" spans="1:6">
      <c r="A19" s="16" t="s">
        <v>444</v>
      </c>
      <c r="B19" s="17"/>
      <c r="C19" s="18"/>
      <c r="D19" s="19">
        <f>SUM(D5:D18)</f>
        <v>83300000000</v>
      </c>
      <c r="E19" s="19">
        <f>SUM(E5:E18)</f>
        <v>12080000000</v>
      </c>
      <c r="F19" s="19">
        <f>SUM(F5:F18)</f>
        <v>95380000000</v>
      </c>
    </row>
    <row r="20" ht="18.75" spans="1:6">
      <c r="A20" s="20" t="s">
        <v>446</v>
      </c>
      <c r="B20" s="20"/>
      <c r="C20" s="20"/>
      <c r="D20" s="21"/>
      <c r="E20" s="21"/>
      <c r="F20" s="21">
        <f>+E20+D20</f>
        <v>0</v>
      </c>
    </row>
    <row r="21" ht="18.75" spans="1:6">
      <c r="A21" s="22" t="s">
        <v>447</v>
      </c>
      <c r="B21" s="22"/>
      <c r="C21" s="22"/>
      <c r="D21" s="23">
        <f>+D20-D19</f>
        <v>-83300000000</v>
      </c>
      <c r="E21" s="23">
        <f>+E20-E19</f>
        <v>-12080000000</v>
      </c>
      <c r="F21" s="23">
        <f>+F20-F19</f>
        <v>-95380000000</v>
      </c>
    </row>
    <row r="22" spans="3:3">
      <c r="C22" s="24" t="s">
        <v>448</v>
      </c>
    </row>
  </sheetData>
  <mergeCells count="5">
    <mergeCell ref="A1:F1"/>
    <mergeCell ref="D3:E3"/>
    <mergeCell ref="A19:C19"/>
    <mergeCell ref="A20:C20"/>
    <mergeCell ref="A21:C2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tabSelected="1" workbookViewId="0">
      <selection activeCell="F5" sqref="F5"/>
    </sheetView>
  </sheetViews>
  <sheetFormatPr defaultColWidth="8.88888888888889" defaultRowHeight="18" outlineLevelCol="5"/>
  <cols>
    <col min="1" max="1" width="8.88888888888889" style="2"/>
    <col min="2" max="2" width="21" style="2" customWidth="1"/>
    <col min="3" max="3" width="31.1111111111111" style="2" customWidth="1"/>
    <col min="4" max="6" width="21.6666666666667" style="3" customWidth="1"/>
    <col min="7" max="16384" width="8.88888888888889" style="2"/>
  </cols>
  <sheetData>
    <row r="1" ht="20.4" spans="1:6">
      <c r="A1" s="4" t="s">
        <v>440</v>
      </c>
      <c r="B1" s="4"/>
      <c r="C1" s="4"/>
      <c r="D1" s="5"/>
      <c r="E1" s="5"/>
      <c r="F1" s="5"/>
    </row>
    <row r="2" spans="3:6">
      <c r="C2" s="6"/>
      <c r="D2" s="7"/>
      <c r="E2" s="7"/>
      <c r="F2" s="7"/>
    </row>
    <row r="3" customFormat="1" spans="1:6">
      <c r="A3" s="2"/>
      <c r="B3" s="2"/>
      <c r="C3" s="6"/>
      <c r="D3" s="7"/>
      <c r="E3" s="7"/>
      <c r="F3" s="7"/>
    </row>
    <row r="4" s="1" customFormat="1" spans="1:6">
      <c r="A4" s="8" t="s">
        <v>4</v>
      </c>
      <c r="B4" s="9" t="s">
        <v>441</v>
      </c>
      <c r="C4" s="8" t="s">
        <v>5</v>
      </c>
      <c r="D4" s="10" t="s">
        <v>442</v>
      </c>
      <c r="E4" s="10" t="s">
        <v>443</v>
      </c>
      <c r="F4" s="10" t="s">
        <v>444</v>
      </c>
    </row>
    <row r="5" spans="1:6">
      <c r="A5" s="11">
        <v>1</v>
      </c>
      <c r="B5" s="12">
        <v>44210</v>
      </c>
      <c r="C5" s="11" t="s">
        <v>445</v>
      </c>
      <c r="D5" s="13">
        <v>41600669933</v>
      </c>
      <c r="E5" s="13">
        <v>13155844218</v>
      </c>
      <c r="F5" s="13">
        <f>+E5+D5</f>
        <v>54756514151</v>
      </c>
    </row>
    <row r="6" spans="1:6">
      <c r="A6" s="14"/>
      <c r="B6" s="14"/>
      <c r="C6" s="14"/>
      <c r="D6" s="15"/>
      <c r="E6" s="15"/>
      <c r="F6" s="15"/>
    </row>
    <row r="7" spans="1:6">
      <c r="A7" s="14"/>
      <c r="B7" s="14"/>
      <c r="C7" s="14"/>
      <c r="D7" s="15"/>
      <c r="E7" s="15"/>
      <c r="F7" s="15"/>
    </row>
    <row r="8" spans="1:6">
      <c r="A8" s="14"/>
      <c r="B8" s="14"/>
      <c r="C8" s="14"/>
      <c r="D8" s="15"/>
      <c r="E8" s="15"/>
      <c r="F8" s="15"/>
    </row>
    <row r="9" spans="1:6">
      <c r="A9" s="14"/>
      <c r="B9" s="14"/>
      <c r="C9" s="14"/>
      <c r="D9" s="15"/>
      <c r="E9" s="15"/>
      <c r="F9" s="15"/>
    </row>
    <row r="10" spans="1:6">
      <c r="A10" s="14"/>
      <c r="B10" s="14"/>
      <c r="C10" s="14"/>
      <c r="D10" s="15"/>
      <c r="E10" s="15"/>
      <c r="F10" s="15"/>
    </row>
    <row r="11" spans="1:6">
      <c r="A11" s="14"/>
      <c r="B11" s="14"/>
      <c r="C11" s="14"/>
      <c r="D11" s="15"/>
      <c r="E11" s="15"/>
      <c r="F11" s="15"/>
    </row>
    <row r="12" spans="1:6">
      <c r="A12" s="14"/>
      <c r="B12" s="14"/>
      <c r="C12" s="14"/>
      <c r="D12" s="15"/>
      <c r="E12" s="15"/>
      <c r="F12" s="15"/>
    </row>
    <row r="13" spans="1:6">
      <c r="A13" s="14"/>
      <c r="B13" s="14"/>
      <c r="C13" s="14"/>
      <c r="D13" s="15"/>
      <c r="E13" s="15"/>
      <c r="F13" s="15"/>
    </row>
    <row r="14" spans="1:6">
      <c r="A14" s="14"/>
      <c r="B14" s="14"/>
      <c r="C14" s="14"/>
      <c r="D14" s="15"/>
      <c r="E14" s="15"/>
      <c r="F14" s="15"/>
    </row>
    <row r="15" spans="1:6">
      <c r="A15" s="14"/>
      <c r="B15" s="14"/>
      <c r="C15" s="14"/>
      <c r="D15" s="15"/>
      <c r="E15" s="15"/>
      <c r="F15" s="15"/>
    </row>
    <row r="16" spans="1:6">
      <c r="A16" s="14"/>
      <c r="B16" s="14"/>
      <c r="C16" s="14"/>
      <c r="D16" s="15"/>
      <c r="E16" s="15"/>
      <c r="F16" s="15"/>
    </row>
    <row r="17" spans="1:6">
      <c r="A17" s="14"/>
      <c r="B17" s="14"/>
      <c r="C17" s="14"/>
      <c r="D17" s="15"/>
      <c r="E17" s="15"/>
      <c r="F17" s="15"/>
    </row>
    <row r="18" spans="1:6">
      <c r="A18" s="14"/>
      <c r="B18" s="14"/>
      <c r="C18" s="14"/>
      <c r="D18" s="15"/>
      <c r="E18" s="15"/>
      <c r="F18" s="15"/>
    </row>
    <row r="19" ht="18.15" spans="1:6">
      <c r="A19" s="16" t="s">
        <v>444</v>
      </c>
      <c r="B19" s="17"/>
      <c r="C19" s="18"/>
      <c r="D19" s="19">
        <f t="shared" ref="D19:F19" si="0">SUM(D5:D18)</f>
        <v>41600669933</v>
      </c>
      <c r="E19" s="19">
        <f t="shared" si="0"/>
        <v>13155844218</v>
      </c>
      <c r="F19" s="19">
        <f t="shared" si="0"/>
        <v>54756514151</v>
      </c>
    </row>
    <row r="20" ht="18.75" spans="1:6">
      <c r="A20" s="20" t="s">
        <v>446</v>
      </c>
      <c r="B20" s="20"/>
      <c r="C20" s="20"/>
      <c r="D20" s="21"/>
      <c r="E20" s="21"/>
      <c r="F20" s="21">
        <f>+E20+D20</f>
        <v>0</v>
      </c>
    </row>
    <row r="21" ht="18.75" spans="1:6">
      <c r="A21" s="22" t="s">
        <v>447</v>
      </c>
      <c r="B21" s="22"/>
      <c r="C21" s="22"/>
      <c r="D21" s="23">
        <f t="shared" ref="D21:F21" si="1">+D20-D19</f>
        <v>-41600669933</v>
      </c>
      <c r="E21" s="23">
        <f t="shared" si="1"/>
        <v>-13155844218</v>
      </c>
      <c r="F21" s="23">
        <f t="shared" si="1"/>
        <v>-54756514151</v>
      </c>
    </row>
    <row r="22" spans="3:3">
      <c r="C22" s="24" t="s">
        <v>448</v>
      </c>
    </row>
  </sheetData>
  <mergeCells count="5">
    <mergeCell ref="A1:F1"/>
    <mergeCell ref="D3:E3"/>
    <mergeCell ref="A19:C19"/>
    <mergeCell ref="A20:C20"/>
    <mergeCell ref="A21:C2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Bảng chính trình TV</vt:lpstr>
      <vt:lpstr>THEO DÕI RÚT CÂN ĐỐI, MỤC TIEU </vt:lpstr>
      <vt:lpstr>THEO DÕI RÚT CÂN ĐỐI, MỤC TI(2)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TGDD</dc:creator>
  <cp:lastModifiedBy>TGDD</cp:lastModifiedBy>
  <dcterms:created xsi:type="dcterms:W3CDTF">2021-01-14T01:20:00Z</dcterms:created>
  <dcterms:modified xsi:type="dcterms:W3CDTF">2021-01-20T08:26:44Z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