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Phần vận chuyển" sheetId="1" r:id="rId1"/>
    <sheet name="Phần vận chuyển (2)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<sst xmlns="http://schemas.openxmlformats.org/spreadsheetml/2006/main" count="120" uniqueCount="81">
  <si>
    <t>phần vận chuyển</t>
  </si>
  <si>
    <t>THEO DÕI VẬN CHUYỂN NĂM 2020</t>
  </si>
  <si>
    <t>STT</t>
  </si>
  <si>
    <t>NỘI DUNG</t>
  </si>
  <si>
    <t>THỜI GIAN</t>
  </si>
  <si>
    <t>KHỐI LƯỢNG (M3)</t>
  </si>
  <si>
    <t>SỐ CHUYẾN</t>
  </si>
  <si>
    <t>ĐƠN GIÁ</t>
  </si>
  <si>
    <t>THÀNH TIỀN</t>
  </si>
  <si>
    <t>Bình quân khối lượng (m3)/chuyến</t>
  </si>
  <si>
    <t>Bình quân chuyến/ngày</t>
  </si>
  <si>
    <t>Số ngày</t>
  </si>
  <si>
    <t>Vận chuyển rác từ Cty DOVECO đến Bãi rác huyện (tại Đăk Y ă)</t>
  </si>
  <si>
    <t>15/12/2019 - 21/01/2020</t>
  </si>
  <si>
    <t>01/2/2020-29/2/2020</t>
  </si>
  <si>
    <t>1/3-31/3</t>
  </si>
  <si>
    <t>1/4-30/4</t>
  </si>
  <si>
    <t>1/5-30/5</t>
  </si>
  <si>
    <t>1/6-30/6</t>
  </si>
  <si>
    <t>1/7-31/7</t>
  </si>
  <si>
    <t>1/8-31/8</t>
  </si>
  <si>
    <t>1/9-30/9</t>
  </si>
  <si>
    <t>1/10-31/10</t>
  </si>
  <si>
    <t>Vận chuyển rác từ Cty DOVECO đến Bãi rác huyện (tại Đăk Y ă) (dự kiến 10 tháng 1,000 m3)</t>
  </si>
  <si>
    <t>1/11-30/11</t>
  </si>
  <si>
    <t>TỔNG CỘNG NĂM 2020</t>
  </si>
  <si>
    <t>Dự toán đề nghị</t>
  </si>
  <si>
    <t>Dự toán đã duyệt</t>
  </si>
  <si>
    <t>Dự toán đề nghị điều chỉnh</t>
  </si>
  <si>
    <t>Cơ sở đâu đề nghị lên vậy</t>
  </si>
  <si>
    <t>Dự toán thẩm định đề xuất</t>
  </si>
  <si>
    <t xml:space="preserve">Đã duyệt cả năm </t>
  </si>
  <si>
    <t>chuyến</t>
  </si>
  <si>
    <t xml:space="preserve">Bình quân </t>
  </si>
  <si>
    <t>chuyến/tháng</t>
  </si>
  <si>
    <t>2 tháng cuối 11,12</t>
  </si>
  <si>
    <t>2 tháng cuối mỗi tháng</t>
  </si>
  <si>
    <t>=150+86 = 236 chuyến/tháng</t>
  </si>
  <si>
    <t>Số tiền tăng 2 cuối</t>
  </si>
  <si>
    <t>Đã duyệt</t>
  </si>
  <si>
    <t xml:space="preserve">Trừ </t>
  </si>
  <si>
    <t>Thu ở đồng giao lập đầu năm</t>
  </si>
  <si>
    <t>Giá thu rác hợp đồng</t>
  </si>
  <si>
    <r>
      <rPr>
        <sz val="11"/>
        <color theme="1"/>
        <rFont val="Calibri"/>
        <charset val="134"/>
        <scheme val="minor"/>
      </rPr>
      <t>1m</t>
    </r>
    <r>
      <rPr>
        <vertAlign val="superscript"/>
        <sz val="11"/>
        <color theme="1"/>
        <rFont val="Calibri"/>
        <charset val="134"/>
        <scheme val="minor"/>
      </rPr>
      <t>3</t>
    </r>
  </si>
  <si>
    <t>Dự toán thuê xe lậ và yêu cầu trong Giải trình của Đội</t>
  </si>
  <si>
    <t>Thu</t>
  </si>
  <si>
    <t>1 chuyến xe 6m3</t>
  </si>
  <si>
    <t>Chuyến</t>
  </si>
  <si>
    <t>chi</t>
  </si>
  <si>
    <t>Phí vận chuyển 1 chuyến</t>
  </si>
  <si>
    <t>Chia thành đơn giá</t>
  </si>
  <si>
    <t>=576000000/1286</t>
  </si>
  <si>
    <t>Lời 340000/1 chuyến</t>
  </si>
  <si>
    <t>Số chjuyeens</t>
  </si>
  <si>
    <t>Tổng thu rác</t>
  </si>
  <si>
    <t>Số thu của đồng giao đầu năm</t>
  </si>
  <si>
    <t>Dân+khác</t>
  </si>
  <si>
    <t>Số thu của đồng giao cuối năm</t>
  </si>
  <si>
    <t>1799-1286</t>
  </si>
  <si>
    <t>Nhân 840,000</t>
  </si>
  <si>
    <t>Công thu đầu năm</t>
  </si>
  <si>
    <t>Đã cấp</t>
  </si>
  <si>
    <t>Nhu cầu</t>
  </si>
  <si>
    <t>=1286*448.000</t>
  </si>
  <si>
    <t>Thu cả năm</t>
  </si>
  <si>
    <t>Tổng số chuyến</t>
  </si>
  <si>
    <t>chia 840000</t>
  </si>
  <si>
    <t>Nhu cầu cả năm</t>
  </si>
  <si>
    <t>Phần phun hóa chất</t>
  </si>
  <si>
    <t>Đơn vị tính</t>
  </si>
  <si>
    <t>Định mức</t>
  </si>
  <si>
    <t>Ghi chú</t>
  </si>
  <si>
    <t>I</t>
  </si>
  <si>
    <t>Thuốc</t>
  </si>
  <si>
    <t>3 lần/ 1 tuần</t>
  </si>
  <si>
    <t>II</t>
  </si>
  <si>
    <t>Công</t>
  </si>
  <si>
    <t>3 ngày/ 1 tuần</t>
  </si>
  <si>
    <t>tuần</t>
  </si>
  <si>
    <t>1 người x 3 ngày</t>
  </si>
  <si>
    <t>Đã trình số này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</si>
</sst>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-* #,##0.00\ &quot;₫&quot;_-;\-* #,##0.00\ &quot;₫&quot;_-;_-* &quot;-&quot;??\ &quot;₫&quot;_-;_-@_-"/>
    <numFmt numFmtId="178" formatCode="_-* #,##0\ &quot;₫&quot;_-;\-* #,##0\ &quot;₫&quot;_-;_-* &quot;-&quot;\ &quot;₫&quot;_-;_-@_-"/>
    <numFmt numFmtId="179" formatCode="_ * #,##0.00_ ;_ * \-#,##0.00_ ;_ * &quot;-&quot;??_ ;_ @_ "/>
    <numFmt numFmtId="180" formatCode="_ * #,##0.000_ ;_ * \-#,##0.000_ ;_ * &quot;-&quot;??.0_ ;_ @_ "/>
  </numFmts>
  <fonts count="23">
    <font>
      <sz val="11"/>
      <color theme="1"/>
      <name val="Calibri"/>
      <charset val="134"/>
      <scheme val="minor"/>
    </font>
    <font>
      <vertAlign val="superscript"/>
      <sz val="14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vertAlign val="superscript"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8">
    <xf numFmtId="0" fontId="0" fillId="0" borderId="0" xfId="0"/>
    <xf numFmtId="3" fontId="0" fillId="0" borderId="0" xfId="0" applyNumberFormat="1" applyAlignment="1">
      <alignment horizontal="left"/>
    </xf>
    <xf numFmtId="3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3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left" vertical="center" wrapText="1"/>
    </xf>
    <xf numFmtId="3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left" vertical="center" wrapText="1"/>
    </xf>
    <xf numFmtId="3" fontId="0" fillId="0" borderId="1" xfId="0" applyNumberFormat="1" applyBorder="1" applyAlignment="1">
      <alignment horizontal="right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vertical="center" wrapText="1"/>
    </xf>
    <xf numFmtId="3" fontId="0" fillId="0" borderId="0" xfId="0" applyNumberFormat="1" applyAlignment="1"/>
    <xf numFmtId="179" fontId="0" fillId="0" borderId="0" xfId="2" applyAlignment="1"/>
    <xf numFmtId="180" fontId="0" fillId="0" borderId="0" xfId="2" applyNumberFormat="1" applyAlignment="1"/>
    <xf numFmtId="179" fontId="1" fillId="0" borderId="1" xfId="2" applyFont="1" applyBorder="1" applyAlignment="1">
      <alignment horizontal="center" vertical="center" wrapText="1"/>
    </xf>
    <xf numFmtId="179" fontId="0" fillId="0" borderId="1" xfId="2" applyBorder="1" applyAlignment="1">
      <alignment horizontal="right" vertical="center" wrapText="1"/>
    </xf>
    <xf numFmtId="179" fontId="2" fillId="0" borderId="1" xfId="2" applyFont="1" applyBorder="1" applyAlignment="1">
      <alignment vertical="center" wrapText="1"/>
    </xf>
    <xf numFmtId="179" fontId="0" fillId="0" borderId="0" xfId="2" applyFont="1" applyAlignment="1"/>
    <xf numFmtId="180" fontId="0" fillId="0" borderId="0" xfId="2" applyNumberFormat="1" applyAlignment="1">
      <alignment horizontal="center"/>
    </xf>
    <xf numFmtId="180" fontId="1" fillId="0" borderId="1" xfId="2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80" fontId="0" fillId="0" borderId="1" xfId="2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80" fontId="2" fillId="0" borderId="1" xfId="2" applyNumberFormat="1" applyFont="1" applyBorder="1" applyAlignment="1">
      <alignment vertical="center" wrapText="1"/>
    </xf>
    <xf numFmtId="180" fontId="0" fillId="0" borderId="0" xfId="2" applyNumberFormat="1" applyAlignment="1" quotePrefix="1"/>
    <xf numFmtId="3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A29" workbookViewId="0">
      <selection activeCell="B33" sqref="B33:D52"/>
    </sheetView>
  </sheetViews>
  <sheetFormatPr defaultColWidth="9" defaultRowHeight="14.4"/>
  <cols>
    <col min="1" max="1" width="9" style="2"/>
    <col min="2" max="2" width="46.5555555555556" style="1" customWidth="1"/>
    <col min="3" max="3" width="22.2222222222222" style="2" customWidth="1"/>
    <col min="4" max="4" width="21" style="2" customWidth="1"/>
    <col min="5" max="5" width="16.8888888888889" style="2" customWidth="1"/>
    <col min="6" max="6" width="23.3333333333333" style="2" customWidth="1"/>
    <col min="7" max="7" width="20.3333333333333" style="2" customWidth="1"/>
    <col min="8" max="8" width="16.2222222222222" style="16" customWidth="1"/>
    <col min="9" max="9" width="19.4444444444444" style="17" customWidth="1"/>
    <col min="10" max="10" width="16.5555555555556" customWidth="1"/>
  </cols>
  <sheetData>
    <row r="1" spans="1:1">
      <c r="A1" s="2" t="s">
        <v>0</v>
      </c>
    </row>
    <row r="2" spans="1:10">
      <c r="A2" s="6" t="s">
        <v>1</v>
      </c>
      <c r="B2" s="6"/>
      <c r="C2" s="6"/>
      <c r="D2" s="6"/>
      <c r="E2" s="6"/>
      <c r="F2" s="6"/>
      <c r="G2" s="6"/>
      <c r="H2" s="6"/>
      <c r="I2" s="22"/>
      <c r="J2" s="6"/>
    </row>
    <row r="3" spans="1:10">
      <c r="A3" s="6"/>
      <c r="B3" s="6"/>
      <c r="C3" s="6"/>
      <c r="D3" s="6"/>
      <c r="E3" s="6"/>
      <c r="F3" s="6"/>
      <c r="G3" s="6"/>
      <c r="H3" s="6"/>
      <c r="I3" s="22"/>
      <c r="J3" s="6"/>
    </row>
    <row r="4" s="3" customFormat="1" ht="36" customHeight="1" spans="1:10">
      <c r="A4" s="7" t="s">
        <v>2</v>
      </c>
      <c r="B4" s="8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18" t="s">
        <v>9</v>
      </c>
      <c r="I4" s="23" t="s">
        <v>10</v>
      </c>
      <c r="J4" s="24" t="s">
        <v>11</v>
      </c>
    </row>
    <row r="5" s="4" customFormat="1" ht="38" customHeight="1" spans="1:10">
      <c r="A5" s="9">
        <v>1</v>
      </c>
      <c r="B5" s="10" t="s">
        <v>12</v>
      </c>
      <c r="C5" s="9" t="s">
        <v>13</v>
      </c>
      <c r="D5" s="11">
        <v>1020</v>
      </c>
      <c r="E5" s="11">
        <v>170</v>
      </c>
      <c r="F5" s="11">
        <v>500000</v>
      </c>
      <c r="G5" s="11">
        <f>+E5*F5</f>
        <v>85000000</v>
      </c>
      <c r="H5" s="19">
        <f>D5/E5</f>
        <v>6</v>
      </c>
      <c r="I5" s="25">
        <f>E5/J5</f>
        <v>4.59459459459459</v>
      </c>
      <c r="J5" s="26">
        <f>16+21</f>
        <v>37</v>
      </c>
    </row>
    <row r="6" s="4" customFormat="1" ht="28.8" spans="1:10">
      <c r="A6" s="9">
        <v>2</v>
      </c>
      <c r="B6" s="10" t="s">
        <v>12</v>
      </c>
      <c r="C6" s="9" t="s">
        <v>14</v>
      </c>
      <c r="D6" s="11">
        <v>840</v>
      </c>
      <c r="E6" s="11">
        <v>140</v>
      </c>
      <c r="F6" s="11">
        <v>500000</v>
      </c>
      <c r="G6" s="11">
        <f>F6*E6</f>
        <v>70000000</v>
      </c>
      <c r="H6" s="19">
        <f>D6/E6</f>
        <v>6</v>
      </c>
      <c r="I6" s="25">
        <f t="shared" ref="I6:I17" si="0">E6/J6</f>
        <v>4.82758620689655</v>
      </c>
      <c r="J6" s="26">
        <v>29</v>
      </c>
    </row>
    <row r="7" s="4" customFormat="1" ht="28.8" spans="1:10">
      <c r="A7" s="9">
        <v>3</v>
      </c>
      <c r="B7" s="10" t="s">
        <v>12</v>
      </c>
      <c r="C7" s="9" t="s">
        <v>15</v>
      </c>
      <c r="D7" s="11">
        <v>1188</v>
      </c>
      <c r="E7" s="11">
        <v>198</v>
      </c>
      <c r="F7" s="11">
        <v>500000</v>
      </c>
      <c r="G7" s="11">
        <f t="shared" ref="G7:G16" si="1">F7*E7</f>
        <v>99000000</v>
      </c>
      <c r="H7" s="19">
        <f t="shared" ref="H7:H16" si="2">D7/E7</f>
        <v>6</v>
      </c>
      <c r="I7" s="25">
        <f t="shared" si="0"/>
        <v>6.38709677419355</v>
      </c>
      <c r="J7" s="26">
        <v>31</v>
      </c>
    </row>
    <row r="8" s="4" customFormat="1" ht="28.8" spans="1:10">
      <c r="A8" s="9">
        <v>4</v>
      </c>
      <c r="B8" s="10" t="s">
        <v>12</v>
      </c>
      <c r="C8" s="9" t="s">
        <v>16</v>
      </c>
      <c r="D8" s="11">
        <v>1830</v>
      </c>
      <c r="E8" s="11">
        <v>305</v>
      </c>
      <c r="F8" s="11">
        <v>500000</v>
      </c>
      <c r="G8" s="11">
        <f t="shared" si="1"/>
        <v>152500000</v>
      </c>
      <c r="H8" s="19">
        <f t="shared" si="2"/>
        <v>6</v>
      </c>
      <c r="I8" s="25">
        <f t="shared" si="0"/>
        <v>10.1666666666667</v>
      </c>
      <c r="J8" s="26">
        <v>30</v>
      </c>
    </row>
    <row r="9" s="4" customFormat="1" ht="28.8" spans="1:10">
      <c r="A9" s="9">
        <v>5</v>
      </c>
      <c r="B9" s="10" t="s">
        <v>12</v>
      </c>
      <c r="C9" s="9" t="s">
        <v>17</v>
      </c>
      <c r="D9" s="11">
        <v>1536</v>
      </c>
      <c r="E9" s="11">
        <v>256</v>
      </c>
      <c r="F9" s="11">
        <v>500000</v>
      </c>
      <c r="G9" s="11">
        <f t="shared" si="1"/>
        <v>128000000</v>
      </c>
      <c r="H9" s="19">
        <f t="shared" si="2"/>
        <v>6</v>
      </c>
      <c r="I9" s="25">
        <f t="shared" si="0"/>
        <v>8.53333333333333</v>
      </c>
      <c r="J9" s="26">
        <v>30</v>
      </c>
    </row>
    <row r="10" s="4" customFormat="1" ht="28.8" spans="1:10">
      <c r="A10" s="9">
        <v>6</v>
      </c>
      <c r="B10" s="10" t="s">
        <v>12</v>
      </c>
      <c r="C10" s="9" t="s">
        <v>18</v>
      </c>
      <c r="D10" s="11">
        <v>846</v>
      </c>
      <c r="E10" s="11">
        <v>141</v>
      </c>
      <c r="F10" s="11">
        <v>500000</v>
      </c>
      <c r="G10" s="11">
        <f t="shared" si="1"/>
        <v>70500000</v>
      </c>
      <c r="H10" s="19">
        <f t="shared" si="2"/>
        <v>6</v>
      </c>
      <c r="I10" s="25">
        <f t="shared" si="0"/>
        <v>4.7</v>
      </c>
      <c r="J10" s="26">
        <v>30</v>
      </c>
    </row>
    <row r="11" s="4" customFormat="1" ht="28.8" spans="1:10">
      <c r="A11" s="9">
        <v>7</v>
      </c>
      <c r="B11" s="10" t="s">
        <v>12</v>
      </c>
      <c r="C11" s="9" t="s">
        <v>19</v>
      </c>
      <c r="D11" s="11">
        <v>876</v>
      </c>
      <c r="E11" s="11">
        <v>146</v>
      </c>
      <c r="F11" s="11">
        <v>500000</v>
      </c>
      <c r="G11" s="11">
        <f t="shared" si="1"/>
        <v>73000000</v>
      </c>
      <c r="H11" s="19">
        <f t="shared" si="2"/>
        <v>6</v>
      </c>
      <c r="I11" s="25">
        <f t="shared" si="0"/>
        <v>4.70967741935484</v>
      </c>
      <c r="J11" s="26">
        <v>31</v>
      </c>
    </row>
    <row r="12" s="4" customFormat="1" ht="28.8" spans="1:10">
      <c r="A12" s="9">
        <v>8</v>
      </c>
      <c r="B12" s="10" t="s">
        <v>12</v>
      </c>
      <c r="C12" s="9" t="s">
        <v>20</v>
      </c>
      <c r="D12" s="11">
        <v>966</v>
      </c>
      <c r="E12" s="11">
        <v>161</v>
      </c>
      <c r="F12" s="11">
        <v>500000</v>
      </c>
      <c r="G12" s="11">
        <f t="shared" si="1"/>
        <v>80500000</v>
      </c>
      <c r="H12" s="19">
        <f t="shared" si="2"/>
        <v>6</v>
      </c>
      <c r="I12" s="25">
        <f t="shared" si="0"/>
        <v>5.19354838709677</v>
      </c>
      <c r="J12" s="26">
        <v>31</v>
      </c>
    </row>
    <row r="13" s="4" customFormat="1" ht="28.8" spans="1:10">
      <c r="A13" s="9">
        <v>9</v>
      </c>
      <c r="B13" s="10" t="s">
        <v>12</v>
      </c>
      <c r="C13" s="9" t="s">
        <v>21</v>
      </c>
      <c r="D13" s="11">
        <v>852</v>
      </c>
      <c r="E13" s="11">
        <v>142</v>
      </c>
      <c r="F13" s="11">
        <v>500000</v>
      </c>
      <c r="G13" s="11">
        <f t="shared" si="1"/>
        <v>71000000</v>
      </c>
      <c r="H13" s="19">
        <f t="shared" si="2"/>
        <v>6</v>
      </c>
      <c r="I13" s="25">
        <f t="shared" si="0"/>
        <v>4.73333333333333</v>
      </c>
      <c r="J13" s="26">
        <v>30</v>
      </c>
    </row>
    <row r="14" s="4" customFormat="1" ht="28.8" spans="1:10">
      <c r="A14" s="9">
        <v>10</v>
      </c>
      <c r="B14" s="10" t="s">
        <v>12</v>
      </c>
      <c r="C14" s="9" t="s">
        <v>22</v>
      </c>
      <c r="D14" s="11">
        <v>642</v>
      </c>
      <c r="E14" s="11">
        <v>107</v>
      </c>
      <c r="F14" s="11">
        <v>500000</v>
      </c>
      <c r="G14" s="11">
        <f t="shared" si="1"/>
        <v>53500000</v>
      </c>
      <c r="H14" s="19">
        <f t="shared" si="2"/>
        <v>6</v>
      </c>
      <c r="I14" s="25">
        <f t="shared" si="0"/>
        <v>3.45161290322581</v>
      </c>
      <c r="J14" s="26">
        <v>31</v>
      </c>
    </row>
    <row r="15" s="4" customFormat="1" ht="28.8" spans="1:10">
      <c r="A15" s="9">
        <v>11</v>
      </c>
      <c r="B15" s="10" t="s">
        <v>23</v>
      </c>
      <c r="C15" s="9" t="s">
        <v>24</v>
      </c>
      <c r="D15" s="11">
        <f>33*6</f>
        <v>198</v>
      </c>
      <c r="E15" s="11">
        <v>33</v>
      </c>
      <c r="F15" s="11">
        <v>500000</v>
      </c>
      <c r="G15" s="11">
        <f t="shared" si="1"/>
        <v>16500000</v>
      </c>
      <c r="H15" s="19">
        <f t="shared" si="2"/>
        <v>6</v>
      </c>
      <c r="I15" s="25">
        <f t="shared" si="0"/>
        <v>1.1</v>
      </c>
      <c r="J15" s="26">
        <v>30</v>
      </c>
    </row>
    <row r="16" s="5" customFormat="1" ht="24" customHeight="1" spans="1:10">
      <c r="A16" s="12" t="s">
        <v>25</v>
      </c>
      <c r="B16" s="13"/>
      <c r="C16" s="14"/>
      <c r="D16" s="14"/>
      <c r="E16" s="14">
        <f>SUM(E5:E15)</f>
        <v>1799</v>
      </c>
      <c r="F16" s="14">
        <f>SUM(F5:F15)</f>
        <v>5500000</v>
      </c>
      <c r="G16" s="14">
        <f>SUM(G5:G15)</f>
        <v>899500000</v>
      </c>
      <c r="H16" s="20"/>
      <c r="I16" s="27"/>
      <c r="J16" s="20"/>
    </row>
    <row r="17" spans="4:7">
      <c r="D17" s="15"/>
      <c r="E17" s="1" t="s">
        <v>26</v>
      </c>
      <c r="F17" s="1"/>
      <c r="G17" s="2">
        <v>576000000</v>
      </c>
    </row>
    <row r="18" spans="3:7">
      <c r="C18" s="6"/>
      <c r="D18" s="6"/>
      <c r="E18" s="1" t="s">
        <v>27</v>
      </c>
      <c r="F18" s="1"/>
      <c r="G18" s="2">
        <v>517000000</v>
      </c>
    </row>
    <row r="19" spans="3:8">
      <c r="C19" s="6"/>
      <c r="D19" s="6"/>
      <c r="E19" s="1" t="s">
        <v>28</v>
      </c>
      <c r="F19" s="1"/>
      <c r="G19" s="2">
        <v>894416000</v>
      </c>
      <c r="H19" s="16" t="s">
        <v>29</v>
      </c>
    </row>
    <row r="20" spans="3:7">
      <c r="C20" s="6"/>
      <c r="D20" s="6"/>
      <c r="E20" s="1" t="s">
        <v>30</v>
      </c>
      <c r="F20" s="1"/>
      <c r="G20" s="2">
        <v>805050000</v>
      </c>
    </row>
    <row r="22" spans="4:4">
      <c r="D22" s="2">
        <f>E16*840000</f>
        <v>1511160000</v>
      </c>
    </row>
    <row r="23" spans="4:8">
      <c r="D23" s="2">
        <f>576000000/500000</f>
        <v>1152</v>
      </c>
      <c r="F23" s="2" t="s">
        <v>31</v>
      </c>
      <c r="G23" s="2">
        <f>517000000/500000</f>
        <v>1034</v>
      </c>
      <c r="H23" s="16" t="s">
        <v>32</v>
      </c>
    </row>
    <row r="24" spans="3:8">
      <c r="C24" s="2">
        <f>D24/30</f>
        <v>3.2</v>
      </c>
      <c r="D24" s="2">
        <f>D23/12</f>
        <v>96</v>
      </c>
      <c r="F24" s="2" t="s">
        <v>33</v>
      </c>
      <c r="G24" s="2">
        <f>+G23/12</f>
        <v>86.1666666666667</v>
      </c>
      <c r="H24" s="16" t="s">
        <v>34</v>
      </c>
    </row>
    <row r="25" spans="4:8">
      <c r="D25" s="2">
        <f>150</f>
        <v>150</v>
      </c>
      <c r="F25" s="2" t="s">
        <v>35</v>
      </c>
      <c r="G25" s="2">
        <v>150</v>
      </c>
      <c r="H25" s="16" t="s">
        <v>34</v>
      </c>
    </row>
    <row r="26" spans="6:9">
      <c r="F26" s="2" t="s">
        <v>36</v>
      </c>
      <c r="G26" s="2">
        <f>+G24+G25</f>
        <v>236.166666666667</v>
      </c>
      <c r="H26" s="16" t="s">
        <v>34</v>
      </c>
      <c r="I26" s="28" t="s">
        <v>37</v>
      </c>
    </row>
    <row r="27" spans="4:6">
      <c r="D27" s="2">
        <f>150-96</f>
        <v>54</v>
      </c>
      <c r="E27" s="2" t="s">
        <v>38</v>
      </c>
      <c r="F27" s="2">
        <f>G26*500000</f>
        <v>118083333.333333</v>
      </c>
    </row>
    <row r="28" spans="4:6">
      <c r="D28" s="2">
        <f>+D27*500000*2</f>
        <v>54000000</v>
      </c>
      <c r="E28" s="2" t="s">
        <v>39</v>
      </c>
      <c r="F28" s="2">
        <v>517000000</v>
      </c>
    </row>
    <row r="29" spans="4:6">
      <c r="D29" s="2">
        <f>+D28+G17</f>
        <v>630000000</v>
      </c>
      <c r="E29" s="2" t="s">
        <v>40</v>
      </c>
      <c r="F29" s="2">
        <f>+F27+F28</f>
        <v>635083333.333333</v>
      </c>
    </row>
    <row r="32" spans="3:3">
      <c r="C32" s="2">
        <f>1080000000/840000</f>
        <v>1285.71428571429</v>
      </c>
    </row>
    <row r="33" ht="16.8" spans="2:8">
      <c r="B33" s="1" t="s">
        <v>41</v>
      </c>
      <c r="C33" s="2">
        <f>C32*840000</f>
        <v>1080000000</v>
      </c>
      <c r="F33" s="2" t="s">
        <v>42</v>
      </c>
      <c r="G33" s="2">
        <v>140000</v>
      </c>
      <c r="H33" s="21" t="s">
        <v>43</v>
      </c>
    </row>
    <row r="34" spans="2:8">
      <c r="B34" s="1" t="s">
        <v>44</v>
      </c>
      <c r="C34" s="2">
        <f>576000000</f>
        <v>576000000</v>
      </c>
      <c r="E34" s="2" t="s">
        <v>45</v>
      </c>
      <c r="F34" s="2" t="s">
        <v>46</v>
      </c>
      <c r="G34" s="2">
        <f>140000*6</f>
        <v>840000</v>
      </c>
      <c r="H34" s="16">
        <f>G34*E16</f>
        <v>1511160000</v>
      </c>
    </row>
    <row r="35" spans="3:8">
      <c r="C35" s="2">
        <f>D39</f>
        <v>1285.71428571429</v>
      </c>
      <c r="D35" s="2" t="s">
        <v>47</v>
      </c>
      <c r="E35" s="2" t="s">
        <v>48</v>
      </c>
      <c r="F35" s="2" t="s">
        <v>49</v>
      </c>
      <c r="G35" s="2">
        <v>500000</v>
      </c>
      <c r="H35" s="16">
        <f>E16*500000</f>
        <v>899500000</v>
      </c>
    </row>
    <row r="36" spans="2:6">
      <c r="B36" s="1" t="s">
        <v>50</v>
      </c>
      <c r="C36" s="2">
        <f>C34/C35</f>
        <v>448000</v>
      </c>
      <c r="D36" s="29" t="s">
        <v>51</v>
      </c>
      <c r="F36" s="2" t="s">
        <v>52</v>
      </c>
    </row>
    <row r="37" spans="4:5">
      <c r="D37" s="2" t="s">
        <v>53</v>
      </c>
      <c r="E37" s="2">
        <v>2020</v>
      </c>
    </row>
    <row r="38" spans="2:8">
      <c r="B38" s="1" t="s">
        <v>54</v>
      </c>
      <c r="C38" s="2">
        <v>1563220000</v>
      </c>
      <c r="F38" s="2">
        <f>2105000000-1563000000</f>
        <v>542000000</v>
      </c>
      <c r="G38" s="2">
        <f>F38/G34</f>
        <v>645.238095238095</v>
      </c>
      <c r="H38" s="16">
        <f>G38*840000</f>
        <v>542000000</v>
      </c>
    </row>
    <row r="39" spans="2:5">
      <c r="B39" s="1" t="s">
        <v>55</v>
      </c>
      <c r="C39" s="2">
        <v>1080000000</v>
      </c>
      <c r="D39" s="2">
        <f>C39/840000</f>
        <v>1285.71428571429</v>
      </c>
      <c r="E39" s="2">
        <f>D39*C36</f>
        <v>576000000</v>
      </c>
    </row>
    <row r="40" spans="2:3">
      <c r="B40" s="1" t="s">
        <v>56</v>
      </c>
      <c r="C40" s="2">
        <f>C38-C39</f>
        <v>483220000</v>
      </c>
    </row>
    <row r="41" spans="3:3">
      <c r="C41" s="2">
        <v>2105840000</v>
      </c>
    </row>
    <row r="42" spans="2:7">
      <c r="B42" s="1" t="s">
        <v>57</v>
      </c>
      <c r="C42" s="2">
        <v>1500000000</v>
      </c>
      <c r="D42" s="2">
        <f>C42/840000</f>
        <v>1785.71428571429</v>
      </c>
      <c r="E42" s="2">
        <f>D42*448000</f>
        <v>800000000</v>
      </c>
      <c r="G42" s="2">
        <f>C42/G33/6</f>
        <v>1785.71428571429</v>
      </c>
    </row>
    <row r="43" spans="3:4">
      <c r="C43" s="2" t="s">
        <v>58</v>
      </c>
      <c r="D43" s="2">
        <f>1799-1286</f>
        <v>513</v>
      </c>
    </row>
    <row r="44" spans="3:4">
      <c r="C44" s="2" t="s">
        <v>59</v>
      </c>
      <c r="D44" s="2">
        <f>+D43*840000</f>
        <v>430920000</v>
      </c>
    </row>
    <row r="45" spans="3:4">
      <c r="C45" s="2" t="s">
        <v>60</v>
      </c>
      <c r="D45" s="2">
        <v>1080000000</v>
      </c>
    </row>
    <row r="46" spans="3:4">
      <c r="C46" s="2" t="s">
        <v>61</v>
      </c>
      <c r="D46" s="2">
        <v>517000000</v>
      </c>
    </row>
    <row r="47" spans="3:5">
      <c r="C47" s="2" t="s">
        <v>62</v>
      </c>
      <c r="D47" s="2">
        <f>C33*448000</f>
        <v>483840000000000</v>
      </c>
      <c r="E47" s="29" t="s">
        <v>63</v>
      </c>
    </row>
    <row r="48" spans="4:4">
      <c r="D48" s="2">
        <f>+D47-D46</f>
        <v>483839483000000</v>
      </c>
    </row>
    <row r="49" spans="3:4">
      <c r="C49" s="2" t="s">
        <v>64</v>
      </c>
      <c r="D49" s="2">
        <f>+D45+D44</f>
        <v>1510920000</v>
      </c>
    </row>
    <row r="50" spans="3:5">
      <c r="C50" s="2" t="s">
        <v>65</v>
      </c>
      <c r="D50" s="2">
        <f>D49/840000</f>
        <v>1798.71428571429</v>
      </c>
      <c r="E50" s="2" t="s">
        <v>66</v>
      </c>
    </row>
    <row r="51" spans="3:4">
      <c r="C51" s="2" t="s">
        <v>67</v>
      </c>
      <c r="D51" s="2">
        <f>+D50*448000</f>
        <v>805824000</v>
      </c>
    </row>
  </sheetData>
  <mergeCells count="9">
    <mergeCell ref="A16:B16"/>
    <mergeCell ref="E17:F17"/>
    <mergeCell ref="C18:D18"/>
    <mergeCell ref="E18:F18"/>
    <mergeCell ref="C19:D19"/>
    <mergeCell ref="E19:F19"/>
    <mergeCell ref="C20:D20"/>
    <mergeCell ref="E20:F20"/>
    <mergeCell ref="A2:J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G12" sqref="G12"/>
    </sheetView>
  </sheetViews>
  <sheetFormatPr defaultColWidth="9" defaultRowHeight="14.4" outlineLevelCol="6"/>
  <cols>
    <col min="1" max="1" width="9" style="2"/>
    <col min="2" max="2" width="38" style="1" customWidth="1"/>
    <col min="3" max="3" width="22.2222222222222" style="2" customWidth="1"/>
    <col min="4" max="4" width="21" style="2" customWidth="1"/>
    <col min="5" max="5" width="16.8888888888889" style="2" customWidth="1"/>
    <col min="6" max="6" width="14.4444444444444" style="2" customWidth="1"/>
    <col min="7" max="7" width="20.3333333333333" style="2" customWidth="1"/>
  </cols>
  <sheetData>
    <row r="1" spans="1:1">
      <c r="A1" s="2" t="s">
        <v>68</v>
      </c>
    </row>
    <row r="2" spans="1:7">
      <c r="A2" s="6" t="s">
        <v>1</v>
      </c>
      <c r="B2" s="6"/>
      <c r="C2" s="6"/>
      <c r="D2" s="6"/>
      <c r="E2" s="6"/>
      <c r="F2" s="6"/>
      <c r="G2" s="6"/>
    </row>
    <row r="3" spans="1:7">
      <c r="A3" s="6"/>
      <c r="B3" s="6"/>
      <c r="C3" s="6"/>
      <c r="D3" s="6"/>
      <c r="E3" s="6"/>
      <c r="F3" s="6"/>
      <c r="G3" s="6"/>
    </row>
    <row r="4" s="3" customFormat="1" ht="36" customHeight="1" spans="1:7">
      <c r="A4" s="7" t="s">
        <v>2</v>
      </c>
      <c r="B4" s="8" t="s">
        <v>3</v>
      </c>
      <c r="C4" s="7" t="s">
        <v>69</v>
      </c>
      <c r="D4" s="7" t="s">
        <v>70</v>
      </c>
      <c r="E4" s="7" t="s">
        <v>7</v>
      </c>
      <c r="F4" s="7" t="s">
        <v>8</v>
      </c>
      <c r="G4" s="7" t="s">
        <v>71</v>
      </c>
    </row>
    <row r="5" s="4" customFormat="1" ht="20" customHeight="1" spans="1:7">
      <c r="A5" s="9" t="s">
        <v>72</v>
      </c>
      <c r="B5" s="10" t="s">
        <v>73</v>
      </c>
      <c r="C5" s="9"/>
      <c r="D5" s="11"/>
      <c r="E5" s="11"/>
      <c r="F5" s="11"/>
      <c r="G5" s="11"/>
    </row>
    <row r="6" s="4" customFormat="1" spans="1:7">
      <c r="A6" s="9"/>
      <c r="B6" s="10" t="s">
        <v>74</v>
      </c>
      <c r="C6" s="9"/>
      <c r="D6" s="11"/>
      <c r="E6" s="11"/>
      <c r="F6" s="11"/>
      <c r="G6" s="11"/>
    </row>
    <row r="7" s="4" customFormat="1" spans="1:7">
      <c r="A7" s="9"/>
      <c r="B7" s="10"/>
      <c r="C7" s="9"/>
      <c r="D7" s="11"/>
      <c r="E7" s="11"/>
      <c r="F7" s="11"/>
      <c r="G7" s="11"/>
    </row>
    <row r="8" s="4" customFormat="1" spans="1:7">
      <c r="A8" s="9" t="s">
        <v>75</v>
      </c>
      <c r="B8" s="10" t="s">
        <v>76</v>
      </c>
      <c r="C8" s="9"/>
      <c r="D8" s="11"/>
      <c r="E8" s="11"/>
      <c r="F8" s="11"/>
      <c r="G8" s="11"/>
    </row>
    <row r="9" s="4" customFormat="1" ht="22" customHeight="1" spans="1:7">
      <c r="A9" s="9"/>
      <c r="B9" s="10" t="s">
        <v>77</v>
      </c>
      <c r="C9" s="9" t="s">
        <v>78</v>
      </c>
      <c r="D9" s="11" t="s">
        <v>79</v>
      </c>
      <c r="E9" s="11">
        <v>300000</v>
      </c>
      <c r="F9" s="11">
        <f>52*3*E9</f>
        <v>46800000</v>
      </c>
      <c r="G9" s="11">
        <f>144*300</f>
        <v>43200</v>
      </c>
    </row>
    <row r="10" s="5" customFormat="1" ht="24" customHeight="1" spans="1:7">
      <c r="A10" s="12"/>
      <c r="B10" s="13"/>
      <c r="C10" s="14"/>
      <c r="D10" s="14"/>
      <c r="E10" s="14"/>
      <c r="F10" s="14"/>
      <c r="G10" s="14"/>
    </row>
    <row r="11" spans="4:6">
      <c r="D11" s="15"/>
      <c r="E11" s="1" t="s">
        <v>26</v>
      </c>
      <c r="F11" s="1"/>
    </row>
    <row r="12" spans="3:7">
      <c r="C12" s="6"/>
      <c r="D12" s="6"/>
      <c r="E12" s="1" t="s">
        <v>27</v>
      </c>
      <c r="F12" s="1"/>
      <c r="G12" s="2">
        <v>517000000</v>
      </c>
    </row>
    <row r="13" spans="3:7">
      <c r="C13" s="6"/>
      <c r="D13" s="6"/>
      <c r="E13" s="1" t="s">
        <v>28</v>
      </c>
      <c r="F13" s="1"/>
      <c r="G13" s="2">
        <v>894416000</v>
      </c>
    </row>
    <row r="14" spans="3:7">
      <c r="C14" s="6"/>
      <c r="D14" s="6"/>
      <c r="E14" s="1" t="s">
        <v>30</v>
      </c>
      <c r="F14" s="1"/>
      <c r="G14" s="2">
        <v>805050000</v>
      </c>
    </row>
  </sheetData>
  <mergeCells count="9">
    <mergeCell ref="A10:B10"/>
    <mergeCell ref="E11:F11"/>
    <mergeCell ref="C12:D12"/>
    <mergeCell ref="E12:F12"/>
    <mergeCell ref="C13:D13"/>
    <mergeCell ref="E13:F13"/>
    <mergeCell ref="C14:D14"/>
    <mergeCell ref="E14:F14"/>
    <mergeCell ref="A2:G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view="pageBreakPreview" zoomScaleNormal="100" zoomScaleSheetLayoutView="100" workbookViewId="0">
      <selection activeCell="L13" sqref="L13"/>
    </sheetView>
  </sheetViews>
  <sheetFormatPr defaultColWidth="8.88888888888889" defaultRowHeight="14.4" outlineLevelCol="2"/>
  <cols>
    <col min="1" max="1" width="46.2222222222222" customWidth="1"/>
    <col min="2" max="2" width="39.2222222222222" customWidth="1"/>
    <col min="3" max="3" width="29.2222222222222" customWidth="1"/>
  </cols>
  <sheetData>
    <row r="1" spans="1:3">
      <c r="A1" s="1" t="s">
        <v>41</v>
      </c>
      <c r="B1" s="2"/>
      <c r="C1" s="2"/>
    </row>
    <row r="2" spans="1:3">
      <c r="A2" s="1" t="s">
        <v>44</v>
      </c>
      <c r="B2" s="2">
        <f>576000000</f>
        <v>576000000</v>
      </c>
      <c r="C2" s="2"/>
    </row>
    <row r="3" spans="1:3">
      <c r="A3" s="1"/>
      <c r="B3" s="2">
        <f>C7</f>
        <v>1285.71428571429</v>
      </c>
      <c r="C3" s="2" t="s">
        <v>47</v>
      </c>
    </row>
    <row r="4" spans="1:3">
      <c r="A4" s="1" t="s">
        <v>50</v>
      </c>
      <c r="B4" s="2">
        <f>B2/B3</f>
        <v>448000</v>
      </c>
      <c r="C4" s="29" t="s">
        <v>51</v>
      </c>
    </row>
    <row r="5" spans="1:3">
      <c r="A5" s="1"/>
      <c r="B5" s="2"/>
      <c r="C5" s="2" t="s">
        <v>53</v>
      </c>
    </row>
    <row r="6" spans="1:3">
      <c r="A6" s="1" t="s">
        <v>54</v>
      </c>
      <c r="B6" s="2">
        <v>1563220000</v>
      </c>
      <c r="C6" s="2"/>
    </row>
    <row r="7" spans="1:3">
      <c r="A7" s="1" t="s">
        <v>55</v>
      </c>
      <c r="B7" s="2">
        <v>1080000000</v>
      </c>
      <c r="C7" s="2">
        <f>B7/840000</f>
        <v>1285.71428571429</v>
      </c>
    </row>
    <row r="8" spans="1:3">
      <c r="A8" s="1" t="s">
        <v>56</v>
      </c>
      <c r="B8" s="2">
        <f>B6-B7</f>
        <v>483220000</v>
      </c>
      <c r="C8" s="2"/>
    </row>
    <row r="9" spans="1:3">
      <c r="A9" s="1"/>
      <c r="B9" s="2">
        <v>2105840000</v>
      </c>
      <c r="C9" s="2"/>
    </row>
    <row r="10" spans="1:3">
      <c r="A10" s="1" t="s">
        <v>57</v>
      </c>
      <c r="B10" s="2">
        <v>1500000000</v>
      </c>
      <c r="C10" s="2">
        <f>B10/840000</f>
        <v>1785.71428571429</v>
      </c>
    </row>
    <row r="11" spans="1:3">
      <c r="A11" s="1"/>
      <c r="B11" s="2" t="s">
        <v>58</v>
      </c>
      <c r="C11" s="2">
        <f>1799-1286</f>
        <v>513</v>
      </c>
    </row>
    <row r="12" spans="1:3">
      <c r="A12" s="1"/>
      <c r="B12" s="2" t="s">
        <v>59</v>
      </c>
      <c r="C12" s="2">
        <f>+C11*840000</f>
        <v>430920000</v>
      </c>
    </row>
    <row r="13" spans="1:3">
      <c r="A13" s="1"/>
      <c r="B13" s="2" t="s">
        <v>60</v>
      </c>
      <c r="C13" s="2">
        <v>1080000000</v>
      </c>
    </row>
    <row r="14" spans="1:3">
      <c r="A14" s="1"/>
      <c r="B14" s="2" t="s">
        <v>61</v>
      </c>
      <c r="C14" s="2">
        <v>517000000</v>
      </c>
    </row>
    <row r="15" spans="1:3">
      <c r="A15" s="1"/>
      <c r="B15" s="2" t="s">
        <v>62</v>
      </c>
      <c r="C15" s="2">
        <f>B1*448000</f>
        <v>0</v>
      </c>
    </row>
    <row r="16" spans="1:3">
      <c r="A16" s="1"/>
      <c r="B16" s="2" t="s">
        <v>61</v>
      </c>
      <c r="C16" s="2">
        <v>517000000</v>
      </c>
    </row>
    <row r="17" spans="1:3">
      <c r="A17" s="1"/>
      <c r="B17" s="2" t="s">
        <v>64</v>
      </c>
      <c r="C17" s="2">
        <f>+C13+C12</f>
        <v>1510920000</v>
      </c>
    </row>
    <row r="18" spans="1:3">
      <c r="A18" s="1"/>
      <c r="B18" s="2" t="s">
        <v>65</v>
      </c>
      <c r="C18" s="2">
        <f>C17/840000</f>
        <v>1798.71428571429</v>
      </c>
    </row>
    <row r="19" spans="1:3">
      <c r="A19" s="1"/>
      <c r="B19" s="2" t="s">
        <v>67</v>
      </c>
      <c r="C19" s="2">
        <f>+C18*448000</f>
        <v>805824000</v>
      </c>
    </row>
    <row r="20" spans="1:3">
      <c r="A20" s="1"/>
      <c r="B20" s="2"/>
      <c r="C20" s="2" t="s">
        <v>80</v>
      </c>
    </row>
  </sheetData>
  <pageMargins left="0.75" right="0.75" top="1" bottom="1" header="0.5" footer="0.5"/>
  <pageSetup paperSize="9" scale="7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Phần vận chuyển</vt:lpstr>
      <vt:lpstr>Phần vận chuyển (2)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</dc:creator>
  <cp:lastModifiedBy>TGDD</cp:lastModifiedBy>
  <dcterms:created xsi:type="dcterms:W3CDTF">2020-12-16T06:41:00Z</dcterms:created>
  <dcterms:modified xsi:type="dcterms:W3CDTF">2020-12-22T04:04:34Z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