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投资学习\web3\Yearn Financ\"/>
    </mc:Choice>
  </mc:AlternateContent>
  <xr:revisionPtr revIDLastSave="0" documentId="13_ncr:1_{03BB15C6-1B33-44DC-9178-C47637D14A8F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Based on Revenue Projection" sheetId="1" r:id="rId1"/>
    <sheet name="Based on Revenue Build Up" sheetId="4" r:id="rId2"/>
  </sheets>
  <calcPr calcId="191029" iterate="1" iterateCount="8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9" i="4" l="1"/>
  <c r="B80" i="4"/>
  <c r="C79" i="4"/>
  <c r="D79" i="4"/>
  <c r="E79" i="4"/>
  <c r="F79" i="4"/>
  <c r="C80" i="4"/>
  <c r="D80" i="4"/>
  <c r="G30" i="4" s="1"/>
  <c r="E80" i="4"/>
  <c r="F80" i="4"/>
  <c r="B82" i="4"/>
  <c r="E31" i="4" s="1"/>
  <c r="B83" i="4"/>
  <c r="C82" i="4"/>
  <c r="D82" i="4"/>
  <c r="E82" i="4"/>
  <c r="H31" i="4" s="1"/>
  <c r="F82" i="4"/>
  <c r="C83" i="4"/>
  <c r="D83" i="4"/>
  <c r="E83" i="4"/>
  <c r="F83" i="4"/>
  <c r="I30" i="4"/>
  <c r="I31" i="4"/>
  <c r="N66" i="4"/>
  <c r="N65" i="4"/>
  <c r="N64" i="4"/>
  <c r="N53" i="4" s="1"/>
  <c r="N63" i="4"/>
  <c r="N62" i="4"/>
  <c r="B61" i="4"/>
  <c r="N55" i="4"/>
  <c r="N54" i="4"/>
  <c r="N52" i="4"/>
  <c r="N51" i="4"/>
  <c r="D42" i="4"/>
  <c r="C42" i="4"/>
  <c r="B42" i="4"/>
  <c r="D41" i="4"/>
  <c r="C41" i="4"/>
  <c r="B41" i="4"/>
  <c r="F40" i="4"/>
  <c r="E40" i="4"/>
  <c r="G40" i="4" s="1"/>
  <c r="D40" i="4"/>
  <c r="C40" i="4"/>
  <c r="B40" i="4"/>
  <c r="F39" i="4"/>
  <c r="F37" i="4" s="1"/>
  <c r="E39" i="4"/>
  <c r="E37" i="4" s="1"/>
  <c r="D39" i="4"/>
  <c r="C39" i="4"/>
  <c r="B39" i="4"/>
  <c r="D38" i="4"/>
  <c r="C38" i="4"/>
  <c r="B38" i="4"/>
  <c r="D37" i="4"/>
  <c r="C37" i="4"/>
  <c r="B37" i="4"/>
  <c r="D36" i="4"/>
  <c r="E36" i="4" s="1"/>
  <c r="F36" i="4" s="1"/>
  <c r="G36" i="4" s="1"/>
  <c r="H36" i="4" s="1"/>
  <c r="I36" i="4" s="1"/>
  <c r="C36" i="4"/>
  <c r="C32" i="4" s="1"/>
  <c r="B36" i="4"/>
  <c r="D35" i="4"/>
  <c r="C35" i="4"/>
  <c r="B35" i="4"/>
  <c r="D34" i="4"/>
  <c r="C34" i="4"/>
  <c r="E34" i="4" s="1"/>
  <c r="B34" i="4"/>
  <c r="D33" i="4"/>
  <c r="C33" i="4"/>
  <c r="E33" i="4" s="1"/>
  <c r="B33" i="4"/>
  <c r="D32" i="4"/>
  <c r="B32" i="4"/>
  <c r="D31" i="4"/>
  <c r="C31" i="4"/>
  <c r="B31" i="4"/>
  <c r="D30" i="4"/>
  <c r="C30" i="4"/>
  <c r="B30" i="4"/>
  <c r="D29" i="4"/>
  <c r="D27" i="4" s="1"/>
  <c r="D43" i="4" s="1"/>
  <c r="C29" i="4"/>
  <c r="B29" i="4"/>
  <c r="E29" i="4" s="1"/>
  <c r="D28" i="4"/>
  <c r="C28" i="4"/>
  <c r="B28" i="4"/>
  <c r="C27" i="4"/>
  <c r="C43" i="4" s="1"/>
  <c r="B27" i="4"/>
  <c r="B43" i="4" s="1"/>
  <c r="E30" i="1"/>
  <c r="F30" i="1" s="1"/>
  <c r="G30" i="1" s="1"/>
  <c r="E31" i="1"/>
  <c r="F31" i="1" s="1"/>
  <c r="B61" i="1"/>
  <c r="N67" i="1"/>
  <c r="N55" i="1" s="1"/>
  <c r="N63" i="1"/>
  <c r="N52" i="1" s="1"/>
  <c r="N65" i="1"/>
  <c r="N53" i="1" s="1"/>
  <c r="N66" i="1"/>
  <c r="N54" i="1" s="1"/>
  <c r="N62" i="1"/>
  <c r="N51" i="1" s="1"/>
  <c r="E30" i="4" l="1"/>
  <c r="F30" i="4"/>
  <c r="H30" i="4"/>
  <c r="G31" i="4"/>
  <c r="F31" i="4"/>
  <c r="B62" i="4"/>
  <c r="B63" i="4" s="1"/>
  <c r="E32" i="4"/>
  <c r="I40" i="4"/>
  <c r="E27" i="4"/>
  <c r="E43" i="4" s="1"/>
  <c r="G34" i="4"/>
  <c r="H34" i="4" s="1"/>
  <c r="G39" i="4"/>
  <c r="G37" i="4" s="1"/>
  <c r="F29" i="4"/>
  <c r="G29" i="4" s="1"/>
  <c r="F33" i="4"/>
  <c r="G33" i="4" s="1"/>
  <c r="G32" i="4" s="1"/>
  <c r="F34" i="4"/>
  <c r="H40" i="4"/>
  <c r="H30" i="1"/>
  <c r="I30" i="1" s="1"/>
  <c r="G31" i="1"/>
  <c r="B62" i="1"/>
  <c r="B63" i="1" s="1"/>
  <c r="H39" i="4" l="1"/>
  <c r="I34" i="4"/>
  <c r="F27" i="4"/>
  <c r="F43" i="4" s="1"/>
  <c r="I29" i="4"/>
  <c r="F32" i="4"/>
  <c r="H33" i="4"/>
  <c r="H32" i="4" s="1"/>
  <c r="H29" i="4"/>
  <c r="H31" i="1"/>
  <c r="I31" i="1" s="1"/>
  <c r="D42" i="1"/>
  <c r="D41" i="1"/>
  <c r="D40" i="1"/>
  <c r="D39" i="1"/>
  <c r="D38" i="1"/>
  <c r="D36" i="1"/>
  <c r="E36" i="1" s="1"/>
  <c r="F36" i="1" s="1"/>
  <c r="G36" i="1" s="1"/>
  <c r="H36" i="1" s="1"/>
  <c r="I36" i="1" s="1"/>
  <c r="D35" i="1"/>
  <c r="D34" i="1"/>
  <c r="D33" i="1"/>
  <c r="D29" i="1"/>
  <c r="D30" i="1"/>
  <c r="D31" i="1"/>
  <c r="D28" i="1"/>
  <c r="C41" i="1"/>
  <c r="C42" i="1"/>
  <c r="C40" i="1"/>
  <c r="C39" i="1"/>
  <c r="C38" i="1"/>
  <c r="C36" i="1"/>
  <c r="C35" i="1"/>
  <c r="C34" i="1"/>
  <c r="C33" i="1"/>
  <c r="C29" i="1"/>
  <c r="C30" i="1"/>
  <c r="C31" i="1"/>
  <c r="C28" i="1"/>
  <c r="B42" i="1"/>
  <c r="B41" i="1"/>
  <c r="B39" i="1"/>
  <c r="B40" i="1"/>
  <c r="B38" i="1"/>
  <c r="B34" i="1"/>
  <c r="B35" i="1"/>
  <c r="B36" i="1"/>
  <c r="B33" i="1"/>
  <c r="B29" i="1"/>
  <c r="B30" i="1"/>
  <c r="B31" i="1"/>
  <c r="B28" i="1"/>
  <c r="G27" i="4" l="1"/>
  <c r="G43" i="4" s="1"/>
  <c r="H37" i="4"/>
  <c r="I39" i="4"/>
  <c r="I37" i="4" s="1"/>
  <c r="I27" i="4"/>
  <c r="I43" i="4" s="1"/>
  <c r="I33" i="4"/>
  <c r="I32" i="4" s="1"/>
  <c r="E33" i="1"/>
  <c r="F33" i="1" s="1"/>
  <c r="G33" i="1" s="1"/>
  <c r="C37" i="1"/>
  <c r="B27" i="1"/>
  <c r="E29" i="1"/>
  <c r="F29" i="1" s="1"/>
  <c r="E39" i="1"/>
  <c r="F39" i="1" s="1"/>
  <c r="D37" i="1"/>
  <c r="E40" i="1"/>
  <c r="D27" i="1"/>
  <c r="D32" i="1"/>
  <c r="C32" i="1"/>
  <c r="E34" i="1"/>
  <c r="B37" i="1"/>
  <c r="B32" i="1"/>
  <c r="C27" i="1"/>
  <c r="H27" i="4" l="1"/>
  <c r="H43" i="4" s="1"/>
  <c r="B49" i="4" s="1" a="1"/>
  <c r="F40" i="1"/>
  <c r="E32" i="1"/>
  <c r="E37" i="1"/>
  <c r="F34" i="1"/>
  <c r="G34" i="1" s="1"/>
  <c r="G32" i="1" s="1"/>
  <c r="D43" i="1"/>
  <c r="F27" i="1"/>
  <c r="G29" i="1"/>
  <c r="H29" i="1" s="1"/>
  <c r="E27" i="1"/>
  <c r="B43" i="1"/>
  <c r="C43" i="1"/>
  <c r="G39" i="1"/>
  <c r="F37" i="1"/>
  <c r="H33" i="1"/>
  <c r="I33" i="1" s="1"/>
  <c r="E50" i="4" l="1"/>
  <c r="D50" i="4"/>
  <c r="F50" i="4"/>
  <c r="B57" i="4" s="1"/>
  <c r="B58" i="4" s="1"/>
  <c r="C50" i="4"/>
  <c r="B49" i="4"/>
  <c r="B50" i="4" s="1"/>
  <c r="G40" i="1"/>
  <c r="H40" i="1" s="1"/>
  <c r="I40" i="1"/>
  <c r="H27" i="1"/>
  <c r="H34" i="1"/>
  <c r="I34" i="1" s="1"/>
  <c r="I32" i="1" s="1"/>
  <c r="F32" i="1"/>
  <c r="F43" i="1" s="1"/>
  <c r="G27" i="1"/>
  <c r="H39" i="1"/>
  <c r="H37" i="1" s="1"/>
  <c r="I29" i="1"/>
  <c r="B53" i="4" l="1"/>
  <c r="B59" i="4" s="1"/>
  <c r="B65" i="4" s="1"/>
  <c r="B69" i="4" s="1"/>
  <c r="H32" i="1"/>
  <c r="G37" i="1"/>
  <c r="G43" i="1" s="1"/>
  <c r="I27" i="1"/>
  <c r="H43" i="1"/>
  <c r="I39" i="1"/>
  <c r="I37" i="1" s="1"/>
  <c r="I43" i="1" l="1"/>
  <c r="E43" i="1"/>
  <c r="B49" i="1" l="1" a="1"/>
  <c r="B49" i="1" s="1"/>
  <c r="B50" i="1" s="1"/>
  <c r="D50" i="1" l="1"/>
  <c r="E50" i="1"/>
  <c r="C50" i="1"/>
  <c r="F50" i="1"/>
  <c r="B57" i="1" s="1"/>
  <c r="B58" i="1" s="1"/>
  <c r="B53" i="1" l="1"/>
  <c r="B59" i="1" s="1"/>
  <c r="B65" i="1" s="1"/>
  <c r="B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<sst xmlns="http://schemas.openxmlformats.org/spreadsheetml/2006/main" count="217" uniqueCount="84">
  <si>
    <t>Year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</si>
  <si>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</si>
  <si>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</si>
  <si>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</si>
  <si>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</si>
  <si>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</si>
  <si>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</si>
  <si>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</si>
  <si>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</si>
  <si>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</si>
  <si>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</si>
  <si>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</si>
  <si>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Total</t>
  </si>
  <si>
    <t>November</t>
  </si>
  <si>
    <t>180-day</t>
  </si>
  <si>
    <t>Revenue</t>
  </si>
  <si>
    <t>Cost of Revenue</t>
  </si>
  <si>
    <t>Operating Expense</t>
  </si>
  <si>
    <t>Other Operating Expense</t>
  </si>
  <si>
    <t>Other Income</t>
  </si>
  <si>
    <t xml:space="preserve">   Vault Dust</t>
  </si>
  <si>
    <t xml:space="preserve">   Vaults V1</t>
  </si>
  <si>
    <t xml:space="preserve">   Vaults V2</t>
  </si>
  <si>
    <t xml:space="preserve">   Gas</t>
  </si>
  <si>
    <t xml:space="preserve">   Strategist Fees</t>
  </si>
  <si>
    <t xml:space="preserve">   Strategy Migration</t>
  </si>
  <si>
    <t xml:space="preserve">   Yearn Partners</t>
  </si>
  <si>
    <t xml:space="preserve">   Personnal</t>
  </si>
  <si>
    <t xml:space="preserve">   Personnel</t>
  </si>
  <si>
    <t xml:space="preserve">   Security</t>
  </si>
  <si>
    <t xml:space="preserve">   Inverse Fed Fees</t>
  </si>
  <si>
    <t>Valuation</t>
  </si>
  <si>
    <t>Terminal Value</t>
  </si>
  <si>
    <t>Net Present value</t>
  </si>
  <si>
    <t>Discounting factor</t>
  </si>
  <si>
    <t>Enterprise value</t>
  </si>
  <si>
    <t>Present value of terminal value</t>
  </si>
  <si>
    <t>NPV of present value</t>
  </si>
  <si>
    <t>Enterprise Value</t>
  </si>
  <si>
    <t>Cash flow</t>
  </si>
  <si>
    <t>11/30/22</t>
  </si>
  <si>
    <t>11/30/23</t>
  </si>
  <si>
    <t>11/30/24</t>
  </si>
  <si>
    <t>05/31/23</t>
  </si>
  <si>
    <t>05/31/24</t>
  </si>
  <si>
    <t>Discounted value</t>
  </si>
  <si>
    <t>Terminal Multiplier</t>
  </si>
  <si>
    <t>FYI Value</t>
  </si>
  <si>
    <t>Number of YFI</t>
  </si>
  <si>
    <t>Indicated YFI price</t>
  </si>
  <si>
    <t>Month</t>
  </si>
  <si>
    <t>Half-year Income Statement</t>
  </si>
  <si>
    <t>Forecast based
 on assumptions</t>
  </si>
  <si>
    <t>Monthly Financial Statement(Retrieved from Yearn Disclosure Report)</t>
  </si>
  <si>
    <t>Net Debt/ Net Cash</t>
  </si>
  <si>
    <t>Total Debt</t>
  </si>
  <si>
    <t>Cash/Equivalent</t>
  </si>
  <si>
    <t>El  Cash &amp; cash equivalents</t>
  </si>
  <si>
    <t>El  Inventory</t>
  </si>
  <si>
    <t>El  Other short term assets</t>
  </si>
  <si>
    <t>YFI</t>
  </si>
  <si>
    <t>ETH</t>
  </si>
  <si>
    <t>BTC</t>
  </si>
  <si>
    <t>El  Other long term assets</t>
  </si>
  <si>
    <t>El  Debt</t>
  </si>
  <si>
    <t>El  EPS Farming Proceeds</t>
  </si>
  <si>
    <t>El  Lido funds for stETH development grant</t>
  </si>
  <si>
    <t>Year2022</t>
  </si>
  <si>
    <t>EOM Balance</t>
  </si>
  <si>
    <t>Growth Rate</t>
  </si>
  <si>
    <t>revenue buildup</t>
  </si>
  <si>
    <t>Management Fee</t>
  </si>
  <si>
    <t>Performance Fee</t>
  </si>
  <si>
    <t>V1 TVL</t>
  </si>
  <si>
    <t>V2 TVL</t>
  </si>
  <si>
    <t>V1 ROI</t>
  </si>
  <si>
    <t>V2 ROI</t>
  </si>
  <si>
    <t>Cash &amp; cash equivalents</t>
  </si>
  <si>
    <t>Inventory</t>
  </si>
  <si>
    <t>Other short term assets</t>
  </si>
  <si>
    <t>Other long term assets</t>
  </si>
  <si>
    <t>Debt</t>
  </si>
  <si>
    <t>EPS Farming Proceeds</t>
  </si>
  <si>
    <t>Lido funds for stETH development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</si>
</sst>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\-#,###\-"/>
    <numFmt numFmtId="165" formatCode="#,##0;[Red]\(#,##0\);\-"/>
    <numFmt numFmtId="166" formatCode="mm/dd/yy;@"/>
  </numFmts>
  <fonts count="4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70C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2" fillId="2" borderId="0" xfId="0" applyFont="1" applyFill="1"/>
    <xf numFmtId="164" fontId="1" fillId="2" borderId="0" xfId="0" applyNumberFormat="1" applyFont="1" applyFill="1"/>
    <xf numFmtId="0" fontId="1" fillId="3" borderId="0" xfId="0" applyNumberFormat="1" applyFont="1" applyFill="1"/>
    <xf numFmtId="1" fontId="1" fillId="3" borderId="0" xfId="0" applyNumberFormat="1" applyFont="1" applyFill="1"/>
    <xf numFmtId="0" fontId="1" fillId="3" borderId="0" xfId="0" applyFont="1" applyFill="1"/>
    <xf numFmtId="165" fontId="1" fillId="3" borderId="0" xfId="0" applyNumberFormat="1" applyFont="1" applyFill="1"/>
    <xf numFmtId="0" fontId="2" fillId="3" borderId="0" xfId="0" applyNumberFormat="1" applyFont="1" applyFill="1"/>
    <xf numFmtId="165" fontId="2" fillId="3" borderId="0" xfId="0" applyNumberFormat="1" applyFont="1" applyFill="1"/>
    <xf numFmtId="165" fontId="2" fillId="4" borderId="0" xfId="0" applyNumberFormat="1" applyFont="1" applyFill="1"/>
    <xf numFmtId="165" fontId="1" fillId="4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165" fontId="1" fillId="5" borderId="0" xfId="0" applyNumberFormat="1" applyFont="1" applyFill="1"/>
    <xf numFmtId="0" fontId="2" fillId="5" borderId="0" xfId="0" applyFont="1" applyFill="1"/>
    <xf numFmtId="166" fontId="1" fillId="5" borderId="0" xfId="0" applyNumberFormat="1" applyFont="1" applyFill="1"/>
    <xf numFmtId="164" fontId="1" fillId="5" borderId="0" xfId="0" applyNumberFormat="1" applyFont="1" applyFill="1"/>
    <xf numFmtId="164" fontId="2" fillId="5" borderId="0" xfId="0" applyNumberFormat="1" applyFont="1" applyFill="1"/>
    <xf numFmtId="164" fontId="1" fillId="6" borderId="0" xfId="0" applyNumberFormat="1" applyFont="1" applyFill="1"/>
    <xf numFmtId="0" fontId="1" fillId="7" borderId="0" xfId="0" applyFont="1" applyFill="1"/>
    <xf numFmtId="165" fontId="1" fillId="7" borderId="0" xfId="0" applyNumberFormat="1" applyFont="1" applyFill="1"/>
    <xf numFmtId="0" fontId="1" fillId="2" borderId="0" xfId="0" applyNumberFormat="1" applyFont="1" applyFill="1"/>
    <xf numFmtId="9" fontId="1" fillId="2" borderId="0" xfId="0" applyNumberFormat="1" applyFont="1" applyFill="1"/>
    <xf numFmtId="165" fontId="1" fillId="2" borderId="0" xfId="0" applyNumberFormat="1" applyFont="1" applyFill="1"/>
    <xf numFmtId="9" fontId="1" fillId="4" borderId="0" xfId="0" applyNumberFormat="1" applyFont="1" applyFill="1"/>
    <xf numFmtId="0" fontId="1" fillId="4" borderId="0" xfId="0" applyNumberFormat="1" applyFont="1" applyFill="1"/>
    <xf numFmtId="165" fontId="3" fillId="4" borderId="0" xfId="0" applyNumberFormat="1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opLeftCell="A7" zoomScale="70" zoomScaleNormal="70" workbookViewId="0">
      <selection activeCell="P78" sqref="P78"/>
    </sheetView>
  </sheetViews>
  <sheetFormatPr defaultRowHeight="13.15" x14ac:dyDescent="0.4"/>
  <cols>
    <col min="1" max="1" width="23.33203125" style="1" bestFit="1" customWidth="1"/>
    <col min="2" max="2" width="12.53125" style="1" bestFit="1" customWidth="1"/>
    <col min="3" max="6" width="11.86328125" style="1" bestFit="1" customWidth="1"/>
    <col min="7" max="7" width="9.796875" style="1" bestFit="1" customWidth="1"/>
    <col min="8" max="9" width="10.796875" style="1" bestFit="1" customWidth="1"/>
    <col min="10" max="10" width="9.46484375" style="1" bestFit="1" customWidth="1"/>
    <col min="11" max="11" width="10.06640625" style="1" bestFit="1" customWidth="1"/>
    <col min="12" max="12" width="12.3984375" style="1" bestFit="1" customWidth="1"/>
    <col min="13" max="13" width="12.46484375" style="1" bestFit="1" customWidth="1"/>
    <col min="14" max="14" width="11.1328125" style="1" bestFit="1" customWidth="1"/>
    <col min="15" max="17" width="9.46484375" style="1" bestFit="1" customWidth="1"/>
    <col min="18" max="18" width="10.3984375" style="1" bestFit="1" customWidth="1"/>
    <col min="19" max="19" width="8.06640625" style="1" bestFit="1" customWidth="1"/>
    <col min="20" max="16384" width="9.06640625" style="1"/>
  </cols>
  <sheetData>
    <row r="1" spans="1:19" x14ac:dyDescent="0.4">
      <c r="A1" s="30" t="s">
        <v>53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x14ac:dyDescent="0.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x14ac:dyDescent="0.4">
      <c r="A4" s="6" t="s">
        <v>0</v>
      </c>
      <c r="B4" s="7">
        <v>2020</v>
      </c>
      <c r="C4" s="7">
        <v>2021</v>
      </c>
      <c r="D4" s="8"/>
      <c r="E4" s="8"/>
      <c r="F4" s="8"/>
      <c r="G4" s="8"/>
      <c r="H4" s="9"/>
      <c r="I4" s="8"/>
      <c r="J4" s="8"/>
      <c r="K4" s="8"/>
      <c r="L4" s="8"/>
      <c r="M4" s="8"/>
      <c r="N4" s="8"/>
      <c r="O4" s="7">
        <v>2022</v>
      </c>
      <c r="P4" s="8"/>
      <c r="Q4" s="8"/>
      <c r="R4" s="8"/>
      <c r="S4" s="8"/>
    </row>
    <row r="5" spans="1:19" x14ac:dyDescent="0.4">
      <c r="A5" s="6" t="s">
        <v>50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8" t="s">
        <v>13</v>
      </c>
      <c r="N5" s="8" t="s">
        <v>1</v>
      </c>
      <c r="O5" s="8" t="s">
        <v>2</v>
      </c>
      <c r="P5" s="8" t="s">
        <v>3</v>
      </c>
      <c r="Q5" s="8" t="s">
        <v>4</v>
      </c>
      <c r="R5" s="8" t="s">
        <v>5</v>
      </c>
      <c r="S5" s="8" t="s">
        <v>6</v>
      </c>
    </row>
    <row r="6" spans="1:19" x14ac:dyDescent="0.4">
      <c r="A6" s="10" t="s">
        <v>15</v>
      </c>
      <c r="B6" s="9">
        <v>364373.32</v>
      </c>
      <c r="C6" s="9">
        <v>879361.25</v>
      </c>
      <c r="D6" s="9">
        <v>1687749.14</v>
      </c>
      <c r="E6" s="9">
        <v>4710606.74</v>
      </c>
      <c r="F6" s="9">
        <v>8706182.8599999994</v>
      </c>
      <c r="G6" s="9">
        <v>10087330.609999999</v>
      </c>
      <c r="H6" s="9">
        <v>8132292.1399999997</v>
      </c>
      <c r="I6" s="9">
        <v>5147704.8099999996</v>
      </c>
      <c r="J6" s="9">
        <v>8153231.8300000001</v>
      </c>
      <c r="K6" s="9">
        <v>7173577.2400000002</v>
      </c>
      <c r="L6" s="9">
        <v>7384535.9299999997</v>
      </c>
      <c r="M6" s="9">
        <v>8255455.7599999998</v>
      </c>
      <c r="N6" s="9">
        <v>7869481.0599999996</v>
      </c>
      <c r="O6" s="9">
        <v>6036229.9299999997</v>
      </c>
      <c r="P6" s="9">
        <v>3421862.12</v>
      </c>
      <c r="Q6" s="9">
        <v>3938056.28</v>
      </c>
      <c r="R6" s="9">
        <v>3295845.5</v>
      </c>
      <c r="S6" s="9">
        <v>46379.22</v>
      </c>
    </row>
    <row r="7" spans="1:19" x14ac:dyDescent="0.4">
      <c r="A7" s="6" t="s">
        <v>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>
        <v>24196.16</v>
      </c>
      <c r="S7" s="9"/>
    </row>
    <row r="8" spans="1:19" x14ac:dyDescent="0.4">
      <c r="A8" s="6" t="s">
        <v>20</v>
      </c>
      <c r="B8" s="9"/>
      <c r="C8" s="9"/>
      <c r="D8" s="9"/>
      <c r="E8" s="9">
        <v>6797.58</v>
      </c>
      <c r="F8" s="9"/>
      <c r="G8" s="9"/>
      <c r="H8" s="9"/>
      <c r="I8" s="9"/>
      <c r="J8" s="9">
        <v>2492.6999999999998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4">
      <c r="A9" s="6" t="s">
        <v>21</v>
      </c>
      <c r="B9" s="9">
        <v>363600.58</v>
      </c>
      <c r="C9" s="9">
        <v>829193.5</v>
      </c>
      <c r="D9" s="9">
        <v>1304538.04</v>
      </c>
      <c r="E9" s="9">
        <v>2549888.62</v>
      </c>
      <c r="F9" s="9">
        <v>2795233.46</v>
      </c>
      <c r="G9" s="9">
        <v>2088698.55</v>
      </c>
      <c r="H9" s="9">
        <v>112343.34</v>
      </c>
      <c r="I9" s="9">
        <v>119622.02</v>
      </c>
      <c r="J9" s="9">
        <v>13259.97</v>
      </c>
      <c r="K9" s="9"/>
      <c r="L9" s="9"/>
      <c r="M9" s="9"/>
      <c r="N9" s="9"/>
      <c r="O9" s="9"/>
      <c r="P9" s="9"/>
      <c r="Q9" s="9"/>
      <c r="R9" s="9"/>
      <c r="S9" s="9"/>
    </row>
    <row r="10" spans="1:19" x14ac:dyDescent="0.4">
      <c r="A10" s="6" t="s">
        <v>22</v>
      </c>
      <c r="B10" s="9">
        <v>772.74</v>
      </c>
      <c r="C10" s="9">
        <v>50167.75</v>
      </c>
      <c r="D10" s="9">
        <v>383211.1</v>
      </c>
      <c r="E10" s="9">
        <v>2153920.54</v>
      </c>
      <c r="F10" s="9">
        <v>5910949.4000000004</v>
      </c>
      <c r="G10" s="9">
        <v>7998632.0599999996</v>
      </c>
      <c r="H10" s="9">
        <v>8019948.7999999998</v>
      </c>
      <c r="I10" s="9">
        <v>5028082.78</v>
      </c>
      <c r="J10" s="9">
        <v>8137479.1600000001</v>
      </c>
      <c r="K10" s="9">
        <v>7173577.2400000002</v>
      </c>
      <c r="L10" s="9">
        <v>7384535.9299999997</v>
      </c>
      <c r="M10" s="9">
        <v>8255455.7599999998</v>
      </c>
      <c r="N10" s="9">
        <v>7869481.0599999996</v>
      </c>
      <c r="O10" s="9">
        <v>6036229.9299999997</v>
      </c>
      <c r="P10" s="9">
        <v>3421862.12</v>
      </c>
      <c r="Q10" s="9">
        <v>3938056.28</v>
      </c>
      <c r="R10" s="9">
        <v>3271649.34</v>
      </c>
      <c r="S10" s="9">
        <v>46379.22</v>
      </c>
    </row>
    <row r="11" spans="1:19" x14ac:dyDescent="0.4">
      <c r="A11" s="10" t="s">
        <v>16</v>
      </c>
      <c r="B11" s="9">
        <v>-6436.21</v>
      </c>
      <c r="C11" s="9">
        <v>-69551.98</v>
      </c>
      <c r="D11" s="9">
        <v>-372034.34</v>
      </c>
      <c r="E11" s="9">
        <v>-1568150.21</v>
      </c>
      <c r="F11" s="9">
        <v>-3673720.49</v>
      </c>
      <c r="G11" s="9">
        <v>-3179322.55</v>
      </c>
      <c r="H11" s="9">
        <v>-2822217.98</v>
      </c>
      <c r="I11" s="9">
        <v>-1901382.46</v>
      </c>
      <c r="J11" s="9">
        <v>-2290094.61</v>
      </c>
      <c r="K11" s="9">
        <v>-2280581.2200000002</v>
      </c>
      <c r="L11" s="9">
        <v>-2624004.15</v>
      </c>
      <c r="M11" s="9">
        <v>-2973606.34</v>
      </c>
      <c r="N11" s="9">
        <v>-2510403.42</v>
      </c>
      <c r="O11" s="9">
        <v>-2012047.72</v>
      </c>
      <c r="P11" s="9">
        <v>-1259139.75</v>
      </c>
      <c r="Q11" s="9">
        <v>-832315.16</v>
      </c>
      <c r="R11" s="9">
        <v>-531091.43999999994</v>
      </c>
      <c r="S11" s="9"/>
    </row>
    <row r="12" spans="1:19" x14ac:dyDescent="0.4">
      <c r="A12" s="6" t="s">
        <v>23</v>
      </c>
      <c r="B12" s="9">
        <v>-1441.54</v>
      </c>
      <c r="C12" s="9">
        <v>-31186.12</v>
      </c>
      <c r="D12" s="9">
        <v>-78760.149999999994</v>
      </c>
      <c r="E12" s="9">
        <v>-97889.78</v>
      </c>
      <c r="F12" s="9">
        <v>-196739.22</v>
      </c>
      <c r="G12" s="9">
        <v>-317217.86</v>
      </c>
      <c r="H12" s="9">
        <v>-93491.86</v>
      </c>
      <c r="I12" s="9">
        <v>-133083.82999999999</v>
      </c>
      <c r="J12" s="9">
        <v>-162738.17000000001</v>
      </c>
      <c r="K12" s="9">
        <v>-201044.96</v>
      </c>
      <c r="L12" s="9">
        <v>-170529.35</v>
      </c>
      <c r="M12" s="9">
        <v>-397636.68</v>
      </c>
      <c r="N12" s="9">
        <v>-173050.67</v>
      </c>
      <c r="O12" s="9">
        <v>-143835.19</v>
      </c>
      <c r="P12" s="9">
        <v>-72584.62</v>
      </c>
      <c r="Q12" s="9">
        <v>-33069.089999999997</v>
      </c>
      <c r="R12" s="9">
        <v>-92599.54</v>
      </c>
      <c r="S12" s="9"/>
    </row>
    <row r="13" spans="1:19" x14ac:dyDescent="0.4">
      <c r="A13" s="6" t="s">
        <v>24</v>
      </c>
      <c r="B13" s="9">
        <v>-4994.67</v>
      </c>
      <c r="C13" s="9">
        <v>-38365.85</v>
      </c>
      <c r="D13" s="9">
        <v>-286152.92</v>
      </c>
      <c r="E13" s="9">
        <v>-1470260.43</v>
      </c>
      <c r="F13" s="9">
        <v>-3476981.28</v>
      </c>
      <c r="G13" s="9">
        <v>-2862104.69</v>
      </c>
      <c r="H13" s="9">
        <v>-2170380.4</v>
      </c>
      <c r="I13" s="9">
        <v>-1520187.81</v>
      </c>
      <c r="J13" s="9">
        <v>-2026847.08</v>
      </c>
      <c r="K13" s="9">
        <v>-1782373.63</v>
      </c>
      <c r="L13" s="9">
        <v>-2070363.37</v>
      </c>
      <c r="M13" s="9">
        <v>-2075956.51</v>
      </c>
      <c r="N13" s="9">
        <v>-1631444.7</v>
      </c>
      <c r="O13" s="9">
        <v>-1239590.17</v>
      </c>
      <c r="P13" s="9">
        <v>-765214.71</v>
      </c>
      <c r="Q13" s="9">
        <v>-799246.08</v>
      </c>
      <c r="R13" s="9">
        <v>-187916.97</v>
      </c>
      <c r="S13" s="9"/>
    </row>
    <row r="14" spans="1:19" x14ac:dyDescent="0.4">
      <c r="A14" s="6" t="s">
        <v>25</v>
      </c>
      <c r="B14" s="9"/>
      <c r="C14" s="9"/>
      <c r="D14" s="9">
        <v>-7121.27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4">
      <c r="A15" s="6" t="s">
        <v>26</v>
      </c>
      <c r="B15" s="9"/>
      <c r="C15" s="9"/>
      <c r="D15" s="9"/>
      <c r="E15" s="9"/>
      <c r="F15" s="9"/>
      <c r="G15" s="9"/>
      <c r="H15" s="9">
        <v>-558345.72</v>
      </c>
      <c r="I15" s="9">
        <v>-248110.82</v>
      </c>
      <c r="J15" s="9">
        <v>-100509.36</v>
      </c>
      <c r="K15" s="9">
        <v>-297162.62</v>
      </c>
      <c r="L15" s="9">
        <v>-383111.43</v>
      </c>
      <c r="M15" s="9">
        <v>-500013.15</v>
      </c>
      <c r="N15" s="9">
        <v>-705908.04</v>
      </c>
      <c r="O15" s="9">
        <v>-628622.37</v>
      </c>
      <c r="P15" s="9">
        <v>-421340.41</v>
      </c>
      <c r="Q15" s="9"/>
      <c r="R15" s="9">
        <v>-250574.93</v>
      </c>
      <c r="S15" s="9"/>
    </row>
    <row r="16" spans="1:19" x14ac:dyDescent="0.4">
      <c r="A16" s="10" t="s">
        <v>17</v>
      </c>
      <c r="B16" s="9">
        <v>-443146.01</v>
      </c>
      <c r="C16" s="9">
        <v>-42890.879999999997</v>
      </c>
      <c r="D16" s="9">
        <v>-201617.15</v>
      </c>
      <c r="E16" s="9">
        <v>-318041.49</v>
      </c>
      <c r="F16" s="9">
        <v>-285409.46000000002</v>
      </c>
      <c r="G16" s="9">
        <v>-363482.67</v>
      </c>
      <c r="H16" s="9">
        <v>-368777.71</v>
      </c>
      <c r="I16" s="9">
        <v>-1236698.73</v>
      </c>
      <c r="J16" s="9">
        <v>-554792.99</v>
      </c>
      <c r="K16" s="9">
        <v>-308479.46000000002</v>
      </c>
      <c r="L16" s="9">
        <v>-726083.48</v>
      </c>
      <c r="M16" s="9">
        <v>-205463.29</v>
      </c>
      <c r="N16" s="9">
        <v>-674367.72</v>
      </c>
      <c r="O16" s="9">
        <v>-1968610.85</v>
      </c>
      <c r="P16" s="9">
        <v>-1330497.6499999999</v>
      </c>
      <c r="Q16" s="9">
        <v>-693622.93</v>
      </c>
      <c r="R16" s="9">
        <v>-773887.36</v>
      </c>
      <c r="S16" s="9"/>
    </row>
    <row r="17" spans="1:19" x14ac:dyDescent="0.4">
      <c r="A17" s="6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-5000</v>
      </c>
      <c r="Q17" s="9"/>
      <c r="R17" s="9">
        <v>-15000</v>
      </c>
      <c r="S17" s="9"/>
    </row>
    <row r="18" spans="1:19" x14ac:dyDescent="0.4">
      <c r="A18" s="6" t="s">
        <v>28</v>
      </c>
      <c r="B18" s="9">
        <v>-381941.88</v>
      </c>
      <c r="C18" s="9">
        <v>-16090.88</v>
      </c>
      <c r="D18" s="9">
        <v>-173917.15</v>
      </c>
      <c r="E18" s="9">
        <v>-225288</v>
      </c>
      <c r="F18" s="9">
        <v>-285409.46000000002</v>
      </c>
      <c r="G18" s="9">
        <v>-306120.28999999998</v>
      </c>
      <c r="H18" s="9">
        <v>-368777.71</v>
      </c>
      <c r="I18" s="9">
        <v>-1059323.73</v>
      </c>
      <c r="J18" s="9">
        <v>-481825.49</v>
      </c>
      <c r="K18" s="9">
        <v>-302801.63</v>
      </c>
      <c r="L18" s="9">
        <v>-726083.48</v>
      </c>
      <c r="M18" s="9">
        <v>-170738.29</v>
      </c>
      <c r="N18" s="9">
        <v>-643617.72</v>
      </c>
      <c r="O18" s="9">
        <v>-1775075.34</v>
      </c>
      <c r="P18" s="9">
        <v>-1075997.6499999999</v>
      </c>
      <c r="Q18" s="9">
        <v>-528281.51</v>
      </c>
      <c r="R18" s="9">
        <v>-758887.36</v>
      </c>
      <c r="S18" s="9"/>
    </row>
    <row r="19" spans="1:19" x14ac:dyDescent="0.4">
      <c r="A19" s="6" t="s">
        <v>29</v>
      </c>
      <c r="B19" s="9">
        <v>-61204.12</v>
      </c>
      <c r="C19" s="9">
        <v>-26800</v>
      </c>
      <c r="D19" s="9">
        <v>-27700</v>
      </c>
      <c r="E19" s="9">
        <v>-92753.49</v>
      </c>
      <c r="F19" s="9"/>
      <c r="G19" s="9">
        <v>-57362.38</v>
      </c>
      <c r="H19" s="9"/>
      <c r="I19" s="9">
        <v>-177375</v>
      </c>
      <c r="J19" s="9">
        <v>-72967.5</v>
      </c>
      <c r="K19" s="9">
        <v>-5677.83</v>
      </c>
      <c r="L19" s="9"/>
      <c r="M19" s="9">
        <v>-34725</v>
      </c>
      <c r="N19" s="9">
        <v>-30750</v>
      </c>
      <c r="O19" s="9">
        <v>-193535.51</v>
      </c>
      <c r="P19" s="9">
        <v>-249500</v>
      </c>
      <c r="Q19" s="9">
        <v>-165341.42000000001</v>
      </c>
      <c r="R19" s="9"/>
      <c r="S19" s="9"/>
    </row>
    <row r="20" spans="1:19" x14ac:dyDescent="0.4">
      <c r="A20" s="10" t="s">
        <v>18</v>
      </c>
      <c r="B20" s="9">
        <v>-24410.1</v>
      </c>
      <c r="C20" s="9">
        <v>-24529.88</v>
      </c>
      <c r="D20" s="9">
        <v>-12433967.699999999</v>
      </c>
      <c r="E20" s="9">
        <v>-5770883.4500000002</v>
      </c>
      <c r="F20" s="9">
        <v>-5105702.71</v>
      </c>
      <c r="G20" s="9">
        <v>-4690366.4000000004</v>
      </c>
      <c r="H20" s="9">
        <v>-2808964.63</v>
      </c>
      <c r="I20" s="9">
        <v>-2590638.29</v>
      </c>
      <c r="J20" s="9">
        <v>-4411364.54</v>
      </c>
      <c r="K20" s="9">
        <v>-2037191.62</v>
      </c>
      <c r="L20" s="9">
        <v>-4273148.25</v>
      </c>
      <c r="M20" s="9">
        <v>-3010281.17</v>
      </c>
      <c r="N20" s="9">
        <v>-3038978.03</v>
      </c>
      <c r="O20" s="9">
        <v>-2298783.89</v>
      </c>
      <c r="P20" s="9">
        <v>-1859419.69</v>
      </c>
      <c r="Q20" s="9">
        <v>-2645914.77</v>
      </c>
      <c r="R20" s="9">
        <v>-12155588.039999999</v>
      </c>
      <c r="S20" s="9">
        <v>-484583</v>
      </c>
    </row>
    <row r="21" spans="1:19" x14ac:dyDescent="0.4">
      <c r="A21" s="10" t="s">
        <v>19</v>
      </c>
      <c r="B21" s="9">
        <v>2505.52</v>
      </c>
      <c r="C21" s="9">
        <v>450516.74</v>
      </c>
      <c r="D21" s="9">
        <v>215527999.08000001</v>
      </c>
      <c r="E21" s="9">
        <v>3282.18</v>
      </c>
      <c r="F21" s="9"/>
      <c r="G21" s="9"/>
      <c r="H21" s="9">
        <v>119.76</v>
      </c>
      <c r="I21" s="9">
        <v>195.17</v>
      </c>
      <c r="J21" s="9">
        <v>1801570.76</v>
      </c>
      <c r="K21" s="9">
        <v>111862.22</v>
      </c>
      <c r="L21" s="9"/>
      <c r="M21" s="9">
        <v>47424.47</v>
      </c>
      <c r="N21" s="9">
        <v>4481.6899999999996</v>
      </c>
      <c r="O21" s="9">
        <v>4093.46</v>
      </c>
      <c r="P21" s="9">
        <v>4863.8599999999997</v>
      </c>
      <c r="Q21" s="9">
        <v>94.15</v>
      </c>
      <c r="R21" s="9">
        <v>1.94</v>
      </c>
      <c r="S21" s="9"/>
    </row>
    <row r="22" spans="1:19" x14ac:dyDescent="0.4">
      <c r="A22" s="10" t="s">
        <v>12</v>
      </c>
      <c r="B22" s="9">
        <v>-107113.48</v>
      </c>
      <c r="C22" s="9">
        <v>1192905.25</v>
      </c>
      <c r="D22" s="9">
        <v>204208129.03999999</v>
      </c>
      <c r="E22" s="9">
        <v>-2943186.22</v>
      </c>
      <c r="F22" s="9">
        <v>-358649.8</v>
      </c>
      <c r="G22" s="9">
        <v>1854158.99</v>
      </c>
      <c r="H22" s="9">
        <v>2132451.5699999998</v>
      </c>
      <c r="I22" s="9">
        <v>-580819.5</v>
      </c>
      <c r="J22" s="9">
        <v>2698550.47</v>
      </c>
      <c r="K22" s="9">
        <v>2659187.17</v>
      </c>
      <c r="L22" s="9">
        <v>-238699.95</v>
      </c>
      <c r="M22" s="9">
        <v>2113529.4500000002</v>
      </c>
      <c r="N22" s="9">
        <v>1650213.59</v>
      </c>
      <c r="O22" s="9">
        <v>-239119.07</v>
      </c>
      <c r="P22" s="9">
        <v>-1022331.11</v>
      </c>
      <c r="Q22" s="9">
        <v>-233702.43</v>
      </c>
      <c r="R22" s="9">
        <v>-10164719.390000001</v>
      </c>
      <c r="S22" s="9">
        <v>-438203.78</v>
      </c>
    </row>
    <row r="25" spans="1:19" x14ac:dyDescent="0.4">
      <c r="A25" s="6" t="s">
        <v>51</v>
      </c>
      <c r="B25" s="9"/>
      <c r="C25" s="8"/>
      <c r="D25" s="8"/>
      <c r="E25" s="14"/>
      <c r="F25" s="14"/>
      <c r="G25" s="14"/>
      <c r="H25" s="14"/>
      <c r="I25" s="14"/>
    </row>
    <row r="26" spans="1:19" x14ac:dyDescent="0.4">
      <c r="A26" s="8" t="s">
        <v>14</v>
      </c>
      <c r="B26" s="8">
        <v>2021.5</v>
      </c>
      <c r="C26" s="8">
        <v>2021.11</v>
      </c>
      <c r="D26" s="8">
        <v>2022.5</v>
      </c>
      <c r="E26" s="14">
        <v>2022.11</v>
      </c>
      <c r="F26" s="14">
        <v>2023.5</v>
      </c>
      <c r="G26" s="14">
        <v>2023.11</v>
      </c>
      <c r="H26" s="14">
        <v>2024.5</v>
      </c>
      <c r="I26" s="14">
        <v>2024.11</v>
      </c>
    </row>
    <row r="27" spans="1:19" s="4" customFormat="1" ht="12.75" x14ac:dyDescent="0.35">
      <c r="A27" s="10" t="s">
        <v>15</v>
      </c>
      <c r="B27" s="11">
        <f>SUM(B28:B31)</f>
        <v>26435603.920000002</v>
      </c>
      <c r="C27" s="11">
        <f>SUM(C28:C31)</f>
        <v>44246797.700000003</v>
      </c>
      <c r="D27" s="11">
        <f>SUM(D28:D31)</f>
        <v>24607854.109999999</v>
      </c>
      <c r="E27" s="12">
        <f>SUM(E28:E31)</f>
        <v>31755353.190000001</v>
      </c>
      <c r="F27" s="12">
        <f t="shared" ref="F27:I27" si="0">SUM(F28:F31)</f>
        <v>33528602.946666669</v>
      </c>
      <c r="G27" s="12">
        <f t="shared" si="0"/>
        <v>29955871.362222221</v>
      </c>
      <c r="H27" s="12">
        <f t="shared" si="0"/>
        <v>31746609.166296292</v>
      </c>
      <c r="I27" s="12">
        <f t="shared" si="0"/>
        <v>31743694.491728399</v>
      </c>
      <c r="J27" s="31" t="s">
        <v>52</v>
      </c>
      <c r="K27" s="32"/>
    </row>
    <row r="28" spans="1:19" x14ac:dyDescent="0.4">
      <c r="A28" s="6" t="s">
        <v>30</v>
      </c>
      <c r="B28" s="9">
        <f>SUM(B7:G7)</f>
        <v>0</v>
      </c>
      <c r="C28" s="9">
        <f>SUM(H7:M7)</f>
        <v>0</v>
      </c>
      <c r="D28" s="9">
        <f>SUM(N7:S7)</f>
        <v>24196.16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32"/>
      <c r="K28" s="32"/>
    </row>
    <row r="29" spans="1:19" x14ac:dyDescent="0.4">
      <c r="A29" s="6" t="s">
        <v>20</v>
      </c>
      <c r="B29" s="9">
        <f t="shared" ref="B29:B31" si="1">SUM(B8:G8)</f>
        <v>6797.58</v>
      </c>
      <c r="C29" s="9">
        <f t="shared" ref="C29:C42" si="2">SUM(H8:M8)</f>
        <v>2492.6999999999998</v>
      </c>
      <c r="D29" s="9">
        <f t="shared" ref="D29:D31" si="3">SUM(N8:S8)</f>
        <v>0</v>
      </c>
      <c r="E29" s="13">
        <f>AVERAGE(B29:D29)</f>
        <v>3096.7599999999998</v>
      </c>
      <c r="F29" s="13">
        <f t="shared" ref="F29:I29" si="4">AVERAGE(C29:E29)</f>
        <v>1863.153333333333</v>
      </c>
      <c r="G29" s="13">
        <f t="shared" si="4"/>
        <v>1653.3044444444442</v>
      </c>
      <c r="H29" s="13">
        <f t="shared" si="4"/>
        <v>2204.4059259259257</v>
      </c>
      <c r="I29" s="13">
        <f t="shared" si="4"/>
        <v>1906.9545679012342</v>
      </c>
      <c r="J29" s="32"/>
      <c r="K29" s="32"/>
    </row>
    <row r="30" spans="1:19" x14ac:dyDescent="0.4">
      <c r="A30" s="6" t="s">
        <v>21</v>
      </c>
      <c r="B30" s="9">
        <f t="shared" si="1"/>
        <v>9931152.75</v>
      </c>
      <c r="C30" s="9">
        <f t="shared" si="2"/>
        <v>245225.33</v>
      </c>
      <c r="D30" s="9">
        <f t="shared" si="3"/>
        <v>0</v>
      </c>
      <c r="E30" s="13">
        <f t="shared" ref="E30:I30" si="5">AVERAGE(B30:D30)</f>
        <v>3392126.0266666668</v>
      </c>
      <c r="F30" s="13">
        <f t="shared" si="5"/>
        <v>1212450.4522222222</v>
      </c>
      <c r="G30" s="13">
        <f t="shared" si="5"/>
        <v>1534858.8262962962</v>
      </c>
      <c r="H30" s="13">
        <f t="shared" si="5"/>
        <v>2046478.4350617283</v>
      </c>
      <c r="I30" s="13">
        <f t="shared" si="5"/>
        <v>1597929.2378600824</v>
      </c>
      <c r="J30" s="32"/>
      <c r="K30" s="32"/>
    </row>
    <row r="31" spans="1:19" x14ac:dyDescent="0.4">
      <c r="A31" s="6" t="s">
        <v>22</v>
      </c>
      <c r="B31" s="9">
        <f t="shared" si="1"/>
        <v>16497653.59</v>
      </c>
      <c r="C31" s="9">
        <f t="shared" si="2"/>
        <v>43999079.670000002</v>
      </c>
      <c r="D31" s="9">
        <f t="shared" si="3"/>
        <v>24583657.949999999</v>
      </c>
      <c r="E31" s="13">
        <f t="shared" ref="E31:I31" si="6">AVERAGE(B31:D31)</f>
        <v>28360130.403333336</v>
      </c>
      <c r="F31" s="13">
        <f t="shared" si="6"/>
        <v>32314289.341111112</v>
      </c>
      <c r="G31" s="13">
        <f t="shared" si="6"/>
        <v>28419359.231481481</v>
      </c>
      <c r="H31" s="13">
        <f t="shared" si="6"/>
        <v>29697926.32530864</v>
      </c>
      <c r="I31" s="13">
        <f t="shared" si="6"/>
        <v>30143858.299300414</v>
      </c>
      <c r="J31" s="32"/>
      <c r="K31" s="32"/>
    </row>
    <row r="32" spans="1:19" s="4" customFormat="1" ht="12.75" x14ac:dyDescent="0.35">
      <c r="A32" s="10" t="s">
        <v>16</v>
      </c>
      <c r="B32" s="11">
        <f>SUM(B33:B35)</f>
        <v>-8869215.7799999993</v>
      </c>
      <c r="C32" s="11">
        <f>SUM(C33:C36)</f>
        <v>-14891886.749999998</v>
      </c>
      <c r="D32" s="11">
        <f>SUM(D33:D36)</f>
        <v>-7144997.4900000002</v>
      </c>
      <c r="E32" s="12">
        <f>SUM(E33:E36)</f>
        <v>-10941539.050000001</v>
      </c>
      <c r="F32" s="12">
        <f t="shared" ref="F32:I32" si="7">SUM(F33:F36)</f>
        <v>-10965871.98</v>
      </c>
      <c r="G32" s="12">
        <f t="shared" si="7"/>
        <v>-9684136.1733333319</v>
      </c>
      <c r="H32" s="12">
        <f t="shared" si="7"/>
        <v>-10530515.734444443</v>
      </c>
      <c r="I32" s="12">
        <f t="shared" si="7"/>
        <v>-10393507.962592591</v>
      </c>
      <c r="J32" s="32"/>
      <c r="K32" s="32"/>
    </row>
    <row r="33" spans="1:17" x14ac:dyDescent="0.4">
      <c r="A33" s="6" t="s">
        <v>23</v>
      </c>
      <c r="B33" s="9">
        <f>SUM(B12:G12)</f>
        <v>-723234.66999999993</v>
      </c>
      <c r="C33" s="9">
        <f t="shared" si="2"/>
        <v>-1158524.8499999999</v>
      </c>
      <c r="D33" s="9">
        <f>SUM(N12:S12)</f>
        <v>-515139.10999999993</v>
      </c>
      <c r="E33" s="13">
        <f t="shared" ref="E33:I33" si="8">AVERAGE(B33:D33)</f>
        <v>-798966.21</v>
      </c>
      <c r="F33" s="13">
        <f t="shared" si="8"/>
        <v>-824210.05666666664</v>
      </c>
      <c r="G33" s="13">
        <f t="shared" si="8"/>
        <v>-712771.7922222222</v>
      </c>
      <c r="H33" s="13">
        <f t="shared" si="8"/>
        <v>-778649.35296296293</v>
      </c>
      <c r="I33" s="13">
        <f t="shared" si="8"/>
        <v>-771877.06728395063</v>
      </c>
      <c r="J33" s="32"/>
      <c r="K33" s="32"/>
    </row>
    <row r="34" spans="1:17" x14ac:dyDescent="0.4">
      <c r="A34" s="6" t="s">
        <v>24</v>
      </c>
      <c r="B34" s="9">
        <f t="shared" ref="B34:B36" si="9">SUM(B13:G13)</f>
        <v>-8138859.8399999999</v>
      </c>
      <c r="C34" s="9">
        <f t="shared" si="2"/>
        <v>-11646108.799999999</v>
      </c>
      <c r="D34" s="9">
        <f t="shared" ref="D34:D36" si="10">SUM(N13:S13)</f>
        <v>-4623412.63</v>
      </c>
      <c r="E34" s="13">
        <f t="shared" ref="E34:I34" si="11">AVERAGE(B34:D34)</f>
        <v>-8136127.0899999999</v>
      </c>
      <c r="F34" s="13">
        <f t="shared" si="11"/>
        <v>-8135216.1733333329</v>
      </c>
      <c r="G34" s="13">
        <f t="shared" si="11"/>
        <v>-6964918.6311111106</v>
      </c>
      <c r="H34" s="13">
        <f t="shared" si="11"/>
        <v>-7745420.6314814808</v>
      </c>
      <c r="I34" s="13">
        <f t="shared" si="11"/>
        <v>-7615185.1453086408</v>
      </c>
      <c r="J34" s="32"/>
      <c r="K34" s="32"/>
    </row>
    <row r="35" spans="1:17" x14ac:dyDescent="0.4">
      <c r="A35" s="6" t="s">
        <v>25</v>
      </c>
      <c r="B35" s="9">
        <f t="shared" si="9"/>
        <v>-7121.27</v>
      </c>
      <c r="C35" s="9">
        <f t="shared" si="2"/>
        <v>0</v>
      </c>
      <c r="D35" s="9">
        <f t="shared" si="10"/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32"/>
      <c r="K35" s="32"/>
    </row>
    <row r="36" spans="1:17" x14ac:dyDescent="0.4">
      <c r="A36" s="6" t="s">
        <v>26</v>
      </c>
      <c r="B36" s="9">
        <f t="shared" si="9"/>
        <v>0</v>
      </c>
      <c r="C36" s="9">
        <f t="shared" si="2"/>
        <v>-2087253.1</v>
      </c>
      <c r="D36" s="9">
        <f t="shared" si="10"/>
        <v>-2006445.75</v>
      </c>
      <c r="E36" s="13">
        <f>D36</f>
        <v>-2006445.75</v>
      </c>
      <c r="F36" s="13">
        <f t="shared" ref="F36:I36" si="12">E36</f>
        <v>-2006445.75</v>
      </c>
      <c r="G36" s="13">
        <f t="shared" si="12"/>
        <v>-2006445.75</v>
      </c>
      <c r="H36" s="13">
        <f t="shared" si="12"/>
        <v>-2006445.75</v>
      </c>
      <c r="I36" s="13">
        <f t="shared" si="12"/>
        <v>-2006445.75</v>
      </c>
      <c r="J36" s="32"/>
      <c r="K36" s="32"/>
    </row>
    <row r="37" spans="1:17" s="4" customFormat="1" ht="12.75" x14ac:dyDescent="0.35">
      <c r="A37" s="10" t="s">
        <v>17</v>
      </c>
      <c r="B37" s="11">
        <f>SUM(B38:B40)</f>
        <v>-1654587.6500000001</v>
      </c>
      <c r="C37" s="11">
        <f>SUM(C38:C40)</f>
        <v>-3400295.66</v>
      </c>
      <c r="D37" s="11">
        <f>SUM(D38:D40)</f>
        <v>-5440986.5099999998</v>
      </c>
      <c r="E37" s="12">
        <f>SUM(E38:E40)</f>
        <v>-3491956.6066666669</v>
      </c>
      <c r="F37" s="12">
        <f t="shared" ref="F37:I37" si="13">SUM(F38:F40)</f>
        <v>-4104412.9255555556</v>
      </c>
      <c r="G37" s="12">
        <f t="shared" si="13"/>
        <v>-4339118.6807407411</v>
      </c>
      <c r="H37" s="12">
        <f t="shared" si="13"/>
        <v>-3978496.0709876539</v>
      </c>
      <c r="I37" s="12">
        <f t="shared" si="13"/>
        <v>-4140675.8924279832</v>
      </c>
      <c r="J37" s="32"/>
      <c r="K37" s="32"/>
    </row>
    <row r="38" spans="1:17" x14ac:dyDescent="0.4">
      <c r="A38" s="6" t="s">
        <v>27</v>
      </c>
      <c r="B38" s="9">
        <f>SUM(B17:G17)</f>
        <v>0</v>
      </c>
      <c r="C38" s="9">
        <f t="shared" si="2"/>
        <v>0</v>
      </c>
      <c r="D38" s="9">
        <f>SUM(N17:S17)</f>
        <v>-20000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32"/>
      <c r="K38" s="32"/>
    </row>
    <row r="39" spans="1:17" x14ac:dyDescent="0.4">
      <c r="A39" s="6" t="s">
        <v>28</v>
      </c>
      <c r="B39" s="9">
        <f t="shared" ref="B39:B40" si="14">SUM(B18:G18)</f>
        <v>-1388767.6600000001</v>
      </c>
      <c r="C39" s="9">
        <f t="shared" si="2"/>
        <v>-3109550.33</v>
      </c>
      <c r="D39" s="9">
        <f t="shared" ref="D39:D41" si="15">SUM(N18:S18)</f>
        <v>-4781859.58</v>
      </c>
      <c r="E39" s="13">
        <f t="shared" ref="E39:E40" si="16">AVERAGE(B39:D39)</f>
        <v>-3093392.5233333334</v>
      </c>
      <c r="F39" s="13">
        <f t="shared" ref="F39:F40" si="17">AVERAGE(C39:E39)</f>
        <v>-3661600.8111111112</v>
      </c>
      <c r="G39" s="13">
        <f t="shared" ref="G39:G40" si="18">AVERAGE(D39:F39)</f>
        <v>-3845617.6381481481</v>
      </c>
      <c r="H39" s="13">
        <f t="shared" ref="H39:H40" si="19">AVERAGE(E39:G39)</f>
        <v>-3533536.9908641973</v>
      </c>
      <c r="I39" s="13">
        <f t="shared" ref="I39:I40" si="20">AVERAGE(F39:H39)</f>
        <v>-3680251.8133744854</v>
      </c>
      <c r="J39" s="32"/>
      <c r="K39" s="32"/>
    </row>
    <row r="40" spans="1:17" x14ac:dyDescent="0.4">
      <c r="A40" s="6" t="s">
        <v>29</v>
      </c>
      <c r="B40" s="9">
        <f t="shared" si="14"/>
        <v>-265819.99</v>
      </c>
      <c r="C40" s="9">
        <f t="shared" si="2"/>
        <v>-290745.32999999996</v>
      </c>
      <c r="D40" s="9">
        <f t="shared" si="15"/>
        <v>-639126.93000000005</v>
      </c>
      <c r="E40" s="13">
        <f t="shared" si="16"/>
        <v>-398564.08333333331</v>
      </c>
      <c r="F40" s="13">
        <f t="shared" si="17"/>
        <v>-442812.11444444442</v>
      </c>
      <c r="G40" s="13">
        <f t="shared" si="18"/>
        <v>-493501.0425925926</v>
      </c>
      <c r="H40" s="13">
        <f t="shared" si="19"/>
        <v>-444959.08012345672</v>
      </c>
      <c r="I40" s="13">
        <f t="shared" si="20"/>
        <v>-460424.07905349787</v>
      </c>
      <c r="J40" s="32"/>
      <c r="K40" s="32"/>
    </row>
    <row r="41" spans="1:17" s="4" customFormat="1" ht="13.15" customHeight="1" x14ac:dyDescent="0.35">
      <c r="A41" s="10" t="s">
        <v>18</v>
      </c>
      <c r="B41" s="11">
        <f>SUM(B20:G20)</f>
        <v>-28049860.240000002</v>
      </c>
      <c r="C41" s="11">
        <f t="shared" si="2"/>
        <v>-19131588.5</v>
      </c>
      <c r="D41" s="11">
        <f t="shared" si="15"/>
        <v>-22483267.419999998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32"/>
      <c r="K41" s="32"/>
    </row>
    <row r="42" spans="1:17" s="4" customFormat="1" ht="13.15" customHeight="1" x14ac:dyDescent="0.35">
      <c r="A42" s="10" t="s">
        <v>19</v>
      </c>
      <c r="B42" s="11">
        <f>SUM(B21:G21)</f>
        <v>215984303.52000001</v>
      </c>
      <c r="C42" s="11">
        <f t="shared" si="2"/>
        <v>1961172.38</v>
      </c>
      <c r="D42" s="11">
        <f>SUM(N21:S21)</f>
        <v>13535.099999999999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32"/>
      <c r="K42" s="32"/>
    </row>
    <row r="43" spans="1:17" s="4" customFormat="1" x14ac:dyDescent="0.4">
      <c r="A43" s="10" t="s">
        <v>12</v>
      </c>
      <c r="B43" s="11">
        <f>B27+B32+B37+B41+B42</f>
        <v>203846243.77000001</v>
      </c>
      <c r="C43" s="11">
        <f>C27+C32+C37+C41+C42</f>
        <v>8784199.1700000018</v>
      </c>
      <c r="D43" s="11">
        <f>D27+D32+D37+D41+D42</f>
        <v>-10447862.210000001</v>
      </c>
      <c r="E43" s="12">
        <f>E27+E32+E37+E41+E42</f>
        <v>17321857.533333335</v>
      </c>
      <c r="F43" s="12">
        <f t="shared" ref="F43:I43" si="21">F27+F32+F37+F41+F42</f>
        <v>18458318.041111112</v>
      </c>
      <c r="G43" s="12">
        <f t="shared" si="21"/>
        <v>15932616.508148149</v>
      </c>
      <c r="H43" s="12">
        <f t="shared" si="21"/>
        <v>17237597.360864196</v>
      </c>
      <c r="I43" s="12">
        <f t="shared" si="21"/>
        <v>17209510.636707824</v>
      </c>
      <c r="J43" s="32"/>
      <c r="K43" s="32"/>
      <c r="L43" s="1"/>
      <c r="M43" s="5"/>
      <c r="N43" s="1"/>
      <c r="O43" s="1"/>
      <c r="P43" s="1"/>
      <c r="Q43" s="1"/>
    </row>
    <row r="44" spans="1:17" s="4" customFormat="1" x14ac:dyDescent="0.4">
      <c r="A44" s="2"/>
      <c r="B44" s="3"/>
      <c r="C44" s="3"/>
      <c r="D44" s="3"/>
      <c r="E44" s="3"/>
      <c r="F44" s="3"/>
      <c r="G44" s="3"/>
      <c r="H44" s="3"/>
      <c r="I44" s="3"/>
      <c r="L44" s="1"/>
      <c r="M44" s="5"/>
      <c r="N44" s="1"/>
      <c r="O44" s="1"/>
      <c r="P44" s="1"/>
      <c r="Q44" s="1"/>
    </row>
    <row r="47" spans="1:17" x14ac:dyDescent="0.4">
      <c r="A47" s="15"/>
      <c r="B47" s="16">
        <v>1</v>
      </c>
      <c r="C47" s="16">
        <v>2</v>
      </c>
      <c r="D47" s="16">
        <v>3</v>
      </c>
      <c r="E47" s="16">
        <v>4</v>
      </c>
      <c r="F47" s="16">
        <v>5</v>
      </c>
      <c r="J47" s="22" t="s">
        <v>68</v>
      </c>
      <c r="K47" s="22"/>
      <c r="L47" s="22" t="s">
        <v>67</v>
      </c>
      <c r="M47" s="22"/>
      <c r="N47" s="22"/>
    </row>
    <row r="48" spans="1:17" x14ac:dyDescent="0.4">
      <c r="A48" s="17" t="s">
        <v>31</v>
      </c>
      <c r="B48" s="18" t="s">
        <v>40</v>
      </c>
      <c r="C48" s="18" t="s">
        <v>43</v>
      </c>
      <c r="D48" s="18" t="s">
        <v>41</v>
      </c>
      <c r="E48" s="18" t="s">
        <v>44</v>
      </c>
      <c r="F48" s="18" t="s">
        <v>42</v>
      </c>
      <c r="J48" s="22"/>
      <c r="K48" s="22"/>
      <c r="L48" s="22" t="s">
        <v>4</v>
      </c>
      <c r="M48" s="22" t="s">
        <v>5</v>
      </c>
      <c r="N48" s="22" t="s">
        <v>6</v>
      </c>
    </row>
    <row r="49" spans="1:14" x14ac:dyDescent="0.4">
      <c r="A49" s="19" t="s">
        <v>39</v>
      </c>
      <c r="B49" s="20" cm="1">
        <f t="array" ref="B49:F49">E43:I43</f>
        <v>17321857.533333335</v>
      </c>
      <c r="C49" s="20">
        <v>18458318.041111112</v>
      </c>
      <c r="D49" s="20">
        <v>15932616.508148149</v>
      </c>
      <c r="E49" s="20">
        <v>17237597.360864196</v>
      </c>
      <c r="F49" s="20">
        <v>17209510.636707824</v>
      </c>
      <c r="J49" s="22" t="s">
        <v>57</v>
      </c>
      <c r="K49" s="22"/>
      <c r="L49" s="23">
        <v>30903884.640000001</v>
      </c>
      <c r="M49" s="23">
        <v>21682920.050000001</v>
      </c>
      <c r="N49" s="23">
        <v>8549217.5099999998</v>
      </c>
    </row>
    <row r="50" spans="1:14" x14ac:dyDescent="0.4">
      <c r="A50" s="19" t="s">
        <v>45</v>
      </c>
      <c r="B50" s="19">
        <f>B49/((1+$B$52/2)^B47)</f>
        <v>16113355.844961243</v>
      </c>
      <c r="C50" s="19">
        <f>C49/((1+$B$52/2)^C47)</f>
        <v>15972584.567754343</v>
      </c>
      <c r="D50" s="19">
        <f>D49/((1+$B$52/2)^D47)</f>
        <v>12825128.058177037</v>
      </c>
      <c r="E50" s="19">
        <f>E49/((1+$B$52/2)^E47)</f>
        <v>12907522.035886951</v>
      </c>
      <c r="F50" s="19">
        <f>F49/((1+$B$52/2)^F47)</f>
        <v>11987433.192519978</v>
      </c>
      <c r="J50" s="22" t="s">
        <v>58</v>
      </c>
      <c r="K50" s="22"/>
      <c r="L50" s="23"/>
      <c r="M50" s="23"/>
      <c r="N50" s="23"/>
    </row>
    <row r="51" spans="1:14" x14ac:dyDescent="0.4">
      <c r="A51" s="19"/>
      <c r="B51" s="19"/>
      <c r="C51" s="19"/>
      <c r="D51" s="19"/>
      <c r="E51" s="19"/>
      <c r="F51" s="19"/>
      <c r="J51" s="22" t="s">
        <v>59</v>
      </c>
      <c r="K51" s="22"/>
      <c r="L51" s="23">
        <v>3224059.52</v>
      </c>
      <c r="M51" s="23">
        <v>2328403.25</v>
      </c>
      <c r="N51" s="13">
        <f>(1+N62)*M51</f>
        <v>1681563.7741733014</v>
      </c>
    </row>
    <row r="52" spans="1:14" x14ac:dyDescent="0.4">
      <c r="A52" s="21" t="s">
        <v>34</v>
      </c>
      <c r="B52" s="21">
        <v>0.15</v>
      </c>
      <c r="C52" s="19"/>
      <c r="D52" s="19"/>
      <c r="E52" s="19"/>
      <c r="F52" s="19"/>
      <c r="J52" s="22" t="s">
        <v>60</v>
      </c>
      <c r="K52" s="22"/>
      <c r="L52" s="23">
        <v>126731376.93000001</v>
      </c>
      <c r="M52" s="23">
        <v>107199744.88</v>
      </c>
      <c r="N52" s="13">
        <f t="shared" ref="N52" si="22">(1+N63)*M52</f>
        <v>90678295.941537559</v>
      </c>
    </row>
    <row r="53" spans="1:14" x14ac:dyDescent="0.4">
      <c r="A53" s="19" t="s">
        <v>33</v>
      </c>
      <c r="B53" s="19">
        <f>SUM(B50:F50)</f>
        <v>69806023.699299544</v>
      </c>
      <c r="C53" s="19"/>
      <c r="D53" s="19"/>
      <c r="E53" s="19"/>
      <c r="F53" s="19"/>
      <c r="J53" s="22" t="s">
        <v>61</v>
      </c>
      <c r="K53" s="22"/>
      <c r="L53" s="23">
        <v>2089572.75</v>
      </c>
      <c r="M53" s="23">
        <v>2122604.5699999998</v>
      </c>
      <c r="N53" s="13">
        <f>(1+N65)*M53</f>
        <v>2156158.5547020962</v>
      </c>
    </row>
    <row r="54" spans="1:14" x14ac:dyDescent="0.4">
      <c r="A54" s="19"/>
      <c r="B54" s="19"/>
      <c r="C54" s="19"/>
      <c r="D54" s="19"/>
      <c r="E54" s="19"/>
      <c r="F54" s="19"/>
      <c r="J54" s="22" t="s">
        <v>62</v>
      </c>
      <c r="K54" s="22"/>
      <c r="L54" s="23">
        <v>188752.46</v>
      </c>
      <c r="M54" s="23">
        <v>52350.36</v>
      </c>
      <c r="N54" s="13">
        <f>(1+N66)*M54</f>
        <v>14519.3349645859</v>
      </c>
    </row>
    <row r="55" spans="1:14" x14ac:dyDescent="0.4">
      <c r="A55" s="20" t="s">
        <v>35</v>
      </c>
      <c r="B55" s="19"/>
      <c r="C55" s="19"/>
      <c r="D55" s="19"/>
      <c r="E55" s="19"/>
      <c r="F55" s="19"/>
      <c r="J55" s="22" t="s">
        <v>63</v>
      </c>
      <c r="K55" s="22"/>
      <c r="L55" s="23">
        <v>2539668.4900000002</v>
      </c>
      <c r="M55" s="23">
        <v>1823471.31</v>
      </c>
      <c r="N55" s="13">
        <f>(1+N67)*M55</f>
        <v>1309244.742566033</v>
      </c>
    </row>
    <row r="56" spans="1:14" x14ac:dyDescent="0.4">
      <c r="A56" s="21" t="s">
        <v>46</v>
      </c>
      <c r="B56" s="21">
        <v>10</v>
      </c>
      <c r="C56" s="19"/>
      <c r="D56" s="19"/>
      <c r="E56" s="19"/>
      <c r="F56" s="19"/>
      <c r="J56" s="22" t="s">
        <v>64</v>
      </c>
      <c r="K56" s="22"/>
      <c r="L56" s="23">
        <v>-7557635.9199999999</v>
      </c>
      <c r="M56" s="29">
        <v>-7557635.9199999999</v>
      </c>
      <c r="N56" s="29">
        <v>-7557635.9199999999</v>
      </c>
    </row>
    <row r="57" spans="1:14" x14ac:dyDescent="0.4">
      <c r="A57" s="19" t="s">
        <v>32</v>
      </c>
      <c r="B57" s="19">
        <f>B56*F50</f>
        <v>119874331.92519978</v>
      </c>
      <c r="C57" s="19"/>
      <c r="D57" s="19"/>
      <c r="E57" s="19"/>
      <c r="F57" s="19"/>
      <c r="J57" s="22" t="s">
        <v>65</v>
      </c>
      <c r="K57" s="22"/>
      <c r="L57" s="23"/>
      <c r="M57" s="23"/>
      <c r="N57" s="23"/>
    </row>
    <row r="58" spans="1:14" x14ac:dyDescent="0.4">
      <c r="A58" s="19" t="s">
        <v>36</v>
      </c>
      <c r="B58" s="19">
        <f>B57/(1+B52/2)^5</f>
        <v>83499500.699701026</v>
      </c>
      <c r="C58" s="19"/>
      <c r="D58" s="19"/>
      <c r="E58" s="19"/>
      <c r="F58" s="19"/>
      <c r="J58" s="22" t="s">
        <v>66</v>
      </c>
      <c r="K58" s="22"/>
      <c r="L58" s="23">
        <v>36628.68</v>
      </c>
      <c r="M58" s="23">
        <v>28966.2</v>
      </c>
      <c r="N58" s="23"/>
    </row>
    <row r="59" spans="1:14" x14ac:dyDescent="0.4">
      <c r="A59" s="19" t="s">
        <v>37</v>
      </c>
      <c r="B59" s="19">
        <f>B53</f>
        <v>69806023.699299544</v>
      </c>
      <c r="C59" s="19"/>
      <c r="D59" s="19"/>
      <c r="E59" s="19"/>
      <c r="F59" s="19"/>
      <c r="J59" s="22" t="s">
        <v>12</v>
      </c>
      <c r="K59" s="22"/>
      <c r="L59" s="23">
        <v>158156307.56</v>
      </c>
      <c r="M59" s="23">
        <v>135238460.62</v>
      </c>
      <c r="N59" s="23">
        <v>8549217.5099999998</v>
      </c>
    </row>
    <row r="60" spans="1:14" x14ac:dyDescent="0.4">
      <c r="A60" s="19"/>
      <c r="B60" s="19"/>
      <c r="C60" s="19"/>
      <c r="D60" s="19"/>
      <c r="E60" s="19"/>
      <c r="F60" s="19"/>
    </row>
    <row r="61" spans="1:14" x14ac:dyDescent="0.4">
      <c r="A61" s="19" t="s">
        <v>55</v>
      </c>
      <c r="B61" s="19">
        <f>N56</f>
        <v>-7557635.9199999999</v>
      </c>
      <c r="C61" s="19"/>
      <c r="D61" s="19"/>
      <c r="E61" s="19"/>
      <c r="F61" s="19"/>
    </row>
    <row r="62" spans="1:14" x14ac:dyDescent="0.4">
      <c r="A62" s="19" t="s">
        <v>56</v>
      </c>
      <c r="B62" s="19">
        <f>SUM(N53:N54)+N51+N49</f>
        <v>12401459.173839983</v>
      </c>
      <c r="C62" s="19"/>
      <c r="D62" s="19"/>
      <c r="E62" s="19"/>
      <c r="F62" s="19"/>
      <c r="J62" s="14" t="s">
        <v>69</v>
      </c>
      <c r="K62" s="14"/>
      <c r="L62" s="14" t="s">
        <v>59</v>
      </c>
      <c r="M62" s="14"/>
      <c r="N62" s="14">
        <f>(M51-L51)/L51</f>
        <v>-0.27780388806221545</v>
      </c>
    </row>
    <row r="63" spans="1:14" x14ac:dyDescent="0.4">
      <c r="A63" s="20" t="s">
        <v>54</v>
      </c>
      <c r="B63" s="19">
        <f>-(B62+B61)</f>
        <v>-4843823.2538399827</v>
      </c>
      <c r="C63" s="19"/>
      <c r="D63" s="19"/>
      <c r="E63" s="19"/>
      <c r="F63" s="19"/>
      <c r="J63" s="14"/>
      <c r="K63" s="14"/>
      <c r="L63" s="14" t="s">
        <v>60</v>
      </c>
      <c r="M63" s="14"/>
      <c r="N63" s="14">
        <f t="shared" ref="N63" si="23">(M52-L52)/L52</f>
        <v>-0.15411836060763623</v>
      </c>
    </row>
    <row r="64" spans="1:14" x14ac:dyDescent="0.4">
      <c r="A64" s="20"/>
      <c r="B64" s="19"/>
      <c r="C64" s="19"/>
      <c r="D64" s="19"/>
      <c r="E64" s="19"/>
      <c r="F64" s="19"/>
      <c r="J64" s="14"/>
      <c r="K64" s="14"/>
      <c r="L64" s="14"/>
      <c r="M64" s="14"/>
      <c r="N64" s="14"/>
    </row>
    <row r="65" spans="1:14" x14ac:dyDescent="0.4">
      <c r="A65" s="20" t="s">
        <v>38</v>
      </c>
      <c r="B65" s="19">
        <f>SUM(B58:B59)-B63</f>
        <v>158149347.65284055</v>
      </c>
      <c r="C65" s="19"/>
      <c r="D65" s="19"/>
      <c r="E65" s="19"/>
      <c r="F65" s="19"/>
      <c r="J65" s="14"/>
      <c r="K65" s="14"/>
      <c r="L65" s="14" t="s">
        <v>61</v>
      </c>
      <c r="M65" s="14"/>
      <c r="N65" s="14">
        <f>(M53-L53)/L53</f>
        <v>1.5807930113943068E-2</v>
      </c>
    </row>
    <row r="66" spans="1:14" x14ac:dyDescent="0.4">
      <c r="A66" s="19"/>
      <c r="B66" s="19"/>
      <c r="C66" s="19"/>
      <c r="D66" s="19"/>
      <c r="E66" s="19"/>
      <c r="F66" s="19"/>
      <c r="J66" s="14"/>
      <c r="K66" s="14"/>
      <c r="L66" s="14" t="s">
        <v>62</v>
      </c>
      <c r="M66" s="14"/>
      <c r="N66" s="14">
        <f>(M54-L54)/L54</f>
        <v>-0.72265071406221659</v>
      </c>
    </row>
    <row r="67" spans="1:14" x14ac:dyDescent="0.4">
      <c r="A67" s="20" t="s">
        <v>47</v>
      </c>
      <c r="B67" s="19"/>
      <c r="C67" s="19"/>
      <c r="D67" s="19"/>
      <c r="E67" s="19"/>
      <c r="F67" s="19"/>
      <c r="J67" s="14"/>
      <c r="K67" s="14"/>
      <c r="L67" s="14" t="s">
        <v>63</v>
      </c>
      <c r="M67" s="14"/>
      <c r="N67" s="14">
        <f>(M55-L55)/L55</f>
        <v>-0.28200419968985801</v>
      </c>
    </row>
    <row r="68" spans="1:14" x14ac:dyDescent="0.4">
      <c r="A68" s="19" t="s">
        <v>48</v>
      </c>
      <c r="B68" s="19">
        <v>36666</v>
      </c>
      <c r="C68" s="19"/>
      <c r="D68" s="19"/>
      <c r="E68" s="19"/>
      <c r="F68" s="19"/>
    </row>
    <row r="69" spans="1:14" x14ac:dyDescent="0.4">
      <c r="A69" s="21" t="s">
        <v>49</v>
      </c>
      <c r="B69" s="21">
        <f>B65/B68</f>
        <v>4313.2424494856423</v>
      </c>
      <c r="C69" s="19"/>
      <c r="D69" s="19"/>
      <c r="E69" s="19"/>
      <c r="F69" s="19"/>
    </row>
    <row r="77" spans="1:14" x14ac:dyDescent="0.4">
      <c r="K77" s="25"/>
    </row>
    <row r="78" spans="1:14" x14ac:dyDescent="0.4">
      <c r="A78" s="24"/>
      <c r="K78" s="25"/>
    </row>
    <row r="79" spans="1:14" x14ac:dyDescent="0.4">
      <c r="B79" s="26"/>
      <c r="C79" s="26"/>
      <c r="D79" s="26"/>
      <c r="E79" s="26"/>
      <c r="F79" s="26"/>
      <c r="K79" s="25"/>
    </row>
    <row r="80" spans="1:14" x14ac:dyDescent="0.4">
      <c r="B80" s="26"/>
      <c r="C80" s="26"/>
      <c r="D80" s="26"/>
      <c r="E80" s="26"/>
      <c r="F80" s="26"/>
      <c r="K80" s="25"/>
    </row>
    <row r="81" spans="1:11" x14ac:dyDescent="0.4">
      <c r="A81" s="24"/>
      <c r="B81" s="26"/>
      <c r="C81" s="26"/>
      <c r="D81" s="26"/>
      <c r="E81" s="26"/>
      <c r="F81" s="26"/>
      <c r="K81" s="26"/>
    </row>
    <row r="82" spans="1:11" x14ac:dyDescent="0.4">
      <c r="B82" s="26"/>
      <c r="C82" s="26"/>
      <c r="D82" s="26"/>
      <c r="E82" s="26"/>
      <c r="F82" s="26"/>
      <c r="K82" s="26"/>
    </row>
    <row r="83" spans="1:11" x14ac:dyDescent="0.4">
      <c r="B83" s="26"/>
      <c r="C83" s="26"/>
      <c r="D83" s="26"/>
      <c r="E83" s="26"/>
      <c r="F83" s="26"/>
    </row>
  </sheetData>
  <mergeCells count="2">
    <mergeCell ref="A1:S3"/>
    <mergeCell ref="J27:K43"/>
  </mergeCells>
  <pageMargins left="0.7" right="0.7" top="0.75" bottom="0.75" header="0.3" footer="0.3"/>
  <pageSetup orientation="portrait" r:id="rId1"/>
  <ignoredErrors>
    <ignoredError sqref="B30:D31 B38:D43" formulaRange="1"/>
    <ignoredError sqref="B32:D37" formula="1" formulaRange="1"/>
    <ignoredError sqref="E32:I3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298D-7813-47B9-ADFD-304E5C07ADB9}">
  <dimension ref="A1:S83"/>
  <sheetViews>
    <sheetView tabSelected="1" topLeftCell="A26" zoomScale="70" zoomScaleNormal="70" workbookViewId="0">
      <selection activeCell="B62" sqref="B62"/>
    </sheetView>
  </sheetViews>
  <sheetFormatPr defaultRowHeight="13.15" x14ac:dyDescent="0.4"/>
  <cols>
    <col min="1" max="1" width="23.33203125" style="1" bestFit="1" customWidth="1"/>
    <col min="2" max="2" width="12.53125" style="1" bestFit="1" customWidth="1"/>
    <col min="3" max="6" width="11.86328125" style="1" bestFit="1" customWidth="1"/>
    <col min="7" max="7" width="9.796875" style="1" bestFit="1" customWidth="1"/>
    <col min="8" max="9" width="10.796875" style="1" bestFit="1" customWidth="1"/>
    <col min="10" max="10" width="9.46484375" style="1" bestFit="1" customWidth="1"/>
    <col min="11" max="11" width="10.06640625" style="1" bestFit="1" customWidth="1"/>
    <col min="12" max="12" width="12.3984375" style="1" bestFit="1" customWidth="1"/>
    <col min="13" max="13" width="12.46484375" style="1" bestFit="1" customWidth="1"/>
    <col min="14" max="14" width="11.1328125" style="1" bestFit="1" customWidth="1"/>
    <col min="15" max="17" width="9.46484375" style="1" bestFit="1" customWidth="1"/>
    <col min="18" max="18" width="10.3984375" style="1" bestFit="1" customWidth="1"/>
    <col min="19" max="19" width="8.06640625" style="1" bestFit="1" customWidth="1"/>
    <col min="20" max="16384" width="9.06640625" style="1"/>
  </cols>
  <sheetData>
    <row r="1" spans="1:19" x14ac:dyDescent="0.4">
      <c r="A1" s="30" t="s">
        <v>53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x14ac:dyDescent="0.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x14ac:dyDescent="0.4">
      <c r="A4" s="6" t="s">
        <v>0</v>
      </c>
      <c r="B4" s="7">
        <v>2020</v>
      </c>
      <c r="C4" s="7">
        <v>2021</v>
      </c>
      <c r="D4" s="8"/>
      <c r="E4" s="8"/>
      <c r="F4" s="8"/>
      <c r="G4" s="8"/>
      <c r="H4" s="9"/>
      <c r="I4" s="8"/>
      <c r="J4" s="8"/>
      <c r="K4" s="8"/>
      <c r="L4" s="8"/>
      <c r="M4" s="8"/>
      <c r="N4" s="8"/>
      <c r="O4" s="7">
        <v>2022</v>
      </c>
      <c r="P4" s="8"/>
      <c r="Q4" s="8"/>
      <c r="R4" s="8"/>
      <c r="S4" s="8"/>
    </row>
    <row r="5" spans="1:19" x14ac:dyDescent="0.4">
      <c r="A5" s="6" t="s">
        <v>50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8" t="s">
        <v>13</v>
      </c>
      <c r="N5" s="8" t="s">
        <v>1</v>
      </c>
      <c r="O5" s="8" t="s">
        <v>2</v>
      </c>
      <c r="P5" s="8" t="s">
        <v>3</v>
      </c>
      <c r="Q5" s="8" t="s">
        <v>4</v>
      </c>
      <c r="R5" s="8" t="s">
        <v>5</v>
      </c>
      <c r="S5" s="8" t="s">
        <v>6</v>
      </c>
    </row>
    <row r="6" spans="1:19" x14ac:dyDescent="0.4">
      <c r="A6" s="10" t="s">
        <v>15</v>
      </c>
      <c r="B6" s="9">
        <v>364373.32</v>
      </c>
      <c r="C6" s="9">
        <v>879361.25</v>
      </c>
      <c r="D6" s="9">
        <v>1687749.14</v>
      </c>
      <c r="E6" s="9">
        <v>4710606.74</v>
      </c>
      <c r="F6" s="9">
        <v>8706182.8599999994</v>
      </c>
      <c r="G6" s="9">
        <v>10087330.609999999</v>
      </c>
      <c r="H6" s="9">
        <v>8132292.1399999997</v>
      </c>
      <c r="I6" s="9">
        <v>5147704.8099999996</v>
      </c>
      <c r="J6" s="9">
        <v>8153231.8300000001</v>
      </c>
      <c r="K6" s="9">
        <v>7173577.2400000002</v>
      </c>
      <c r="L6" s="9">
        <v>7384535.9299999997</v>
      </c>
      <c r="M6" s="9">
        <v>8255455.7599999998</v>
      </c>
      <c r="N6" s="9">
        <v>7869481.0599999996</v>
      </c>
      <c r="O6" s="9">
        <v>6036229.9299999997</v>
      </c>
      <c r="P6" s="9">
        <v>3421862.12</v>
      </c>
      <c r="Q6" s="9">
        <v>3938056.28</v>
      </c>
      <c r="R6" s="9">
        <v>3295845.5</v>
      </c>
      <c r="S6" s="9">
        <v>46379.22</v>
      </c>
    </row>
    <row r="7" spans="1:19" x14ac:dyDescent="0.4">
      <c r="A7" s="6" t="s">
        <v>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>
        <v>24196.16</v>
      </c>
      <c r="S7" s="9"/>
    </row>
    <row r="8" spans="1:19" x14ac:dyDescent="0.4">
      <c r="A8" s="6" t="s">
        <v>20</v>
      </c>
      <c r="B8" s="9"/>
      <c r="C8" s="9"/>
      <c r="D8" s="9"/>
      <c r="E8" s="9">
        <v>6797.58</v>
      </c>
      <c r="F8" s="9"/>
      <c r="G8" s="9"/>
      <c r="H8" s="9"/>
      <c r="I8" s="9"/>
      <c r="J8" s="9">
        <v>2492.6999999999998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4">
      <c r="A9" s="6" t="s">
        <v>21</v>
      </c>
      <c r="B9" s="9">
        <v>363600.58</v>
      </c>
      <c r="C9" s="9">
        <v>829193.5</v>
      </c>
      <c r="D9" s="9">
        <v>1304538.04</v>
      </c>
      <c r="E9" s="9">
        <v>2549888.62</v>
      </c>
      <c r="F9" s="9">
        <v>2795233.46</v>
      </c>
      <c r="G9" s="9">
        <v>2088698.55</v>
      </c>
      <c r="H9" s="9">
        <v>112343.34</v>
      </c>
      <c r="I9" s="9">
        <v>119622.02</v>
      </c>
      <c r="J9" s="9">
        <v>13259.97</v>
      </c>
      <c r="K9" s="9"/>
      <c r="L9" s="9"/>
      <c r="M9" s="9"/>
      <c r="N9" s="9"/>
      <c r="O9" s="9"/>
      <c r="P9" s="9"/>
      <c r="Q9" s="9"/>
      <c r="R9" s="9"/>
      <c r="S9" s="9"/>
    </row>
    <row r="10" spans="1:19" x14ac:dyDescent="0.4">
      <c r="A10" s="6" t="s">
        <v>22</v>
      </c>
      <c r="B10" s="9">
        <v>772.74</v>
      </c>
      <c r="C10" s="9">
        <v>50167.75</v>
      </c>
      <c r="D10" s="9">
        <v>383211.1</v>
      </c>
      <c r="E10" s="9">
        <v>2153920.54</v>
      </c>
      <c r="F10" s="9">
        <v>5910949.4000000004</v>
      </c>
      <c r="G10" s="9">
        <v>7998632.0599999996</v>
      </c>
      <c r="H10" s="9">
        <v>8019948.7999999998</v>
      </c>
      <c r="I10" s="9">
        <v>5028082.78</v>
      </c>
      <c r="J10" s="9">
        <v>8137479.1600000001</v>
      </c>
      <c r="K10" s="9">
        <v>7173577.2400000002</v>
      </c>
      <c r="L10" s="9">
        <v>7384535.9299999997</v>
      </c>
      <c r="M10" s="9">
        <v>8255455.7599999998</v>
      </c>
      <c r="N10" s="9">
        <v>7869481.0599999996</v>
      </c>
      <c r="O10" s="9">
        <v>6036229.9299999997</v>
      </c>
      <c r="P10" s="9">
        <v>3421862.12</v>
      </c>
      <c r="Q10" s="9">
        <v>3938056.28</v>
      </c>
      <c r="R10" s="9">
        <v>3271649.34</v>
      </c>
      <c r="S10" s="9">
        <v>46379.22</v>
      </c>
    </row>
    <row r="11" spans="1:19" x14ac:dyDescent="0.4">
      <c r="A11" s="10" t="s">
        <v>16</v>
      </c>
      <c r="B11" s="9">
        <v>-6436.21</v>
      </c>
      <c r="C11" s="9">
        <v>-69551.98</v>
      </c>
      <c r="D11" s="9">
        <v>-372034.34</v>
      </c>
      <c r="E11" s="9">
        <v>-1568150.21</v>
      </c>
      <c r="F11" s="9">
        <v>-3673720.49</v>
      </c>
      <c r="G11" s="9">
        <v>-3179322.55</v>
      </c>
      <c r="H11" s="9">
        <v>-2822217.98</v>
      </c>
      <c r="I11" s="9">
        <v>-1901382.46</v>
      </c>
      <c r="J11" s="9">
        <v>-2290094.61</v>
      </c>
      <c r="K11" s="9">
        <v>-2280581.2200000002</v>
      </c>
      <c r="L11" s="9">
        <v>-2624004.15</v>
      </c>
      <c r="M11" s="9">
        <v>-2973606.34</v>
      </c>
      <c r="N11" s="9">
        <v>-2510403.42</v>
      </c>
      <c r="O11" s="9">
        <v>-2012047.72</v>
      </c>
      <c r="P11" s="9">
        <v>-1259139.75</v>
      </c>
      <c r="Q11" s="9">
        <v>-832315.16</v>
      </c>
      <c r="R11" s="9">
        <v>-531091.43999999994</v>
      </c>
      <c r="S11" s="9"/>
    </row>
    <row r="12" spans="1:19" x14ac:dyDescent="0.4">
      <c r="A12" s="6" t="s">
        <v>23</v>
      </c>
      <c r="B12" s="9">
        <v>-1441.54</v>
      </c>
      <c r="C12" s="9">
        <v>-31186.12</v>
      </c>
      <c r="D12" s="9">
        <v>-78760.149999999994</v>
      </c>
      <c r="E12" s="9">
        <v>-97889.78</v>
      </c>
      <c r="F12" s="9">
        <v>-196739.22</v>
      </c>
      <c r="G12" s="9">
        <v>-317217.86</v>
      </c>
      <c r="H12" s="9">
        <v>-93491.86</v>
      </c>
      <c r="I12" s="9">
        <v>-133083.82999999999</v>
      </c>
      <c r="J12" s="9">
        <v>-162738.17000000001</v>
      </c>
      <c r="K12" s="9">
        <v>-201044.96</v>
      </c>
      <c r="L12" s="9">
        <v>-170529.35</v>
      </c>
      <c r="M12" s="9">
        <v>-397636.68</v>
      </c>
      <c r="N12" s="9">
        <v>-173050.67</v>
      </c>
      <c r="O12" s="9">
        <v>-143835.19</v>
      </c>
      <c r="P12" s="9">
        <v>-72584.62</v>
      </c>
      <c r="Q12" s="9">
        <v>-33069.089999999997</v>
      </c>
      <c r="R12" s="9">
        <v>-92599.54</v>
      </c>
      <c r="S12" s="9"/>
    </row>
    <row r="13" spans="1:19" x14ac:dyDescent="0.4">
      <c r="A13" s="6" t="s">
        <v>24</v>
      </c>
      <c r="B13" s="9">
        <v>-4994.67</v>
      </c>
      <c r="C13" s="9">
        <v>-38365.85</v>
      </c>
      <c r="D13" s="9">
        <v>-286152.92</v>
      </c>
      <c r="E13" s="9">
        <v>-1470260.43</v>
      </c>
      <c r="F13" s="9">
        <v>-3476981.28</v>
      </c>
      <c r="G13" s="9">
        <v>-2862104.69</v>
      </c>
      <c r="H13" s="9">
        <v>-2170380.4</v>
      </c>
      <c r="I13" s="9">
        <v>-1520187.81</v>
      </c>
      <c r="J13" s="9">
        <v>-2026847.08</v>
      </c>
      <c r="K13" s="9">
        <v>-1782373.63</v>
      </c>
      <c r="L13" s="9">
        <v>-2070363.37</v>
      </c>
      <c r="M13" s="9">
        <v>-2075956.51</v>
      </c>
      <c r="N13" s="9">
        <v>-1631444.7</v>
      </c>
      <c r="O13" s="9">
        <v>-1239590.17</v>
      </c>
      <c r="P13" s="9">
        <v>-765214.71</v>
      </c>
      <c r="Q13" s="9">
        <v>-799246.08</v>
      </c>
      <c r="R13" s="9">
        <v>-187916.97</v>
      </c>
      <c r="S13" s="9"/>
    </row>
    <row r="14" spans="1:19" x14ac:dyDescent="0.4">
      <c r="A14" s="6" t="s">
        <v>25</v>
      </c>
      <c r="B14" s="9"/>
      <c r="C14" s="9"/>
      <c r="D14" s="9">
        <v>-7121.27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4">
      <c r="A15" s="6" t="s">
        <v>26</v>
      </c>
      <c r="B15" s="9"/>
      <c r="C15" s="9"/>
      <c r="D15" s="9"/>
      <c r="E15" s="9"/>
      <c r="F15" s="9"/>
      <c r="G15" s="9"/>
      <c r="H15" s="9">
        <v>-558345.72</v>
      </c>
      <c r="I15" s="9">
        <v>-248110.82</v>
      </c>
      <c r="J15" s="9">
        <v>-100509.36</v>
      </c>
      <c r="K15" s="9">
        <v>-297162.62</v>
      </c>
      <c r="L15" s="9">
        <v>-383111.43</v>
      </c>
      <c r="M15" s="9">
        <v>-500013.15</v>
      </c>
      <c r="N15" s="9">
        <v>-705908.04</v>
      </c>
      <c r="O15" s="9">
        <v>-628622.37</v>
      </c>
      <c r="P15" s="9">
        <v>-421340.41</v>
      </c>
      <c r="Q15" s="9"/>
      <c r="R15" s="9">
        <v>-250574.93</v>
      </c>
      <c r="S15" s="9"/>
    </row>
    <row r="16" spans="1:19" x14ac:dyDescent="0.4">
      <c r="A16" s="10" t="s">
        <v>17</v>
      </c>
      <c r="B16" s="9">
        <v>-443146.01</v>
      </c>
      <c r="C16" s="9">
        <v>-42890.879999999997</v>
      </c>
      <c r="D16" s="9">
        <v>-201617.15</v>
      </c>
      <c r="E16" s="9">
        <v>-318041.49</v>
      </c>
      <c r="F16" s="9">
        <v>-285409.46000000002</v>
      </c>
      <c r="G16" s="9">
        <v>-363482.67</v>
      </c>
      <c r="H16" s="9">
        <v>-368777.71</v>
      </c>
      <c r="I16" s="9">
        <v>-1236698.73</v>
      </c>
      <c r="J16" s="9">
        <v>-554792.99</v>
      </c>
      <c r="K16" s="9">
        <v>-308479.46000000002</v>
      </c>
      <c r="L16" s="9">
        <v>-726083.48</v>
      </c>
      <c r="M16" s="9">
        <v>-205463.29</v>
      </c>
      <c r="N16" s="9">
        <v>-674367.72</v>
      </c>
      <c r="O16" s="9">
        <v>-1968610.85</v>
      </c>
      <c r="P16" s="9">
        <v>-1330497.6499999999</v>
      </c>
      <c r="Q16" s="9">
        <v>-693622.93</v>
      </c>
      <c r="R16" s="9">
        <v>-773887.36</v>
      </c>
      <c r="S16" s="9"/>
    </row>
    <row r="17" spans="1:19" x14ac:dyDescent="0.4">
      <c r="A17" s="6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-5000</v>
      </c>
      <c r="Q17" s="9"/>
      <c r="R17" s="9">
        <v>-15000</v>
      </c>
      <c r="S17" s="9"/>
    </row>
    <row r="18" spans="1:19" x14ac:dyDescent="0.4">
      <c r="A18" s="6" t="s">
        <v>28</v>
      </c>
      <c r="B18" s="9">
        <v>-381941.88</v>
      </c>
      <c r="C18" s="9">
        <v>-16090.88</v>
      </c>
      <c r="D18" s="9">
        <v>-173917.15</v>
      </c>
      <c r="E18" s="9">
        <v>-225288</v>
      </c>
      <c r="F18" s="9">
        <v>-285409.46000000002</v>
      </c>
      <c r="G18" s="9">
        <v>-306120.28999999998</v>
      </c>
      <c r="H18" s="9">
        <v>-368777.71</v>
      </c>
      <c r="I18" s="9">
        <v>-1059323.73</v>
      </c>
      <c r="J18" s="9">
        <v>-481825.49</v>
      </c>
      <c r="K18" s="9">
        <v>-302801.63</v>
      </c>
      <c r="L18" s="9">
        <v>-726083.48</v>
      </c>
      <c r="M18" s="9">
        <v>-170738.29</v>
      </c>
      <c r="N18" s="9">
        <v>-643617.72</v>
      </c>
      <c r="O18" s="9">
        <v>-1775075.34</v>
      </c>
      <c r="P18" s="9">
        <v>-1075997.6499999999</v>
      </c>
      <c r="Q18" s="9">
        <v>-528281.51</v>
      </c>
      <c r="R18" s="9">
        <v>-758887.36</v>
      </c>
      <c r="S18" s="9"/>
    </row>
    <row r="19" spans="1:19" x14ac:dyDescent="0.4">
      <c r="A19" s="6" t="s">
        <v>29</v>
      </c>
      <c r="B19" s="9">
        <v>-61204.12</v>
      </c>
      <c r="C19" s="9">
        <v>-26800</v>
      </c>
      <c r="D19" s="9">
        <v>-27700</v>
      </c>
      <c r="E19" s="9">
        <v>-92753.49</v>
      </c>
      <c r="F19" s="9"/>
      <c r="G19" s="9">
        <v>-57362.38</v>
      </c>
      <c r="H19" s="9"/>
      <c r="I19" s="9">
        <v>-177375</v>
      </c>
      <c r="J19" s="9">
        <v>-72967.5</v>
      </c>
      <c r="K19" s="9">
        <v>-5677.83</v>
      </c>
      <c r="L19" s="9"/>
      <c r="M19" s="9">
        <v>-34725</v>
      </c>
      <c r="N19" s="9">
        <v>-30750</v>
      </c>
      <c r="O19" s="9">
        <v>-193535.51</v>
      </c>
      <c r="P19" s="9">
        <v>-249500</v>
      </c>
      <c r="Q19" s="9">
        <v>-165341.42000000001</v>
      </c>
      <c r="R19" s="9"/>
      <c r="S19" s="9"/>
    </row>
    <row r="20" spans="1:19" x14ac:dyDescent="0.4">
      <c r="A20" s="10" t="s">
        <v>18</v>
      </c>
      <c r="B20" s="9">
        <v>-24410.1</v>
      </c>
      <c r="C20" s="9">
        <v>-24529.88</v>
      </c>
      <c r="D20" s="9">
        <v>-12433967.699999999</v>
      </c>
      <c r="E20" s="9">
        <v>-5770883.4500000002</v>
      </c>
      <c r="F20" s="9">
        <v>-5105702.71</v>
      </c>
      <c r="G20" s="9">
        <v>-4690366.4000000004</v>
      </c>
      <c r="H20" s="9">
        <v>-2808964.63</v>
      </c>
      <c r="I20" s="9">
        <v>-2590638.29</v>
      </c>
      <c r="J20" s="9">
        <v>-4411364.54</v>
      </c>
      <c r="K20" s="9">
        <v>-2037191.62</v>
      </c>
      <c r="L20" s="9">
        <v>-4273148.25</v>
      </c>
      <c r="M20" s="9">
        <v>-3010281.17</v>
      </c>
      <c r="N20" s="9">
        <v>-3038978.03</v>
      </c>
      <c r="O20" s="9">
        <v>-2298783.89</v>
      </c>
      <c r="P20" s="9">
        <v>-1859419.69</v>
      </c>
      <c r="Q20" s="9">
        <v>-2645914.77</v>
      </c>
      <c r="R20" s="9">
        <v>-12155588.039999999</v>
      </c>
      <c r="S20" s="9">
        <v>-484583</v>
      </c>
    </row>
    <row r="21" spans="1:19" x14ac:dyDescent="0.4">
      <c r="A21" s="10" t="s">
        <v>19</v>
      </c>
      <c r="B21" s="9">
        <v>2505.52</v>
      </c>
      <c r="C21" s="9">
        <v>450516.74</v>
      </c>
      <c r="D21" s="9">
        <v>215527999.08000001</v>
      </c>
      <c r="E21" s="9">
        <v>3282.18</v>
      </c>
      <c r="F21" s="9"/>
      <c r="G21" s="9"/>
      <c r="H21" s="9">
        <v>119.76</v>
      </c>
      <c r="I21" s="9">
        <v>195.17</v>
      </c>
      <c r="J21" s="9">
        <v>1801570.76</v>
      </c>
      <c r="K21" s="9">
        <v>111862.22</v>
      </c>
      <c r="L21" s="9"/>
      <c r="M21" s="9">
        <v>47424.47</v>
      </c>
      <c r="N21" s="9">
        <v>4481.6899999999996</v>
      </c>
      <c r="O21" s="9">
        <v>4093.46</v>
      </c>
      <c r="P21" s="9">
        <v>4863.8599999999997</v>
      </c>
      <c r="Q21" s="9">
        <v>94.15</v>
      </c>
      <c r="R21" s="9">
        <v>1.94</v>
      </c>
      <c r="S21" s="9"/>
    </row>
    <row r="22" spans="1:19" x14ac:dyDescent="0.4">
      <c r="A22" s="10" t="s">
        <v>12</v>
      </c>
      <c r="B22" s="9">
        <v>-107113.48</v>
      </c>
      <c r="C22" s="9">
        <v>1192905.25</v>
      </c>
      <c r="D22" s="9">
        <v>204208129.03999999</v>
      </c>
      <c r="E22" s="9">
        <v>-2943186.22</v>
      </c>
      <c r="F22" s="9">
        <v>-358649.8</v>
      </c>
      <c r="G22" s="9">
        <v>1854158.99</v>
      </c>
      <c r="H22" s="9">
        <v>2132451.5699999998</v>
      </c>
      <c r="I22" s="9">
        <v>-580819.5</v>
      </c>
      <c r="J22" s="9">
        <v>2698550.47</v>
      </c>
      <c r="K22" s="9">
        <v>2659187.17</v>
      </c>
      <c r="L22" s="9">
        <v>-238699.95</v>
      </c>
      <c r="M22" s="9">
        <v>2113529.4500000002</v>
      </c>
      <c r="N22" s="9">
        <v>1650213.59</v>
      </c>
      <c r="O22" s="9">
        <v>-239119.07</v>
      </c>
      <c r="P22" s="9">
        <v>-1022331.11</v>
      </c>
      <c r="Q22" s="9">
        <v>-233702.43</v>
      </c>
      <c r="R22" s="9">
        <v>-10164719.390000001</v>
      </c>
      <c r="S22" s="9">
        <v>-438203.78</v>
      </c>
    </row>
    <row r="25" spans="1:19" x14ac:dyDescent="0.4">
      <c r="A25" s="6" t="s">
        <v>51</v>
      </c>
      <c r="B25" s="9"/>
      <c r="C25" s="8"/>
      <c r="D25" s="8"/>
      <c r="E25" s="14"/>
      <c r="F25" s="14"/>
      <c r="G25" s="14"/>
      <c r="H25" s="14"/>
      <c r="I25" s="14"/>
    </row>
    <row r="26" spans="1:19" x14ac:dyDescent="0.4">
      <c r="A26" s="8" t="s">
        <v>14</v>
      </c>
      <c r="B26" s="8">
        <v>2021.5</v>
      </c>
      <c r="C26" s="8">
        <v>2021.11</v>
      </c>
      <c r="D26" s="8">
        <v>2022.5</v>
      </c>
      <c r="E26" s="14">
        <v>2022.11</v>
      </c>
      <c r="F26" s="14">
        <v>2023.5</v>
      </c>
      <c r="G26" s="14">
        <v>2023.11</v>
      </c>
      <c r="H26" s="14">
        <v>2024.5</v>
      </c>
      <c r="I26" s="14">
        <v>2024.11</v>
      </c>
    </row>
    <row r="27" spans="1:19" s="4" customFormat="1" ht="12.75" x14ac:dyDescent="0.35">
      <c r="A27" s="10" t="s">
        <v>15</v>
      </c>
      <c r="B27" s="11">
        <f>SUM(B28:B31)</f>
        <v>26435603.920000002</v>
      </c>
      <c r="C27" s="11">
        <f>SUM(C28:C31)</f>
        <v>44246797.700000003</v>
      </c>
      <c r="D27" s="11">
        <f>SUM(D28:D31)</f>
        <v>24607854.109999999</v>
      </c>
      <c r="E27" s="12">
        <f>SUM(E28:E31)</f>
        <v>21343096.760000002</v>
      </c>
      <c r="F27" s="12">
        <f t="shared" ref="F27:I27" si="0">SUM(F28:F31)</f>
        <v>21341863.153333332</v>
      </c>
      <c r="G27" s="12">
        <f t="shared" si="0"/>
        <v>21341653.304444443</v>
      </c>
      <c r="H27" s="12">
        <f t="shared" si="0"/>
        <v>21342204.405925926</v>
      </c>
      <c r="I27" s="12">
        <f t="shared" si="0"/>
        <v>21341906.954567902</v>
      </c>
      <c r="J27" s="31" t="s">
        <v>52</v>
      </c>
      <c r="K27" s="32"/>
    </row>
    <row r="28" spans="1:19" x14ac:dyDescent="0.4">
      <c r="A28" s="6" t="s">
        <v>30</v>
      </c>
      <c r="B28" s="9">
        <f>SUM(B7:G7)</f>
        <v>0</v>
      </c>
      <c r="C28" s="9">
        <f>SUM(H7:M7)</f>
        <v>0</v>
      </c>
      <c r="D28" s="9">
        <f>SUM(N7:S7)</f>
        <v>24196.16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32"/>
      <c r="K28" s="32"/>
    </row>
    <row r="29" spans="1:19" x14ac:dyDescent="0.4">
      <c r="A29" s="6" t="s">
        <v>20</v>
      </c>
      <c r="B29" s="9">
        <f t="shared" ref="B29:B31" si="1">SUM(B8:G8)</f>
        <v>6797.58</v>
      </c>
      <c r="C29" s="9">
        <f t="shared" ref="C29:C42" si="2">SUM(H8:M8)</f>
        <v>2492.6999999999998</v>
      </c>
      <c r="D29" s="9">
        <f t="shared" ref="D29:D31" si="3">SUM(N8:S8)</f>
        <v>0</v>
      </c>
      <c r="E29" s="13">
        <f>AVERAGE(B29:D29)</f>
        <v>3096.7599999999998</v>
      </c>
      <c r="F29" s="13">
        <f t="shared" ref="F29:I29" si="4">AVERAGE(C29:E29)</f>
        <v>1863.153333333333</v>
      </c>
      <c r="G29" s="13">
        <f t="shared" si="4"/>
        <v>1653.3044444444442</v>
      </c>
      <c r="H29" s="13">
        <f t="shared" si="4"/>
        <v>2204.4059259259257</v>
      </c>
      <c r="I29" s="13">
        <f t="shared" si="4"/>
        <v>1906.9545679012342</v>
      </c>
      <c r="J29" s="32"/>
      <c r="K29" s="32"/>
    </row>
    <row r="30" spans="1:19" x14ac:dyDescent="0.4">
      <c r="A30" s="6" t="s">
        <v>21</v>
      </c>
      <c r="B30" s="9">
        <f t="shared" si="1"/>
        <v>9931152.75</v>
      </c>
      <c r="C30" s="9">
        <f t="shared" si="2"/>
        <v>245225.33</v>
      </c>
      <c r="D30" s="9">
        <f t="shared" si="3"/>
        <v>0</v>
      </c>
      <c r="E30" s="13">
        <f>B79+B80</f>
        <v>300000</v>
      </c>
      <c r="F30" s="13">
        <f t="shared" ref="F30:I30" si="5">C79+C80</f>
        <v>300000</v>
      </c>
      <c r="G30" s="13">
        <f t="shared" si="5"/>
        <v>300000</v>
      </c>
      <c r="H30" s="13">
        <f t="shared" si="5"/>
        <v>300000</v>
      </c>
      <c r="I30" s="13">
        <f t="shared" si="5"/>
        <v>300000</v>
      </c>
      <c r="J30" s="32"/>
      <c r="K30" s="32"/>
    </row>
    <row r="31" spans="1:19" x14ac:dyDescent="0.4">
      <c r="A31" s="6" t="s">
        <v>22</v>
      </c>
      <c r="B31" s="9">
        <f t="shared" si="1"/>
        <v>16497653.59</v>
      </c>
      <c r="C31" s="9">
        <f t="shared" si="2"/>
        <v>43999079.670000002</v>
      </c>
      <c r="D31" s="9">
        <f t="shared" si="3"/>
        <v>24583657.949999999</v>
      </c>
      <c r="E31" s="13">
        <f>B82+B83</f>
        <v>21040000</v>
      </c>
      <c r="F31" s="13">
        <f t="shared" ref="F31:I31" si="6">C82+C83</f>
        <v>21040000</v>
      </c>
      <c r="G31" s="13">
        <f t="shared" si="6"/>
        <v>21040000</v>
      </c>
      <c r="H31" s="13">
        <f t="shared" si="6"/>
        <v>21040000</v>
      </c>
      <c r="I31" s="13">
        <f t="shared" si="6"/>
        <v>21040000</v>
      </c>
      <c r="J31" s="32"/>
      <c r="K31" s="32"/>
    </row>
    <row r="32" spans="1:19" s="4" customFormat="1" ht="12.75" x14ac:dyDescent="0.35">
      <c r="A32" s="10" t="s">
        <v>16</v>
      </c>
      <c r="B32" s="11">
        <f>SUM(B33:B35)</f>
        <v>-8869215.7799999993</v>
      </c>
      <c r="C32" s="11">
        <f>SUM(C33:C36)</f>
        <v>-14891886.749999998</v>
      </c>
      <c r="D32" s="11">
        <f>SUM(D33:D36)</f>
        <v>-7144997.4900000002</v>
      </c>
      <c r="E32" s="12">
        <f>SUM(E33:E36)</f>
        <v>-10941539.050000001</v>
      </c>
      <c r="F32" s="12">
        <f t="shared" ref="F32:I32" si="7">SUM(F33:F36)</f>
        <v>-10965871.98</v>
      </c>
      <c r="G32" s="12">
        <f t="shared" si="7"/>
        <v>-9684136.1733333319</v>
      </c>
      <c r="H32" s="12">
        <f t="shared" si="7"/>
        <v>-10530515.734444443</v>
      </c>
      <c r="I32" s="12">
        <f t="shared" si="7"/>
        <v>-10393507.962592591</v>
      </c>
      <c r="J32" s="32"/>
      <c r="K32" s="32"/>
    </row>
    <row r="33" spans="1:17" x14ac:dyDescent="0.4">
      <c r="A33" s="6" t="s">
        <v>23</v>
      </c>
      <c r="B33" s="9">
        <f>SUM(B12:G12)</f>
        <v>-723234.66999999993</v>
      </c>
      <c r="C33" s="9">
        <f t="shared" si="2"/>
        <v>-1158524.8499999999</v>
      </c>
      <c r="D33" s="9">
        <f>SUM(N12:S12)</f>
        <v>-515139.10999999993</v>
      </c>
      <c r="E33" s="13">
        <f t="shared" ref="E33:I34" si="8">AVERAGE(B33:D33)</f>
        <v>-798966.21</v>
      </c>
      <c r="F33" s="13">
        <f t="shared" si="8"/>
        <v>-824210.05666666664</v>
      </c>
      <c r="G33" s="13">
        <f t="shared" si="8"/>
        <v>-712771.7922222222</v>
      </c>
      <c r="H33" s="13">
        <f t="shared" si="8"/>
        <v>-778649.35296296293</v>
      </c>
      <c r="I33" s="13">
        <f t="shared" si="8"/>
        <v>-771877.06728395063</v>
      </c>
      <c r="J33" s="32"/>
      <c r="K33" s="32"/>
    </row>
    <row r="34" spans="1:17" x14ac:dyDescent="0.4">
      <c r="A34" s="6" t="s">
        <v>24</v>
      </c>
      <c r="B34" s="9">
        <f t="shared" ref="B34:B36" si="9">SUM(B13:G13)</f>
        <v>-8138859.8399999999</v>
      </c>
      <c r="C34" s="9">
        <f t="shared" si="2"/>
        <v>-11646108.799999999</v>
      </c>
      <c r="D34" s="9">
        <f t="shared" ref="D34:D36" si="10">SUM(N13:S13)</f>
        <v>-4623412.63</v>
      </c>
      <c r="E34" s="13">
        <f t="shared" si="8"/>
        <v>-8136127.0899999999</v>
      </c>
      <c r="F34" s="13">
        <f t="shared" si="8"/>
        <v>-8135216.1733333329</v>
      </c>
      <c r="G34" s="13">
        <f t="shared" si="8"/>
        <v>-6964918.6311111106</v>
      </c>
      <c r="H34" s="13">
        <f t="shared" si="8"/>
        <v>-7745420.6314814808</v>
      </c>
      <c r="I34" s="13">
        <f t="shared" si="8"/>
        <v>-7615185.1453086408</v>
      </c>
      <c r="J34" s="32"/>
      <c r="K34" s="32"/>
    </row>
    <row r="35" spans="1:17" x14ac:dyDescent="0.4">
      <c r="A35" s="6" t="s">
        <v>25</v>
      </c>
      <c r="B35" s="9">
        <f t="shared" si="9"/>
        <v>-7121.27</v>
      </c>
      <c r="C35" s="9">
        <f t="shared" si="2"/>
        <v>0</v>
      </c>
      <c r="D35" s="9">
        <f t="shared" si="10"/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32"/>
      <c r="K35" s="32"/>
    </row>
    <row r="36" spans="1:17" x14ac:dyDescent="0.4">
      <c r="A36" s="6" t="s">
        <v>26</v>
      </c>
      <c r="B36" s="9">
        <f t="shared" si="9"/>
        <v>0</v>
      </c>
      <c r="C36" s="9">
        <f t="shared" si="2"/>
        <v>-2087253.1</v>
      </c>
      <c r="D36" s="9">
        <f t="shared" si="10"/>
        <v>-2006445.75</v>
      </c>
      <c r="E36" s="13">
        <f>D36</f>
        <v>-2006445.75</v>
      </c>
      <c r="F36" s="13">
        <f t="shared" ref="F36:I36" si="11">E36</f>
        <v>-2006445.75</v>
      </c>
      <c r="G36" s="13">
        <f t="shared" si="11"/>
        <v>-2006445.75</v>
      </c>
      <c r="H36" s="13">
        <f t="shared" si="11"/>
        <v>-2006445.75</v>
      </c>
      <c r="I36" s="13">
        <f t="shared" si="11"/>
        <v>-2006445.75</v>
      </c>
      <c r="J36" s="32"/>
      <c r="K36" s="32"/>
    </row>
    <row r="37" spans="1:17" s="4" customFormat="1" ht="12.75" x14ac:dyDescent="0.35">
      <c r="A37" s="10" t="s">
        <v>17</v>
      </c>
      <c r="B37" s="11">
        <f>SUM(B38:B40)</f>
        <v>-1654587.6500000001</v>
      </c>
      <c r="C37" s="11">
        <f>SUM(C38:C40)</f>
        <v>-3400295.66</v>
      </c>
      <c r="D37" s="11">
        <f>SUM(D38:D40)</f>
        <v>-5440986.5099999998</v>
      </c>
      <c r="E37" s="12">
        <f>SUM(E38:E40)</f>
        <v>-3491956.6066666669</v>
      </c>
      <c r="F37" s="12">
        <f t="shared" ref="F37:I37" si="12">SUM(F38:F40)</f>
        <v>-4104412.9255555556</v>
      </c>
      <c r="G37" s="12">
        <f t="shared" si="12"/>
        <v>-4339118.6807407411</v>
      </c>
      <c r="H37" s="12">
        <f t="shared" si="12"/>
        <v>-3978496.0709876539</v>
      </c>
      <c r="I37" s="12">
        <f t="shared" si="12"/>
        <v>-4140675.8924279832</v>
      </c>
      <c r="J37" s="32"/>
      <c r="K37" s="32"/>
    </row>
    <row r="38" spans="1:17" x14ac:dyDescent="0.4">
      <c r="A38" s="6" t="s">
        <v>27</v>
      </c>
      <c r="B38" s="9">
        <f>SUM(B17:G17)</f>
        <v>0</v>
      </c>
      <c r="C38" s="9">
        <f t="shared" si="2"/>
        <v>0</v>
      </c>
      <c r="D38" s="9">
        <f>SUM(N17:S17)</f>
        <v>-20000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32"/>
      <c r="K38" s="32"/>
    </row>
    <row r="39" spans="1:17" x14ac:dyDescent="0.4">
      <c r="A39" s="6" t="s">
        <v>28</v>
      </c>
      <c r="B39" s="9">
        <f t="shared" ref="B39:B40" si="13">SUM(B18:G18)</f>
        <v>-1388767.6600000001</v>
      </c>
      <c r="C39" s="9">
        <f t="shared" si="2"/>
        <v>-3109550.33</v>
      </c>
      <c r="D39" s="9">
        <f t="shared" ref="D39:D41" si="14">SUM(N18:S18)</f>
        <v>-4781859.58</v>
      </c>
      <c r="E39" s="13">
        <f t="shared" ref="E39:I40" si="15">AVERAGE(B39:D39)</f>
        <v>-3093392.5233333334</v>
      </c>
      <c r="F39" s="13">
        <f t="shared" si="15"/>
        <v>-3661600.8111111112</v>
      </c>
      <c r="G39" s="13">
        <f t="shared" si="15"/>
        <v>-3845617.6381481481</v>
      </c>
      <c r="H39" s="13">
        <f t="shared" si="15"/>
        <v>-3533536.9908641973</v>
      </c>
      <c r="I39" s="13">
        <f t="shared" si="15"/>
        <v>-3680251.8133744854</v>
      </c>
      <c r="J39" s="32"/>
      <c r="K39" s="32"/>
    </row>
    <row r="40" spans="1:17" x14ac:dyDescent="0.4">
      <c r="A40" s="6" t="s">
        <v>29</v>
      </c>
      <c r="B40" s="9">
        <f t="shared" si="13"/>
        <v>-265819.99</v>
      </c>
      <c r="C40" s="9">
        <f t="shared" si="2"/>
        <v>-290745.32999999996</v>
      </c>
      <c r="D40" s="9">
        <f t="shared" si="14"/>
        <v>-639126.93000000005</v>
      </c>
      <c r="E40" s="13">
        <f t="shared" si="15"/>
        <v>-398564.08333333331</v>
      </c>
      <c r="F40" s="13">
        <f t="shared" si="15"/>
        <v>-442812.11444444442</v>
      </c>
      <c r="G40" s="13">
        <f t="shared" si="15"/>
        <v>-493501.0425925926</v>
      </c>
      <c r="H40" s="13">
        <f t="shared" si="15"/>
        <v>-444959.08012345672</v>
      </c>
      <c r="I40" s="13">
        <f t="shared" si="15"/>
        <v>-460424.07905349787</v>
      </c>
      <c r="J40" s="32"/>
      <c r="K40" s="32"/>
    </row>
    <row r="41" spans="1:17" s="4" customFormat="1" ht="13.15" customHeight="1" x14ac:dyDescent="0.35">
      <c r="A41" s="10" t="s">
        <v>18</v>
      </c>
      <c r="B41" s="11">
        <f>SUM(B20:G20)</f>
        <v>-28049860.240000002</v>
      </c>
      <c r="C41" s="11">
        <f t="shared" si="2"/>
        <v>-19131588.5</v>
      </c>
      <c r="D41" s="11">
        <f t="shared" si="14"/>
        <v>-22483267.419999998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32"/>
      <c r="K41" s="32"/>
    </row>
    <row r="42" spans="1:17" s="4" customFormat="1" ht="13.15" customHeight="1" x14ac:dyDescent="0.35">
      <c r="A42" s="10" t="s">
        <v>19</v>
      </c>
      <c r="B42" s="11">
        <f>SUM(B21:G21)</f>
        <v>215984303.52000001</v>
      </c>
      <c r="C42" s="11">
        <f t="shared" si="2"/>
        <v>1961172.38</v>
      </c>
      <c r="D42" s="11">
        <f>SUM(N21:S21)</f>
        <v>13535.099999999999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32"/>
      <c r="K42" s="32"/>
    </row>
    <row r="43" spans="1:17" s="4" customFormat="1" x14ac:dyDescent="0.4">
      <c r="A43" s="10" t="s">
        <v>12</v>
      </c>
      <c r="B43" s="11">
        <f>B27+B32+B37+B41+B42</f>
        <v>203846243.77000001</v>
      </c>
      <c r="C43" s="11">
        <f>C27+C32+C37+C41+C42</f>
        <v>8784199.1700000018</v>
      </c>
      <c r="D43" s="11">
        <f>D27+D32+D37+D41+D42</f>
        <v>-10447862.210000001</v>
      </c>
      <c r="E43" s="12">
        <f>E27+E32+E37+E41+E42</f>
        <v>6909601.1033333335</v>
      </c>
      <c r="F43" s="12">
        <f t="shared" ref="F43:I43" si="16">F27+F32+F37+F41+F42</f>
        <v>6271578.2477777768</v>
      </c>
      <c r="G43" s="12">
        <f t="shared" si="16"/>
        <v>7318398.4503703704</v>
      </c>
      <c r="H43" s="12">
        <f t="shared" si="16"/>
        <v>6833192.6004938288</v>
      </c>
      <c r="I43" s="12">
        <f t="shared" si="16"/>
        <v>6807723.0995473284</v>
      </c>
      <c r="J43" s="32"/>
      <c r="K43" s="32"/>
      <c r="L43" s="1"/>
      <c r="M43" s="5"/>
      <c r="N43" s="1"/>
      <c r="O43" s="1"/>
      <c r="P43" s="1"/>
      <c r="Q43" s="1"/>
    </row>
    <row r="44" spans="1:17" s="4" customFormat="1" x14ac:dyDescent="0.4">
      <c r="A44" s="2"/>
      <c r="B44" s="3"/>
      <c r="C44" s="3"/>
      <c r="D44" s="3"/>
      <c r="E44" s="3"/>
      <c r="F44" s="3"/>
      <c r="G44" s="3"/>
      <c r="H44" s="3"/>
      <c r="I44" s="3"/>
      <c r="L44" s="1"/>
      <c r="M44" s="5"/>
      <c r="N44" s="1"/>
      <c r="O44" s="1"/>
      <c r="P44" s="1"/>
      <c r="Q44" s="1"/>
    </row>
    <row r="47" spans="1:17" x14ac:dyDescent="0.4">
      <c r="A47" s="15"/>
      <c r="B47" s="16">
        <v>1</v>
      </c>
      <c r="C47" s="16">
        <v>2</v>
      </c>
      <c r="D47" s="16">
        <v>3</v>
      </c>
      <c r="E47" s="16">
        <v>4</v>
      </c>
      <c r="F47" s="16">
        <v>5</v>
      </c>
      <c r="J47" s="22" t="s">
        <v>68</v>
      </c>
      <c r="K47" s="22"/>
      <c r="L47" s="22" t="s">
        <v>67</v>
      </c>
      <c r="M47" s="22"/>
      <c r="N47" s="22"/>
    </row>
    <row r="48" spans="1:17" x14ac:dyDescent="0.4">
      <c r="A48" s="17" t="s">
        <v>31</v>
      </c>
      <c r="B48" s="18" t="s">
        <v>40</v>
      </c>
      <c r="C48" s="18" t="s">
        <v>43</v>
      </c>
      <c r="D48" s="18" t="s">
        <v>41</v>
      </c>
      <c r="E48" s="18" t="s">
        <v>44</v>
      </c>
      <c r="F48" s="18" t="s">
        <v>42</v>
      </c>
      <c r="J48" s="22"/>
      <c r="K48" s="22"/>
      <c r="L48" s="22" t="s">
        <v>4</v>
      </c>
      <c r="M48" s="22" t="s">
        <v>5</v>
      </c>
      <c r="N48" s="22" t="s">
        <v>6</v>
      </c>
    </row>
    <row r="49" spans="1:14" x14ac:dyDescent="0.4">
      <c r="A49" s="19" t="s">
        <v>39</v>
      </c>
      <c r="B49" s="20" cm="1">
        <f t="array" ref="B49:F49">E43:I43</f>
        <v>6909601.1033333335</v>
      </c>
      <c r="C49" s="20">
        <v>6271578.2477777768</v>
      </c>
      <c r="D49" s="20">
        <v>7318398.4503703704</v>
      </c>
      <c r="E49" s="20">
        <v>6833192.6004938288</v>
      </c>
      <c r="F49" s="20">
        <v>6807723.0995473284</v>
      </c>
      <c r="J49" s="22" t="s">
        <v>77</v>
      </c>
      <c r="K49" s="22"/>
      <c r="L49" s="23">
        <v>30903884.640000001</v>
      </c>
      <c r="M49" s="23">
        <v>21682920.050000001</v>
      </c>
      <c r="N49" s="23">
        <v>8549217.5099999998</v>
      </c>
    </row>
    <row r="50" spans="1:14" x14ac:dyDescent="0.4">
      <c r="A50" s="19" t="s">
        <v>45</v>
      </c>
      <c r="B50" s="19">
        <f>B49/((1+$B$52/2)^B47)</f>
        <v>6427535.9100775197</v>
      </c>
      <c r="C50" s="19">
        <f>C49/((1+$B$52/2)^C47)</f>
        <v>5427001.1879093796</v>
      </c>
      <c r="D50" s="19">
        <f>D49/((1+$B$52/2)^D47)</f>
        <v>5891022.1845083293</v>
      </c>
      <c r="E50" s="19">
        <f>E49/((1+$B$52/2)^E47)</f>
        <v>5116698.2393137841</v>
      </c>
      <c r="F50" s="19">
        <f>F49/((1+$B$52/2)^F47)</f>
        <v>4741978.2916389806</v>
      </c>
      <c r="J50" s="22" t="s">
        <v>78</v>
      </c>
      <c r="K50" s="22"/>
      <c r="L50" s="23"/>
      <c r="M50" s="23"/>
      <c r="N50" s="23"/>
    </row>
    <row r="51" spans="1:14" x14ac:dyDescent="0.4">
      <c r="A51" s="19"/>
      <c r="B51" s="19"/>
      <c r="C51" s="19"/>
      <c r="D51" s="19"/>
      <c r="E51" s="19"/>
      <c r="F51" s="19"/>
      <c r="J51" s="22" t="s">
        <v>79</v>
      </c>
      <c r="K51" s="22"/>
      <c r="L51" s="23">
        <v>3224059.52</v>
      </c>
      <c r="M51" s="23">
        <v>2328403.25</v>
      </c>
      <c r="N51" s="13">
        <f>(1+N62)*M51</f>
        <v>1681563.7741733014</v>
      </c>
    </row>
    <row r="52" spans="1:14" x14ac:dyDescent="0.4">
      <c r="A52" s="21" t="s">
        <v>34</v>
      </c>
      <c r="B52" s="21">
        <v>0.15</v>
      </c>
      <c r="C52" s="19"/>
      <c r="D52" s="19"/>
      <c r="E52" s="19"/>
      <c r="F52" s="19"/>
      <c r="J52" s="22" t="s">
        <v>60</v>
      </c>
      <c r="K52" s="22"/>
      <c r="L52" s="23">
        <v>126731376.93000001</v>
      </c>
      <c r="M52" s="23">
        <v>107199744.88</v>
      </c>
      <c r="N52" s="13">
        <f t="shared" ref="N52" si="17">(1+N63)*M52</f>
        <v>90678295.941537559</v>
      </c>
    </row>
    <row r="53" spans="1:14" x14ac:dyDescent="0.4">
      <c r="A53" s="19" t="s">
        <v>33</v>
      </c>
      <c r="B53" s="19">
        <f>SUM(B50:F50)</f>
        <v>27604235.813447997</v>
      </c>
      <c r="C53" s="19"/>
      <c r="D53" s="19"/>
      <c r="E53" s="19"/>
      <c r="F53" s="19"/>
      <c r="J53" s="22" t="s">
        <v>61</v>
      </c>
      <c r="K53" s="22"/>
      <c r="L53" s="23">
        <v>2089572.75</v>
      </c>
      <c r="M53" s="23">
        <v>2122604.5699999998</v>
      </c>
      <c r="N53" s="13">
        <f>(1+N64)*M53</f>
        <v>2156158.5547020962</v>
      </c>
    </row>
    <row r="54" spans="1:14" x14ac:dyDescent="0.4">
      <c r="A54" s="19"/>
      <c r="B54" s="19"/>
      <c r="C54" s="19"/>
      <c r="D54" s="19"/>
      <c r="E54" s="19"/>
      <c r="F54" s="19"/>
      <c r="J54" s="22" t="s">
        <v>62</v>
      </c>
      <c r="K54" s="22"/>
      <c r="L54" s="23">
        <v>188752.46</v>
      </c>
      <c r="M54" s="23">
        <v>52350.36</v>
      </c>
      <c r="N54" s="13">
        <f>(1+N65)*M54</f>
        <v>14519.3349645859</v>
      </c>
    </row>
    <row r="55" spans="1:14" x14ac:dyDescent="0.4">
      <c r="A55" s="20" t="s">
        <v>35</v>
      </c>
      <c r="B55" s="19"/>
      <c r="C55" s="19"/>
      <c r="D55" s="19"/>
      <c r="E55" s="19"/>
      <c r="F55" s="19"/>
      <c r="J55" s="22" t="s">
        <v>80</v>
      </c>
      <c r="K55" s="22"/>
      <c r="L55" s="23">
        <v>2539668.4900000002</v>
      </c>
      <c r="M55" s="23">
        <v>1823471.31</v>
      </c>
      <c r="N55" s="13">
        <f>(1+N66)*M55</f>
        <v>1309244.742566033</v>
      </c>
    </row>
    <row r="56" spans="1:14" x14ac:dyDescent="0.4">
      <c r="A56" s="21" t="s">
        <v>46</v>
      </c>
      <c r="B56" s="21">
        <v>10</v>
      </c>
      <c r="C56" s="19"/>
      <c r="D56" s="19"/>
      <c r="E56" s="19"/>
      <c r="F56" s="19"/>
      <c r="J56" s="22" t="s">
        <v>81</v>
      </c>
      <c r="K56" s="22"/>
      <c r="L56" s="23">
        <v>-7557635.9199999999</v>
      </c>
      <c r="M56" s="29">
        <v>-7557635.9199999999</v>
      </c>
      <c r="N56" s="29">
        <v>-7557635.9199999999</v>
      </c>
    </row>
    <row r="57" spans="1:14" x14ac:dyDescent="0.4">
      <c r="A57" s="19" t="s">
        <v>32</v>
      </c>
      <c r="B57" s="19">
        <f>B56*F50</f>
        <v>47419782.916389808</v>
      </c>
      <c r="C57" s="19"/>
      <c r="D57" s="19"/>
      <c r="E57" s="19"/>
      <c r="F57" s="19"/>
      <c r="J57" s="22" t="s">
        <v>82</v>
      </c>
      <c r="K57" s="22"/>
      <c r="L57" s="23"/>
      <c r="M57" s="23"/>
      <c r="N57" s="23"/>
    </row>
    <row r="58" spans="1:14" x14ac:dyDescent="0.4">
      <c r="A58" s="19" t="s">
        <v>36</v>
      </c>
      <c r="B58" s="19">
        <f>B57/(1+B52/2)^5</f>
        <v>33030659.134579886</v>
      </c>
      <c r="C58" s="19"/>
      <c r="D58" s="19"/>
      <c r="E58" s="19"/>
      <c r="F58" s="19"/>
      <c r="J58" s="22" t="s">
        <v>83</v>
      </c>
      <c r="K58" s="22"/>
      <c r="L58" s="23">
        <v>36628.68</v>
      </c>
      <c r="M58" s="23">
        <v>28966.2</v>
      </c>
      <c r="N58" s="23"/>
    </row>
    <row r="59" spans="1:14" x14ac:dyDescent="0.4">
      <c r="A59" s="19" t="s">
        <v>37</v>
      </c>
      <c r="B59" s="19">
        <f>B53</f>
        <v>27604235.813447997</v>
      </c>
      <c r="C59" s="19"/>
      <c r="D59" s="19"/>
      <c r="E59" s="19"/>
      <c r="F59" s="19"/>
      <c r="J59" s="22" t="s">
        <v>12</v>
      </c>
      <c r="K59" s="22"/>
      <c r="L59" s="23">
        <v>158156307.56</v>
      </c>
      <c r="M59" s="23">
        <v>135238460.62</v>
      </c>
      <c r="N59" s="23">
        <v>8549217.5099999998</v>
      </c>
    </row>
    <row r="60" spans="1:14" x14ac:dyDescent="0.4">
      <c r="A60" s="19"/>
      <c r="B60" s="19"/>
      <c r="C60" s="19"/>
      <c r="D60" s="19"/>
      <c r="E60" s="19"/>
      <c r="F60" s="19"/>
    </row>
    <row r="61" spans="1:14" x14ac:dyDescent="0.4">
      <c r="A61" s="19" t="s">
        <v>55</v>
      </c>
      <c r="B61" s="19">
        <f>N56</f>
        <v>-7557635.9199999999</v>
      </c>
      <c r="C61" s="19"/>
      <c r="D61" s="19"/>
      <c r="E61" s="19"/>
      <c r="F61" s="19"/>
    </row>
    <row r="62" spans="1:14" x14ac:dyDescent="0.4">
      <c r="A62" s="19" t="s">
        <v>56</v>
      </c>
      <c r="B62" s="19">
        <f>SUM(N53:N54)+N51+N49</f>
        <v>12401459.173839983</v>
      </c>
      <c r="C62" s="19"/>
      <c r="D62" s="19"/>
      <c r="E62" s="19"/>
      <c r="F62" s="19"/>
      <c r="J62" s="14" t="s">
        <v>69</v>
      </c>
      <c r="K62" s="14"/>
      <c r="L62" s="14" t="s">
        <v>59</v>
      </c>
      <c r="M62" s="14"/>
      <c r="N62" s="14">
        <f>(M51-L51)/L51</f>
        <v>-0.27780388806221545</v>
      </c>
    </row>
    <row r="63" spans="1:14" x14ac:dyDescent="0.4">
      <c r="A63" s="20" t="s">
        <v>54</v>
      </c>
      <c r="B63" s="19">
        <f>-(B62+B61)</f>
        <v>-4843823.2538399827</v>
      </c>
      <c r="C63" s="19"/>
      <c r="D63" s="19"/>
      <c r="E63" s="19"/>
      <c r="F63" s="19"/>
      <c r="J63" s="14"/>
      <c r="K63" s="14"/>
      <c r="L63" s="14" t="s">
        <v>60</v>
      </c>
      <c r="M63" s="14"/>
      <c r="N63" s="14">
        <f t="shared" ref="N63" si="18">(M52-L52)/L52</f>
        <v>-0.15411836060763623</v>
      </c>
    </row>
    <row r="64" spans="1:14" x14ac:dyDescent="0.4">
      <c r="A64" s="20"/>
      <c r="B64" s="19"/>
      <c r="C64" s="19"/>
      <c r="D64" s="19"/>
      <c r="E64" s="19"/>
      <c r="F64" s="19"/>
      <c r="J64" s="14"/>
      <c r="K64" s="14"/>
      <c r="L64" s="14" t="s">
        <v>61</v>
      </c>
      <c r="M64" s="14"/>
      <c r="N64" s="14">
        <f>(M53-L53)/L53</f>
        <v>1.5807930113943068E-2</v>
      </c>
    </row>
    <row r="65" spans="1:14" x14ac:dyDescent="0.4">
      <c r="A65" s="20" t="s">
        <v>38</v>
      </c>
      <c r="B65" s="19">
        <f>SUM(B58:B59)-B63</f>
        <v>65478718.201867864</v>
      </c>
      <c r="C65" s="19"/>
      <c r="D65" s="19"/>
      <c r="E65" s="19"/>
      <c r="F65" s="19"/>
      <c r="J65" s="14"/>
      <c r="K65" s="14"/>
      <c r="L65" s="14" t="s">
        <v>62</v>
      </c>
      <c r="M65" s="14"/>
      <c r="N65" s="14">
        <f>(M54-L54)/L54</f>
        <v>-0.72265071406221659</v>
      </c>
    </row>
    <row r="66" spans="1:14" x14ac:dyDescent="0.4">
      <c r="A66" s="19"/>
      <c r="B66" s="19"/>
      <c r="C66" s="19"/>
      <c r="D66" s="19"/>
      <c r="E66" s="19"/>
      <c r="F66" s="19"/>
      <c r="J66" s="14"/>
      <c r="K66" s="14"/>
      <c r="L66" s="14" t="s">
        <v>63</v>
      </c>
      <c r="M66" s="14"/>
      <c r="N66" s="14">
        <f>(M55-L55)/L55</f>
        <v>-0.28200419968985801</v>
      </c>
    </row>
    <row r="67" spans="1:14" x14ac:dyDescent="0.4">
      <c r="A67" s="20" t="s">
        <v>47</v>
      </c>
      <c r="B67" s="19"/>
      <c r="C67" s="19"/>
      <c r="D67" s="19"/>
      <c r="E67" s="19"/>
      <c r="F67" s="19"/>
    </row>
    <row r="68" spans="1:14" x14ac:dyDescent="0.4">
      <c r="A68" s="19" t="s">
        <v>48</v>
      </c>
      <c r="B68" s="19">
        <v>36666</v>
      </c>
      <c r="C68" s="19"/>
      <c r="D68" s="19"/>
      <c r="E68" s="19"/>
      <c r="F68" s="19"/>
    </row>
    <row r="69" spans="1:14" x14ac:dyDescent="0.4">
      <c r="A69" s="21" t="s">
        <v>49</v>
      </c>
      <c r="B69" s="21">
        <f>B65/B68</f>
        <v>1785.815693063543</v>
      </c>
      <c r="C69" s="19"/>
      <c r="D69" s="19"/>
      <c r="E69" s="19"/>
      <c r="F69" s="19"/>
    </row>
    <row r="77" spans="1:14" x14ac:dyDescent="0.4">
      <c r="A77" s="14" t="s">
        <v>70</v>
      </c>
      <c r="B77" s="14">
        <v>2022.11</v>
      </c>
      <c r="C77" s="14">
        <v>2023.5</v>
      </c>
      <c r="D77" s="14">
        <v>2023.11</v>
      </c>
      <c r="E77" s="14">
        <v>2024.5</v>
      </c>
      <c r="F77" s="14">
        <v>2024.11</v>
      </c>
      <c r="G77" s="14"/>
      <c r="H77" s="14"/>
      <c r="I77" s="14" t="s">
        <v>71</v>
      </c>
      <c r="J77" s="14"/>
      <c r="K77" s="27">
        <v>0.02</v>
      </c>
    </row>
    <row r="78" spans="1:14" x14ac:dyDescent="0.4">
      <c r="A78" s="28" t="s">
        <v>21</v>
      </c>
      <c r="B78" s="14"/>
      <c r="C78" s="14"/>
      <c r="D78" s="14"/>
      <c r="E78" s="14"/>
      <c r="F78" s="14"/>
      <c r="G78" s="14"/>
      <c r="H78" s="14"/>
      <c r="I78" s="14" t="s">
        <v>72</v>
      </c>
      <c r="J78" s="14"/>
      <c r="K78" s="27">
        <v>0.2</v>
      </c>
    </row>
    <row r="79" spans="1:14" x14ac:dyDescent="0.4">
      <c r="A79" s="14" t="s">
        <v>71</v>
      </c>
      <c r="B79" s="13">
        <f>$K$77*$K$81</f>
        <v>150000</v>
      </c>
      <c r="C79" s="13">
        <f t="shared" ref="C79:F79" si="19">$K$77*$K$81</f>
        <v>150000</v>
      </c>
      <c r="D79" s="13">
        <f t="shared" si="19"/>
        <v>150000</v>
      </c>
      <c r="E79" s="13">
        <f t="shared" si="19"/>
        <v>150000</v>
      </c>
      <c r="F79" s="13">
        <f t="shared" si="19"/>
        <v>150000</v>
      </c>
      <c r="G79" s="14"/>
      <c r="H79" s="14"/>
      <c r="I79" s="14" t="s">
        <v>75</v>
      </c>
      <c r="J79" s="14"/>
      <c r="K79" s="27">
        <v>0.1</v>
      </c>
    </row>
    <row r="80" spans="1:14" x14ac:dyDescent="0.4">
      <c r="A80" s="14" t="s">
        <v>72</v>
      </c>
      <c r="B80" s="13">
        <f>$K$78*$K$81*$K$79</f>
        <v>150000</v>
      </c>
      <c r="C80" s="13">
        <f t="shared" ref="C80:F80" si="20">$K$78*$K$81*$K$79</f>
        <v>150000</v>
      </c>
      <c r="D80" s="13">
        <f t="shared" si="20"/>
        <v>150000</v>
      </c>
      <c r="E80" s="13">
        <f t="shared" si="20"/>
        <v>150000</v>
      </c>
      <c r="F80" s="13">
        <f t="shared" si="20"/>
        <v>150000</v>
      </c>
      <c r="G80" s="14"/>
      <c r="H80" s="14"/>
      <c r="I80" s="14" t="s">
        <v>76</v>
      </c>
      <c r="J80" s="14"/>
      <c r="K80" s="27">
        <v>0.1</v>
      </c>
    </row>
    <row r="81" spans="1:11" x14ac:dyDescent="0.4">
      <c r="A81" s="28" t="s">
        <v>22</v>
      </c>
      <c r="B81" s="13"/>
      <c r="C81" s="13"/>
      <c r="D81" s="13"/>
      <c r="E81" s="13"/>
      <c r="F81" s="13"/>
      <c r="G81" s="14"/>
      <c r="H81" s="14"/>
      <c r="I81" s="14" t="s">
        <v>73</v>
      </c>
      <c r="J81" s="14"/>
      <c r="K81" s="13">
        <v>7500000</v>
      </c>
    </row>
    <row r="82" spans="1:11" x14ac:dyDescent="0.4">
      <c r="A82" s="14" t="s">
        <v>71</v>
      </c>
      <c r="B82" s="13">
        <f>$K$77*$K$82</f>
        <v>10520000</v>
      </c>
      <c r="C82" s="13">
        <f t="shared" ref="C82:F82" si="21">$K$77*$K$82</f>
        <v>10520000</v>
      </c>
      <c r="D82" s="13">
        <f t="shared" si="21"/>
        <v>10520000</v>
      </c>
      <c r="E82" s="13">
        <f t="shared" si="21"/>
        <v>10520000</v>
      </c>
      <c r="F82" s="13">
        <f t="shared" si="21"/>
        <v>10520000</v>
      </c>
      <c r="G82" s="14"/>
      <c r="H82" s="14"/>
      <c r="I82" s="14" t="s">
        <v>74</v>
      </c>
      <c r="J82" s="14"/>
      <c r="K82" s="13">
        <v>526000000</v>
      </c>
    </row>
    <row r="83" spans="1:11" x14ac:dyDescent="0.4">
      <c r="A83" s="14" t="s">
        <v>72</v>
      </c>
      <c r="B83" s="13">
        <f>$K$78*$K$80*$K$82</f>
        <v>10520000.000000002</v>
      </c>
      <c r="C83" s="13">
        <f t="shared" ref="C83:F83" si="22">$K$78*$K$80*$K$82</f>
        <v>10520000.000000002</v>
      </c>
      <c r="D83" s="13">
        <f t="shared" si="22"/>
        <v>10520000.000000002</v>
      </c>
      <c r="E83" s="13">
        <f t="shared" si="22"/>
        <v>10520000.000000002</v>
      </c>
      <c r="F83" s="13">
        <f t="shared" si="22"/>
        <v>10520000.000000002</v>
      </c>
      <c r="G83" s="14"/>
      <c r="H83" s="14"/>
      <c r="I83" s="14"/>
      <c r="J83" s="14"/>
      <c r="K83" s="14"/>
    </row>
  </sheetData>
  <mergeCells count="2">
    <mergeCell ref="A1:S3"/>
    <mergeCell ref="J27:K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 on Revenue Projection</vt:lpstr>
      <vt:lpstr>Based on Revenue Build Up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Honglin Fu</cp:lastModifiedBy>
  <dcterms:created xsi:type="dcterms:W3CDTF">2022-06-19T09:18:27Z</dcterms:created>
  <dcterms:modified xsi:type="dcterms:W3CDTF">2022-07-02T15:47:50Z</dcterms:modified>
</cp:coreProperties>
</file>