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song\Downloads\"/>
    </mc:Choice>
  </mc:AlternateContent>
  <bookViews>
    <workbookView xWindow="0" yWindow="0" windowWidth="23040" windowHeight="9108" tabRatio="1000" firstSheet="1" activeTab="1"/>
  </bookViews>
  <sheets>
    <sheet name="Hwy 2 and Odessa" sheetId="24" state="hidden" r:id="rId1"/>
    <sheet name="February FireLight Ground Mount" sheetId="18" r:id="rId2"/>
    <sheet name="Sept FireLight Q3" sheetId="21" state="hidden" r:id="rId3"/>
    <sheet name="Erie Ridge Q2" sheetId="22" state="hidden" r:id="rId4"/>
    <sheet name="Firelight Ground Mount" sheetId="17" state="hidden" r:id="rId5"/>
    <sheet name="Ground_Mounts" sheetId="1" state="hidden" r:id="rId6"/>
  </sheets>
  <externalReferences>
    <externalReference r:id="rId7"/>
  </externalReferences>
  <definedNames>
    <definedName name="_xlnm.Print_Area" localSheetId="1">'February FireLight Ground Mount'!$B$1:$K$19</definedName>
    <definedName name="_xlnm.Print_Area" localSheetId="0">'Hwy 2 and Odessa'!$B$1:$R$14</definedName>
    <definedName name="_xlnm.Print_Area" localSheetId="2">'Sept FireLight Q3'!$B$1:$R$44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8" l="1"/>
  <c r="J5" i="18" s="1"/>
  <c r="G6" i="18"/>
  <c r="K6" i="18" s="1"/>
  <c r="F16" i="18"/>
  <c r="D16" i="18"/>
  <c r="K5" i="18" l="1"/>
  <c r="H16" i="18"/>
  <c r="E16" i="18"/>
  <c r="R6" i="24" l="1"/>
  <c r="Q6" i="24"/>
  <c r="P6" i="24"/>
  <c r="H7" i="24"/>
  <c r="I7" i="24"/>
  <c r="J7" i="24"/>
  <c r="K7" i="24"/>
  <c r="L7" i="24"/>
  <c r="M7" i="24"/>
  <c r="N7" i="24"/>
  <c r="O7" i="24"/>
  <c r="F7" i="24"/>
  <c r="Q7" i="24" s="1"/>
  <c r="H11" i="24" l="1"/>
  <c r="F11" i="24"/>
  <c r="Q11" i="24" s="1"/>
  <c r="R10" i="24"/>
  <c r="Q10" i="24"/>
  <c r="P10" i="24"/>
  <c r="Q9" i="24" l="1"/>
  <c r="E9" i="24"/>
  <c r="R9" i="24" s="1"/>
  <c r="Q5" i="24"/>
  <c r="E5" i="24"/>
  <c r="G5" i="24" s="1"/>
  <c r="G7" i="24" s="1"/>
  <c r="N4" i="24"/>
  <c r="O4" i="24" s="1"/>
  <c r="M4" i="24"/>
  <c r="R7" i="24" l="1"/>
  <c r="P7" i="24"/>
  <c r="P5" i="24"/>
  <c r="G9" i="24"/>
  <c r="G11" i="24" s="1"/>
  <c r="R5" i="24"/>
  <c r="R11" i="24" l="1"/>
  <c r="P11" i="24"/>
  <c r="P9" i="24"/>
  <c r="H8" i="22" l="1"/>
  <c r="F8" i="22"/>
  <c r="Q8" i="22" s="1"/>
  <c r="E8" i="22"/>
  <c r="D8" i="22"/>
  <c r="R8" i="22" s="1"/>
  <c r="R7" i="22"/>
  <c r="Q7" i="22"/>
  <c r="G7" i="22"/>
  <c r="P7" i="22" s="1"/>
  <c r="R6" i="22"/>
  <c r="Q6" i="22"/>
  <c r="G6" i="22"/>
  <c r="P6" i="22" s="1"/>
  <c r="R5" i="22"/>
  <c r="Q5" i="22"/>
  <c r="G5" i="22"/>
  <c r="N4" i="22"/>
  <c r="O4" i="22" s="1"/>
  <c r="M4" i="22"/>
  <c r="G8" i="22" l="1"/>
  <c r="P8" i="22" s="1"/>
  <c r="P5" i="22"/>
  <c r="G37" i="21"/>
  <c r="G36" i="21"/>
  <c r="G35" i="21"/>
  <c r="H43" i="21" l="1"/>
  <c r="F43" i="21"/>
  <c r="Q43" i="21" s="1"/>
  <c r="E43" i="21"/>
  <c r="D43" i="21"/>
  <c r="H38" i="21"/>
  <c r="G38" i="21"/>
  <c r="E38" i="21"/>
  <c r="D38" i="21"/>
  <c r="H33" i="21"/>
  <c r="E33" i="21"/>
  <c r="D33" i="21"/>
  <c r="R33" i="21" s="1"/>
  <c r="H28" i="21"/>
  <c r="E28" i="21"/>
  <c r="D28" i="21"/>
  <c r="R28" i="21" s="1"/>
  <c r="H23" i="21"/>
  <c r="E23" i="21"/>
  <c r="D23" i="21"/>
  <c r="H18" i="21"/>
  <c r="E18" i="21"/>
  <c r="D18" i="21"/>
  <c r="R18" i="21" s="1"/>
  <c r="H13" i="21"/>
  <c r="E13" i="21"/>
  <c r="D13" i="21"/>
  <c r="R13" i="21" s="1"/>
  <c r="H8" i="21"/>
  <c r="E8" i="21"/>
  <c r="D8" i="21"/>
  <c r="R8" i="21" s="1"/>
  <c r="Q41" i="21"/>
  <c r="R41" i="21"/>
  <c r="G41" i="21"/>
  <c r="P41" i="21" s="1"/>
  <c r="G40" i="21"/>
  <c r="P40" i="21" s="1"/>
  <c r="R40" i="21"/>
  <c r="Q40" i="21"/>
  <c r="R38" i="21" l="1"/>
  <c r="R23" i="21"/>
  <c r="R43" i="21"/>
  <c r="R36" i="21"/>
  <c r="R35" i="21"/>
  <c r="R31" i="21"/>
  <c r="G31" i="21"/>
  <c r="G30" i="21"/>
  <c r="I30" i="21"/>
  <c r="R30" i="21"/>
  <c r="R26" i="21"/>
  <c r="G27" i="21"/>
  <c r="G26" i="21"/>
  <c r="G25" i="21"/>
  <c r="R25" i="21"/>
  <c r="F25" i="21"/>
  <c r="G21" i="21"/>
  <c r="G20" i="21"/>
  <c r="R21" i="21"/>
  <c r="R20" i="21"/>
  <c r="G28" i="21" l="1"/>
  <c r="Q25" i="21"/>
  <c r="P25" i="21"/>
  <c r="G17" i="21"/>
  <c r="G16" i="21"/>
  <c r="G15" i="21"/>
  <c r="G18" i="21" l="1"/>
  <c r="R15" i="21"/>
  <c r="R16" i="21"/>
  <c r="G5" i="21"/>
  <c r="R5" i="21"/>
  <c r="G6" i="21"/>
  <c r="R6" i="21"/>
  <c r="G11" i="21"/>
  <c r="R11" i="21"/>
  <c r="G10" i="21"/>
  <c r="R10" i="21"/>
  <c r="R37" i="21" l="1"/>
  <c r="R32" i="21"/>
  <c r="G32" i="21"/>
  <c r="G33" i="21" s="1"/>
  <c r="R27" i="21"/>
  <c r="R22" i="21"/>
  <c r="G22" i="21"/>
  <c r="G23" i="21" s="1"/>
  <c r="R17" i="21"/>
  <c r="F37" i="21"/>
  <c r="Q37" i="21" s="1"/>
  <c r="F36" i="21"/>
  <c r="F35" i="21"/>
  <c r="F38" i="21" s="1"/>
  <c r="F32" i="21"/>
  <c r="Q32" i="21" s="1"/>
  <c r="F31" i="21"/>
  <c r="F30" i="21"/>
  <c r="F33" i="21" s="1"/>
  <c r="F27" i="21"/>
  <c r="P27" i="21" s="1"/>
  <c r="F26" i="21"/>
  <c r="F22" i="21"/>
  <c r="Q22" i="21" s="1"/>
  <c r="F21" i="21"/>
  <c r="F20" i="21"/>
  <c r="F23" i="21" s="1"/>
  <c r="F17" i="21"/>
  <c r="Q17" i="21" s="1"/>
  <c r="F16" i="21"/>
  <c r="F15" i="21"/>
  <c r="F18" i="21" s="1"/>
  <c r="F12" i="21"/>
  <c r="Q12" i="21" s="1"/>
  <c r="F11" i="21"/>
  <c r="Q11" i="21" s="1"/>
  <c r="F10" i="21"/>
  <c r="F7" i="21"/>
  <c r="F6" i="21"/>
  <c r="Q6" i="21" s="1"/>
  <c r="F5" i="21"/>
  <c r="G42" i="21"/>
  <c r="Q42" i="21"/>
  <c r="R42" i="21"/>
  <c r="R12" i="21"/>
  <c r="G12" i="21"/>
  <c r="G13" i="21" s="1"/>
  <c r="R7" i="21"/>
  <c r="Q7" i="21"/>
  <c r="G7" i="21"/>
  <c r="G8" i="21" s="1"/>
  <c r="N4" i="21"/>
  <c r="O4" i="21" s="1"/>
  <c r="M4" i="21"/>
  <c r="Q33" i="21" l="1"/>
  <c r="P33" i="21"/>
  <c r="P42" i="21"/>
  <c r="G43" i="21"/>
  <c r="P43" i="21" s="1"/>
  <c r="Q10" i="21"/>
  <c r="F13" i="21"/>
  <c r="Q23" i="21"/>
  <c r="P23" i="21"/>
  <c r="Q38" i="21"/>
  <c r="P38" i="21"/>
  <c r="Q18" i="21"/>
  <c r="P18" i="21"/>
  <c r="Q5" i="21"/>
  <c r="F8" i="21"/>
  <c r="F28" i="21"/>
  <c r="P22" i="21"/>
  <c r="Q27" i="21"/>
  <c r="P12" i="21"/>
  <c r="P5" i="21"/>
  <c r="Q15" i="21"/>
  <c r="P15" i="21"/>
  <c r="Q16" i="21"/>
  <c r="P16" i="21"/>
  <c r="Q31" i="21"/>
  <c r="P31" i="21"/>
  <c r="P37" i="21"/>
  <c r="P10" i="21"/>
  <c r="Q30" i="21"/>
  <c r="P30" i="21"/>
  <c r="Q26" i="21"/>
  <c r="P26" i="21"/>
  <c r="P32" i="21"/>
  <c r="P11" i="21"/>
  <c r="Q21" i="21"/>
  <c r="P21" i="21"/>
  <c r="Q36" i="21"/>
  <c r="P36" i="21"/>
  <c r="Q20" i="21"/>
  <c r="P20" i="21"/>
  <c r="Q35" i="21"/>
  <c r="P35" i="21"/>
  <c r="P17" i="21"/>
  <c r="P6" i="21"/>
  <c r="P7" i="21"/>
  <c r="Q28" i="21" l="1"/>
  <c r="P28" i="21"/>
  <c r="Q8" i="21"/>
  <c r="P8" i="21"/>
  <c r="Q13" i="21"/>
  <c r="P13" i="21"/>
  <c r="B6" i="17"/>
  <c r="I5" i="18" l="1"/>
  <c r="G16" i="18"/>
  <c r="I6" i="18"/>
  <c r="K16" i="18" l="1"/>
  <c r="I16" i="18"/>
  <c r="J6" i="18"/>
  <c r="A9" i="17"/>
  <c r="J16" i="18" l="1"/>
  <c r="B8" i="17"/>
  <c r="B9" i="17"/>
  <c r="B10" i="17"/>
  <c r="B11" i="17"/>
  <c r="B12" i="17"/>
  <c r="B13" i="17"/>
  <c r="G9" i="17" l="1"/>
  <c r="A8" i="17" l="1"/>
  <c r="J7" i="17"/>
  <c r="J8" i="17"/>
  <c r="J9" i="17"/>
  <c r="J10" i="17"/>
  <c r="J11" i="17"/>
  <c r="J12" i="17"/>
  <c r="J13" i="17"/>
  <c r="A6" i="17"/>
  <c r="C9" i="17"/>
  <c r="F9" i="17" s="1"/>
  <c r="C10" i="17"/>
  <c r="C11" i="17"/>
  <c r="C12" i="17"/>
  <c r="C13" i="17"/>
  <c r="A7" i="17"/>
  <c r="B7" i="17"/>
  <c r="C7" i="17" s="1"/>
  <c r="F7" i="17" s="1"/>
  <c r="C8" i="17" l="1"/>
  <c r="H8" i="17" s="1"/>
  <c r="K8" i="17" s="1"/>
  <c r="H7" i="17"/>
  <c r="K7" i="17" s="1"/>
  <c r="H13" i="17"/>
  <c r="K13" i="17" s="1"/>
  <c r="H12" i="17"/>
  <c r="K12" i="17" s="1"/>
  <c r="H11" i="17"/>
  <c r="K11" i="17" s="1"/>
  <c r="F10" i="17"/>
  <c r="H10" i="17"/>
  <c r="K10" i="17" s="1"/>
  <c r="F12" i="17"/>
  <c r="H9" i="17"/>
  <c r="K9" i="17" s="1"/>
  <c r="F11" i="17"/>
  <c r="F13" i="17"/>
  <c r="F8" i="17" l="1"/>
  <c r="B30" i="17"/>
  <c r="O18" i="17"/>
  <c r="N6" i="17"/>
  <c r="L6" i="17"/>
  <c r="O6" i="17" s="1"/>
  <c r="Q6" i="17" s="1"/>
  <c r="J6" i="17"/>
  <c r="C6" i="17"/>
  <c r="H6" i="17" s="1"/>
  <c r="R6" i="17" l="1"/>
  <c r="P6" i="17"/>
  <c r="K6" i="17"/>
  <c r="F6" i="17"/>
  <c r="C10" i="1" l="1"/>
  <c r="D10" i="1" s="1"/>
  <c r="C8" i="1" l="1"/>
  <c r="D8" i="1" s="1"/>
  <c r="C5" i="1"/>
  <c r="D5" i="1" s="1"/>
  <c r="C4" i="1"/>
  <c r="D4" i="1" s="1"/>
  <c r="C3" i="1" l="1"/>
  <c r="D3" i="1" s="1"/>
  <c r="C9" i="1"/>
  <c r="D9" i="1" s="1"/>
  <c r="C6" i="1"/>
  <c r="D6" i="1" s="1"/>
  <c r="C7" i="1" l="1"/>
  <c r="D7" i="1" s="1"/>
</calcChain>
</file>

<file path=xl/comments1.xml><?xml version="1.0" encoding="utf-8"?>
<comments xmlns="http://schemas.openxmlformats.org/spreadsheetml/2006/main">
  <authors>
    <author>astejada</author>
  </authors>
  <commentList>
    <comment ref="G5" authorId="0" shapeId="0">
      <text>
        <r>
          <rPr>
            <b/>
            <sz val="9"/>
            <color indexed="81"/>
            <rFont val="Tahoma"/>
            <family val="2"/>
          </rPr>
          <t>astejada:
("MEASURED INSOLATION"/INSOLATION REFERENCE") * (REFERENCE PRODUCTION KWH)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astejada:</t>
        </r>
        <r>
          <rPr>
            <sz val="9"/>
            <color indexed="81"/>
            <rFont val="Tahoma"/>
            <family val="2"/>
          </rPr>
          <t xml:space="preserve">
"MEASURED PRODUCTION" / "REFERENCE PRODUCTION"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astejada:</t>
        </r>
        <r>
          <rPr>
            <sz val="9"/>
            <color indexed="81"/>
            <rFont val="Tahoma"/>
            <family val="2"/>
          </rPr>
          <t xml:space="preserve">
"MEASURED PRODUCTION" / "EXPECTED PRODUCTION"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astejada:</t>
        </r>
        <r>
          <rPr>
            <sz val="9"/>
            <color indexed="81"/>
            <rFont val="Tahoma"/>
            <family val="2"/>
          </rPr>
          <t xml:space="preserve">
"EXPECTED KWH" / "REFERENCE KWH"</t>
        </r>
      </text>
    </comment>
  </commentList>
</comments>
</file>

<file path=xl/sharedStrings.xml><?xml version="1.0" encoding="utf-8"?>
<sst xmlns="http://schemas.openxmlformats.org/spreadsheetml/2006/main" count="221" uniqueCount="66">
  <si>
    <t>Project</t>
  </si>
  <si>
    <t>SunE Sandhurst</t>
  </si>
  <si>
    <t>SunE Rutley Gen</t>
  </si>
  <si>
    <t>SunE Hwy 2 S</t>
  </si>
  <si>
    <t>SunE Odessa</t>
  </si>
  <si>
    <t>SunE Alfred</t>
  </si>
  <si>
    <t>SunE Unity</t>
  </si>
  <si>
    <t>SunE Norfolk</t>
  </si>
  <si>
    <t>SunE Erie Ridge</t>
  </si>
  <si>
    <t>IPR</t>
  </si>
  <si>
    <t>Actual Expected</t>
  </si>
  <si>
    <t>Actual Total Energy Usage 
(kWh)</t>
  </si>
  <si>
    <t>September IE Expectation 
(kWh)</t>
  </si>
  <si>
    <t>Target</t>
  </si>
  <si>
    <t>Weather</t>
  </si>
  <si>
    <t>Month</t>
  </si>
  <si>
    <t>Weather Performance</t>
  </si>
  <si>
    <t>PRODUCTION</t>
  </si>
  <si>
    <r>
      <t>AVAILABILITY</t>
    </r>
    <r>
      <rPr>
        <b/>
        <sz val="11"/>
        <color theme="1"/>
        <rFont val="宋体"/>
        <family val="2"/>
        <scheme val="minor"/>
      </rPr>
      <t xml:space="preserve">
(energy-weighted)</t>
    </r>
  </si>
  <si>
    <t>RECONCILIATION TO BUDGET</t>
  </si>
  <si>
    <t>Budget</t>
  </si>
  <si>
    <t>Expected</t>
  </si>
  <si>
    <t>Actual</t>
  </si>
  <si>
    <r>
      <rPr>
        <b/>
        <u/>
        <sz val="11"/>
        <rFont val="宋体"/>
        <family val="2"/>
        <scheme val="minor"/>
      </rPr>
      <t>Actual</t>
    </r>
    <r>
      <rPr>
        <b/>
        <sz val="11"/>
        <rFont val="宋体"/>
        <family val="2"/>
        <scheme val="minor"/>
      </rPr>
      <t xml:space="preserve">
Budget</t>
    </r>
  </si>
  <si>
    <r>
      <rPr>
        <b/>
        <u/>
        <sz val="11"/>
        <rFont val="宋体"/>
        <family val="2"/>
        <scheme val="minor"/>
      </rPr>
      <t>Actual</t>
    </r>
    <r>
      <rPr>
        <b/>
        <sz val="11"/>
        <rFont val="宋体"/>
        <family val="2"/>
        <scheme val="minor"/>
      </rPr>
      <t xml:space="preserve">
Expected</t>
    </r>
  </si>
  <si>
    <t>Grid Energy Loss</t>
  </si>
  <si>
    <t>Plant Energy Loss</t>
  </si>
  <si>
    <t>Plant Availability</t>
  </si>
  <si>
    <t>Gross Availability</t>
  </si>
  <si>
    <t>Availability</t>
  </si>
  <si>
    <t>Performance</t>
  </si>
  <si>
    <t>Measured</t>
  </si>
  <si>
    <t>Modelled</t>
  </si>
  <si>
    <t>WPR</t>
  </si>
  <si>
    <t>%</t>
  </si>
  <si>
    <t>kWh</t>
  </si>
  <si>
    <t xml:space="preserve"> </t>
  </si>
  <si>
    <t>at CSI estimate of 565,000, Performance is 25.5%</t>
  </si>
  <si>
    <t>March Target</t>
  </si>
  <si>
    <t>Prorated</t>
  </si>
  <si>
    <t>Note: The Actual kWh were taken from Sun Edison's SCADA.  The Weather Performance (%) is only preliminary and not audited.</t>
  </si>
  <si>
    <t>Insolation</t>
  </si>
  <si>
    <t>Energy Production</t>
  </si>
  <si>
    <t>Comments:</t>
  </si>
  <si>
    <t>Reference</t>
  </si>
  <si>
    <t>OPR</t>
  </si>
  <si>
    <t>[kWh/m2]</t>
  </si>
  <si>
    <t>[kWh]</t>
  </si>
  <si>
    <t>[%]</t>
  </si>
  <si>
    <t>Month-Year</t>
  </si>
  <si>
    <t>``</t>
  </si>
  <si>
    <t>FIRELIGHT GROUNDMOUNT REPORT
(Q3 Report)</t>
  </si>
  <si>
    <t>Q3 - 2014</t>
  </si>
  <si>
    <t>FIRELIGHT GROUNDMOUNT REPORT
(Q2 Report)</t>
  </si>
  <si>
    <t>Q2 - 2014</t>
  </si>
  <si>
    <t>OCTOBER FIRELIGHT GROUNDMOUNT REPORT</t>
  </si>
  <si>
    <t>YTD</t>
  </si>
  <si>
    <r>
      <rPr>
        <b/>
        <sz val="10"/>
        <rFont val="宋体"/>
        <family val="2"/>
        <scheme val="minor"/>
      </rPr>
      <t>Notes:</t>
    </r>
    <r>
      <rPr>
        <sz val="10"/>
        <rFont val="宋体"/>
        <family val="2"/>
        <scheme val="minor"/>
      </rPr>
      <t xml:space="preserve">
1) Actual Production were taken from HONI Meter and the Insolation measurements were taken from SCADA.  </t>
    </r>
  </si>
  <si>
    <r>
      <rPr>
        <b/>
        <sz val="10"/>
        <rFont val="宋体"/>
        <family val="2"/>
        <scheme val="minor"/>
      </rPr>
      <t>Notes:</t>
    </r>
    <r>
      <rPr>
        <sz val="10"/>
        <rFont val="宋体"/>
        <family val="2"/>
        <scheme val="minor"/>
      </rPr>
      <t xml:space="preserve">
</t>
    </r>
    <r>
      <rPr>
        <sz val="10"/>
        <rFont val="宋体"/>
        <family val="2"/>
        <scheme val="minor"/>
      </rPr>
      <t xml:space="preserve">
2) Hwy 2 S:
     a. </t>
    </r>
    <r>
      <rPr>
        <i/>
        <sz val="10"/>
        <rFont val="宋体"/>
        <family val="2"/>
        <scheme val="minor"/>
      </rPr>
      <t>Oct. 2: inverter 6C went offline due to fault.  Site tech replaced and torqued the loosefan wiring</t>
    </r>
    <r>
      <rPr>
        <sz val="10"/>
        <rFont val="宋体"/>
        <family val="2"/>
        <scheme val="minor"/>
      </rPr>
      <t xml:space="preserve">
3) Norfolk:
     a. </t>
    </r>
    <r>
      <rPr>
        <i/>
        <sz val="10"/>
        <rFont val="宋体"/>
        <family val="2"/>
        <scheme val="minor"/>
      </rPr>
      <t xml:space="preserve">Oct. 6: Main AC breaker opened caused by the auto reclosure of the Norfolk TS.  
</t>
    </r>
    <r>
      <rPr>
        <sz val="10"/>
        <rFont val="宋体"/>
        <family val="2"/>
        <scheme val="minor"/>
      </rPr>
      <t>4) Rutley:</t>
    </r>
    <r>
      <rPr>
        <i/>
        <sz val="10"/>
        <rFont val="宋体"/>
        <family val="2"/>
        <scheme val="minor"/>
      </rPr>
      <t xml:space="preserve"> 
    </t>
    </r>
    <r>
      <rPr>
        <sz val="10"/>
        <rFont val="宋体"/>
        <family val="2"/>
        <scheme val="minor"/>
      </rPr>
      <t xml:space="preserve">a. </t>
    </r>
    <r>
      <rPr>
        <i/>
        <sz val="10"/>
        <rFont val="宋体"/>
        <family val="2"/>
        <scheme val="minor"/>
      </rPr>
      <t xml:space="preserve">On going: Pile remediation work in progress.  Trackers were sequentially stalled to give access to workers.  
</t>
    </r>
    <r>
      <rPr>
        <sz val="10"/>
        <rFont val="宋体"/>
        <family val="2"/>
        <scheme val="minor"/>
      </rPr>
      <t xml:space="preserve">5) Alfred:
     a. Oct. 24-28: Inverters were underperforming because the EPC contractors on site were mapping and labeling the devices. 
6) Actual Production and Insolation measurements were taken from SCADA.  </t>
    </r>
  </si>
  <si>
    <t>MONTHLY REPORT SUMMARY
FEBRUARY 2017</t>
  </si>
  <si>
    <t>TOTAL</t>
  </si>
  <si>
    <t>1) Measured Energy (kWh) were taken from the SCADA.  The Measured Energy (kWh) and Weather Performance  are only preliminary and not audited.</t>
  </si>
  <si>
    <t xml:space="preserve">Weather </t>
  </si>
  <si>
    <t>Performance %</t>
  </si>
  <si>
    <t>51 Fitzgerald</t>
  </si>
  <si>
    <t>1935 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</si>
</sst>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_(* #,##0.00_);_(* \(#,##0.00\);_(* &quot;-&quot;??_);_(@_)"/>
    <numFmt numFmtId="177" formatCode="_(* #,##0_);_(* \(#,##0\);_(* &quot;-&quot;??_);_(@_)"/>
    <numFmt numFmtId="178" formatCode="0.0"/>
    <numFmt numFmtId="179" formatCode="[$-409]mmm\-yy;@"/>
    <numFmt numFmtId="180" formatCode="0.0%"/>
    <numFmt numFmtId="181" formatCode="[$-1010409]###,###"/>
  </numFmts>
  <fonts count="27" x14ac:knownFonts="1">
    <font>
      <sz val="11"/>
      <color theme="1"/>
      <name val="宋体"/>
      <family val="2"/>
      <scheme val="minor"/>
    </font>
    <font>
      <sz val="11"/>
      <color theme="3" tint="-0.249977111117893"/>
      <name val="Calibri"/>
      <family val="2"/>
    </font>
    <font>
      <b/>
      <sz val="11"/>
      <color theme="1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name val="宋体"/>
      <family val="2"/>
      <scheme val="minor"/>
    </font>
    <font>
      <b/>
      <u/>
      <sz val="11"/>
      <name val="宋体"/>
      <family val="2"/>
      <scheme val="minor"/>
    </font>
    <font>
      <b/>
      <sz val="8"/>
      <color theme="0"/>
      <name val="Arial"/>
      <family val="2"/>
    </font>
    <font>
      <b/>
      <sz val="10"/>
      <name val="宋体"/>
      <family val="2"/>
      <scheme val="minor"/>
    </font>
    <font>
      <sz val="10"/>
      <name val="宋体"/>
      <family val="2"/>
      <scheme val="minor"/>
    </font>
    <font>
      <b/>
      <sz val="12"/>
      <color theme="0"/>
      <name val="Arial"/>
      <family val="2"/>
    </font>
    <font>
      <b/>
      <sz val="10"/>
      <color theme="0"/>
      <name val="Arial"/>
      <family val="2"/>
    </font>
    <font>
      <b/>
      <u/>
      <sz val="10"/>
      <color theme="0"/>
      <name val="Arial"/>
      <family val="2"/>
    </font>
    <font>
      <i/>
      <sz val="10"/>
      <name val="宋体"/>
      <family val="2"/>
      <scheme val="minor"/>
    </font>
    <font>
      <sz val="14"/>
      <name val="Arial"/>
      <family val="2"/>
    </font>
    <font>
      <sz val="18"/>
      <name val="Arial"/>
      <family val="2"/>
    </font>
    <font>
      <sz val="14"/>
      <color theme="1"/>
      <name val="宋体"/>
      <family val="2"/>
      <scheme val="minor"/>
    </font>
    <font>
      <b/>
      <sz val="26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4"/>
      <color theme="0"/>
      <name val="Arial"/>
      <family val="2"/>
    </font>
    <font>
      <i/>
      <sz val="11"/>
      <color theme="1"/>
      <name val="宋体"/>
      <family val="2"/>
      <scheme val="minor"/>
    </font>
    <font>
      <b/>
      <sz val="14"/>
      <name val="Arial"/>
      <family val="2"/>
    </font>
    <font>
      <b/>
      <i/>
      <sz val="11"/>
      <color theme="1"/>
      <name val="宋体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17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81" fontId="4" fillId="0" borderId="0"/>
    <xf numFmtId="181" fontId="18" fillId="0" borderId="0"/>
    <xf numFmtId="176" fontId="19" fillId="0" borderId="0" applyFont="0" applyFill="0" applyBorder="0" applyAlignment="0" applyProtection="0"/>
  </cellStyleXfs>
  <cellXfs count="298">
    <xf numFmtId="0" fontId="0" fillId="0" borderId="0" xfId="0"/>
    <xf numFmtId="3" fontId="0" fillId="0" borderId="0" xfId="0" applyNumberFormat="1"/>
    <xf numFmtId="0" fontId="0" fillId="0" borderId="0" xfId="0" applyBorder="1"/>
    <xf numFmtId="10" fontId="0" fillId="0" borderId="0" xfId="0" applyNumberFormat="1"/>
    <xf numFmtId="0" fontId="2" fillId="0" borderId="0" xfId="0" applyFont="1" applyAlignment="1">
      <alignment horizontal="center" vertical="center"/>
    </xf>
    <xf numFmtId="1" fontId="0" fillId="0" borderId="0" xfId="0" applyNumberFormat="1"/>
    <xf numFmtId="0" fontId="1" fillId="0" borderId="2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3" fontId="0" fillId="0" borderId="5" xfId="0" applyNumberFormat="1" applyBorder="1"/>
    <xf numFmtId="3" fontId="0" fillId="0" borderId="6" xfId="0" applyNumberFormat="1" applyBorder="1"/>
    <xf numFmtId="0" fontId="3" fillId="2" borderId="1" xfId="0" applyFont="1" applyFill="1" applyBorder="1" applyAlignment="1">
      <alignment horizontal="center" vertical="center"/>
    </xf>
    <xf numFmtId="3" fontId="3" fillId="2" borderId="4" xfId="0" applyNumberFormat="1" applyFont="1" applyFill="1" applyBorder="1" applyAlignment="1">
      <alignment horizontal="center" vertical="center" wrapText="1"/>
    </xf>
    <xf numFmtId="1" fontId="3" fillId="2" borderId="7" xfId="0" applyNumberFormat="1" applyFont="1" applyFill="1" applyBorder="1" applyAlignment="1">
      <alignment horizontal="center" vertical="center" wrapText="1"/>
    </xf>
    <xf numFmtId="10" fontId="3" fillId="2" borderId="4" xfId="0" applyNumberFormat="1" applyFont="1" applyFill="1" applyBorder="1" applyAlignment="1">
      <alignment horizontal="center" vertical="center"/>
    </xf>
    <xf numFmtId="10" fontId="3" fillId="2" borderId="10" xfId="0" applyNumberFormat="1" applyFont="1" applyFill="1" applyBorder="1" applyAlignment="1">
      <alignment horizontal="center" vertical="center"/>
    </xf>
    <xf numFmtId="9" fontId="0" fillId="0" borderId="5" xfId="0" applyNumberFormat="1" applyBorder="1"/>
    <xf numFmtId="9" fontId="0" fillId="0" borderId="11" xfId="0" applyNumberFormat="1" applyBorder="1"/>
    <xf numFmtId="9" fontId="0" fillId="0" borderId="6" xfId="0" applyNumberFormat="1" applyBorder="1"/>
    <xf numFmtId="9" fontId="0" fillId="0" borderId="12" xfId="0" applyNumberFormat="1" applyBorder="1"/>
    <xf numFmtId="3" fontId="0" fillId="0" borderId="8" xfId="0" applyNumberFormat="1" applyBorder="1"/>
    <xf numFmtId="3" fontId="0" fillId="0" borderId="9" xfId="0" applyNumberFormat="1" applyBorder="1"/>
    <xf numFmtId="0" fontId="0" fillId="0" borderId="0" xfId="0" applyAlignment="1">
      <alignment horizontal="center"/>
    </xf>
    <xf numFmtId="177" fontId="0" fillId="0" borderId="0" xfId="0" applyNumberFormat="1"/>
    <xf numFmtId="9" fontId="0" fillId="0" borderId="0" xfId="0" applyNumberForma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1" xfId="0" applyFont="1" applyBorder="1"/>
    <xf numFmtId="0" fontId="2" fillId="0" borderId="22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6" xfId="0" applyBorder="1" applyAlignment="1">
      <alignment horizontal="center"/>
    </xf>
    <xf numFmtId="178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9" fontId="0" fillId="0" borderId="0" xfId="2" applyNumberFormat="1" applyFont="1" applyAlignment="1">
      <alignment horizontal="center"/>
    </xf>
    <xf numFmtId="0" fontId="0" fillId="0" borderId="25" xfId="0" applyBorder="1"/>
    <xf numFmtId="179" fontId="0" fillId="0" borderId="27" xfId="0" applyNumberFormat="1" applyFont="1" applyBorder="1" applyAlignment="1">
      <alignment horizontal="center" vertical="center"/>
    </xf>
    <xf numFmtId="177" fontId="0" fillId="0" borderId="25" xfId="0" applyNumberFormat="1" applyBorder="1"/>
    <xf numFmtId="177" fontId="0" fillId="0" borderId="27" xfId="0" applyNumberFormat="1" applyBorder="1"/>
    <xf numFmtId="177" fontId="0" fillId="0" borderId="0" xfId="0" applyNumberFormat="1" applyBorder="1"/>
    <xf numFmtId="177" fontId="0" fillId="0" borderId="0" xfId="1" applyNumberFormat="1" applyFont="1" applyBorder="1"/>
    <xf numFmtId="9" fontId="0" fillId="0" borderId="0" xfId="2" applyNumberFormat="1" applyFont="1" applyBorder="1" applyAlignment="1">
      <alignment horizontal="center"/>
    </xf>
    <xf numFmtId="9" fontId="0" fillId="0" borderId="24" xfId="2" applyNumberFormat="1" applyFont="1" applyBorder="1" applyAlignment="1">
      <alignment horizontal="center"/>
    </xf>
    <xf numFmtId="180" fontId="0" fillId="0" borderId="0" xfId="2" applyNumberFormat="1" applyFont="1" applyBorder="1" applyAlignment="1">
      <alignment horizontal="center"/>
    </xf>
    <xf numFmtId="180" fontId="0" fillId="0" borderId="24" xfId="0" applyNumberFormat="1" applyBorder="1" applyAlignment="1">
      <alignment horizontal="center"/>
    </xf>
    <xf numFmtId="0" fontId="0" fillId="0" borderId="29" xfId="0" applyBorder="1"/>
    <xf numFmtId="179" fontId="0" fillId="0" borderId="19" xfId="0" applyNumberFormat="1" applyFont="1" applyBorder="1" applyAlignment="1">
      <alignment horizontal="center" vertical="center"/>
    </xf>
    <xf numFmtId="177" fontId="0" fillId="0" borderId="29" xfId="0" applyNumberFormat="1" applyBorder="1"/>
    <xf numFmtId="177" fontId="0" fillId="0" borderId="19" xfId="0" applyNumberFormat="1" applyBorder="1"/>
    <xf numFmtId="177" fontId="0" fillId="0" borderId="30" xfId="0" applyNumberFormat="1" applyBorder="1"/>
    <xf numFmtId="180" fontId="0" fillId="0" borderId="0" xfId="0" applyNumberFormat="1"/>
    <xf numFmtId="180" fontId="0" fillId="0" borderId="30" xfId="2" applyNumberFormat="1" applyFont="1" applyBorder="1" applyAlignment="1">
      <alignment horizontal="center"/>
    </xf>
    <xf numFmtId="180" fontId="0" fillId="0" borderId="27" xfId="2" applyNumberFormat="1" applyFont="1" applyBorder="1" applyAlignment="1">
      <alignment horizontal="center"/>
    </xf>
    <xf numFmtId="180" fontId="0" fillId="0" borderId="28" xfId="2" applyNumberFormat="1" applyFont="1" applyBorder="1" applyAlignment="1">
      <alignment horizontal="center"/>
    </xf>
    <xf numFmtId="180" fontId="0" fillId="0" borderId="19" xfId="2" applyNumberFormat="1" applyFont="1" applyBorder="1" applyAlignment="1">
      <alignment horizontal="center"/>
    </xf>
    <xf numFmtId="180" fontId="0" fillId="0" borderId="31" xfId="2" applyNumberFormat="1" applyFont="1" applyBorder="1" applyAlignment="1">
      <alignment horizontal="center"/>
    </xf>
    <xf numFmtId="0" fontId="3" fillId="2" borderId="40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/>
    </xf>
    <xf numFmtId="0" fontId="3" fillId="2" borderId="32" xfId="0" applyFont="1" applyFill="1" applyBorder="1" applyAlignment="1">
      <alignment horizontal="center"/>
    </xf>
    <xf numFmtId="0" fontId="3" fillId="2" borderId="33" xfId="0" applyFont="1" applyFill="1" applyBorder="1" applyAlignment="1">
      <alignment horizontal="center"/>
    </xf>
    <xf numFmtId="0" fontId="11" fillId="2" borderId="21" xfId="0" applyFont="1" applyFill="1" applyBorder="1" applyAlignment="1">
      <alignment horizontal="center"/>
    </xf>
    <xf numFmtId="0" fontId="11" fillId="2" borderId="23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/>
    </xf>
    <xf numFmtId="0" fontId="12" fillId="2" borderId="21" xfId="0" applyFont="1" applyFill="1" applyBorder="1" applyAlignment="1">
      <alignment horizontal="center"/>
    </xf>
    <xf numFmtId="179" fontId="15" fillId="3" borderId="5" xfId="0" applyNumberFormat="1" applyFont="1" applyFill="1" applyBorder="1" applyAlignment="1">
      <alignment horizontal="left"/>
    </xf>
    <xf numFmtId="179" fontId="15" fillId="3" borderId="6" xfId="0" applyNumberFormat="1" applyFont="1" applyFill="1" applyBorder="1" applyAlignment="1">
      <alignment horizontal="left"/>
    </xf>
    <xf numFmtId="1" fontId="14" fillId="3" borderId="5" xfId="0" applyNumberFormat="1" applyFont="1" applyFill="1" applyBorder="1" applyAlignment="1">
      <alignment horizontal="center"/>
    </xf>
    <xf numFmtId="3" fontId="14" fillId="3" borderId="5" xfId="0" applyNumberFormat="1" applyFont="1" applyFill="1" applyBorder="1" applyAlignment="1">
      <alignment horizontal="center"/>
    </xf>
    <xf numFmtId="180" fontId="14" fillId="3" borderId="26" xfId="0" applyNumberFormat="1" applyFont="1" applyFill="1" applyBorder="1" applyAlignment="1">
      <alignment horizontal="center"/>
    </xf>
    <xf numFmtId="180" fontId="14" fillId="3" borderId="32" xfId="0" applyNumberFormat="1" applyFont="1" applyFill="1" applyBorder="1" applyAlignment="1">
      <alignment horizontal="center"/>
    </xf>
    <xf numFmtId="180" fontId="16" fillId="3" borderId="32" xfId="2" applyNumberFormat="1" applyFont="1" applyFill="1" applyBorder="1" applyAlignment="1">
      <alignment horizontal="center"/>
    </xf>
    <xf numFmtId="180" fontId="14" fillId="3" borderId="36" xfId="0" applyNumberFormat="1" applyFont="1" applyFill="1" applyBorder="1" applyAlignment="1">
      <alignment horizontal="center"/>
    </xf>
    <xf numFmtId="180" fontId="14" fillId="3" borderId="35" xfId="0" applyNumberFormat="1" applyFont="1" applyFill="1" applyBorder="1" applyAlignment="1">
      <alignment horizontal="center"/>
    </xf>
    <xf numFmtId="0" fontId="7" fillId="2" borderId="32" xfId="0" applyFont="1" applyFill="1" applyBorder="1" applyAlignment="1">
      <alignment horizontal="center"/>
    </xf>
    <xf numFmtId="1" fontId="14" fillId="3" borderId="49" xfId="0" applyNumberFormat="1" applyFont="1" applyFill="1" applyBorder="1" applyAlignment="1">
      <alignment horizontal="center"/>
    </xf>
    <xf numFmtId="3" fontId="14" fillId="3" borderId="49" xfId="0" applyNumberFormat="1" applyFont="1" applyFill="1" applyBorder="1" applyAlignment="1">
      <alignment horizontal="center"/>
    </xf>
    <xf numFmtId="180" fontId="14" fillId="3" borderId="18" xfId="0" applyNumberFormat="1" applyFont="1" applyFill="1" applyBorder="1" applyAlignment="1">
      <alignment horizontal="center"/>
    </xf>
    <xf numFmtId="180" fontId="14" fillId="3" borderId="48" xfId="0" applyNumberFormat="1" applyFont="1" applyFill="1" applyBorder="1" applyAlignment="1">
      <alignment horizontal="center"/>
    </xf>
    <xf numFmtId="180" fontId="16" fillId="3" borderId="48" xfId="2" applyNumberFormat="1" applyFont="1" applyFill="1" applyBorder="1" applyAlignment="1">
      <alignment horizontal="center"/>
    </xf>
    <xf numFmtId="1" fontId="14" fillId="3" borderId="8" xfId="0" applyNumberFormat="1" applyFont="1" applyFill="1" applyBorder="1" applyAlignment="1">
      <alignment horizontal="center"/>
    </xf>
    <xf numFmtId="3" fontId="14" fillId="3" borderId="8" xfId="0" applyNumberFormat="1" applyFont="1" applyFill="1" applyBorder="1" applyAlignment="1">
      <alignment horizontal="center"/>
    </xf>
    <xf numFmtId="9" fontId="14" fillId="3" borderId="33" xfId="0" applyNumberFormat="1" applyFont="1" applyFill="1" applyBorder="1" applyAlignment="1">
      <alignment horizontal="center"/>
    </xf>
    <xf numFmtId="9" fontId="14" fillId="3" borderId="11" xfId="0" applyNumberFormat="1" applyFont="1" applyFill="1" applyBorder="1" applyAlignment="1">
      <alignment horizontal="center"/>
    </xf>
    <xf numFmtId="9" fontId="14" fillId="3" borderId="5" xfId="0" applyNumberFormat="1" applyFont="1" applyFill="1" applyBorder="1" applyAlignment="1">
      <alignment horizontal="center"/>
    </xf>
    <xf numFmtId="3" fontId="14" fillId="3" borderId="4" xfId="0" applyNumberFormat="1" applyFont="1" applyFill="1" applyBorder="1" applyAlignment="1">
      <alignment horizontal="center"/>
    </xf>
    <xf numFmtId="3" fontId="14" fillId="3" borderId="22" xfId="0" applyNumberFormat="1" applyFont="1" applyFill="1" applyBorder="1" applyAlignment="1">
      <alignment horizontal="center"/>
    </xf>
    <xf numFmtId="9" fontId="14" fillId="3" borderId="21" xfId="0" applyNumberFormat="1" applyFont="1" applyFill="1" applyBorder="1" applyAlignment="1">
      <alignment horizontal="center"/>
    </xf>
    <xf numFmtId="9" fontId="14" fillId="3" borderId="23" xfId="0" applyNumberFormat="1" applyFont="1" applyFill="1" applyBorder="1" applyAlignment="1">
      <alignment horizontal="center"/>
    </xf>
    <xf numFmtId="1" fontId="14" fillId="3" borderId="7" xfId="0" applyNumberFormat="1" applyFont="1" applyFill="1" applyBorder="1" applyAlignment="1">
      <alignment horizontal="center"/>
    </xf>
    <xf numFmtId="3" fontId="14" fillId="3" borderId="7" xfId="0" applyNumberFormat="1" applyFont="1" applyFill="1" applyBorder="1" applyAlignment="1">
      <alignment horizontal="center"/>
    </xf>
    <xf numFmtId="9" fontId="14" fillId="3" borderId="4" xfId="0" applyNumberFormat="1" applyFont="1" applyFill="1" applyBorder="1" applyAlignment="1">
      <alignment horizontal="center"/>
    </xf>
    <xf numFmtId="1" fontId="14" fillId="3" borderId="17" xfId="0" applyNumberFormat="1" applyFont="1" applyFill="1" applyBorder="1" applyAlignment="1">
      <alignment horizontal="center"/>
    </xf>
    <xf numFmtId="3" fontId="14" fillId="3" borderId="17" xfId="0" applyNumberFormat="1" applyFont="1" applyFill="1" applyBorder="1" applyAlignment="1">
      <alignment horizontal="center"/>
    </xf>
    <xf numFmtId="0" fontId="7" fillId="2" borderId="27" xfId="0" applyFont="1" applyFill="1" applyBorder="1" applyAlignment="1">
      <alignment horizontal="center"/>
    </xf>
    <xf numFmtId="0" fontId="7" fillId="2" borderId="28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48" xfId="0" applyFont="1" applyFill="1" applyBorder="1" applyAlignment="1">
      <alignment horizontal="center"/>
    </xf>
    <xf numFmtId="180" fontId="3" fillId="2" borderId="48" xfId="2" applyNumberFormat="1" applyFont="1" applyFill="1" applyBorder="1" applyAlignment="1">
      <alignment horizontal="center"/>
    </xf>
    <xf numFmtId="180" fontId="3" fillId="2" borderId="51" xfId="0" applyNumberFormat="1" applyFont="1" applyFill="1" applyBorder="1" applyAlignment="1">
      <alignment horizontal="center"/>
    </xf>
    <xf numFmtId="180" fontId="16" fillId="3" borderId="32" xfId="0" applyNumberFormat="1" applyFont="1" applyFill="1" applyBorder="1" applyAlignment="1">
      <alignment horizontal="center"/>
    </xf>
    <xf numFmtId="180" fontId="14" fillId="3" borderId="40" xfId="0" applyNumberFormat="1" applyFont="1" applyFill="1" applyBorder="1" applyAlignment="1">
      <alignment horizontal="center"/>
    </xf>
    <xf numFmtId="180" fontId="16" fillId="3" borderId="40" xfId="2" applyNumberFormat="1" applyFont="1" applyFill="1" applyBorder="1" applyAlignment="1">
      <alignment horizontal="center"/>
    </xf>
    <xf numFmtId="180" fontId="16" fillId="3" borderId="40" xfId="0" applyNumberFormat="1" applyFont="1" applyFill="1" applyBorder="1" applyAlignment="1">
      <alignment horizontal="center"/>
    </xf>
    <xf numFmtId="179" fontId="15" fillId="3" borderId="4" xfId="0" applyNumberFormat="1" applyFont="1" applyFill="1" applyBorder="1" applyAlignment="1">
      <alignment horizontal="left"/>
    </xf>
    <xf numFmtId="179" fontId="14" fillId="3" borderId="1" xfId="0" applyNumberFormat="1" applyFont="1" applyFill="1" applyBorder="1" applyAlignment="1">
      <alignment horizontal="center"/>
    </xf>
    <xf numFmtId="179" fontId="14" fillId="3" borderId="2" xfId="0" applyNumberFormat="1" applyFont="1" applyFill="1" applyBorder="1" applyAlignment="1">
      <alignment horizontal="center"/>
    </xf>
    <xf numFmtId="179" fontId="14" fillId="3" borderId="3" xfId="0" applyNumberFormat="1" applyFont="1" applyFill="1" applyBorder="1" applyAlignment="1">
      <alignment horizontal="center"/>
    </xf>
    <xf numFmtId="1" fontId="14" fillId="3" borderId="4" xfId="0" applyNumberFormat="1" applyFont="1" applyFill="1" applyBorder="1" applyAlignment="1">
      <alignment horizontal="center"/>
    </xf>
    <xf numFmtId="180" fontId="14" fillId="3" borderId="41" xfId="0" applyNumberFormat="1" applyFont="1" applyFill="1" applyBorder="1" applyAlignment="1">
      <alignment horizontal="center"/>
    </xf>
    <xf numFmtId="9" fontId="14" fillId="3" borderId="42" xfId="0" applyNumberFormat="1" applyFont="1" applyFill="1" applyBorder="1" applyAlignment="1">
      <alignment horizontal="center"/>
    </xf>
    <xf numFmtId="9" fontId="14" fillId="3" borderId="10" xfId="0" applyNumberFormat="1" applyFont="1" applyFill="1" applyBorder="1" applyAlignment="1">
      <alignment horizontal="center"/>
    </xf>
    <xf numFmtId="180" fontId="16" fillId="3" borderId="48" xfId="0" applyNumberFormat="1" applyFont="1" applyFill="1" applyBorder="1" applyAlignment="1">
      <alignment horizontal="center"/>
    </xf>
    <xf numFmtId="9" fontId="14" fillId="3" borderId="51" xfId="0" applyNumberFormat="1" applyFont="1" applyFill="1" applyBorder="1" applyAlignment="1">
      <alignment horizontal="center"/>
    </xf>
    <xf numFmtId="9" fontId="14" fillId="3" borderId="49" xfId="0" applyNumberFormat="1" applyFont="1" applyFill="1" applyBorder="1" applyAlignment="1">
      <alignment horizontal="center"/>
    </xf>
    <xf numFmtId="9" fontId="14" fillId="3" borderId="50" xfId="0" applyNumberFormat="1" applyFont="1" applyFill="1" applyBorder="1" applyAlignment="1">
      <alignment horizontal="center"/>
    </xf>
    <xf numFmtId="1" fontId="14" fillId="3" borderId="21" xfId="0" applyNumberFormat="1" applyFont="1" applyFill="1" applyBorder="1" applyAlignment="1">
      <alignment horizontal="center"/>
    </xf>
    <xf numFmtId="1" fontId="14" fillId="3" borderId="22" xfId="0" applyNumberFormat="1" applyFont="1" applyFill="1" applyBorder="1" applyAlignment="1">
      <alignment horizontal="center"/>
    </xf>
    <xf numFmtId="3" fontId="14" fillId="3" borderId="21" xfId="0" applyNumberFormat="1" applyFont="1" applyFill="1" applyBorder="1" applyAlignment="1">
      <alignment horizontal="center"/>
    </xf>
    <xf numFmtId="180" fontId="14" fillId="3" borderId="53" xfId="0" applyNumberFormat="1" applyFont="1" applyFill="1" applyBorder="1" applyAlignment="1">
      <alignment horizontal="center"/>
    </xf>
    <xf numFmtId="180" fontId="14" fillId="3" borderId="44" xfId="0" applyNumberFormat="1" applyFont="1" applyFill="1" applyBorder="1" applyAlignment="1">
      <alignment horizontal="center"/>
    </xf>
    <xf numFmtId="180" fontId="16" fillId="3" borderId="44" xfId="2" applyNumberFormat="1" applyFont="1" applyFill="1" applyBorder="1" applyAlignment="1">
      <alignment horizontal="center"/>
    </xf>
    <xf numFmtId="180" fontId="16" fillId="3" borderId="44" xfId="0" applyNumberFormat="1" applyFont="1" applyFill="1" applyBorder="1" applyAlignment="1">
      <alignment horizontal="center"/>
    </xf>
    <xf numFmtId="9" fontId="14" fillId="3" borderId="54" xfId="0" applyNumberFormat="1" applyFont="1" applyFill="1" applyBorder="1" applyAlignment="1">
      <alignment horizontal="center"/>
    </xf>
    <xf numFmtId="0" fontId="7" fillId="2" borderId="32" xfId="0" applyFont="1" applyFill="1" applyBorder="1" applyAlignment="1">
      <alignment horizontal="center"/>
    </xf>
    <xf numFmtId="0" fontId="7" fillId="2" borderId="48" xfId="0" applyFont="1" applyFill="1" applyBorder="1" applyAlignment="1">
      <alignment horizontal="center"/>
    </xf>
    <xf numFmtId="0" fontId="7" fillId="2" borderId="32" xfId="0" applyFont="1" applyFill="1" applyBorder="1" applyAlignment="1">
      <alignment horizontal="center"/>
    </xf>
    <xf numFmtId="0" fontId="7" fillId="2" borderId="48" xfId="0" applyFont="1" applyFill="1" applyBorder="1" applyAlignment="1">
      <alignment horizontal="center"/>
    </xf>
    <xf numFmtId="179" fontId="15" fillId="3" borderId="25" xfId="0" applyNumberFormat="1" applyFont="1" applyFill="1" applyBorder="1" applyAlignment="1">
      <alignment horizontal="left"/>
    </xf>
    <xf numFmtId="179" fontId="14" fillId="3" borderId="0" xfId="0" applyNumberFormat="1" applyFont="1" applyFill="1" applyBorder="1" applyAlignment="1">
      <alignment horizontal="center"/>
    </xf>
    <xf numFmtId="1" fontId="14" fillId="3" borderId="27" xfId="0" applyNumberFormat="1" applyFont="1" applyFill="1" applyBorder="1" applyAlignment="1">
      <alignment horizontal="center"/>
    </xf>
    <xf numFmtId="1" fontId="14" fillId="3" borderId="0" xfId="0" applyNumberFormat="1" applyFont="1" applyFill="1" applyBorder="1" applyAlignment="1">
      <alignment horizontal="center"/>
    </xf>
    <xf numFmtId="180" fontId="14" fillId="3" borderId="0" xfId="0" applyNumberFormat="1" applyFont="1" applyFill="1" applyBorder="1" applyAlignment="1">
      <alignment horizontal="center"/>
    </xf>
    <xf numFmtId="180" fontId="16" fillId="3" borderId="0" xfId="2" applyNumberFormat="1" applyFont="1" applyFill="1" applyBorder="1" applyAlignment="1">
      <alignment horizontal="center"/>
    </xf>
    <xf numFmtId="180" fontId="16" fillId="3" borderId="0" xfId="0" applyNumberFormat="1" applyFont="1" applyFill="1" applyBorder="1" applyAlignment="1">
      <alignment horizontal="center"/>
    </xf>
    <xf numFmtId="180" fontId="14" fillId="3" borderId="25" xfId="0" applyNumberFormat="1" applyFont="1" applyFill="1" applyBorder="1" applyAlignment="1">
      <alignment horizontal="center"/>
    </xf>
    <xf numFmtId="3" fontId="14" fillId="3" borderId="27" xfId="0" applyNumberFormat="1" applyFont="1" applyFill="1" applyBorder="1" applyAlignment="1">
      <alignment horizontal="right"/>
    </xf>
    <xf numFmtId="179" fontId="14" fillId="3" borderId="32" xfId="0" applyNumberFormat="1" applyFont="1" applyFill="1" applyBorder="1" applyAlignment="1">
      <alignment horizontal="center"/>
    </xf>
    <xf numFmtId="1" fontId="14" fillId="3" borderId="32" xfId="0" applyNumberFormat="1" applyFont="1" applyFill="1" applyBorder="1" applyAlignment="1">
      <alignment horizontal="center"/>
    </xf>
    <xf numFmtId="3" fontId="14" fillId="3" borderId="32" xfId="0" applyNumberFormat="1" applyFont="1" applyFill="1" applyBorder="1" applyAlignment="1">
      <alignment horizontal="right"/>
    </xf>
    <xf numFmtId="3" fontId="14" fillId="3" borderId="49" xfId="0" applyNumberFormat="1" applyFont="1" applyFill="1" applyBorder="1" applyAlignment="1">
      <alignment horizontal="right"/>
    </xf>
    <xf numFmtId="3" fontId="14" fillId="3" borderId="0" xfId="0" applyNumberFormat="1" applyFont="1" applyFill="1" applyBorder="1" applyAlignment="1">
      <alignment horizontal="right"/>
    </xf>
    <xf numFmtId="3" fontId="0" fillId="0" borderId="32" xfId="0" applyNumberFormat="1" applyBorder="1"/>
    <xf numFmtId="180" fontId="14" fillId="3" borderId="27" xfId="0" applyNumberFormat="1" applyFont="1" applyFill="1" applyBorder="1" applyAlignment="1">
      <alignment horizontal="center"/>
    </xf>
    <xf numFmtId="180" fontId="14" fillId="3" borderId="28" xfId="0" applyNumberFormat="1" applyFont="1" applyFill="1" applyBorder="1" applyAlignment="1">
      <alignment horizontal="center"/>
    </xf>
    <xf numFmtId="179" fontId="15" fillId="3" borderId="55" xfId="0" applyNumberFormat="1" applyFont="1" applyFill="1" applyBorder="1" applyAlignment="1">
      <alignment horizontal="left"/>
    </xf>
    <xf numFmtId="180" fontId="14" fillId="3" borderId="56" xfId="0" applyNumberFormat="1" applyFont="1" applyFill="1" applyBorder="1" applyAlignment="1">
      <alignment horizontal="center"/>
    </xf>
    <xf numFmtId="180" fontId="16" fillId="3" borderId="35" xfId="2" applyNumberFormat="1" applyFont="1" applyFill="1" applyBorder="1" applyAlignment="1">
      <alignment horizontal="center"/>
    </xf>
    <xf numFmtId="3" fontId="0" fillId="0" borderId="26" xfId="0" applyNumberFormat="1" applyBorder="1"/>
    <xf numFmtId="3" fontId="20" fillId="3" borderId="22" xfId="0" applyNumberFormat="1" applyFont="1" applyFill="1" applyBorder="1" applyAlignment="1">
      <alignment horizontal="right"/>
    </xf>
    <xf numFmtId="3" fontId="20" fillId="3" borderId="23" xfId="0" applyNumberFormat="1" applyFont="1" applyFill="1" applyBorder="1" applyAlignment="1">
      <alignment horizontal="right"/>
    </xf>
    <xf numFmtId="3" fontId="0" fillId="0" borderId="33" xfId="0" applyNumberFormat="1" applyBorder="1"/>
    <xf numFmtId="180" fontId="14" fillId="3" borderId="20" xfId="0" applyNumberFormat="1" applyFont="1" applyFill="1" applyBorder="1" applyAlignment="1">
      <alignment horizontal="center"/>
    </xf>
    <xf numFmtId="180" fontId="14" fillId="3" borderId="23" xfId="0" applyNumberFormat="1" applyFont="1" applyFill="1" applyBorder="1" applyAlignment="1">
      <alignment horizontal="center"/>
    </xf>
    <xf numFmtId="180" fontId="14" fillId="3" borderId="21" xfId="0" applyNumberFormat="1" applyFont="1" applyFill="1" applyBorder="1" applyAlignment="1">
      <alignment horizontal="center"/>
    </xf>
    <xf numFmtId="180" fontId="16" fillId="3" borderId="37" xfId="0" applyNumberFormat="1" applyFont="1" applyFill="1" applyBorder="1" applyAlignment="1">
      <alignment horizontal="center"/>
    </xf>
    <xf numFmtId="3" fontId="14" fillId="3" borderId="32" xfId="0" applyNumberFormat="1" applyFont="1" applyFill="1" applyBorder="1" applyAlignment="1">
      <alignment horizontal="center"/>
    </xf>
    <xf numFmtId="9" fontId="14" fillId="3" borderId="32" xfId="0" applyNumberFormat="1" applyFont="1" applyFill="1" applyBorder="1" applyAlignment="1">
      <alignment horizontal="center"/>
    </xf>
    <xf numFmtId="9" fontId="14" fillId="3" borderId="56" xfId="0" applyNumberFormat="1" applyFont="1" applyFill="1" applyBorder="1" applyAlignment="1">
      <alignment horizontal="center"/>
    </xf>
    <xf numFmtId="3" fontId="14" fillId="3" borderId="40" xfId="0" applyNumberFormat="1" applyFont="1" applyFill="1" applyBorder="1" applyAlignment="1">
      <alignment horizontal="center"/>
    </xf>
    <xf numFmtId="9" fontId="14" fillId="3" borderId="40" xfId="0" applyNumberFormat="1" applyFont="1" applyFill="1" applyBorder="1" applyAlignment="1">
      <alignment horizontal="center"/>
    </xf>
    <xf numFmtId="9" fontId="14" fillId="3" borderId="58" xfId="0" applyNumberFormat="1" applyFont="1" applyFill="1" applyBorder="1" applyAlignment="1">
      <alignment horizontal="center"/>
    </xf>
    <xf numFmtId="179" fontId="14" fillId="3" borderId="8" xfId="0" applyNumberFormat="1" applyFont="1" applyFill="1" applyBorder="1" applyAlignment="1">
      <alignment horizontal="center"/>
    </xf>
    <xf numFmtId="0" fontId="21" fillId="0" borderId="0" xfId="0" applyFont="1" applyBorder="1" applyAlignment="1">
      <alignment horizontal="left" wrapText="1"/>
    </xf>
    <xf numFmtId="3" fontId="14" fillId="0" borderId="32" xfId="0" applyNumberFormat="1" applyFont="1" applyFill="1" applyBorder="1" applyAlignment="1">
      <alignment horizontal="center"/>
    </xf>
    <xf numFmtId="9" fontId="14" fillId="0" borderId="32" xfId="0" applyNumberFormat="1" applyFont="1" applyFill="1" applyBorder="1" applyAlignment="1">
      <alignment horizontal="center"/>
    </xf>
    <xf numFmtId="9" fontId="14" fillId="0" borderId="56" xfId="0" applyNumberFormat="1" applyFont="1" applyFill="1" applyBorder="1" applyAlignment="1">
      <alignment horizontal="center"/>
    </xf>
    <xf numFmtId="3" fontId="22" fillId="3" borderId="44" xfId="0" applyNumberFormat="1" applyFont="1" applyFill="1" applyBorder="1" applyAlignment="1">
      <alignment horizontal="center"/>
    </xf>
    <xf numFmtId="9" fontId="22" fillId="3" borderId="44" xfId="0" applyNumberFormat="1" applyFont="1" applyFill="1" applyBorder="1" applyAlignment="1">
      <alignment horizontal="center"/>
    </xf>
    <xf numFmtId="9" fontId="22" fillId="3" borderId="45" xfId="0" applyNumberFormat="1" applyFont="1" applyFill="1" applyBorder="1" applyAlignment="1">
      <alignment horizontal="center"/>
    </xf>
    <xf numFmtId="3" fontId="14" fillId="0" borderId="35" xfId="0" applyNumberFormat="1" applyFont="1" applyFill="1" applyBorder="1" applyAlignment="1">
      <alignment horizontal="center"/>
    </xf>
    <xf numFmtId="9" fontId="14" fillId="0" borderId="35" xfId="0" applyNumberFormat="1" applyFont="1" applyFill="1" applyBorder="1" applyAlignment="1">
      <alignment horizontal="center"/>
    </xf>
    <xf numFmtId="9" fontId="14" fillId="0" borderId="61" xfId="0" applyNumberFormat="1" applyFont="1" applyFill="1" applyBorder="1" applyAlignment="1">
      <alignment horizontal="center"/>
    </xf>
    <xf numFmtId="179" fontId="15" fillId="0" borderId="5" xfId="0" applyNumberFormat="1" applyFont="1" applyFill="1" applyBorder="1" applyAlignment="1">
      <alignment horizontal="left"/>
    </xf>
    <xf numFmtId="179" fontId="15" fillId="0" borderId="49" xfId="0" applyNumberFormat="1" applyFont="1" applyFill="1" applyBorder="1" applyAlignment="1">
      <alignment horizontal="left"/>
    </xf>
    <xf numFmtId="179" fontId="15" fillId="0" borderId="6" xfId="0" applyNumberFormat="1" applyFont="1" applyFill="1" applyBorder="1" applyAlignment="1">
      <alignment horizontal="left"/>
    </xf>
    <xf numFmtId="179" fontId="14" fillId="3" borderId="7" xfId="0" applyNumberFormat="1" applyFont="1" applyFill="1" applyBorder="1" applyAlignment="1">
      <alignment horizontal="center"/>
    </xf>
    <xf numFmtId="179" fontId="14" fillId="0" borderId="8" xfId="0" applyNumberFormat="1" applyFont="1" applyFill="1" applyBorder="1" applyAlignment="1">
      <alignment horizontal="center"/>
    </xf>
    <xf numFmtId="179" fontId="14" fillId="0" borderId="17" xfId="0" applyNumberFormat="1" applyFont="1" applyFill="1" applyBorder="1" applyAlignment="1">
      <alignment horizontal="center"/>
    </xf>
    <xf numFmtId="179" fontId="14" fillId="0" borderId="9" xfId="0" applyNumberFormat="1" applyFont="1" applyFill="1" applyBorder="1" applyAlignment="1">
      <alignment horizontal="center"/>
    </xf>
    <xf numFmtId="1" fontId="14" fillId="3" borderId="57" xfId="0" applyNumberFormat="1" applyFont="1" applyFill="1" applyBorder="1" applyAlignment="1">
      <alignment horizontal="center"/>
    </xf>
    <xf numFmtId="1" fontId="14" fillId="3" borderId="58" xfId="0" applyNumberFormat="1" applyFont="1" applyFill="1" applyBorder="1" applyAlignment="1">
      <alignment horizontal="center"/>
    </xf>
    <xf numFmtId="1" fontId="14" fillId="3" borderId="55" xfId="0" applyNumberFormat="1" applyFont="1" applyFill="1" applyBorder="1" applyAlignment="1">
      <alignment horizontal="center"/>
    </xf>
    <xf numFmtId="1" fontId="14" fillId="3" borderId="56" xfId="0" applyNumberFormat="1" applyFont="1" applyFill="1" applyBorder="1" applyAlignment="1">
      <alignment horizontal="center"/>
    </xf>
    <xf numFmtId="1" fontId="14" fillId="0" borderId="55" xfId="0" applyNumberFormat="1" applyFont="1" applyFill="1" applyBorder="1" applyAlignment="1">
      <alignment horizontal="center"/>
    </xf>
    <xf numFmtId="1" fontId="14" fillId="0" borderId="56" xfId="0" applyNumberFormat="1" applyFont="1" applyFill="1" applyBorder="1" applyAlignment="1">
      <alignment horizontal="center"/>
    </xf>
    <xf numFmtId="1" fontId="14" fillId="0" borderId="59" xfId="0" applyNumberFormat="1" applyFont="1" applyFill="1" applyBorder="1" applyAlignment="1">
      <alignment horizontal="center"/>
    </xf>
    <xf numFmtId="1" fontId="14" fillId="0" borderId="60" xfId="0" applyNumberFormat="1" applyFont="1" applyFill="1" applyBorder="1" applyAlignment="1">
      <alignment horizontal="center"/>
    </xf>
    <xf numFmtId="1" fontId="14" fillId="0" borderId="61" xfId="0" applyNumberFormat="1" applyFont="1" applyFill="1" applyBorder="1" applyAlignment="1">
      <alignment horizontal="center"/>
    </xf>
    <xf numFmtId="3" fontId="14" fillId="3" borderId="57" xfId="0" applyNumberFormat="1" applyFont="1" applyFill="1" applyBorder="1" applyAlignment="1">
      <alignment horizontal="center"/>
    </xf>
    <xf numFmtId="3" fontId="14" fillId="3" borderId="58" xfId="0" applyNumberFormat="1" applyFont="1" applyFill="1" applyBorder="1" applyAlignment="1">
      <alignment horizontal="center"/>
    </xf>
    <xf numFmtId="3" fontId="14" fillId="3" borderId="55" xfId="0" applyNumberFormat="1" applyFont="1" applyFill="1" applyBorder="1" applyAlignment="1">
      <alignment horizontal="center"/>
    </xf>
    <xf numFmtId="3" fontId="14" fillId="3" borderId="56" xfId="0" applyNumberFormat="1" applyFont="1" applyFill="1" applyBorder="1" applyAlignment="1">
      <alignment horizontal="center"/>
    </xf>
    <xf numFmtId="3" fontId="14" fillId="0" borderId="55" xfId="0" applyNumberFormat="1" applyFont="1" applyFill="1" applyBorder="1" applyAlignment="1">
      <alignment horizontal="center"/>
    </xf>
    <xf numFmtId="3" fontId="14" fillId="0" borderId="56" xfId="0" applyNumberFormat="1" applyFont="1" applyFill="1" applyBorder="1" applyAlignment="1">
      <alignment horizontal="center"/>
    </xf>
    <xf numFmtId="3" fontId="14" fillId="0" borderId="59" xfId="0" applyNumberFormat="1" applyFont="1" applyFill="1" applyBorder="1" applyAlignment="1">
      <alignment horizontal="center"/>
    </xf>
    <xf numFmtId="3" fontId="14" fillId="0" borderId="60" xfId="0" applyNumberFormat="1" applyFont="1" applyFill="1" applyBorder="1" applyAlignment="1">
      <alignment horizontal="center"/>
    </xf>
    <xf numFmtId="3" fontId="14" fillId="0" borderId="61" xfId="0" applyNumberFormat="1" applyFont="1" applyFill="1" applyBorder="1" applyAlignment="1">
      <alignment horizontal="center"/>
    </xf>
    <xf numFmtId="179" fontId="14" fillId="3" borderId="21" xfId="0" applyNumberFormat="1" applyFont="1" applyFill="1" applyBorder="1" applyAlignment="1">
      <alignment horizontal="center"/>
    </xf>
    <xf numFmtId="3" fontId="22" fillId="3" borderId="43" xfId="0" applyNumberFormat="1" applyFont="1" applyFill="1" applyBorder="1" applyAlignment="1">
      <alignment horizontal="center"/>
    </xf>
    <xf numFmtId="3" fontId="22" fillId="3" borderId="45" xfId="0" applyNumberFormat="1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/>
    </xf>
    <xf numFmtId="0" fontId="12" fillId="2" borderId="23" xfId="0" applyFont="1" applyFill="1" applyBorder="1" applyAlignment="1">
      <alignment horizontal="center"/>
    </xf>
    <xf numFmtId="179" fontId="15" fillId="3" borderId="20" xfId="0" applyNumberFormat="1" applyFont="1" applyFill="1" applyBorder="1" applyAlignment="1">
      <alignment horizontal="right"/>
    </xf>
    <xf numFmtId="0" fontId="0" fillId="0" borderId="0" xfId="0" applyAlignment="1">
      <alignment horizontal="center"/>
    </xf>
    <xf numFmtId="0" fontId="17" fillId="0" borderId="20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49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0" fillId="2" borderId="38" xfId="0" applyFont="1" applyFill="1" applyBorder="1" applyAlignment="1">
      <alignment horizontal="center"/>
    </xf>
    <xf numFmtId="0" fontId="10" fillId="2" borderId="46" xfId="0" applyFont="1" applyFill="1" applyBorder="1" applyAlignment="1">
      <alignment horizontal="center"/>
    </xf>
    <xf numFmtId="0" fontId="10" fillId="2" borderId="43" xfId="0" applyFont="1" applyFill="1" applyBorder="1" applyAlignment="1">
      <alignment horizontal="center"/>
    </xf>
    <xf numFmtId="0" fontId="10" fillId="2" borderId="44" xfId="0" applyFont="1" applyFill="1" applyBorder="1" applyAlignment="1">
      <alignment horizontal="center"/>
    </xf>
    <xf numFmtId="0" fontId="10" fillId="2" borderId="45" xfId="0" applyFont="1" applyFill="1" applyBorder="1" applyAlignment="1">
      <alignment horizontal="center"/>
    </xf>
    <xf numFmtId="0" fontId="7" fillId="2" borderId="41" xfId="0" applyFont="1" applyFill="1" applyBorder="1" applyAlignment="1">
      <alignment horizontal="center"/>
    </xf>
    <xf numFmtId="0" fontId="7" fillId="2" borderId="40" xfId="0" applyFont="1" applyFill="1" applyBorder="1" applyAlignment="1">
      <alignment horizontal="center"/>
    </xf>
    <xf numFmtId="0" fontId="7" fillId="2" borderId="32" xfId="0" applyFont="1" applyFill="1" applyBorder="1" applyAlignment="1">
      <alignment horizontal="center"/>
    </xf>
    <xf numFmtId="0" fontId="7" fillId="2" borderId="48" xfId="0" applyFont="1" applyFill="1" applyBorder="1" applyAlignment="1">
      <alignment horizontal="center"/>
    </xf>
    <xf numFmtId="179" fontId="15" fillId="3" borderId="20" xfId="0" applyNumberFormat="1" applyFont="1" applyFill="1" applyBorder="1" applyAlignment="1">
      <alignment horizontal="right"/>
    </xf>
    <xf numFmtId="179" fontId="15" fillId="3" borderId="22" xfId="0" applyNumberFormat="1" applyFont="1" applyFill="1" applyBorder="1" applyAlignment="1">
      <alignment horizontal="right"/>
    </xf>
    <xf numFmtId="0" fontId="9" fillId="0" borderId="25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/>
    </xf>
    <xf numFmtId="0" fontId="9" fillId="0" borderId="28" xfId="0" applyFont="1" applyBorder="1" applyAlignment="1">
      <alignment horizontal="left" vertical="top"/>
    </xf>
    <xf numFmtId="0" fontId="9" fillId="0" borderId="25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9" fillId="0" borderId="30" xfId="0" applyFont="1" applyBorder="1" applyAlignment="1">
      <alignment horizontal="left" vertical="top"/>
    </xf>
    <xf numFmtId="0" fontId="9" fillId="0" borderId="31" xfId="0" applyFont="1" applyBorder="1" applyAlignment="1">
      <alignment horizontal="left" vertical="top"/>
    </xf>
    <xf numFmtId="179" fontId="14" fillId="3" borderId="33" xfId="0" applyNumberFormat="1" applyFont="1" applyFill="1" applyBorder="1" applyAlignment="1">
      <alignment horizontal="center"/>
    </xf>
    <xf numFmtId="179" fontId="14" fillId="3" borderId="8" xfId="0" applyNumberFormat="1" applyFont="1" applyFill="1" applyBorder="1" applyAlignment="1">
      <alignment horizontal="center"/>
    </xf>
    <xf numFmtId="179" fontId="14" fillId="3" borderId="26" xfId="0" applyNumberFormat="1" applyFont="1" applyFill="1" applyBorder="1" applyAlignment="1">
      <alignment horizontal="center"/>
    </xf>
    <xf numFmtId="179" fontId="15" fillId="6" borderId="47" xfId="0" applyNumberFormat="1" applyFont="1" applyFill="1" applyBorder="1" applyAlignment="1">
      <alignment horizontal="center"/>
    </xf>
    <xf numFmtId="179" fontId="15" fillId="6" borderId="34" xfId="0" applyNumberFormat="1" applyFont="1" applyFill="1" applyBorder="1" applyAlignment="1">
      <alignment horizontal="center"/>
    </xf>
    <xf numFmtId="179" fontId="15" fillId="6" borderId="8" xfId="0" applyNumberFormat="1" applyFont="1" applyFill="1" applyBorder="1" applyAlignment="1">
      <alignment horizontal="center"/>
    </xf>
    <xf numFmtId="179" fontId="15" fillId="6" borderId="39" xfId="0" applyNumberFormat="1" applyFont="1" applyFill="1" applyBorder="1" applyAlignment="1">
      <alignment horizontal="center"/>
    </xf>
    <xf numFmtId="0" fontId="23" fillId="0" borderId="29" xfId="0" applyFont="1" applyBorder="1" applyAlignment="1">
      <alignment horizontal="left" wrapText="1" indent="1"/>
    </xf>
    <xf numFmtId="0" fontId="23" fillId="0" borderId="30" xfId="0" applyFont="1" applyBorder="1" applyAlignment="1">
      <alignment horizontal="left" wrapText="1" indent="1"/>
    </xf>
    <xf numFmtId="0" fontId="23" fillId="0" borderId="31" xfId="0" applyFont="1" applyBorder="1" applyAlignment="1">
      <alignment horizontal="left" wrapText="1" indent="1"/>
    </xf>
    <xf numFmtId="0" fontId="23" fillId="0" borderId="25" xfId="0" applyFont="1" applyBorder="1" applyAlignment="1">
      <alignment horizontal="left" wrapText="1"/>
    </xf>
    <xf numFmtId="0" fontId="23" fillId="0" borderId="0" xfId="0" applyFont="1" applyBorder="1" applyAlignment="1">
      <alignment horizontal="left" wrapText="1"/>
    </xf>
    <xf numFmtId="0" fontId="23" fillId="0" borderId="28" xfId="0" applyFont="1" applyBorder="1" applyAlignment="1">
      <alignment horizontal="left" wrapText="1"/>
    </xf>
    <xf numFmtId="0" fontId="9" fillId="0" borderId="14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/>
    </xf>
    <xf numFmtId="0" fontId="9" fillId="0" borderId="16" xfId="0" applyFont="1" applyBorder="1" applyAlignment="1">
      <alignment horizontal="left" vertical="top"/>
    </xf>
    <xf numFmtId="0" fontId="10" fillId="2" borderId="22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179" fontId="15" fillId="3" borderId="29" xfId="0" applyNumberFormat="1" applyFont="1" applyFill="1" applyBorder="1" applyAlignment="1">
      <alignment horizontal="left"/>
    </xf>
    <xf numFmtId="179" fontId="15" fillId="3" borderId="30" xfId="0" applyNumberFormat="1" applyFont="1" applyFill="1" applyBorder="1" applyAlignment="1">
      <alignment horizontal="left"/>
    </xf>
    <xf numFmtId="179" fontId="15" fillId="5" borderId="2" xfId="0" applyNumberFormat="1" applyFont="1" applyFill="1" applyBorder="1" applyAlignment="1">
      <alignment horizontal="center"/>
    </xf>
    <xf numFmtId="179" fontId="15" fillId="5" borderId="8" xfId="0" applyNumberFormat="1" applyFont="1" applyFill="1" applyBorder="1" applyAlignment="1">
      <alignment horizontal="center"/>
    </xf>
    <xf numFmtId="179" fontId="15" fillId="5" borderId="17" xfId="0" applyNumberFormat="1" applyFont="1" applyFill="1" applyBorder="1" applyAlignment="1">
      <alignment horizontal="center"/>
    </xf>
    <xf numFmtId="179" fontId="15" fillId="5" borderId="11" xfId="0" applyNumberFormat="1" applyFont="1" applyFill="1" applyBorder="1" applyAlignment="1">
      <alignment horizontal="center"/>
    </xf>
    <xf numFmtId="179" fontId="15" fillId="5" borderId="52" xfId="0" applyNumberFormat="1" applyFont="1" applyFill="1" applyBorder="1" applyAlignment="1">
      <alignment horizontal="center"/>
    </xf>
    <xf numFmtId="179" fontId="15" fillId="5" borderId="0" xfId="0" applyNumberFormat="1" applyFont="1" applyFill="1" applyBorder="1" applyAlignment="1">
      <alignment horizontal="center"/>
    </xf>
    <xf numFmtId="179" fontId="15" fillId="5" borderId="50" xfId="0" applyNumberFormat="1" applyFont="1" applyFill="1" applyBorder="1" applyAlignment="1">
      <alignment horizontal="center"/>
    </xf>
    <xf numFmtId="179" fontId="15" fillId="5" borderId="20" xfId="0" applyNumberFormat="1" applyFont="1" applyFill="1" applyBorder="1" applyAlignment="1">
      <alignment horizontal="center"/>
    </xf>
    <xf numFmtId="179" fontId="15" fillId="5" borderId="22" xfId="0" applyNumberFormat="1" applyFont="1" applyFill="1" applyBorder="1" applyAlignment="1">
      <alignment horizontal="center"/>
    </xf>
    <xf numFmtId="179" fontId="15" fillId="5" borderId="23" xfId="0" applyNumberFormat="1" applyFont="1" applyFill="1" applyBorder="1" applyAlignment="1">
      <alignment horizontal="center"/>
    </xf>
    <xf numFmtId="179" fontId="15" fillId="5" borderId="47" xfId="0" applyNumberFormat="1" applyFont="1" applyFill="1" applyBorder="1" applyAlignment="1">
      <alignment horizontal="center"/>
    </xf>
    <xf numFmtId="179" fontId="15" fillId="5" borderId="34" xfId="0" applyNumberFormat="1" applyFont="1" applyFill="1" applyBorder="1" applyAlignment="1">
      <alignment horizontal="center"/>
    </xf>
    <xf numFmtId="179" fontId="15" fillId="5" borderId="39" xfId="0" applyNumberFormat="1" applyFont="1" applyFill="1" applyBorder="1" applyAlignment="1">
      <alignment horizontal="center"/>
    </xf>
    <xf numFmtId="0" fontId="2" fillId="0" borderId="17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5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28" xfId="0" applyFont="1" applyBorder="1" applyAlignment="1">
      <alignment horizontal="left"/>
    </xf>
    <xf numFmtId="0" fontId="2" fillId="0" borderId="29" xfId="0" applyFont="1" applyBorder="1" applyAlignment="1">
      <alignment horizontal="left"/>
    </xf>
    <xf numFmtId="0" fontId="2" fillId="0" borderId="30" xfId="0" applyFont="1" applyBorder="1" applyAlignment="1">
      <alignment horizontal="left"/>
    </xf>
    <xf numFmtId="0" fontId="2" fillId="0" borderId="31" xfId="0" applyFont="1" applyBorder="1" applyAlignment="1">
      <alignment horizontal="left"/>
    </xf>
    <xf numFmtId="0" fontId="5" fillId="3" borderId="13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</cellXfs>
  <cellStyles count="6">
    <cellStyle name="Comma" xfId="1" builtinId="3"/>
    <cellStyle name="Comma 7" xfId="5"/>
    <cellStyle name="Normal" xfId="0" builtinId="0"/>
    <cellStyle name="Normal 3" xfId="3"/>
    <cellStyle name="Normal 4" xfId="4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aste_000\Dropbox%20(Great%20Circle%20Solar)\Blackrock\05%20O&amp;M\01%20Demorestville\08_2014\Performance_Dem_Aug_2014_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inputs"/>
      <sheetName val="Contractual Availability"/>
      <sheetName val="Outages"/>
      <sheetName val="March Estimate"/>
      <sheetName val="Baseline generation"/>
    </sheetNames>
    <sheetDataSet>
      <sheetData sheetId="0"/>
      <sheetData sheetId="1">
        <row r="17">
          <cell r="G17">
            <v>90052.419354838712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R14"/>
  <sheetViews>
    <sheetView zoomScaleNormal="100" workbookViewId="0">
      <selection activeCell="C5" sqref="C5"/>
    </sheetView>
  </sheetViews>
  <sheetFormatPr defaultRowHeight="14.4" x14ac:dyDescent="0.25"/>
  <cols>
    <col min="1" max="1" width="8.88671875" customWidth="1"/>
    <col min="2" max="2" width="29.109375" style="22" bestFit="1" customWidth="1"/>
    <col min="3" max="3" width="14" style="22" customWidth="1"/>
    <col min="4" max="5" width="12.44140625" customWidth="1"/>
    <col min="6" max="6" width="19.109375" customWidth="1"/>
    <col min="7" max="7" width="17" customWidth="1"/>
    <col min="8" max="8" width="15.44140625" bestFit="1" customWidth="1"/>
    <col min="9" max="10" width="12.6640625" hidden="1" customWidth="1"/>
    <col min="11" max="11" width="12.44140625" hidden="1" customWidth="1"/>
    <col min="12" max="12" width="12" hidden="1" customWidth="1"/>
    <col min="13" max="13" width="11.33203125" hidden="1" customWidth="1"/>
    <col min="14" max="14" width="11.6640625" hidden="1" customWidth="1"/>
    <col min="15" max="15" width="12.44140625" style="22" hidden="1" customWidth="1"/>
    <col min="16" max="18" width="12.33203125" customWidth="1"/>
  </cols>
  <sheetData>
    <row r="1" spans="2:18" s="2" customFormat="1" ht="77.25" customHeight="1" thickBot="1" x14ac:dyDescent="0.3">
      <c r="B1" s="221" t="s">
        <v>55</v>
      </c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222"/>
      <c r="N1" s="222"/>
      <c r="O1" s="222"/>
      <c r="P1" s="222"/>
      <c r="Q1" s="222"/>
      <c r="R1" s="223"/>
    </row>
    <row r="2" spans="2:18" s="27" customFormat="1" ht="16.2" thickBot="1" x14ac:dyDescent="0.35">
      <c r="B2" s="224" t="s">
        <v>0</v>
      </c>
      <c r="C2" s="227" t="s">
        <v>49</v>
      </c>
      <c r="D2" s="230" t="s">
        <v>41</v>
      </c>
      <c r="E2" s="231"/>
      <c r="F2" s="232" t="s">
        <v>42</v>
      </c>
      <c r="G2" s="233"/>
      <c r="H2" s="234"/>
      <c r="I2" s="235" t="s">
        <v>30</v>
      </c>
      <c r="J2" s="236"/>
      <c r="K2" s="236"/>
      <c r="L2" s="236" t="s">
        <v>43</v>
      </c>
      <c r="M2" s="71" t="s">
        <v>14</v>
      </c>
      <c r="N2" s="71" t="s">
        <v>29</v>
      </c>
      <c r="O2" s="72" t="s">
        <v>30</v>
      </c>
      <c r="P2" s="232" t="s">
        <v>30</v>
      </c>
      <c r="Q2" s="233"/>
      <c r="R2" s="234"/>
    </row>
    <row r="3" spans="2:18" ht="15" thickBot="1" x14ac:dyDescent="0.3">
      <c r="B3" s="225"/>
      <c r="C3" s="228"/>
      <c r="D3" s="79" t="s">
        <v>22</v>
      </c>
      <c r="E3" s="77" t="s">
        <v>44</v>
      </c>
      <c r="F3" s="79" t="s">
        <v>22</v>
      </c>
      <c r="G3" s="78" t="s">
        <v>21</v>
      </c>
      <c r="H3" s="76" t="s">
        <v>44</v>
      </c>
      <c r="I3" s="73" t="s">
        <v>45</v>
      </c>
      <c r="J3" s="142" t="s">
        <v>9</v>
      </c>
      <c r="K3" s="142" t="s">
        <v>33</v>
      </c>
      <c r="L3" s="237"/>
      <c r="M3" s="74" t="s">
        <v>34</v>
      </c>
      <c r="N3" s="74" t="s">
        <v>34</v>
      </c>
      <c r="O3" s="75" t="s">
        <v>34</v>
      </c>
      <c r="P3" s="76" t="s">
        <v>45</v>
      </c>
      <c r="Q3" s="78" t="s">
        <v>9</v>
      </c>
      <c r="R3" s="76" t="s">
        <v>33</v>
      </c>
    </row>
    <row r="4" spans="2:18" x14ac:dyDescent="0.25">
      <c r="B4" s="226"/>
      <c r="C4" s="229"/>
      <c r="D4" s="109" t="s">
        <v>46</v>
      </c>
      <c r="E4" s="110" t="s">
        <v>46</v>
      </c>
      <c r="F4" s="109" t="s">
        <v>47</v>
      </c>
      <c r="G4" s="111" t="s">
        <v>47</v>
      </c>
      <c r="H4" s="109" t="s">
        <v>47</v>
      </c>
      <c r="I4" s="112" t="s">
        <v>48</v>
      </c>
      <c r="J4" s="143" t="s">
        <v>48</v>
      </c>
      <c r="K4" s="143" t="s">
        <v>48</v>
      </c>
      <c r="L4" s="238"/>
      <c r="M4" s="114" t="e">
        <f>#REF!/#REF!-1</f>
        <v>#REF!</v>
      </c>
      <c r="N4" s="114" t="e">
        <f>L4-#REF!</f>
        <v>#REF!</v>
      </c>
      <c r="O4" s="115" t="e">
        <f>(#REF!/#REF!)/(1+N4)-1</f>
        <v>#REF!</v>
      </c>
      <c r="P4" s="109" t="s">
        <v>48</v>
      </c>
      <c r="Q4" s="111" t="s">
        <v>48</v>
      </c>
      <c r="R4" s="109" t="s">
        <v>48</v>
      </c>
    </row>
    <row r="5" spans="2:18" ht="23.4" thickBot="1" x14ac:dyDescent="0.45">
      <c r="B5" s="161" t="s">
        <v>3</v>
      </c>
      <c r="C5" s="153">
        <v>41927</v>
      </c>
      <c r="D5" s="154">
        <v>93.5</v>
      </c>
      <c r="E5" s="154" t="e">
        <f>#REF!</f>
        <v>#REF!</v>
      </c>
      <c r="F5" s="155">
        <v>1023164</v>
      </c>
      <c r="G5" s="155" t="e">
        <f t="shared" ref="G5:G9" si="0">H5/E5*D5</f>
        <v>#REF!</v>
      </c>
      <c r="H5" s="155">
        <v>1165304.25</v>
      </c>
      <c r="I5" s="85"/>
      <c r="J5" s="85"/>
      <c r="K5" s="85"/>
      <c r="L5" s="85"/>
      <c r="M5" s="86"/>
      <c r="N5" s="86"/>
      <c r="O5" s="116"/>
      <c r="P5" s="85" t="e">
        <f t="shared" ref="P5:P9" si="1">F5/G5</f>
        <v>#REF!</v>
      </c>
      <c r="Q5" s="85">
        <f t="shared" ref="Q5:Q9" si="2">F5/H5</f>
        <v>0.87802305706857242</v>
      </c>
      <c r="R5" s="162" t="e">
        <f t="shared" ref="R5:R9" si="3">D5/E5</f>
        <v>#REF!</v>
      </c>
    </row>
    <row r="6" spans="2:18" ht="22.8" hidden="1" x14ac:dyDescent="0.4">
      <c r="B6" s="161"/>
      <c r="C6" s="248"/>
      <c r="D6" s="249"/>
      <c r="E6" s="250"/>
      <c r="F6" s="156">
        <v>12839562.1778</v>
      </c>
      <c r="G6" s="156">
        <v>13443302.384447593</v>
      </c>
      <c r="H6" s="156">
        <v>13918493.25</v>
      </c>
      <c r="I6" s="85"/>
      <c r="J6" s="85"/>
      <c r="K6" s="85"/>
      <c r="L6" s="85"/>
      <c r="M6" s="86"/>
      <c r="N6" s="86"/>
      <c r="O6" s="116"/>
      <c r="P6" s="85">
        <f>F6/G6</f>
        <v>0.95508988867601063</v>
      </c>
      <c r="Q6" s="85">
        <f>F6/H6</f>
        <v>0.92248219309227308</v>
      </c>
      <c r="R6" s="162">
        <f>G6/H6</f>
        <v>0.96585902963653003</v>
      </c>
    </row>
    <row r="7" spans="2:18" ht="23.4" thickBot="1" x14ac:dyDescent="0.45">
      <c r="B7" s="239" t="s">
        <v>56</v>
      </c>
      <c r="C7" s="240"/>
      <c r="D7" s="240"/>
      <c r="E7" s="240"/>
      <c r="F7" s="165">
        <f t="shared" ref="F7:O7" si="4">SUM(F5:F6)</f>
        <v>13862726.1778</v>
      </c>
      <c r="G7" s="165" t="e">
        <f t="shared" si="4"/>
        <v>#REF!</v>
      </c>
      <c r="H7" s="166">
        <f t="shared" si="4"/>
        <v>15083797.5</v>
      </c>
      <c r="I7" s="164">
        <f t="shared" si="4"/>
        <v>0</v>
      </c>
      <c r="J7" s="158">
        <f t="shared" si="4"/>
        <v>0</v>
      </c>
      <c r="K7" s="158">
        <f t="shared" si="4"/>
        <v>0</v>
      </c>
      <c r="L7" s="158">
        <f t="shared" si="4"/>
        <v>0</v>
      </c>
      <c r="M7" s="158">
        <f t="shared" si="4"/>
        <v>0</v>
      </c>
      <c r="N7" s="158">
        <f t="shared" si="4"/>
        <v>0</v>
      </c>
      <c r="O7" s="167">
        <f t="shared" si="4"/>
        <v>0</v>
      </c>
      <c r="P7" s="168" t="e">
        <f>F7/G7</f>
        <v>#REF!</v>
      </c>
      <c r="Q7" s="170">
        <f>F7/H7</f>
        <v>0.91904748640387146</v>
      </c>
      <c r="R7" s="169" t="e">
        <f>G7/H7</f>
        <v>#REF!</v>
      </c>
    </row>
    <row r="8" spans="2:18" ht="9" customHeight="1" x14ac:dyDescent="0.4">
      <c r="B8" s="251"/>
      <c r="C8" s="252"/>
      <c r="D8" s="252"/>
      <c r="E8" s="252"/>
      <c r="F8" s="252"/>
      <c r="G8" s="252"/>
      <c r="H8" s="252"/>
      <c r="I8" s="253"/>
      <c r="J8" s="253"/>
      <c r="K8" s="253"/>
      <c r="L8" s="253"/>
      <c r="M8" s="253"/>
      <c r="N8" s="253"/>
      <c r="O8" s="253"/>
      <c r="P8" s="252"/>
      <c r="Q8" s="252"/>
      <c r="R8" s="254"/>
    </row>
    <row r="9" spans="2:18" ht="23.4" thickBot="1" x14ac:dyDescent="0.45">
      <c r="B9" s="161" t="s">
        <v>4</v>
      </c>
      <c r="C9" s="153">
        <v>41928</v>
      </c>
      <c r="D9" s="154">
        <v>87</v>
      </c>
      <c r="E9" s="154" t="e">
        <f>#REF!</f>
        <v>#REF!</v>
      </c>
      <c r="F9" s="155">
        <v>988179</v>
      </c>
      <c r="G9" s="155" t="e">
        <f t="shared" si="0"/>
        <v>#REF!</v>
      </c>
      <c r="H9" s="155">
        <v>1150480</v>
      </c>
      <c r="I9" s="85"/>
      <c r="J9" s="85"/>
      <c r="K9" s="85"/>
      <c r="L9" s="85"/>
      <c r="M9" s="86"/>
      <c r="N9" s="86"/>
      <c r="O9" s="116"/>
      <c r="P9" s="85" t="e">
        <f t="shared" si="1"/>
        <v>#REF!</v>
      </c>
      <c r="Q9" s="85">
        <f t="shared" si="2"/>
        <v>0.85892757805437725</v>
      </c>
      <c r="R9" s="162" t="e">
        <f t="shared" si="3"/>
        <v>#REF!</v>
      </c>
    </row>
    <row r="10" spans="2:18" ht="22.8" hidden="1" x14ac:dyDescent="0.4">
      <c r="B10" s="144"/>
      <c r="C10" s="145"/>
      <c r="D10" s="146"/>
      <c r="E10" s="147"/>
      <c r="F10" s="156">
        <v>12797945.741589166</v>
      </c>
      <c r="G10" s="157">
        <v>13022451.086719122</v>
      </c>
      <c r="H10" s="152">
        <v>13522080</v>
      </c>
      <c r="I10" s="148"/>
      <c r="J10" s="148"/>
      <c r="K10" s="148"/>
      <c r="L10" s="148"/>
      <c r="M10" s="149"/>
      <c r="N10" s="149"/>
      <c r="O10" s="150"/>
      <c r="P10" s="151">
        <f>F10/G10</f>
        <v>0.98276013143494034</v>
      </c>
      <c r="Q10" s="159">
        <f>F10/H10</f>
        <v>0.94644801255348043</v>
      </c>
      <c r="R10" s="160">
        <f>G10/H10</f>
        <v>0.96305088320133603</v>
      </c>
    </row>
    <row r="11" spans="2:18" ht="23.4" thickBot="1" x14ac:dyDescent="0.45">
      <c r="B11" s="239" t="s">
        <v>56</v>
      </c>
      <c r="C11" s="240"/>
      <c r="D11" s="240"/>
      <c r="E11" s="240"/>
      <c r="F11" s="165">
        <f>SUM(F9:F10)</f>
        <v>13786124.741589166</v>
      </c>
      <c r="G11" s="165" t="e">
        <f t="shared" ref="G11:H11" si="5">SUM(G9:G10)</f>
        <v>#REF!</v>
      </c>
      <c r="H11" s="166">
        <f t="shared" si="5"/>
        <v>14672560</v>
      </c>
      <c r="I11" s="87"/>
      <c r="J11" s="88"/>
      <c r="K11" s="88"/>
      <c r="L11" s="88"/>
      <c r="M11" s="163"/>
      <c r="N11" s="163"/>
      <c r="O11" s="171"/>
      <c r="P11" s="168" t="e">
        <f>F11/G11</f>
        <v>#REF!</v>
      </c>
      <c r="Q11" s="170">
        <f>F11/H11</f>
        <v>0.93958550802240137</v>
      </c>
      <c r="R11" s="169" t="e">
        <f>G11/H11</f>
        <v>#REF!</v>
      </c>
    </row>
    <row r="12" spans="2:18" x14ac:dyDescent="0.25">
      <c r="B12" s="241" t="s">
        <v>57</v>
      </c>
      <c r="C12" s="242"/>
      <c r="D12" s="242"/>
      <c r="E12" s="242"/>
      <c r="F12" s="242"/>
      <c r="G12" s="242"/>
      <c r="H12" s="242"/>
      <c r="I12" s="242"/>
      <c r="J12" s="242"/>
      <c r="K12" s="242"/>
      <c r="L12" s="242"/>
      <c r="M12" s="242"/>
      <c r="N12" s="242"/>
      <c r="O12" s="242"/>
      <c r="P12" s="242"/>
      <c r="Q12" s="242"/>
      <c r="R12" s="243"/>
    </row>
    <row r="13" spans="2:18" x14ac:dyDescent="0.25">
      <c r="B13" s="244"/>
      <c r="C13" s="242"/>
      <c r="D13" s="242"/>
      <c r="E13" s="242"/>
      <c r="F13" s="242"/>
      <c r="G13" s="242"/>
      <c r="H13" s="242"/>
      <c r="I13" s="242"/>
      <c r="J13" s="242"/>
      <c r="K13" s="242"/>
      <c r="L13" s="242"/>
      <c r="M13" s="242"/>
      <c r="N13" s="242"/>
      <c r="O13" s="242"/>
      <c r="P13" s="242"/>
      <c r="Q13" s="242"/>
      <c r="R13" s="243"/>
    </row>
    <row r="14" spans="2:18" ht="8.25" customHeight="1" thickBot="1" x14ac:dyDescent="0.3">
      <c r="B14" s="245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6"/>
      <c r="O14" s="246"/>
      <c r="P14" s="246"/>
      <c r="Q14" s="246"/>
      <c r="R14" s="247"/>
    </row>
  </sheetData>
  <mergeCells count="13">
    <mergeCell ref="B11:E11"/>
    <mergeCell ref="B12:R14"/>
    <mergeCell ref="C6:E6"/>
    <mergeCell ref="B7:E7"/>
    <mergeCell ref="B8:R8"/>
    <mergeCell ref="B1:R1"/>
    <mergeCell ref="B2:B4"/>
    <mergeCell ref="C2:C4"/>
    <mergeCell ref="D2:E2"/>
    <mergeCell ref="F2:H2"/>
    <mergeCell ref="I2:K2"/>
    <mergeCell ref="L2:L4"/>
    <mergeCell ref="P2:R2"/>
  </mergeCells>
  <phoneticPr fontId="26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K20"/>
  <sheetViews>
    <sheetView showGridLines="0" tabSelected="1" zoomScale="85" zoomScaleNormal="85" workbookViewId="0">
      <selection activeCell="D22" sqref="D22"/>
    </sheetView>
  </sheetViews>
  <sheetFormatPr defaultRowHeight="14.4" x14ac:dyDescent="0.25"/>
  <cols>
    <col min="1" max="1" width="8.88671875" customWidth="1"/>
    <col min="2" max="2" width="29.109375" style="22" bestFit="1" customWidth="1"/>
    <col min="3" max="3" width="15.33203125" style="22" bestFit="1" customWidth="1"/>
    <col min="4" max="4" width="14.33203125" customWidth="1"/>
    <col min="5" max="5" width="13.33203125" customWidth="1"/>
    <col min="6" max="8" width="18.109375" customWidth="1"/>
    <col min="9" max="9" width="15.44140625" style="220" customWidth="1"/>
    <col min="10" max="11" width="15.44140625" customWidth="1"/>
  </cols>
  <sheetData>
    <row r="1" spans="1:11" s="2" customFormat="1" ht="77.25" customHeight="1" thickBot="1" x14ac:dyDescent="0.3">
      <c r="B1" s="221" t="s">
        <v>59</v>
      </c>
      <c r="C1" s="222"/>
      <c r="D1" s="222"/>
      <c r="E1" s="222"/>
      <c r="F1" s="222"/>
      <c r="G1" s="222"/>
      <c r="H1" s="222"/>
      <c r="I1" s="222"/>
      <c r="J1" s="222"/>
      <c r="K1" s="223"/>
    </row>
    <row r="2" spans="1:11" s="27" customFormat="1" ht="16.2" thickBot="1" x14ac:dyDescent="0.35">
      <c r="B2" s="224" t="s">
        <v>0</v>
      </c>
      <c r="C2" s="227" t="s">
        <v>49</v>
      </c>
      <c r="D2" s="230" t="s">
        <v>41</v>
      </c>
      <c r="E2" s="231"/>
      <c r="F2" s="232" t="s">
        <v>42</v>
      </c>
      <c r="G2" s="233"/>
      <c r="H2" s="234"/>
      <c r="I2" s="264" t="s">
        <v>30</v>
      </c>
      <c r="J2" s="264"/>
      <c r="K2" s="265"/>
    </row>
    <row r="3" spans="1:11" ht="15" thickBot="1" x14ac:dyDescent="0.3">
      <c r="B3" s="225"/>
      <c r="C3" s="228"/>
      <c r="D3" s="79" t="s">
        <v>22</v>
      </c>
      <c r="E3" s="218" t="s">
        <v>44</v>
      </c>
      <c r="F3" s="79" t="s">
        <v>31</v>
      </c>
      <c r="G3" s="217" t="s">
        <v>21</v>
      </c>
      <c r="H3" s="79" t="s">
        <v>20</v>
      </c>
      <c r="I3" s="217" t="s">
        <v>22</v>
      </c>
      <c r="J3" s="79" t="s">
        <v>22</v>
      </c>
      <c r="K3" s="76" t="s">
        <v>62</v>
      </c>
    </row>
    <row r="4" spans="1:11" ht="15" thickBot="1" x14ac:dyDescent="0.3">
      <c r="B4" s="226"/>
      <c r="C4" s="229"/>
      <c r="D4" s="109" t="s">
        <v>46</v>
      </c>
      <c r="E4" s="110" t="s">
        <v>46</v>
      </c>
      <c r="F4" s="109" t="s">
        <v>47</v>
      </c>
      <c r="G4" s="111" t="s">
        <v>47</v>
      </c>
      <c r="H4" s="109" t="s">
        <v>47</v>
      </c>
      <c r="I4" s="111" t="s">
        <v>20</v>
      </c>
      <c r="J4" s="109" t="s">
        <v>21</v>
      </c>
      <c r="K4" s="109" t="s">
        <v>63</v>
      </c>
    </row>
    <row r="5" spans="1:11" ht="22.8" x14ac:dyDescent="0.4">
      <c r="A5">
        <v>1</v>
      </c>
      <c r="B5" s="120" t="s">
        <v>65</v>
      </c>
      <c r="C5" s="192">
        <v>42767</v>
      </c>
      <c r="D5" s="196">
        <v>105.59</v>
      </c>
      <c r="E5" s="197">
        <v>90</v>
      </c>
      <c r="F5" s="205">
        <v>75000</v>
      </c>
      <c r="G5" s="175">
        <f>D5/E5*H5</f>
        <v>104420.29744444444</v>
      </c>
      <c r="H5" s="206">
        <v>89003</v>
      </c>
      <c r="I5" s="176">
        <f>F5/H5</f>
        <v>0.84266822466658431</v>
      </c>
      <c r="J5" s="176">
        <f>F5/G5</f>
        <v>0.71825116223120167</v>
      </c>
      <c r="K5" s="177">
        <f>G5/H5</f>
        <v>1.1732222222222222</v>
      </c>
    </row>
    <row r="6" spans="1:11" ht="22.8" x14ac:dyDescent="0.4">
      <c r="A6">
        <v>2</v>
      </c>
      <c r="B6" s="80" t="s">
        <v>64</v>
      </c>
      <c r="C6" s="178">
        <v>42767</v>
      </c>
      <c r="D6" s="198">
        <v>94.53</v>
      </c>
      <c r="E6" s="199">
        <v>85</v>
      </c>
      <c r="F6" s="207">
        <v>83000</v>
      </c>
      <c r="G6" s="172">
        <f t="shared" ref="G6" si="0">D6/E6*H6</f>
        <v>99004.049294117634</v>
      </c>
      <c r="H6" s="208">
        <v>89023</v>
      </c>
      <c r="I6" s="173">
        <f>F6/H6</f>
        <v>0.93234332700538058</v>
      </c>
      <c r="J6" s="173">
        <f>F6/G6</f>
        <v>0.83834954824349273</v>
      </c>
      <c r="K6" s="174">
        <f>G6/H6</f>
        <v>1.1121176470588234</v>
      </c>
    </row>
    <row r="7" spans="1:11" ht="22.8" x14ac:dyDescent="0.4">
      <c r="A7">
        <v>3</v>
      </c>
      <c r="B7" s="80"/>
      <c r="C7" s="178"/>
      <c r="D7" s="198"/>
      <c r="E7" s="199"/>
      <c r="F7" s="207"/>
      <c r="G7" s="172"/>
      <c r="H7" s="208"/>
      <c r="I7" s="173"/>
      <c r="J7" s="173"/>
      <c r="K7" s="174"/>
    </row>
    <row r="8" spans="1:11" ht="22.8" x14ac:dyDescent="0.4">
      <c r="A8">
        <v>4</v>
      </c>
      <c r="B8" s="80"/>
      <c r="C8" s="178"/>
      <c r="D8" s="198"/>
      <c r="E8" s="199"/>
      <c r="F8" s="207"/>
      <c r="G8" s="172"/>
      <c r="H8" s="208"/>
      <c r="I8" s="173"/>
      <c r="J8" s="173"/>
      <c r="K8" s="174"/>
    </row>
    <row r="9" spans="1:11" ht="22.8" x14ac:dyDescent="0.4">
      <c r="A9">
        <v>5</v>
      </c>
      <c r="B9" s="80"/>
      <c r="C9" s="178"/>
      <c r="D9" s="198"/>
      <c r="E9" s="199"/>
      <c r="F9" s="207"/>
      <c r="G9" s="172"/>
      <c r="H9" s="208"/>
      <c r="I9" s="173"/>
      <c r="J9" s="173"/>
      <c r="K9" s="174"/>
    </row>
    <row r="10" spans="1:11" ht="22.8" x14ac:dyDescent="0.4">
      <c r="A10">
        <v>6</v>
      </c>
      <c r="B10" s="80"/>
      <c r="C10" s="178"/>
      <c r="D10" s="198"/>
      <c r="E10" s="199"/>
      <c r="F10" s="207"/>
      <c r="G10" s="172"/>
      <c r="H10" s="208"/>
      <c r="I10" s="173"/>
      <c r="J10" s="173"/>
      <c r="K10" s="174"/>
    </row>
    <row r="11" spans="1:11" ht="22.8" x14ac:dyDescent="0.4">
      <c r="A11">
        <v>7</v>
      </c>
      <c r="B11" s="80"/>
      <c r="C11" s="178"/>
      <c r="D11" s="198"/>
      <c r="E11" s="199"/>
      <c r="F11" s="207"/>
      <c r="G11" s="172"/>
      <c r="H11" s="208"/>
      <c r="I11" s="173"/>
      <c r="J11" s="173"/>
      <c r="K11" s="174"/>
    </row>
    <row r="12" spans="1:11" ht="22.8" x14ac:dyDescent="0.4">
      <c r="A12">
        <v>8</v>
      </c>
      <c r="B12" s="189"/>
      <c r="C12" s="193"/>
      <c r="D12" s="200"/>
      <c r="E12" s="201"/>
      <c r="F12" s="209"/>
      <c r="G12" s="180"/>
      <c r="H12" s="210"/>
      <c r="I12" s="181"/>
      <c r="J12" s="181"/>
      <c r="K12" s="182"/>
    </row>
    <row r="13" spans="1:11" ht="22.8" x14ac:dyDescent="0.4">
      <c r="A13">
        <v>9</v>
      </c>
      <c r="B13" s="189"/>
      <c r="C13" s="193"/>
      <c r="D13" s="200"/>
      <c r="E13" s="201"/>
      <c r="F13" s="209"/>
      <c r="G13" s="180"/>
      <c r="H13" s="210"/>
      <c r="I13" s="181"/>
      <c r="J13" s="181"/>
      <c r="K13" s="182"/>
    </row>
    <row r="14" spans="1:11" ht="22.8" x14ac:dyDescent="0.4">
      <c r="A14">
        <v>10</v>
      </c>
      <c r="B14" s="190"/>
      <c r="C14" s="194"/>
      <c r="D14" s="200"/>
      <c r="E14" s="202"/>
      <c r="F14" s="209"/>
      <c r="G14" s="180"/>
      <c r="H14" s="211"/>
      <c r="I14" s="181"/>
      <c r="J14" s="181"/>
      <c r="K14" s="182"/>
    </row>
    <row r="15" spans="1:11" ht="23.4" thickBot="1" x14ac:dyDescent="0.45">
      <c r="A15">
        <v>11</v>
      </c>
      <c r="B15" s="191"/>
      <c r="C15" s="195"/>
      <c r="D15" s="203"/>
      <c r="E15" s="204"/>
      <c r="F15" s="212"/>
      <c r="G15" s="186"/>
      <c r="H15" s="213"/>
      <c r="I15" s="187"/>
      <c r="J15" s="187"/>
      <c r="K15" s="188"/>
    </row>
    <row r="16" spans="1:11" ht="23.4" thickBot="1" x14ac:dyDescent="0.45">
      <c r="B16" s="219" t="s">
        <v>60</v>
      </c>
      <c r="C16" s="214"/>
      <c r="D16" s="215">
        <f>SUM(D5:D15)</f>
        <v>200.12</v>
      </c>
      <c r="E16" s="216">
        <f>SUM(E5:E15)</f>
        <v>175</v>
      </c>
      <c r="F16" s="215">
        <f>SUM(F5:F15)</f>
        <v>158000</v>
      </c>
      <c r="G16" s="183">
        <f>SUM(G5:G15)</f>
        <v>203424.34673856208</v>
      </c>
      <c r="H16" s="216">
        <f>SUM(H5:H15)</f>
        <v>178026</v>
      </c>
      <c r="I16" s="184">
        <f>F16/H16</f>
        <v>0.88751081302731061</v>
      </c>
      <c r="J16" s="184">
        <f t="shared" ref="J16" si="1">F16/G16</f>
        <v>0.7767015233582597</v>
      </c>
      <c r="K16" s="185">
        <f>G16/H16</f>
        <v>1.1426665023005744</v>
      </c>
    </row>
    <row r="17" spans="2:11" x14ac:dyDescent="0.25">
      <c r="B17" s="261" t="s">
        <v>58</v>
      </c>
      <c r="C17" s="262"/>
      <c r="D17" s="262"/>
      <c r="E17" s="262"/>
      <c r="F17" s="262"/>
      <c r="G17" s="262"/>
      <c r="H17" s="262"/>
      <c r="I17" s="262"/>
      <c r="J17" s="262"/>
      <c r="K17" s="263"/>
    </row>
    <row r="18" spans="2:11" x14ac:dyDescent="0.25">
      <c r="B18" s="258" t="s">
        <v>61</v>
      </c>
      <c r="C18" s="259"/>
      <c r="D18" s="259"/>
      <c r="E18" s="259"/>
      <c r="F18" s="259"/>
      <c r="G18" s="259"/>
      <c r="H18" s="259"/>
      <c r="I18" s="259"/>
      <c r="J18" s="259"/>
      <c r="K18" s="260"/>
    </row>
    <row r="19" spans="2:11" ht="15" thickBot="1" x14ac:dyDescent="0.3">
      <c r="B19" s="255"/>
      <c r="C19" s="256"/>
      <c r="D19" s="256"/>
      <c r="E19" s="256"/>
      <c r="F19" s="256"/>
      <c r="G19" s="256"/>
      <c r="H19" s="256"/>
      <c r="I19" s="256"/>
      <c r="J19" s="256"/>
      <c r="K19" s="257"/>
    </row>
    <row r="20" spans="2:11" x14ac:dyDescent="0.25">
      <c r="B20" s="179"/>
      <c r="C20" s="179"/>
      <c r="D20" s="179"/>
      <c r="E20" s="179"/>
      <c r="F20" s="179"/>
      <c r="G20" s="179"/>
      <c r="H20" s="179"/>
      <c r="I20" s="179"/>
      <c r="J20" s="179"/>
      <c r="K20" s="179"/>
    </row>
  </sheetData>
  <mergeCells count="9">
    <mergeCell ref="B19:K19"/>
    <mergeCell ref="B18:K18"/>
    <mergeCell ref="B1:K1"/>
    <mergeCell ref="C2:C4"/>
    <mergeCell ref="B2:B4"/>
    <mergeCell ref="B17:K17"/>
    <mergeCell ref="D2:E2"/>
    <mergeCell ref="F2:H2"/>
    <mergeCell ref="I2:K2"/>
  </mergeCells>
  <phoneticPr fontId="26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scale="83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R44"/>
  <sheetViews>
    <sheetView zoomScaleNormal="100" workbookViewId="0">
      <selection activeCell="B1" sqref="B1:R1"/>
    </sheetView>
  </sheetViews>
  <sheetFormatPr defaultRowHeight="14.4" x14ac:dyDescent="0.25"/>
  <cols>
    <col min="1" max="1" width="8.88671875" customWidth="1"/>
    <col min="2" max="2" width="29.109375" style="22" bestFit="1" customWidth="1"/>
    <col min="3" max="3" width="14" style="22" customWidth="1"/>
    <col min="4" max="5" width="12.44140625" customWidth="1"/>
    <col min="6" max="7" width="14.33203125" customWidth="1"/>
    <col min="8" max="8" width="13.88671875" bestFit="1" customWidth="1"/>
    <col min="9" max="10" width="12.6640625" hidden="1" customWidth="1"/>
    <col min="11" max="11" width="12.44140625" hidden="1" customWidth="1"/>
    <col min="12" max="12" width="12" hidden="1" customWidth="1"/>
    <col min="13" max="13" width="11.33203125" hidden="1" customWidth="1"/>
    <col min="14" max="14" width="11.6640625" hidden="1" customWidth="1"/>
    <col min="15" max="15" width="12.44140625" style="22" hidden="1" customWidth="1"/>
    <col min="16" max="17" width="10.6640625" bestFit="1" customWidth="1"/>
    <col min="18" max="18" width="9.33203125" customWidth="1"/>
  </cols>
  <sheetData>
    <row r="1" spans="2:18" s="2" customFormat="1" ht="77.25" customHeight="1" thickBot="1" x14ac:dyDescent="0.3">
      <c r="B1" s="221" t="s">
        <v>51</v>
      </c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222"/>
      <c r="N1" s="222"/>
      <c r="O1" s="222"/>
      <c r="P1" s="222"/>
      <c r="Q1" s="222"/>
      <c r="R1" s="223"/>
    </row>
    <row r="2" spans="2:18" s="27" customFormat="1" ht="16.2" thickBot="1" x14ac:dyDescent="0.35">
      <c r="B2" s="224" t="s">
        <v>0</v>
      </c>
      <c r="C2" s="227" t="s">
        <v>49</v>
      </c>
      <c r="D2" s="230" t="s">
        <v>41</v>
      </c>
      <c r="E2" s="231"/>
      <c r="F2" s="232" t="s">
        <v>42</v>
      </c>
      <c r="G2" s="233"/>
      <c r="H2" s="234"/>
      <c r="I2" s="235" t="s">
        <v>30</v>
      </c>
      <c r="J2" s="236"/>
      <c r="K2" s="236"/>
      <c r="L2" s="236" t="s">
        <v>43</v>
      </c>
      <c r="M2" s="71" t="s">
        <v>14</v>
      </c>
      <c r="N2" s="71" t="s">
        <v>29</v>
      </c>
      <c r="O2" s="72" t="s">
        <v>30</v>
      </c>
      <c r="P2" s="232" t="s">
        <v>30</v>
      </c>
      <c r="Q2" s="233"/>
      <c r="R2" s="234"/>
    </row>
    <row r="3" spans="2:18" ht="15" thickBot="1" x14ac:dyDescent="0.3">
      <c r="B3" s="225"/>
      <c r="C3" s="228"/>
      <c r="D3" s="79" t="s">
        <v>22</v>
      </c>
      <c r="E3" s="77" t="s">
        <v>44</v>
      </c>
      <c r="F3" s="79" t="s">
        <v>22</v>
      </c>
      <c r="G3" s="78" t="s">
        <v>21</v>
      </c>
      <c r="H3" s="76" t="s">
        <v>44</v>
      </c>
      <c r="I3" s="73" t="s">
        <v>45</v>
      </c>
      <c r="J3" s="89" t="s">
        <v>9</v>
      </c>
      <c r="K3" s="89" t="s">
        <v>33</v>
      </c>
      <c r="L3" s="237"/>
      <c r="M3" s="74" t="s">
        <v>34</v>
      </c>
      <c r="N3" s="74" t="s">
        <v>34</v>
      </c>
      <c r="O3" s="75" t="s">
        <v>34</v>
      </c>
      <c r="P3" s="76" t="s">
        <v>45</v>
      </c>
      <c r="Q3" s="78" t="s">
        <v>9</v>
      </c>
      <c r="R3" s="76" t="s">
        <v>33</v>
      </c>
    </row>
    <row r="4" spans="2:18" ht="15" thickBot="1" x14ac:dyDescent="0.3">
      <c r="B4" s="226"/>
      <c r="C4" s="229"/>
      <c r="D4" s="109" t="s">
        <v>46</v>
      </c>
      <c r="E4" s="110" t="s">
        <v>46</v>
      </c>
      <c r="F4" s="109" t="s">
        <v>47</v>
      </c>
      <c r="G4" s="111" t="s">
        <v>47</v>
      </c>
      <c r="H4" s="109" t="s">
        <v>47</v>
      </c>
      <c r="I4" s="112" t="s">
        <v>48</v>
      </c>
      <c r="J4" s="113" t="s">
        <v>48</v>
      </c>
      <c r="K4" s="113" t="s">
        <v>48</v>
      </c>
      <c r="L4" s="238"/>
      <c r="M4" s="114" t="e">
        <f>#REF!/#REF!-1</f>
        <v>#REF!</v>
      </c>
      <c r="N4" s="114" t="e">
        <f>L4-#REF!</f>
        <v>#REF!</v>
      </c>
      <c r="O4" s="115" t="e">
        <f>(#REF!/#REF!)/(1+N4)-1</f>
        <v>#REF!</v>
      </c>
      <c r="P4" s="109" t="s">
        <v>48</v>
      </c>
      <c r="Q4" s="111" t="s">
        <v>48</v>
      </c>
      <c r="R4" s="109" t="s">
        <v>48</v>
      </c>
    </row>
    <row r="5" spans="2:18" ht="22.8" x14ac:dyDescent="0.4">
      <c r="B5" s="120" t="s">
        <v>1</v>
      </c>
      <c r="C5" s="121">
        <v>41834</v>
      </c>
      <c r="D5" s="124">
        <v>231</v>
      </c>
      <c r="E5" s="104">
        <v>156.5</v>
      </c>
      <c r="F5" s="100" t="e">
        <f>#REF!</f>
        <v>#REF!</v>
      </c>
      <c r="G5" s="105">
        <f t="shared" ref="G5:G6" si="0">H5/E5*D5</f>
        <v>3168438.9659261983</v>
      </c>
      <c r="H5" s="100">
        <v>2146583.1089500003</v>
      </c>
      <c r="I5" s="125"/>
      <c r="J5" s="117"/>
      <c r="K5" s="117"/>
      <c r="L5" s="117"/>
      <c r="M5" s="118"/>
      <c r="N5" s="118"/>
      <c r="O5" s="119"/>
      <c r="P5" s="126" t="e">
        <f t="shared" ref="P5:P6" si="1">F5/G5</f>
        <v>#REF!</v>
      </c>
      <c r="Q5" s="106" t="e">
        <f t="shared" ref="Q5:Q6" si="2">F5/H5</f>
        <v>#REF!</v>
      </c>
      <c r="R5" s="127">
        <f t="shared" ref="R5:R6" si="3">D5/E5</f>
        <v>1.476038338658147</v>
      </c>
    </row>
    <row r="6" spans="2:18" ht="22.8" x14ac:dyDescent="0.4">
      <c r="B6" s="80"/>
      <c r="C6" s="122">
        <v>41865</v>
      </c>
      <c r="D6" s="82">
        <v>205</v>
      </c>
      <c r="E6" s="95">
        <v>209.1</v>
      </c>
      <c r="F6" s="83" t="e">
        <f>#REF!</f>
        <v>#REF!</v>
      </c>
      <c r="G6" s="96">
        <f t="shared" si="0"/>
        <v>1715871.890147059</v>
      </c>
      <c r="H6" s="83">
        <v>1750189.3279500001</v>
      </c>
      <c r="I6" s="84"/>
      <c r="J6" s="85"/>
      <c r="K6" s="85"/>
      <c r="L6" s="85"/>
      <c r="M6" s="86"/>
      <c r="N6" s="86"/>
      <c r="O6" s="116"/>
      <c r="P6" s="97" t="e">
        <f t="shared" si="1"/>
        <v>#REF!</v>
      </c>
      <c r="Q6" s="99" t="e">
        <f t="shared" si="2"/>
        <v>#REF!</v>
      </c>
      <c r="R6" s="98">
        <f t="shared" si="3"/>
        <v>0.98039215686274517</v>
      </c>
    </row>
    <row r="7" spans="2:18" ht="23.4" thickBot="1" x14ac:dyDescent="0.45">
      <c r="B7" s="81"/>
      <c r="C7" s="123">
        <v>41896</v>
      </c>
      <c r="D7" s="90">
        <v>179</v>
      </c>
      <c r="E7" s="107">
        <v>156.5</v>
      </c>
      <c r="F7" s="91" t="e">
        <f>#REF!</f>
        <v>#REF!</v>
      </c>
      <c r="G7" s="108">
        <f>H7/E7*D7</f>
        <v>1541937.0978472843</v>
      </c>
      <c r="H7" s="91">
        <v>1348118.1889</v>
      </c>
      <c r="I7" s="92"/>
      <c r="J7" s="93"/>
      <c r="K7" s="93"/>
      <c r="L7" s="93"/>
      <c r="M7" s="94"/>
      <c r="N7" s="94"/>
      <c r="O7" s="128"/>
      <c r="P7" s="129" t="e">
        <f>F7/G7</f>
        <v>#REF!</v>
      </c>
      <c r="Q7" s="130" t="e">
        <f>F7/H7</f>
        <v>#REF!</v>
      </c>
      <c r="R7" s="131">
        <f>D7/E7</f>
        <v>1.1437699680511182</v>
      </c>
    </row>
    <row r="8" spans="2:18" ht="23.4" thickBot="1" x14ac:dyDescent="0.45">
      <c r="B8" s="266" t="s">
        <v>52</v>
      </c>
      <c r="C8" s="267"/>
      <c r="D8" s="132">
        <f>SUM(D5:D7)</f>
        <v>615</v>
      </c>
      <c r="E8" s="133">
        <f>SUM(E5:E7)</f>
        <v>522.1</v>
      </c>
      <c r="F8" s="134" t="e">
        <f>SUM(F5:F7)</f>
        <v>#REF!</v>
      </c>
      <c r="G8" s="101">
        <f>SUM(G5:G7)</f>
        <v>6426247.9539205413</v>
      </c>
      <c r="H8" s="134">
        <f>SUM(H5:H7)</f>
        <v>5244890.6258000005</v>
      </c>
      <c r="I8" s="135"/>
      <c r="J8" s="136"/>
      <c r="K8" s="136"/>
      <c r="L8" s="136"/>
      <c r="M8" s="137"/>
      <c r="N8" s="137"/>
      <c r="O8" s="138"/>
      <c r="P8" s="139" t="e">
        <f>F8/G8</f>
        <v>#REF!</v>
      </c>
      <c r="Q8" s="102" t="e">
        <f>F8/H8</f>
        <v>#REF!</v>
      </c>
      <c r="R8" s="103">
        <f>D8/E8</f>
        <v>1.1779352614441678</v>
      </c>
    </row>
    <row r="9" spans="2:18" ht="13.5" customHeight="1" thickBot="1" x14ac:dyDescent="0.45">
      <c r="B9" s="278"/>
      <c r="C9" s="279"/>
      <c r="D9" s="279"/>
      <c r="E9" s="279"/>
      <c r="F9" s="279"/>
      <c r="G9" s="279"/>
      <c r="H9" s="279"/>
      <c r="I9" s="279"/>
      <c r="J9" s="279"/>
      <c r="K9" s="279"/>
      <c r="L9" s="279"/>
      <c r="M9" s="279"/>
      <c r="N9" s="279"/>
      <c r="O9" s="279"/>
      <c r="P9" s="279"/>
      <c r="Q9" s="279"/>
      <c r="R9" s="280"/>
    </row>
    <row r="10" spans="2:18" ht="22.8" x14ac:dyDescent="0.4">
      <c r="B10" s="120" t="s">
        <v>2</v>
      </c>
      <c r="C10" s="121">
        <v>41834</v>
      </c>
      <c r="D10" s="124">
        <v>218.36</v>
      </c>
      <c r="E10" s="104">
        <v>245.5</v>
      </c>
      <c r="F10" s="100" t="e">
        <f>#REF!</f>
        <v>#REF!</v>
      </c>
      <c r="G10" s="105">
        <f t="shared" ref="G10:G12" si="4">H10/E10*D10</f>
        <v>1904635.2974576934</v>
      </c>
      <c r="H10" s="100">
        <v>2141362.7290981119</v>
      </c>
      <c r="I10" s="125"/>
      <c r="J10" s="117"/>
      <c r="K10" s="117"/>
      <c r="L10" s="117"/>
      <c r="M10" s="118"/>
      <c r="N10" s="118"/>
      <c r="O10" s="119"/>
      <c r="P10" s="126" t="e">
        <f t="shared" ref="P10" si="5">F10/G10</f>
        <v>#REF!</v>
      </c>
      <c r="Q10" s="106" t="e">
        <f t="shared" ref="Q10" si="6">F10/H10</f>
        <v>#REF!</v>
      </c>
      <c r="R10" s="127">
        <f t="shared" ref="R10" si="7">D10/E10</f>
        <v>0.889450101832994</v>
      </c>
    </row>
    <row r="11" spans="2:18" ht="22.8" x14ac:dyDescent="0.4">
      <c r="B11" s="80"/>
      <c r="C11" s="122">
        <v>41865</v>
      </c>
      <c r="D11" s="82">
        <v>200</v>
      </c>
      <c r="E11" s="95">
        <v>205.4</v>
      </c>
      <c r="F11" s="83" t="e">
        <f>#REF!</f>
        <v>#REF!</v>
      </c>
      <c r="G11" s="96">
        <f t="shared" ref="G11" si="8">H11/E11*D11</f>
        <v>2085066.9221987438</v>
      </c>
      <c r="H11" s="83">
        <v>2141363.72909811</v>
      </c>
      <c r="I11" s="84"/>
      <c r="J11" s="85"/>
      <c r="K11" s="85"/>
      <c r="L11" s="85"/>
      <c r="M11" s="86"/>
      <c r="N11" s="86"/>
      <c r="O11" s="116"/>
      <c r="P11" s="97" t="e">
        <f t="shared" ref="P11" si="9">F11/G11</f>
        <v>#REF!</v>
      </c>
      <c r="Q11" s="99" t="e">
        <f t="shared" ref="Q11" si="10">F11/H11</f>
        <v>#REF!</v>
      </c>
      <c r="R11" s="98">
        <f t="shared" ref="R11" si="11">D11/E11</f>
        <v>0.97370983446932813</v>
      </c>
    </row>
    <row r="12" spans="2:18" ht="23.4" thickBot="1" x14ac:dyDescent="0.45">
      <c r="B12" s="81"/>
      <c r="C12" s="123">
        <v>41896</v>
      </c>
      <c r="D12" s="90">
        <v>153.711162</v>
      </c>
      <c r="E12" s="107">
        <v>158.5</v>
      </c>
      <c r="F12" s="91" t="e">
        <f>#REF!</f>
        <v>#REF!</v>
      </c>
      <c r="G12" s="108">
        <f t="shared" si="4"/>
        <v>1421422.8226315668</v>
      </c>
      <c r="H12" s="91">
        <v>1465706.9431763408</v>
      </c>
      <c r="I12" s="92"/>
      <c r="J12" s="93"/>
      <c r="K12" s="93"/>
      <c r="L12" s="93"/>
      <c r="M12" s="94"/>
      <c r="N12" s="94"/>
      <c r="O12" s="128"/>
      <c r="P12" s="129" t="e">
        <f t="shared" ref="P12" si="12">F12/G12</f>
        <v>#REF!</v>
      </c>
      <c r="Q12" s="130" t="e">
        <f t="shared" ref="Q12" si="13">F12/H12</f>
        <v>#REF!</v>
      </c>
      <c r="R12" s="131">
        <f t="shared" ref="R12" si="14">D12/E12</f>
        <v>0.96978651104100944</v>
      </c>
    </row>
    <row r="13" spans="2:18" ht="23.4" thickBot="1" x14ac:dyDescent="0.45">
      <c r="B13" s="266" t="s">
        <v>52</v>
      </c>
      <c r="C13" s="267"/>
      <c r="D13" s="132">
        <f>SUM(D10:D12)</f>
        <v>572.07116199999996</v>
      </c>
      <c r="E13" s="133">
        <f>SUM(E10:E12)</f>
        <v>609.4</v>
      </c>
      <c r="F13" s="134" t="e">
        <f>SUM(F10:F12)</f>
        <v>#REF!</v>
      </c>
      <c r="G13" s="101">
        <f>SUM(G10:G12)</f>
        <v>5411125.0422880035</v>
      </c>
      <c r="H13" s="134">
        <f>SUM(H10:H12)</f>
        <v>5748433.4013725631</v>
      </c>
      <c r="I13" s="135"/>
      <c r="J13" s="136"/>
      <c r="K13" s="136"/>
      <c r="L13" s="136"/>
      <c r="M13" s="137"/>
      <c r="N13" s="137"/>
      <c r="O13" s="138"/>
      <c r="P13" s="139" t="e">
        <f>F13/G13</f>
        <v>#REF!</v>
      </c>
      <c r="Q13" s="102" t="e">
        <f>F13/H13</f>
        <v>#REF!</v>
      </c>
      <c r="R13" s="103">
        <f>D13/E13</f>
        <v>0.93874493272070891</v>
      </c>
    </row>
    <row r="14" spans="2:18" ht="13.5" customHeight="1" thickBot="1" x14ac:dyDescent="0.45">
      <c r="B14" s="268"/>
      <c r="C14" s="269"/>
      <c r="D14" s="269"/>
      <c r="E14" s="269"/>
      <c r="F14" s="269"/>
      <c r="G14" s="269"/>
      <c r="H14" s="269"/>
      <c r="I14" s="269"/>
      <c r="J14" s="269"/>
      <c r="K14" s="269"/>
      <c r="L14" s="269"/>
      <c r="M14" s="269"/>
      <c r="N14" s="269"/>
      <c r="O14" s="269"/>
      <c r="P14" s="269"/>
      <c r="Q14" s="269"/>
      <c r="R14" s="271"/>
    </row>
    <row r="15" spans="2:18" ht="22.8" x14ac:dyDescent="0.4">
      <c r="B15" s="120" t="s">
        <v>3</v>
      </c>
      <c r="C15" s="121">
        <v>41834</v>
      </c>
      <c r="D15" s="124">
        <v>180.7</v>
      </c>
      <c r="E15" s="104">
        <v>194.3</v>
      </c>
      <c r="F15" s="100" t="e">
        <f>#REF!</f>
        <v>#REF!</v>
      </c>
      <c r="G15" s="105">
        <f>H15/E15*D15</f>
        <v>1836736.2170612453</v>
      </c>
      <c r="H15" s="100">
        <v>1974974.25</v>
      </c>
      <c r="I15" s="125"/>
      <c r="J15" s="117"/>
      <c r="K15" s="117"/>
      <c r="L15" s="117"/>
      <c r="M15" s="118"/>
      <c r="N15" s="118"/>
      <c r="O15" s="119"/>
      <c r="P15" s="126" t="e">
        <f t="shared" ref="P15:P16" si="15">F15/G15</f>
        <v>#REF!</v>
      </c>
      <c r="Q15" s="106" t="e">
        <f>F15/H15</f>
        <v>#REF!</v>
      </c>
      <c r="R15" s="127">
        <f t="shared" ref="R15:R16" si="16">D15/E15</f>
        <v>0.93000514668039103</v>
      </c>
    </row>
    <row r="16" spans="2:18" ht="22.8" x14ac:dyDescent="0.4">
      <c r="B16" s="80"/>
      <c r="C16" s="122">
        <v>41865</v>
      </c>
      <c r="D16" s="82">
        <v>166.5</v>
      </c>
      <c r="E16" s="95">
        <v>171.8</v>
      </c>
      <c r="F16" s="83" t="e">
        <f>#REF!</f>
        <v>#REF!</v>
      </c>
      <c r="G16" s="96">
        <f t="shared" ref="G16:G21" si="17">H16/E16*D16</f>
        <v>1688757.9896682189</v>
      </c>
      <c r="H16" s="83">
        <v>1742514.25</v>
      </c>
      <c r="I16" s="84"/>
      <c r="J16" s="85"/>
      <c r="K16" s="85"/>
      <c r="L16" s="85"/>
      <c r="M16" s="86"/>
      <c r="N16" s="86"/>
      <c r="O16" s="116"/>
      <c r="P16" s="97" t="e">
        <f t="shared" si="15"/>
        <v>#REF!</v>
      </c>
      <c r="Q16" s="99" t="e">
        <f t="shared" ref="Q16:Q17" si="18">F16/H16</f>
        <v>#REF!</v>
      </c>
      <c r="R16" s="98">
        <f t="shared" si="16"/>
        <v>0.96915017462165298</v>
      </c>
    </row>
    <row r="17" spans="1:18" ht="23.4" thickBot="1" x14ac:dyDescent="0.45">
      <c r="B17" s="81"/>
      <c r="C17" s="123">
        <v>41896</v>
      </c>
      <c r="D17" s="90">
        <v>157</v>
      </c>
      <c r="E17" s="107">
        <v>145.5</v>
      </c>
      <c r="F17" s="91" t="e">
        <f>#REF!</f>
        <v>#REF!</v>
      </c>
      <c r="G17" s="108">
        <f t="shared" si="17"/>
        <v>1615588.5378006869</v>
      </c>
      <c r="H17" s="91">
        <v>1497249.2499999998</v>
      </c>
      <c r="I17" s="92"/>
      <c r="J17" s="93"/>
      <c r="K17" s="93"/>
      <c r="L17" s="93"/>
      <c r="M17" s="94"/>
      <c r="N17" s="94"/>
      <c r="O17" s="128"/>
      <c r="P17" s="129" t="e">
        <f t="shared" ref="P17" si="19">F17/G17</f>
        <v>#REF!</v>
      </c>
      <c r="Q17" s="130" t="e">
        <f t="shared" si="18"/>
        <v>#REF!</v>
      </c>
      <c r="R17" s="131">
        <f t="shared" ref="R17" si="20">D17/E17</f>
        <v>1.0790378006872852</v>
      </c>
    </row>
    <row r="18" spans="1:18" ht="23.4" thickBot="1" x14ac:dyDescent="0.45">
      <c r="B18" s="266" t="s">
        <v>52</v>
      </c>
      <c r="C18" s="267"/>
      <c r="D18" s="132">
        <f>SUM(D15:D17)</f>
        <v>504.2</v>
      </c>
      <c r="E18" s="133">
        <f>SUM(E15:E17)</f>
        <v>511.6</v>
      </c>
      <c r="F18" s="134" t="e">
        <f>SUM(F15:F17)</f>
        <v>#REF!</v>
      </c>
      <c r="G18" s="101">
        <f>SUM(G15:G17)</f>
        <v>5141082.7445301507</v>
      </c>
      <c r="H18" s="134">
        <f>SUM(H15:H17)</f>
        <v>5214737.75</v>
      </c>
      <c r="I18" s="135"/>
      <c r="J18" s="136"/>
      <c r="K18" s="136"/>
      <c r="L18" s="136"/>
      <c r="M18" s="137"/>
      <c r="N18" s="137"/>
      <c r="O18" s="138"/>
      <c r="P18" s="139" t="e">
        <f>F18/G18</f>
        <v>#REF!</v>
      </c>
      <c r="Q18" s="102" t="e">
        <f>F18/H18</f>
        <v>#REF!</v>
      </c>
      <c r="R18" s="103">
        <f>D18/E18</f>
        <v>0.98553557466770914</v>
      </c>
    </row>
    <row r="19" spans="1:18" ht="13.5" customHeight="1" thickBot="1" x14ac:dyDescent="0.45">
      <c r="B19" s="268"/>
      <c r="C19" s="269"/>
      <c r="D19" s="269"/>
      <c r="E19" s="269"/>
      <c r="F19" s="269"/>
      <c r="G19" s="269"/>
      <c r="H19" s="269"/>
      <c r="I19" s="269"/>
      <c r="J19" s="269"/>
      <c r="K19" s="269"/>
      <c r="L19" s="269"/>
      <c r="M19" s="269"/>
      <c r="N19" s="269"/>
      <c r="O19" s="269"/>
      <c r="P19" s="269"/>
      <c r="Q19" s="269"/>
      <c r="R19" s="271"/>
    </row>
    <row r="20" spans="1:18" ht="22.8" x14ac:dyDescent="0.4">
      <c r="B20" s="120" t="s">
        <v>4</v>
      </c>
      <c r="C20" s="121">
        <v>41834</v>
      </c>
      <c r="D20" s="124">
        <v>175</v>
      </c>
      <c r="E20" s="104">
        <v>197.8</v>
      </c>
      <c r="F20" s="100" t="e">
        <f>#REF!</f>
        <v>#REF!</v>
      </c>
      <c r="G20" s="105">
        <f t="shared" si="17"/>
        <v>1736821.916076845</v>
      </c>
      <c r="H20" s="100">
        <v>1963105</v>
      </c>
      <c r="I20" s="125"/>
      <c r="J20" s="117"/>
      <c r="K20" s="117"/>
      <c r="L20" s="117"/>
      <c r="M20" s="118"/>
      <c r="N20" s="118"/>
      <c r="O20" s="119"/>
      <c r="P20" s="126" t="e">
        <f t="shared" ref="P20:P21" si="21">F20/G20</f>
        <v>#REF!</v>
      </c>
      <c r="Q20" s="106" t="e">
        <f t="shared" ref="Q20:Q21" si="22">F20/H20</f>
        <v>#REF!</v>
      </c>
      <c r="R20" s="127">
        <f t="shared" ref="R20:R21" si="23">D20/E20</f>
        <v>0.88473205257836196</v>
      </c>
    </row>
    <row r="21" spans="1:18" ht="22.8" x14ac:dyDescent="0.4">
      <c r="B21" s="80"/>
      <c r="C21" s="122">
        <v>41865</v>
      </c>
      <c r="D21" s="82">
        <v>165.52</v>
      </c>
      <c r="E21" s="95">
        <v>172.6</v>
      </c>
      <c r="F21" s="83" t="e">
        <f>#REF!</f>
        <v>#REF!</v>
      </c>
      <c r="G21" s="96">
        <f t="shared" si="17"/>
        <v>1637928.764774044</v>
      </c>
      <c r="H21" s="83">
        <v>1707990</v>
      </c>
      <c r="I21" s="84"/>
      <c r="J21" s="85"/>
      <c r="K21" s="85"/>
      <c r="L21" s="85"/>
      <c r="M21" s="86"/>
      <c r="N21" s="86"/>
      <c r="O21" s="116"/>
      <c r="P21" s="97" t="e">
        <f t="shared" si="21"/>
        <v>#REF!</v>
      </c>
      <c r="Q21" s="99" t="e">
        <f t="shared" si="22"/>
        <v>#REF!</v>
      </c>
      <c r="R21" s="98">
        <f t="shared" si="23"/>
        <v>0.95898030127462353</v>
      </c>
    </row>
    <row r="22" spans="1:18" ht="23.4" thickBot="1" x14ac:dyDescent="0.45">
      <c r="B22" s="81"/>
      <c r="C22" s="123">
        <v>41896</v>
      </c>
      <c r="D22" s="90">
        <v>150</v>
      </c>
      <c r="E22" s="107">
        <v>144</v>
      </c>
      <c r="F22" s="91" t="e">
        <f>#REF!</f>
        <v>#REF!</v>
      </c>
      <c r="G22" s="108">
        <f t="shared" ref="G22:G31" si="24">H22/E22*D22</f>
        <v>1506229.1666666665</v>
      </c>
      <c r="H22" s="91">
        <v>1445980</v>
      </c>
      <c r="I22" s="92"/>
      <c r="J22" s="93"/>
      <c r="K22" s="93"/>
      <c r="L22" s="93"/>
      <c r="M22" s="94"/>
      <c r="N22" s="94"/>
      <c r="O22" s="128"/>
      <c r="P22" s="129" t="e">
        <f t="shared" ref="P22" si="25">F22/G22</f>
        <v>#REF!</v>
      </c>
      <c r="Q22" s="130" t="e">
        <f t="shared" ref="Q22" si="26">F22/H22</f>
        <v>#REF!</v>
      </c>
      <c r="R22" s="131">
        <f t="shared" ref="R22" si="27">D22/E22</f>
        <v>1.0416666666666667</v>
      </c>
    </row>
    <row r="23" spans="1:18" ht="23.4" thickBot="1" x14ac:dyDescent="0.45">
      <c r="B23" s="266" t="s">
        <v>52</v>
      </c>
      <c r="C23" s="267"/>
      <c r="D23" s="132">
        <f>SUM(D20:D22)</f>
        <v>490.52</v>
      </c>
      <c r="E23" s="133">
        <f>SUM(E20:E22)</f>
        <v>514.4</v>
      </c>
      <c r="F23" s="134" t="e">
        <f>SUM(F20:F22)</f>
        <v>#REF!</v>
      </c>
      <c r="G23" s="101">
        <f>SUM(G20:G22)</f>
        <v>4880979.8475175556</v>
      </c>
      <c r="H23" s="134">
        <f>SUM(H20:H22)</f>
        <v>5117075</v>
      </c>
      <c r="I23" s="135"/>
      <c r="J23" s="136"/>
      <c r="K23" s="136"/>
      <c r="L23" s="136"/>
      <c r="M23" s="137"/>
      <c r="N23" s="137"/>
      <c r="O23" s="138"/>
      <c r="P23" s="139" t="e">
        <f>F23/G23</f>
        <v>#REF!</v>
      </c>
      <c r="Q23" s="102" t="e">
        <f>F23/H23</f>
        <v>#REF!</v>
      </c>
      <c r="R23" s="103">
        <f>D23/E23</f>
        <v>0.95357698289269055</v>
      </c>
    </row>
    <row r="24" spans="1:18" ht="13.5" customHeight="1" thickBot="1" x14ac:dyDescent="0.45">
      <c r="B24" s="268"/>
      <c r="C24" s="269"/>
      <c r="D24" s="269"/>
      <c r="E24" s="269"/>
      <c r="F24" s="269"/>
      <c r="G24" s="269"/>
      <c r="H24" s="269"/>
      <c r="I24" s="269"/>
      <c r="J24" s="269"/>
      <c r="K24" s="269"/>
      <c r="L24" s="269"/>
      <c r="M24" s="269"/>
      <c r="N24" s="269"/>
      <c r="O24" s="269"/>
      <c r="P24" s="269"/>
      <c r="Q24" s="269"/>
      <c r="R24" s="271"/>
    </row>
    <row r="25" spans="1:18" ht="22.8" x14ac:dyDescent="0.4">
      <c r="B25" s="120" t="s">
        <v>5</v>
      </c>
      <c r="C25" s="121">
        <v>41834</v>
      </c>
      <c r="D25" s="124">
        <v>157</v>
      </c>
      <c r="E25" s="104">
        <v>183.5</v>
      </c>
      <c r="F25" s="100" t="e">
        <f>#REF!</f>
        <v>#REF!</v>
      </c>
      <c r="G25" s="105">
        <f t="shared" si="24"/>
        <v>1692246.1035422341</v>
      </c>
      <c r="H25" s="100">
        <v>1977879.9999999998</v>
      </c>
      <c r="I25" s="125"/>
      <c r="J25" s="117"/>
      <c r="K25" s="117"/>
      <c r="L25" s="117"/>
      <c r="M25" s="118"/>
      <c r="N25" s="118"/>
      <c r="O25" s="119"/>
      <c r="P25" s="126" t="e">
        <f t="shared" ref="P25" si="28">F25/G25</f>
        <v>#REF!</v>
      </c>
      <c r="Q25" s="106" t="e">
        <f t="shared" ref="Q25" si="29">F25/H25</f>
        <v>#REF!</v>
      </c>
      <c r="R25" s="127">
        <f t="shared" ref="R25" si="30">D25/E25</f>
        <v>0.85558583106267028</v>
      </c>
    </row>
    <row r="26" spans="1:18" ht="22.8" x14ac:dyDescent="0.4">
      <c r="B26" s="80"/>
      <c r="C26" s="122">
        <v>41865</v>
      </c>
      <c r="D26" s="82">
        <v>188.29</v>
      </c>
      <c r="E26" s="95">
        <v>174.1</v>
      </c>
      <c r="F26" s="83" t="e">
        <f>#REF!</f>
        <v>#REF!</v>
      </c>
      <c r="G26" s="96">
        <f t="shared" si="24"/>
        <v>2041080.9040781162</v>
      </c>
      <c r="H26" s="83">
        <v>1887260</v>
      </c>
      <c r="I26" s="84"/>
      <c r="J26" s="85"/>
      <c r="K26" s="85"/>
      <c r="L26" s="85"/>
      <c r="M26" s="86"/>
      <c r="N26" s="86"/>
      <c r="O26" s="116"/>
      <c r="P26" s="97" t="e">
        <f t="shared" ref="P26" si="31">F26/G26</f>
        <v>#REF!</v>
      </c>
      <c r="Q26" s="99" t="e">
        <f t="shared" ref="Q26" si="32">F26/H26</f>
        <v>#REF!</v>
      </c>
      <c r="R26" s="98">
        <f t="shared" ref="R26" si="33">D26/E26</f>
        <v>1.0815048822515796</v>
      </c>
    </row>
    <row r="27" spans="1:18" ht="23.4" thickBot="1" x14ac:dyDescent="0.45">
      <c r="B27" s="81"/>
      <c r="C27" s="123">
        <v>41896</v>
      </c>
      <c r="D27" s="90">
        <v>148.47</v>
      </c>
      <c r="E27" s="107">
        <v>140.69999999999999</v>
      </c>
      <c r="F27" s="91" t="e">
        <f>#REF!</f>
        <v>#REF!</v>
      </c>
      <c r="G27" s="108">
        <f t="shared" si="24"/>
        <v>1645363.1119402982</v>
      </c>
      <c r="H27" s="91">
        <v>1559254.9999999998</v>
      </c>
      <c r="I27" s="92"/>
      <c r="J27" s="93"/>
      <c r="K27" s="93"/>
      <c r="L27" s="93"/>
      <c r="M27" s="94"/>
      <c r="N27" s="94"/>
      <c r="O27" s="128"/>
      <c r="P27" s="129" t="e">
        <f t="shared" ref="P27" si="34">F27/G27</f>
        <v>#REF!</v>
      </c>
      <c r="Q27" s="130" t="e">
        <f t="shared" ref="Q27" si="35">F27/H27</f>
        <v>#REF!</v>
      </c>
      <c r="R27" s="131">
        <f t="shared" ref="R27" si="36">D27/E27</f>
        <v>1.0552238805970151</v>
      </c>
    </row>
    <row r="28" spans="1:18" ht="23.4" thickBot="1" x14ac:dyDescent="0.45">
      <c r="B28" s="266" t="s">
        <v>52</v>
      </c>
      <c r="C28" s="267"/>
      <c r="D28" s="132">
        <f>SUM(D25:D27)</f>
        <v>493.76</v>
      </c>
      <c r="E28" s="133">
        <f>SUM(E25:E27)</f>
        <v>498.3</v>
      </c>
      <c r="F28" s="134" t="e">
        <f>SUM(F25:F27)</f>
        <v>#REF!</v>
      </c>
      <c r="G28" s="101">
        <f>SUM(G25:G27)</f>
        <v>5378690.1195606487</v>
      </c>
      <c r="H28" s="134">
        <f>SUM(H25:H27)</f>
        <v>5424395</v>
      </c>
      <c r="I28" s="135"/>
      <c r="J28" s="136"/>
      <c r="K28" s="136"/>
      <c r="L28" s="136"/>
      <c r="M28" s="137"/>
      <c r="N28" s="137"/>
      <c r="O28" s="138"/>
      <c r="P28" s="139" t="e">
        <f>F28/G28</f>
        <v>#REF!</v>
      </c>
      <c r="Q28" s="102" t="e">
        <f>F28/H28</f>
        <v>#REF!</v>
      </c>
      <c r="R28" s="103">
        <f>D28/E28</f>
        <v>0.9908890226771021</v>
      </c>
    </row>
    <row r="29" spans="1:18" ht="13.5" customHeight="1" thickBot="1" x14ac:dyDescent="0.45">
      <c r="A29" t="s">
        <v>50</v>
      </c>
      <c r="B29" s="268"/>
      <c r="C29" s="269"/>
      <c r="D29" s="269"/>
      <c r="E29" s="269"/>
      <c r="F29" s="269"/>
      <c r="G29" s="269"/>
      <c r="H29" s="269"/>
      <c r="I29" s="269"/>
      <c r="J29" s="269"/>
      <c r="K29" s="269"/>
      <c r="L29" s="269"/>
      <c r="M29" s="269"/>
      <c r="N29" s="269"/>
      <c r="O29" s="269"/>
      <c r="P29" s="269"/>
      <c r="Q29" s="269"/>
      <c r="R29" s="271"/>
    </row>
    <row r="30" spans="1:18" ht="22.8" x14ac:dyDescent="0.4">
      <c r="B30" s="120" t="s">
        <v>6</v>
      </c>
      <c r="C30" s="121">
        <v>41834</v>
      </c>
      <c r="D30" s="124">
        <v>175.28</v>
      </c>
      <c r="E30" s="104">
        <v>190.1</v>
      </c>
      <c r="F30" s="100" t="e">
        <f>#REF!</f>
        <v>#REF!</v>
      </c>
      <c r="G30" s="105">
        <f t="shared" si="24"/>
        <v>1861831.3519200417</v>
      </c>
      <c r="H30" s="100">
        <v>2019249.9999999998</v>
      </c>
      <c r="I30" s="125" t="e">
        <f t="shared" ref="I30" si="37">#REF!/#REF!</f>
        <v>#REF!</v>
      </c>
      <c r="J30" s="117"/>
      <c r="K30" s="117"/>
      <c r="L30" s="117"/>
      <c r="M30" s="118"/>
      <c r="N30" s="118"/>
      <c r="O30" s="119"/>
      <c r="P30" s="126" t="e">
        <f t="shared" ref="P30" si="38">F30/G30</f>
        <v>#REF!</v>
      </c>
      <c r="Q30" s="106" t="e">
        <f t="shared" ref="Q30" si="39">F30/H30</f>
        <v>#REF!</v>
      </c>
      <c r="R30" s="127">
        <f t="shared" ref="R30" si="40">D30/E30</f>
        <v>0.92204103103629675</v>
      </c>
    </row>
    <row r="31" spans="1:18" ht="22.8" x14ac:dyDescent="0.4">
      <c r="B31" s="80"/>
      <c r="C31" s="122">
        <v>41865</v>
      </c>
      <c r="D31" s="82">
        <v>168.09</v>
      </c>
      <c r="E31" s="95">
        <v>177</v>
      </c>
      <c r="F31" s="83" t="e">
        <f>#REF!</f>
        <v>#REF!</v>
      </c>
      <c r="G31" s="96">
        <f t="shared" si="24"/>
        <v>1790386.4186440681</v>
      </c>
      <c r="H31" s="83">
        <v>1885290</v>
      </c>
      <c r="I31" s="84"/>
      <c r="J31" s="85"/>
      <c r="K31" s="85"/>
      <c r="L31" s="85"/>
      <c r="M31" s="86"/>
      <c r="N31" s="86"/>
      <c r="O31" s="116"/>
      <c r="P31" s="97" t="e">
        <f t="shared" ref="P31" si="41">F31/G31</f>
        <v>#REF!</v>
      </c>
      <c r="Q31" s="99" t="e">
        <f t="shared" ref="Q31" si="42">F31/H31</f>
        <v>#REF!</v>
      </c>
      <c r="R31" s="98">
        <f t="shared" ref="R31" si="43">D31/E31</f>
        <v>0.94966101694915261</v>
      </c>
    </row>
    <row r="32" spans="1:18" ht="23.4" thickBot="1" x14ac:dyDescent="0.45">
      <c r="B32" s="81"/>
      <c r="C32" s="123">
        <v>41896</v>
      </c>
      <c r="D32" s="90">
        <v>153.44</v>
      </c>
      <c r="E32" s="107">
        <v>150.1</v>
      </c>
      <c r="F32" s="91" t="e">
        <f>#REF!</f>
        <v>#REF!</v>
      </c>
      <c r="G32" s="108">
        <f t="shared" ref="G32" si="44">H32/E32*D32</f>
        <v>1670477.0526315791</v>
      </c>
      <c r="H32" s="91">
        <v>1634115</v>
      </c>
      <c r="I32" s="92"/>
      <c r="J32" s="93"/>
      <c r="K32" s="93"/>
      <c r="L32" s="93"/>
      <c r="M32" s="94"/>
      <c r="N32" s="94"/>
      <c r="O32" s="128"/>
      <c r="P32" s="129" t="e">
        <f t="shared" ref="P32" si="45">F32/G32</f>
        <v>#REF!</v>
      </c>
      <c r="Q32" s="130" t="e">
        <f t="shared" ref="Q32" si="46">F32/H32</f>
        <v>#REF!</v>
      </c>
      <c r="R32" s="131">
        <f t="shared" ref="R32" si="47">D32/E32</f>
        <v>1.0222518321119254</v>
      </c>
    </row>
    <row r="33" spans="2:18" ht="23.4" thickBot="1" x14ac:dyDescent="0.45">
      <c r="B33" s="266" t="s">
        <v>52</v>
      </c>
      <c r="C33" s="267"/>
      <c r="D33" s="132">
        <f>SUM(D30:D32)</f>
        <v>496.81</v>
      </c>
      <c r="E33" s="133">
        <f>SUM(E30:E32)</f>
        <v>517.20000000000005</v>
      </c>
      <c r="F33" s="134" t="e">
        <f>SUM(F30:F32)</f>
        <v>#REF!</v>
      </c>
      <c r="G33" s="101">
        <f>SUM(G30:G32)</f>
        <v>5322694.8231956894</v>
      </c>
      <c r="H33" s="134">
        <f>SUM(H30:H32)</f>
        <v>5538655</v>
      </c>
      <c r="I33" s="135"/>
      <c r="J33" s="136"/>
      <c r="K33" s="136"/>
      <c r="L33" s="136"/>
      <c r="M33" s="137"/>
      <c r="N33" s="137"/>
      <c r="O33" s="138"/>
      <c r="P33" s="139" t="e">
        <f>F33/G33</f>
        <v>#REF!</v>
      </c>
      <c r="Q33" s="102" t="e">
        <f>F33/H33</f>
        <v>#REF!</v>
      </c>
      <c r="R33" s="103">
        <f>D33/E33</f>
        <v>0.96057617942768747</v>
      </c>
    </row>
    <row r="34" spans="2:18" ht="13.5" customHeight="1" thickBot="1" x14ac:dyDescent="0.45">
      <c r="B34" s="268"/>
      <c r="C34" s="269"/>
      <c r="D34" s="269"/>
      <c r="E34" s="269"/>
      <c r="F34" s="269"/>
      <c r="G34" s="270"/>
      <c r="H34" s="269"/>
      <c r="I34" s="269"/>
      <c r="J34" s="269"/>
      <c r="K34" s="269"/>
      <c r="L34" s="269"/>
      <c r="M34" s="269"/>
      <c r="N34" s="269"/>
      <c r="O34" s="269"/>
      <c r="P34" s="269"/>
      <c r="Q34" s="269"/>
      <c r="R34" s="271"/>
    </row>
    <row r="35" spans="2:18" ht="22.8" x14ac:dyDescent="0.4">
      <c r="B35" s="120" t="s">
        <v>7</v>
      </c>
      <c r="C35" s="121">
        <v>41834</v>
      </c>
      <c r="D35" s="124">
        <v>184.55</v>
      </c>
      <c r="E35" s="104">
        <v>189.4</v>
      </c>
      <c r="F35" s="100" t="e">
        <f>#REF!</f>
        <v>#REF!</v>
      </c>
      <c r="G35" s="96">
        <f t="shared" ref="G35:G37" si="48">H35/E35*D35</f>
        <v>1765445.5338514468</v>
      </c>
      <c r="H35" s="100">
        <v>1811841.6912027309</v>
      </c>
      <c r="I35" s="125"/>
      <c r="J35" s="117"/>
      <c r="K35" s="117"/>
      <c r="L35" s="117"/>
      <c r="M35" s="118"/>
      <c r="N35" s="118"/>
      <c r="O35" s="119"/>
      <c r="P35" s="126" t="e">
        <f t="shared" ref="P35:P36" si="49">F35/G35</f>
        <v>#REF!</v>
      </c>
      <c r="Q35" s="106" t="e">
        <f t="shared" ref="Q35:Q36" si="50">F35/H35</f>
        <v>#REF!</v>
      </c>
      <c r="R35" s="127">
        <f t="shared" ref="R35:R36" si="51">D35/E35</f>
        <v>0.97439281942977829</v>
      </c>
    </row>
    <row r="36" spans="2:18" ht="22.8" x14ac:dyDescent="0.4">
      <c r="B36" s="80"/>
      <c r="C36" s="122">
        <v>41865</v>
      </c>
      <c r="D36" s="82">
        <v>174.64</v>
      </c>
      <c r="E36" s="95">
        <v>171.3</v>
      </c>
      <c r="F36" s="83" t="e">
        <f>#REF!</f>
        <v>#REF!</v>
      </c>
      <c r="G36" s="96">
        <f t="shared" si="48"/>
        <v>1678336.2659507447</v>
      </c>
      <c r="H36" s="83">
        <v>1646237.9887618106</v>
      </c>
      <c r="I36" s="84"/>
      <c r="J36" s="85"/>
      <c r="K36" s="85"/>
      <c r="L36" s="85"/>
      <c r="M36" s="86"/>
      <c r="N36" s="86"/>
      <c r="O36" s="116"/>
      <c r="P36" s="97" t="e">
        <f t="shared" si="49"/>
        <v>#REF!</v>
      </c>
      <c r="Q36" s="99" t="e">
        <f t="shared" si="50"/>
        <v>#REF!</v>
      </c>
      <c r="R36" s="98">
        <f t="shared" si="51"/>
        <v>1.0194979568009339</v>
      </c>
    </row>
    <row r="37" spans="2:18" ht="23.4" thickBot="1" x14ac:dyDescent="0.45">
      <c r="B37" s="81"/>
      <c r="C37" s="123">
        <v>41896</v>
      </c>
      <c r="D37" s="90">
        <v>152.91999999999999</v>
      </c>
      <c r="E37" s="107">
        <v>138.69999999999999</v>
      </c>
      <c r="F37" s="91" t="e">
        <f>#REF!</f>
        <v>#REF!</v>
      </c>
      <c r="G37" s="96">
        <f t="shared" si="48"/>
        <v>1517915.1307388581</v>
      </c>
      <c r="H37" s="91">
        <v>1376764.508458538</v>
      </c>
      <c r="I37" s="92"/>
      <c r="J37" s="93"/>
      <c r="K37" s="93"/>
      <c r="L37" s="93"/>
      <c r="M37" s="94"/>
      <c r="N37" s="94"/>
      <c r="O37" s="128"/>
      <c r="P37" s="129" t="e">
        <f t="shared" ref="P37" si="52">F37/G37</f>
        <v>#REF!</v>
      </c>
      <c r="Q37" s="130" t="e">
        <f t="shared" ref="Q37" si="53">F37/H37</f>
        <v>#REF!</v>
      </c>
      <c r="R37" s="131">
        <f t="shared" ref="R37" si="54">D37/E37</f>
        <v>1.1025234318673396</v>
      </c>
    </row>
    <row r="38" spans="2:18" ht="23.4" thickBot="1" x14ac:dyDescent="0.45">
      <c r="B38" s="266" t="s">
        <v>52</v>
      </c>
      <c r="C38" s="267"/>
      <c r="D38" s="132">
        <f>SUM(D35:D37)</f>
        <v>512.11</v>
      </c>
      <c r="E38" s="133">
        <f>SUM(E35:E37)</f>
        <v>499.40000000000003</v>
      </c>
      <c r="F38" s="134" t="e">
        <f>SUM(F35:F37)</f>
        <v>#REF!</v>
      </c>
      <c r="G38" s="101">
        <f>SUM(G35:G37)</f>
        <v>4961696.9305410497</v>
      </c>
      <c r="H38" s="134">
        <f>SUM(H35:H37)</f>
        <v>4834844.1884230794</v>
      </c>
      <c r="I38" s="135"/>
      <c r="J38" s="136"/>
      <c r="K38" s="136"/>
      <c r="L38" s="136"/>
      <c r="M38" s="137"/>
      <c r="N38" s="137"/>
      <c r="O38" s="138"/>
      <c r="P38" s="139" t="e">
        <f>F38/G38</f>
        <v>#REF!</v>
      </c>
      <c r="Q38" s="102" t="e">
        <f>F38/H38</f>
        <v>#REF!</v>
      </c>
      <c r="R38" s="103">
        <f>D38/E38</f>
        <v>1.0254505406487784</v>
      </c>
    </row>
    <row r="39" spans="2:18" ht="13.5" customHeight="1" thickBot="1" x14ac:dyDescent="0.45">
      <c r="B39" s="272"/>
      <c r="C39" s="270"/>
      <c r="D39" s="270"/>
      <c r="E39" s="270"/>
      <c r="F39" s="270"/>
      <c r="G39" s="273"/>
      <c r="H39" s="270"/>
      <c r="I39" s="270"/>
      <c r="J39" s="270"/>
      <c r="K39" s="270"/>
      <c r="L39" s="270"/>
      <c r="M39" s="270"/>
      <c r="N39" s="270"/>
      <c r="O39" s="270"/>
      <c r="P39" s="270"/>
      <c r="Q39" s="270"/>
      <c r="R39" s="274"/>
    </row>
    <row r="40" spans="2:18" ht="22.8" x14ac:dyDescent="0.4">
      <c r="B40" s="120" t="s">
        <v>8</v>
      </c>
      <c r="C40" s="121">
        <v>41834</v>
      </c>
      <c r="D40" s="124">
        <v>235.37</v>
      </c>
      <c r="E40" s="104">
        <v>238</v>
      </c>
      <c r="F40" s="100">
        <v>1804066</v>
      </c>
      <c r="G40" s="105">
        <f t="shared" ref="G40:G42" si="55">H40/E40*D40</f>
        <v>1762149.4935585707</v>
      </c>
      <c r="H40" s="100">
        <v>1781839.569473339</v>
      </c>
      <c r="I40" s="125"/>
      <c r="J40" s="117"/>
      <c r="K40" s="117"/>
      <c r="L40" s="117"/>
      <c r="M40" s="118"/>
      <c r="N40" s="118"/>
      <c r="O40" s="119"/>
      <c r="P40" s="126">
        <f t="shared" ref="P40:P41" si="56">F40/G40</f>
        <v>1.0237871455257641</v>
      </c>
      <c r="Q40" s="106">
        <f t="shared" ref="Q40" si="57">F40/H40</f>
        <v>1.0124738674050384</v>
      </c>
      <c r="R40" s="127">
        <f t="shared" ref="R40" si="58">D40/E40</f>
        <v>0.98894957983193277</v>
      </c>
    </row>
    <row r="41" spans="2:18" ht="22.8" x14ac:dyDescent="0.4">
      <c r="B41" s="80"/>
      <c r="C41" s="122">
        <v>41865</v>
      </c>
      <c r="D41" s="82">
        <v>211.7</v>
      </c>
      <c r="E41" s="95">
        <v>204</v>
      </c>
      <c r="F41" s="83">
        <v>1679227</v>
      </c>
      <c r="G41" s="96">
        <f t="shared" si="55"/>
        <v>1595872.7896044836</v>
      </c>
      <c r="H41" s="83">
        <v>1537827.3456746088</v>
      </c>
      <c r="I41" s="84"/>
      <c r="J41" s="85"/>
      <c r="K41" s="85"/>
      <c r="L41" s="85"/>
      <c r="M41" s="86"/>
      <c r="N41" s="86"/>
      <c r="O41" s="116"/>
      <c r="P41" s="97">
        <f t="shared" si="56"/>
        <v>1.0522311119899317</v>
      </c>
      <c r="Q41" s="99">
        <f t="shared" ref="Q41" si="59">F41/H41</f>
        <v>1.0919476784719044</v>
      </c>
      <c r="R41" s="98">
        <f t="shared" ref="R41" si="60">D41/E41</f>
        <v>1.0377450980392156</v>
      </c>
    </row>
    <row r="42" spans="2:18" ht="23.4" thickBot="1" x14ac:dyDescent="0.45">
      <c r="B42" s="81"/>
      <c r="C42" s="123">
        <v>41896</v>
      </c>
      <c r="D42" s="90">
        <v>171.7</v>
      </c>
      <c r="E42" s="107">
        <v>161</v>
      </c>
      <c r="F42" s="91">
        <v>1320973</v>
      </c>
      <c r="G42" s="108">
        <f t="shared" si="55"/>
        <v>1330932.1946413445</v>
      </c>
      <c r="H42" s="91">
        <v>1247991.1667865841</v>
      </c>
      <c r="I42" s="92"/>
      <c r="J42" s="93"/>
      <c r="K42" s="93"/>
      <c r="L42" s="93"/>
      <c r="M42" s="94"/>
      <c r="N42" s="94"/>
      <c r="O42" s="128"/>
      <c r="P42" s="129">
        <f t="shared" ref="P42" si="61">F42/G42</f>
        <v>0.99251712845970474</v>
      </c>
      <c r="Q42" s="130">
        <f t="shared" ref="Q42" si="62">F42/H42</f>
        <v>1.058479446934977</v>
      </c>
      <c r="R42" s="131">
        <f t="shared" ref="R42" si="63">D42/E42</f>
        <v>1.0664596273291924</v>
      </c>
    </row>
    <row r="43" spans="2:18" ht="23.4" thickBot="1" x14ac:dyDescent="0.45">
      <c r="B43" s="266" t="s">
        <v>52</v>
      </c>
      <c r="C43" s="267"/>
      <c r="D43" s="132">
        <f>SUM(D40:D42)</f>
        <v>618.77</v>
      </c>
      <c r="E43" s="133">
        <f>SUM(E40:E42)</f>
        <v>603</v>
      </c>
      <c r="F43" s="134">
        <f>SUM(F40:F42)</f>
        <v>4804266</v>
      </c>
      <c r="G43" s="101">
        <f>SUM(G40:G42)</f>
        <v>4688954.4778043991</v>
      </c>
      <c r="H43" s="134">
        <f>SUM(H40:H42)</f>
        <v>4567658.0819345322</v>
      </c>
      <c r="I43" s="135"/>
      <c r="J43" s="136"/>
      <c r="K43" s="136"/>
      <c r="L43" s="136"/>
      <c r="M43" s="137"/>
      <c r="N43" s="137"/>
      <c r="O43" s="138"/>
      <c r="P43" s="139">
        <f>F43/G43</f>
        <v>1.0245921607346453</v>
      </c>
      <c r="Q43" s="102">
        <f>F43/H43</f>
        <v>1.0518007070190458</v>
      </c>
      <c r="R43" s="103">
        <f>D43/E43</f>
        <v>1.0261525704809287</v>
      </c>
    </row>
    <row r="44" spans="2:18" ht="13.5" customHeight="1" thickBot="1" x14ac:dyDescent="0.45">
      <c r="B44" s="275"/>
      <c r="C44" s="276"/>
      <c r="D44" s="276"/>
      <c r="E44" s="276"/>
      <c r="F44" s="276"/>
      <c r="G44" s="276"/>
      <c r="H44" s="276"/>
      <c r="I44" s="276"/>
      <c r="J44" s="276"/>
      <c r="K44" s="276"/>
      <c r="L44" s="276"/>
      <c r="M44" s="276"/>
      <c r="N44" s="276"/>
      <c r="O44" s="276"/>
      <c r="P44" s="276"/>
      <c r="Q44" s="276"/>
      <c r="R44" s="277"/>
    </row>
  </sheetData>
  <mergeCells count="24">
    <mergeCell ref="B44:R44"/>
    <mergeCell ref="B8:C8"/>
    <mergeCell ref="B1:R1"/>
    <mergeCell ref="B2:B4"/>
    <mergeCell ref="C2:C4"/>
    <mergeCell ref="D2:E2"/>
    <mergeCell ref="F2:H2"/>
    <mergeCell ref="I2:K2"/>
    <mergeCell ref="L2:L4"/>
    <mergeCell ref="P2:R2"/>
    <mergeCell ref="B9:R9"/>
    <mergeCell ref="B14:R14"/>
    <mergeCell ref="B19:R19"/>
    <mergeCell ref="B24:R24"/>
    <mergeCell ref="B29:R29"/>
    <mergeCell ref="B43:C43"/>
    <mergeCell ref="B38:C38"/>
    <mergeCell ref="B34:R34"/>
    <mergeCell ref="B39:R39"/>
    <mergeCell ref="B13:C13"/>
    <mergeCell ref="B18:C18"/>
    <mergeCell ref="B23:C23"/>
    <mergeCell ref="B28:C28"/>
    <mergeCell ref="B33:C33"/>
  </mergeCells>
  <phoneticPr fontId="26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scale="7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B1:R9"/>
  <sheetViews>
    <sheetView workbookViewId="0">
      <selection activeCell="P6" sqref="P6"/>
    </sheetView>
  </sheetViews>
  <sheetFormatPr defaultRowHeight="14.4" x14ac:dyDescent="0.25"/>
  <cols>
    <col min="1" max="1" width="8.88671875" customWidth="1"/>
    <col min="2" max="2" width="29.109375" style="22" bestFit="1" customWidth="1"/>
    <col min="3" max="3" width="14" style="22" customWidth="1"/>
    <col min="4" max="5" width="12.44140625" customWidth="1"/>
    <col min="6" max="7" width="14.33203125" customWidth="1"/>
    <col min="8" max="8" width="13.88671875" bestFit="1" customWidth="1"/>
    <col min="9" max="10" width="12.6640625" hidden="1" customWidth="1"/>
    <col min="11" max="11" width="12.44140625" hidden="1" customWidth="1"/>
    <col min="12" max="12" width="12" hidden="1" customWidth="1"/>
    <col min="13" max="13" width="11.33203125" hidden="1" customWidth="1"/>
    <col min="14" max="14" width="11.6640625" hidden="1" customWidth="1"/>
    <col min="15" max="15" width="12.44140625" style="22" hidden="1" customWidth="1"/>
    <col min="16" max="17" width="10.6640625" bestFit="1" customWidth="1"/>
    <col min="18" max="18" width="9.33203125" customWidth="1"/>
  </cols>
  <sheetData>
    <row r="1" spans="2:18" s="2" customFormat="1" ht="77.25" customHeight="1" thickBot="1" x14ac:dyDescent="0.3">
      <c r="B1" s="221" t="s">
        <v>53</v>
      </c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222"/>
      <c r="N1" s="222"/>
      <c r="O1" s="222"/>
      <c r="P1" s="222"/>
      <c r="Q1" s="222"/>
      <c r="R1" s="223"/>
    </row>
    <row r="2" spans="2:18" s="27" customFormat="1" ht="16.2" thickBot="1" x14ac:dyDescent="0.35">
      <c r="B2" s="224" t="s">
        <v>0</v>
      </c>
      <c r="C2" s="227" t="s">
        <v>49</v>
      </c>
      <c r="D2" s="230" t="s">
        <v>41</v>
      </c>
      <c r="E2" s="231"/>
      <c r="F2" s="232" t="s">
        <v>42</v>
      </c>
      <c r="G2" s="233"/>
      <c r="H2" s="234"/>
      <c r="I2" s="235" t="s">
        <v>30</v>
      </c>
      <c r="J2" s="236"/>
      <c r="K2" s="236"/>
      <c r="L2" s="236" t="s">
        <v>43</v>
      </c>
      <c r="M2" s="71" t="s">
        <v>14</v>
      </c>
      <c r="N2" s="71" t="s">
        <v>29</v>
      </c>
      <c r="O2" s="72" t="s">
        <v>30</v>
      </c>
      <c r="P2" s="232" t="s">
        <v>30</v>
      </c>
      <c r="Q2" s="233"/>
      <c r="R2" s="234"/>
    </row>
    <row r="3" spans="2:18" ht="15" thickBot="1" x14ac:dyDescent="0.3">
      <c r="B3" s="225"/>
      <c r="C3" s="228"/>
      <c r="D3" s="79" t="s">
        <v>22</v>
      </c>
      <c r="E3" s="77" t="s">
        <v>44</v>
      </c>
      <c r="F3" s="79" t="s">
        <v>22</v>
      </c>
      <c r="G3" s="78" t="s">
        <v>21</v>
      </c>
      <c r="H3" s="76" t="s">
        <v>44</v>
      </c>
      <c r="I3" s="73" t="s">
        <v>45</v>
      </c>
      <c r="J3" s="140" t="s">
        <v>9</v>
      </c>
      <c r="K3" s="140" t="s">
        <v>33</v>
      </c>
      <c r="L3" s="237"/>
      <c r="M3" s="74" t="s">
        <v>34</v>
      </c>
      <c r="N3" s="74" t="s">
        <v>34</v>
      </c>
      <c r="O3" s="75" t="s">
        <v>34</v>
      </c>
      <c r="P3" s="76" t="s">
        <v>45</v>
      </c>
      <c r="Q3" s="78" t="s">
        <v>9</v>
      </c>
      <c r="R3" s="76" t="s">
        <v>33</v>
      </c>
    </row>
    <row r="4" spans="2:18" ht="15" thickBot="1" x14ac:dyDescent="0.3">
      <c r="B4" s="226"/>
      <c r="C4" s="229"/>
      <c r="D4" s="109" t="s">
        <v>46</v>
      </c>
      <c r="E4" s="110" t="s">
        <v>46</v>
      </c>
      <c r="F4" s="109" t="s">
        <v>47</v>
      </c>
      <c r="G4" s="111" t="s">
        <v>47</v>
      </c>
      <c r="H4" s="109" t="s">
        <v>47</v>
      </c>
      <c r="I4" s="112" t="s">
        <v>48</v>
      </c>
      <c r="J4" s="141" t="s">
        <v>48</v>
      </c>
      <c r="K4" s="141" t="s">
        <v>48</v>
      </c>
      <c r="L4" s="238"/>
      <c r="M4" s="114" t="e">
        <f>#REF!/#REF!-1</f>
        <v>#REF!</v>
      </c>
      <c r="N4" s="114" t="e">
        <f>L4-#REF!</f>
        <v>#REF!</v>
      </c>
      <c r="O4" s="115" t="e">
        <f>(#REF!/#REF!)/(1+N4)-1</f>
        <v>#REF!</v>
      </c>
      <c r="P4" s="109" t="s">
        <v>48</v>
      </c>
      <c r="Q4" s="111" t="s">
        <v>48</v>
      </c>
      <c r="R4" s="109" t="s">
        <v>48</v>
      </c>
    </row>
    <row r="5" spans="2:18" ht="22.8" x14ac:dyDescent="0.4">
      <c r="B5" s="120" t="s">
        <v>8</v>
      </c>
      <c r="C5" s="121">
        <v>41730</v>
      </c>
      <c r="D5" s="124">
        <v>173.08</v>
      </c>
      <c r="E5" s="104">
        <v>173</v>
      </c>
      <c r="F5" s="100">
        <v>1434204</v>
      </c>
      <c r="G5" s="105">
        <f t="shared" ref="G5:G7" si="0">H5/E5*D5</f>
        <v>1397662.2289554286</v>
      </c>
      <c r="H5" s="100">
        <v>1397016.2098988278</v>
      </c>
      <c r="I5" s="125"/>
      <c r="J5" s="117"/>
      <c r="K5" s="117"/>
      <c r="L5" s="117"/>
      <c r="M5" s="118"/>
      <c r="N5" s="118"/>
      <c r="O5" s="119"/>
      <c r="P5" s="126">
        <f t="shared" ref="P5:P7" si="1">F5/G5</f>
        <v>1.0261449227771446</v>
      </c>
      <c r="Q5" s="106">
        <f t="shared" ref="Q5:Q7" si="2">F5/H5</f>
        <v>1.0266194406605098</v>
      </c>
      <c r="R5" s="127">
        <f t="shared" ref="R5:R7" si="3">D5/E5</f>
        <v>1.0004624277456649</v>
      </c>
    </row>
    <row r="6" spans="2:18" ht="22.8" x14ac:dyDescent="0.4">
      <c r="B6" s="80"/>
      <c r="C6" s="122">
        <v>41760</v>
      </c>
      <c r="D6" s="82">
        <v>206.83</v>
      </c>
      <c r="E6" s="95">
        <v>237</v>
      </c>
      <c r="F6" s="83">
        <v>1665599</v>
      </c>
      <c r="G6" s="96">
        <f t="shared" si="0"/>
        <v>1600521.021215955</v>
      </c>
      <c r="H6" s="83">
        <v>1833986.7622113877</v>
      </c>
      <c r="I6" s="84"/>
      <c r="J6" s="85"/>
      <c r="K6" s="85"/>
      <c r="L6" s="85"/>
      <c r="M6" s="86"/>
      <c r="N6" s="86"/>
      <c r="O6" s="116"/>
      <c r="P6" s="97">
        <f t="shared" si="1"/>
        <v>1.0406604961268198</v>
      </c>
      <c r="Q6" s="99">
        <f t="shared" si="2"/>
        <v>0.90818485406713145</v>
      </c>
      <c r="R6" s="98">
        <f t="shared" si="3"/>
        <v>0.87270042194092834</v>
      </c>
    </row>
    <row r="7" spans="2:18" ht="23.4" thickBot="1" x14ac:dyDescent="0.45">
      <c r="B7" s="81"/>
      <c r="C7" s="123">
        <v>41791</v>
      </c>
      <c r="D7" s="90">
        <v>245.03</v>
      </c>
      <c r="E7" s="107">
        <v>230</v>
      </c>
      <c r="F7" s="91">
        <v>1887631</v>
      </c>
      <c r="G7" s="108">
        <f t="shared" si="0"/>
        <v>1863134.4058248147</v>
      </c>
      <c r="H7" s="91">
        <v>1748850.8074101431</v>
      </c>
      <c r="I7" s="92"/>
      <c r="J7" s="93"/>
      <c r="K7" s="93"/>
      <c r="L7" s="93"/>
      <c r="M7" s="94"/>
      <c r="N7" s="94"/>
      <c r="O7" s="128"/>
      <c r="P7" s="129">
        <f t="shared" si="1"/>
        <v>1.013148055287155</v>
      </c>
      <c r="Q7" s="130">
        <f t="shared" si="2"/>
        <v>1.0793550782043984</v>
      </c>
      <c r="R7" s="131">
        <f t="shared" si="3"/>
        <v>1.0653478260869564</v>
      </c>
    </row>
    <row r="8" spans="2:18" ht="23.4" thickBot="1" x14ac:dyDescent="0.45">
      <c r="B8" s="266" t="s">
        <v>54</v>
      </c>
      <c r="C8" s="267"/>
      <c r="D8" s="132">
        <f>SUM(D5:D7)</f>
        <v>624.94000000000005</v>
      </c>
      <c r="E8" s="133">
        <f>SUM(E5:E7)</f>
        <v>640</v>
      </c>
      <c r="F8" s="134">
        <f>SUM(F5:F7)</f>
        <v>4987434</v>
      </c>
      <c r="G8" s="101">
        <f>SUM(G5:G7)</f>
        <v>4861317.6559961988</v>
      </c>
      <c r="H8" s="134">
        <f>SUM(H5:H7)</f>
        <v>4979853.7795203589</v>
      </c>
      <c r="I8" s="135"/>
      <c r="J8" s="136"/>
      <c r="K8" s="136"/>
      <c r="L8" s="136"/>
      <c r="M8" s="137"/>
      <c r="N8" s="137"/>
      <c r="O8" s="138"/>
      <c r="P8" s="139">
        <f>F8/G8</f>
        <v>1.0259428313326209</v>
      </c>
      <c r="Q8" s="102">
        <f>F8/H8</f>
        <v>1.0015221773199074</v>
      </c>
      <c r="R8" s="103">
        <f>D8/E8</f>
        <v>0.97646875000000011</v>
      </c>
    </row>
    <row r="9" spans="2:18" ht="13.5" customHeight="1" thickBot="1" x14ac:dyDescent="0.45">
      <c r="B9" s="275"/>
      <c r="C9" s="276"/>
      <c r="D9" s="276"/>
      <c r="E9" s="276"/>
      <c r="F9" s="276"/>
      <c r="G9" s="276"/>
      <c r="H9" s="276"/>
      <c r="I9" s="276"/>
      <c r="J9" s="276"/>
      <c r="K9" s="276"/>
      <c r="L9" s="276"/>
      <c r="M9" s="276"/>
      <c r="N9" s="276"/>
      <c r="O9" s="276"/>
      <c r="P9" s="276"/>
      <c r="Q9" s="276"/>
      <c r="R9" s="277"/>
    </row>
  </sheetData>
  <mergeCells count="10">
    <mergeCell ref="B8:C8"/>
    <mergeCell ref="B9:R9"/>
    <mergeCell ref="B1:R1"/>
    <mergeCell ref="B2:B4"/>
    <mergeCell ref="C2:C4"/>
    <mergeCell ref="D2:E2"/>
    <mergeCell ref="F2:H2"/>
    <mergeCell ref="I2:K2"/>
    <mergeCell ref="L2:L4"/>
    <mergeCell ref="P2:R2"/>
  </mergeCells>
  <phoneticPr fontId="26" type="noConversion"/>
  <pageMargins left="0.7" right="0.7" top="0.75" bottom="0.75" header="0.3" footer="0.3"/>
  <pageSetup scale="8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R30"/>
  <sheetViews>
    <sheetView zoomScaleNormal="100" workbookViewId="0">
      <selection activeCell="A7" sqref="A7"/>
    </sheetView>
  </sheetViews>
  <sheetFormatPr defaultRowHeight="14.4" x14ac:dyDescent="0.25"/>
  <cols>
    <col min="1" max="1" width="16.5546875" style="22" customWidth="1"/>
    <col min="2" max="2" width="12.44140625" customWidth="1"/>
    <col min="4" max="4" width="39.6640625" customWidth="1"/>
    <col min="5" max="5" width="14.109375" customWidth="1"/>
    <col min="6" max="6" width="13" customWidth="1"/>
    <col min="7" max="7" width="11.5546875" bestFit="1" customWidth="1"/>
    <col min="8" max="9" width="11.6640625" customWidth="1"/>
    <col min="10" max="10" width="10.6640625" style="22" customWidth="1"/>
    <col min="11" max="11" width="10.6640625" customWidth="1"/>
    <col min="12" max="13" width="12.6640625" hidden="1" customWidth="1"/>
    <col min="14" max="14" width="12.44140625" hidden="1" customWidth="1"/>
    <col min="15" max="15" width="12" hidden="1" customWidth="1"/>
    <col min="16" max="16" width="11.33203125" hidden="1" customWidth="1"/>
    <col min="17" max="17" width="11.6640625" hidden="1" customWidth="1"/>
    <col min="18" max="18" width="12.6640625" style="22" hidden="1" customWidth="1"/>
    <col min="19" max="19" width="23.5546875" bestFit="1" customWidth="1"/>
  </cols>
  <sheetData>
    <row r="1" spans="1:18" x14ac:dyDescent="0.25">
      <c r="I1" s="23"/>
      <c r="P1" t="s">
        <v>13</v>
      </c>
      <c r="Q1" s="24">
        <v>0.99</v>
      </c>
    </row>
    <row r="2" spans="1:18" ht="15" thickBot="1" x14ac:dyDescent="0.3"/>
    <row r="3" spans="1:18" ht="15" thickBot="1" x14ac:dyDescent="0.3">
      <c r="B3" s="25" t="s">
        <v>14</v>
      </c>
      <c r="D3" s="291" t="s">
        <v>0</v>
      </c>
      <c r="E3" s="293" t="s">
        <v>15</v>
      </c>
      <c r="F3" s="293" t="s">
        <v>16</v>
      </c>
      <c r="G3" s="295" t="s">
        <v>17</v>
      </c>
      <c r="H3" s="296"/>
      <c r="I3" s="296"/>
      <c r="J3" s="296"/>
      <c r="K3" s="297"/>
      <c r="L3" s="281" t="s">
        <v>18</v>
      </c>
      <c r="M3" s="281"/>
      <c r="N3" s="281"/>
      <c r="O3" s="282"/>
      <c r="P3" s="283" t="s">
        <v>19</v>
      </c>
      <c r="Q3" s="283"/>
      <c r="R3" s="284"/>
    </row>
    <row r="4" spans="1:18" s="27" customFormat="1" ht="43.8" thickBot="1" x14ac:dyDescent="0.3">
      <c r="A4" s="26"/>
      <c r="C4" s="26"/>
      <c r="D4" s="292"/>
      <c r="E4" s="294"/>
      <c r="F4" s="294"/>
      <c r="G4" s="28" t="s">
        <v>20</v>
      </c>
      <c r="H4" s="29" t="s">
        <v>21</v>
      </c>
      <c r="I4" s="30" t="s">
        <v>22</v>
      </c>
      <c r="J4" s="31" t="s">
        <v>23</v>
      </c>
      <c r="K4" s="32" t="s">
        <v>24</v>
      </c>
      <c r="L4" s="33" t="s">
        <v>25</v>
      </c>
      <c r="M4" s="33" t="s">
        <v>26</v>
      </c>
      <c r="N4" s="33" t="s">
        <v>27</v>
      </c>
      <c r="O4" s="34" t="s">
        <v>28</v>
      </c>
      <c r="P4" s="35" t="s">
        <v>14</v>
      </c>
      <c r="Q4" s="35" t="s">
        <v>29</v>
      </c>
      <c r="R4" s="36" t="s">
        <v>30</v>
      </c>
    </row>
    <row r="5" spans="1:18" ht="15" thickBot="1" x14ac:dyDescent="0.3">
      <c r="A5" s="37" t="s">
        <v>31</v>
      </c>
      <c r="B5" s="37" t="s">
        <v>32</v>
      </c>
      <c r="C5" s="37" t="s">
        <v>33</v>
      </c>
      <c r="D5" s="38"/>
      <c r="E5" s="39"/>
      <c r="F5" s="40" t="s">
        <v>34</v>
      </c>
      <c r="G5" s="41" t="s">
        <v>35</v>
      </c>
      <c r="H5" s="42" t="s">
        <v>35</v>
      </c>
      <c r="I5" s="43" t="s">
        <v>35</v>
      </c>
      <c r="J5" s="42" t="s">
        <v>34</v>
      </c>
      <c r="K5" s="44" t="s">
        <v>34</v>
      </c>
      <c r="L5" s="45" t="s">
        <v>35</v>
      </c>
      <c r="M5" s="45" t="s">
        <v>35</v>
      </c>
      <c r="N5" s="45" t="s">
        <v>34</v>
      </c>
      <c r="O5" s="46" t="s">
        <v>34</v>
      </c>
      <c r="P5" s="45" t="s">
        <v>34</v>
      </c>
      <c r="Q5" s="45" t="s">
        <v>34</v>
      </c>
      <c r="R5" s="46" t="s">
        <v>34</v>
      </c>
    </row>
    <row r="6" spans="1:18" x14ac:dyDescent="0.25">
      <c r="A6" s="47">
        <f>185560.6/1000</f>
        <v>185.56059999999999</v>
      </c>
      <c r="B6" s="48" t="e">
        <f>#REF!</f>
        <v>#REF!</v>
      </c>
      <c r="C6" s="49" t="e">
        <f t="shared" ref="C6:C13" si="0">A6/B6</f>
        <v>#REF!</v>
      </c>
      <c r="D6" s="50" t="s">
        <v>1</v>
      </c>
      <c r="E6" s="51">
        <v>41883</v>
      </c>
      <c r="F6" s="58" t="e">
        <f t="shared" ref="F6:F13" si="1">C6</f>
        <v>#REF!</v>
      </c>
      <c r="G6" s="52">
        <v>1348118</v>
      </c>
      <c r="H6" s="53" t="e">
        <f t="shared" ref="H6:H13" si="2">C6*G6</f>
        <v>#REF!</v>
      </c>
      <c r="I6" s="54">
        <v>1685697</v>
      </c>
      <c r="J6" s="67">
        <f t="shared" ref="J6:J13" si="3">I6/G6</f>
        <v>1.250407605268975</v>
      </c>
      <c r="K6" s="68" t="e">
        <f t="shared" ref="K6:K13" si="4">I6/H6</f>
        <v>#REF!</v>
      </c>
      <c r="L6" s="55">
        <f>[1]inputs!G17</f>
        <v>90052.419354838712</v>
      </c>
      <c r="M6" s="55">
        <v>0</v>
      </c>
      <c r="N6" s="56">
        <f t="shared" ref="N6" si="5">I6/(I6+M6)</f>
        <v>1</v>
      </c>
      <c r="O6" s="57">
        <f t="shared" ref="O6" si="6">I6/(I6+L6+M6)</f>
        <v>0.94928765377968904</v>
      </c>
      <c r="P6" s="58" t="e">
        <f t="shared" ref="P6" si="7">H6/G6-1</f>
        <v>#REF!</v>
      </c>
      <c r="Q6" s="58">
        <f t="shared" ref="Q6" si="8">O6-$Q$1</f>
        <v>-4.0712346220310947E-2</v>
      </c>
      <c r="R6" s="59" t="e">
        <f t="shared" ref="R6" si="9">(I6/H6)/(1+Q6)-1</f>
        <v>#REF!</v>
      </c>
    </row>
    <row r="7" spans="1:18" x14ac:dyDescent="0.25">
      <c r="A7" s="47">
        <f>153711.162/1000</f>
        <v>153.711162</v>
      </c>
      <c r="B7" s="48" t="e">
        <f>#REF!</f>
        <v>#REF!</v>
      </c>
      <c r="C7" s="49" t="e">
        <f t="shared" si="0"/>
        <v>#REF!</v>
      </c>
      <c r="D7" s="50" t="s">
        <v>2</v>
      </c>
      <c r="E7" s="51">
        <v>41883</v>
      </c>
      <c r="F7" s="58" t="e">
        <f t="shared" si="1"/>
        <v>#REF!</v>
      </c>
      <c r="G7" s="52">
        <v>1465707</v>
      </c>
      <c r="H7" s="53" t="e">
        <f t="shared" si="2"/>
        <v>#REF!</v>
      </c>
      <c r="I7" s="54">
        <v>1473449</v>
      </c>
      <c r="J7" s="67">
        <f t="shared" si="3"/>
        <v>1.0052820925328185</v>
      </c>
      <c r="K7" s="68" t="e">
        <f t="shared" si="4"/>
        <v>#REF!</v>
      </c>
      <c r="L7" s="55"/>
      <c r="M7" s="55"/>
      <c r="N7" s="56"/>
      <c r="O7" s="57"/>
      <c r="P7" s="58"/>
      <c r="Q7" s="58"/>
      <c r="R7" s="59"/>
    </row>
    <row r="8" spans="1:18" x14ac:dyDescent="0.25">
      <c r="A8" s="47">
        <f>156308.2/1000</f>
        <v>156.3082</v>
      </c>
      <c r="B8" s="48" t="e">
        <f>#REF!</f>
        <v>#REF!</v>
      </c>
      <c r="C8" s="49" t="e">
        <f t="shared" si="0"/>
        <v>#REF!</v>
      </c>
      <c r="D8" s="50" t="s">
        <v>3</v>
      </c>
      <c r="E8" s="51">
        <v>41883</v>
      </c>
      <c r="F8" s="58" t="e">
        <f t="shared" si="1"/>
        <v>#REF!</v>
      </c>
      <c r="G8" s="52">
        <v>1497249</v>
      </c>
      <c r="H8" s="53" t="e">
        <f t="shared" si="2"/>
        <v>#REF!</v>
      </c>
      <c r="I8" s="54">
        <v>1478608</v>
      </c>
      <c r="J8" s="67">
        <f t="shared" si="3"/>
        <v>0.98754983306049959</v>
      </c>
      <c r="K8" s="68" t="e">
        <f t="shared" si="4"/>
        <v>#REF!</v>
      </c>
      <c r="L8" s="55"/>
      <c r="M8" s="55"/>
      <c r="N8" s="56"/>
      <c r="O8" s="57"/>
      <c r="P8" s="58"/>
      <c r="Q8" s="58"/>
      <c r="R8" s="59"/>
    </row>
    <row r="9" spans="1:18" x14ac:dyDescent="0.25">
      <c r="A9" s="47">
        <f>143493/1000</f>
        <v>143.49299999999999</v>
      </c>
      <c r="B9" s="48" t="e">
        <f>#REF!</f>
        <v>#REF!</v>
      </c>
      <c r="C9" s="49" t="e">
        <f t="shared" si="0"/>
        <v>#REF!</v>
      </c>
      <c r="D9" s="50" t="s">
        <v>4</v>
      </c>
      <c r="E9" s="51">
        <v>41883</v>
      </c>
      <c r="F9" s="58" t="e">
        <f t="shared" si="1"/>
        <v>#REF!</v>
      </c>
      <c r="G9" s="52">
        <f>1468*1000*0.985</f>
        <v>1445980</v>
      </c>
      <c r="H9" s="53" t="e">
        <f t="shared" si="2"/>
        <v>#REF!</v>
      </c>
      <c r="I9" s="54">
        <v>1468602</v>
      </c>
      <c r="J9" s="67">
        <f t="shared" si="3"/>
        <v>1.0156447530394612</v>
      </c>
      <c r="K9" s="68" t="e">
        <f t="shared" si="4"/>
        <v>#REF!</v>
      </c>
      <c r="L9" s="55"/>
      <c r="M9" s="55"/>
      <c r="N9" s="56"/>
      <c r="O9" s="57"/>
      <c r="P9" s="58"/>
      <c r="Q9" s="58"/>
      <c r="R9" s="59"/>
    </row>
    <row r="10" spans="1:18" x14ac:dyDescent="0.25">
      <c r="A10" s="47">
        <v>148.47</v>
      </c>
      <c r="B10" s="48" t="e">
        <f>#REF!</f>
        <v>#REF!</v>
      </c>
      <c r="C10" s="49" t="e">
        <f t="shared" si="0"/>
        <v>#REF!</v>
      </c>
      <c r="D10" s="50" t="s">
        <v>5</v>
      </c>
      <c r="E10" s="51">
        <v>41883</v>
      </c>
      <c r="F10" s="58" t="e">
        <f t="shared" si="1"/>
        <v>#REF!</v>
      </c>
      <c r="G10" s="52">
        <v>1559255</v>
      </c>
      <c r="H10" s="53" t="e">
        <f t="shared" si="2"/>
        <v>#REF!</v>
      </c>
      <c r="I10" s="54">
        <v>1495637</v>
      </c>
      <c r="J10" s="67">
        <f t="shared" si="3"/>
        <v>0.95919974603256042</v>
      </c>
      <c r="K10" s="68" t="e">
        <f t="shared" si="4"/>
        <v>#REF!</v>
      </c>
      <c r="L10" s="55"/>
      <c r="M10" s="55"/>
      <c r="N10" s="56"/>
      <c r="O10" s="57"/>
      <c r="P10" s="58"/>
      <c r="Q10" s="58"/>
      <c r="R10" s="59"/>
    </row>
    <row r="11" spans="1:18" x14ac:dyDescent="0.25">
      <c r="A11" s="47">
        <v>153.51</v>
      </c>
      <c r="B11" s="48" t="e">
        <f>#REF!</f>
        <v>#REF!</v>
      </c>
      <c r="C11" s="49" t="e">
        <f t="shared" si="0"/>
        <v>#REF!</v>
      </c>
      <c r="D11" s="50" t="s">
        <v>6</v>
      </c>
      <c r="E11" s="51">
        <v>41883</v>
      </c>
      <c r="F11" s="58" t="e">
        <f t="shared" si="1"/>
        <v>#REF!</v>
      </c>
      <c r="G11" s="52">
        <v>1634115</v>
      </c>
      <c r="H11" s="53" t="e">
        <f t="shared" si="2"/>
        <v>#REF!</v>
      </c>
      <c r="I11" s="54">
        <v>1490946</v>
      </c>
      <c r="J11" s="67">
        <f t="shared" si="3"/>
        <v>0.91238743907252551</v>
      </c>
      <c r="K11" s="68" t="e">
        <f t="shared" si="4"/>
        <v>#REF!</v>
      </c>
      <c r="L11" s="55"/>
      <c r="M11" s="55"/>
      <c r="N11" s="56"/>
      <c r="O11" s="57"/>
      <c r="P11" s="58"/>
      <c r="Q11" s="58"/>
      <c r="R11" s="59"/>
    </row>
    <row r="12" spans="1:18" x14ac:dyDescent="0.25">
      <c r="A12" s="47">
        <v>152.91999999999999</v>
      </c>
      <c r="B12" s="48" t="e">
        <f>#REF!</f>
        <v>#REF!</v>
      </c>
      <c r="C12" s="49" t="e">
        <f t="shared" si="0"/>
        <v>#REF!</v>
      </c>
      <c r="D12" s="50" t="s">
        <v>7</v>
      </c>
      <c r="E12" s="51">
        <v>41883</v>
      </c>
      <c r="F12" s="58" t="e">
        <f t="shared" si="1"/>
        <v>#REF!</v>
      </c>
      <c r="G12" s="52">
        <v>1376765</v>
      </c>
      <c r="H12" s="53" t="e">
        <f t="shared" si="2"/>
        <v>#REF!</v>
      </c>
      <c r="I12" s="54">
        <v>1580789</v>
      </c>
      <c r="J12" s="67">
        <f t="shared" si="3"/>
        <v>1.1481908677225234</v>
      </c>
      <c r="K12" s="68" t="e">
        <f t="shared" si="4"/>
        <v>#REF!</v>
      </c>
      <c r="L12" s="55"/>
      <c r="M12" s="55"/>
      <c r="N12" s="56"/>
      <c r="O12" s="57"/>
      <c r="P12" s="58"/>
      <c r="Q12" s="58"/>
      <c r="R12" s="59"/>
    </row>
    <row r="13" spans="1:18" ht="15" thickBot="1" x14ac:dyDescent="0.3">
      <c r="A13" s="47">
        <v>169.3</v>
      </c>
      <c r="B13" s="48" t="e">
        <f>#REF!</f>
        <v>#REF!</v>
      </c>
      <c r="C13" s="49" t="e">
        <f t="shared" si="0"/>
        <v>#REF!</v>
      </c>
      <c r="D13" s="60" t="s">
        <v>8</v>
      </c>
      <c r="E13" s="61">
        <v>41883</v>
      </c>
      <c r="F13" s="66" t="e">
        <f t="shared" si="1"/>
        <v>#REF!</v>
      </c>
      <c r="G13" s="62">
        <v>1247991</v>
      </c>
      <c r="H13" s="63" t="e">
        <f t="shared" si="2"/>
        <v>#REF!</v>
      </c>
      <c r="I13" s="64">
        <v>1320973</v>
      </c>
      <c r="J13" s="69">
        <f t="shared" si="3"/>
        <v>1.0584795883944675</v>
      </c>
      <c r="K13" s="70" t="e">
        <f t="shared" si="4"/>
        <v>#REF!</v>
      </c>
      <c r="L13" s="55"/>
      <c r="M13" s="55"/>
      <c r="N13" s="56"/>
      <c r="O13" s="57"/>
      <c r="P13" s="58"/>
      <c r="Q13" s="58"/>
      <c r="R13" s="59"/>
    </row>
    <row r="14" spans="1:18" x14ac:dyDescent="0.25">
      <c r="D14" s="285" t="s">
        <v>40</v>
      </c>
      <c r="E14" s="286"/>
      <c r="F14" s="286"/>
      <c r="G14" s="286"/>
      <c r="H14" s="286"/>
      <c r="I14" s="286"/>
      <c r="J14" s="286"/>
      <c r="K14" s="287"/>
    </row>
    <row r="15" spans="1:18" ht="15" thickBot="1" x14ac:dyDescent="0.3">
      <c r="D15" s="288"/>
      <c r="E15" s="289"/>
      <c r="F15" s="289"/>
      <c r="G15" s="289"/>
      <c r="H15" s="289"/>
      <c r="I15" s="289"/>
      <c r="J15" s="289"/>
      <c r="K15" s="290"/>
      <c r="M15" s="23"/>
    </row>
    <row r="18" spans="1:18" x14ac:dyDescent="0.25">
      <c r="O18" s="65" t="e">
        <f>1-#REF!</f>
        <v>#REF!</v>
      </c>
    </row>
    <row r="19" spans="1:18" x14ac:dyDescent="0.25">
      <c r="J19" s="22" t="s">
        <v>36</v>
      </c>
    </row>
    <row r="20" spans="1:18" x14ac:dyDescent="0.25">
      <c r="B20" s="5"/>
    </row>
    <row r="21" spans="1:18" x14ac:dyDescent="0.25">
      <c r="R21" s="22" t="s">
        <v>37</v>
      </c>
    </row>
    <row r="29" spans="1:18" x14ac:dyDescent="0.25">
      <c r="A29" s="37" t="s">
        <v>38</v>
      </c>
      <c r="B29">
        <v>134</v>
      </c>
    </row>
    <row r="30" spans="1:18" x14ac:dyDescent="0.25">
      <c r="A30" s="22" t="s">
        <v>39</v>
      </c>
      <c r="B30" s="5">
        <f>B29*(31-5)/31</f>
        <v>112.38709677419355</v>
      </c>
    </row>
  </sheetData>
  <mergeCells count="7">
    <mergeCell ref="L3:O3"/>
    <mergeCell ref="P3:R3"/>
    <mergeCell ref="D14:K15"/>
    <mergeCell ref="D3:D4"/>
    <mergeCell ref="E3:E4"/>
    <mergeCell ref="F3:F4"/>
    <mergeCell ref="G3:K3"/>
  </mergeCells>
  <phoneticPr fontId="2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E10"/>
  <sheetViews>
    <sheetView zoomScaleNormal="100" workbookViewId="0">
      <selection activeCell="A3" sqref="A3:A10"/>
    </sheetView>
  </sheetViews>
  <sheetFormatPr defaultRowHeight="14.4" x14ac:dyDescent="0.25"/>
  <cols>
    <col min="1" max="1" width="19.109375" customWidth="1"/>
    <col min="2" max="2" width="34.33203125" style="1" customWidth="1"/>
    <col min="3" max="3" width="27.6640625" style="5" customWidth="1"/>
    <col min="4" max="4" width="20" style="3" customWidth="1"/>
    <col min="5" max="5" width="15.109375" style="3" customWidth="1"/>
  </cols>
  <sheetData>
    <row r="1" spans="1:5" ht="15" thickBot="1" x14ac:dyDescent="0.3"/>
    <row r="2" spans="1:5" s="4" customFormat="1" ht="28.8" x14ac:dyDescent="0.25">
      <c r="A2" s="11" t="s">
        <v>0</v>
      </c>
      <c r="B2" s="12" t="s">
        <v>11</v>
      </c>
      <c r="C2" s="13" t="s">
        <v>12</v>
      </c>
      <c r="D2" s="14" t="s">
        <v>10</v>
      </c>
      <c r="E2" s="15" t="s">
        <v>9</v>
      </c>
    </row>
    <row r="3" spans="1:5" x14ac:dyDescent="0.25">
      <c r="A3" s="6" t="s">
        <v>1</v>
      </c>
      <c r="B3" s="9">
        <v>1685697</v>
      </c>
      <c r="C3" s="20" t="e">
        <f>#REF!*1000*0.995*0.995</f>
        <v>#REF!</v>
      </c>
      <c r="D3" s="16" t="e">
        <f>B3/C3</f>
        <v>#REF!</v>
      </c>
      <c r="E3" s="17">
        <v>1.2190000000000001</v>
      </c>
    </row>
    <row r="4" spans="1:5" x14ac:dyDescent="0.25">
      <c r="A4" s="6" t="s">
        <v>2</v>
      </c>
      <c r="B4" s="9">
        <v>1473449</v>
      </c>
      <c r="C4" s="20" t="e">
        <f>#REF!*1000*0.995*0.995</f>
        <v>#REF!</v>
      </c>
      <c r="D4" s="16" t="e">
        <f t="shared" ref="D4:D10" si="0">B4/C4</f>
        <v>#REF!</v>
      </c>
      <c r="E4" s="17">
        <v>1.0269999999999999</v>
      </c>
    </row>
    <row r="5" spans="1:5" x14ac:dyDescent="0.25">
      <c r="A5" s="6" t="s">
        <v>3</v>
      </c>
      <c r="B5" s="9">
        <v>1478608</v>
      </c>
      <c r="C5" s="20" t="e">
        <f>#REF!*1000*0.995</f>
        <v>#REF!</v>
      </c>
      <c r="D5" s="16" t="e">
        <f t="shared" si="0"/>
        <v>#REF!</v>
      </c>
      <c r="E5" s="17">
        <v>0.98680000000000001</v>
      </c>
    </row>
    <row r="6" spans="1:5" x14ac:dyDescent="0.25">
      <c r="A6" s="6" t="s">
        <v>4</v>
      </c>
      <c r="B6" s="9">
        <v>1468602</v>
      </c>
      <c r="C6" s="20" t="e">
        <f>#REF!*1000</f>
        <v>#REF!</v>
      </c>
      <c r="D6" s="16" t="e">
        <f t="shared" si="0"/>
        <v>#REF!</v>
      </c>
      <c r="E6" s="17">
        <v>1.052</v>
      </c>
    </row>
    <row r="7" spans="1:5" x14ac:dyDescent="0.25">
      <c r="A7" s="6" t="s">
        <v>5</v>
      </c>
      <c r="B7" s="9">
        <v>1495637</v>
      </c>
      <c r="C7" s="20" t="e">
        <f>#REF!*1000</f>
        <v>#REF!</v>
      </c>
      <c r="D7" s="16" t="e">
        <f t="shared" si="0"/>
        <v>#REF!</v>
      </c>
      <c r="E7" s="17">
        <v>0.95960000000000001</v>
      </c>
    </row>
    <row r="8" spans="1:5" x14ac:dyDescent="0.25">
      <c r="A8" s="6" t="s">
        <v>6</v>
      </c>
      <c r="B8" s="9">
        <v>1490946</v>
      </c>
      <c r="C8" s="20" t="e">
        <f>#REF!*1000*0.995</f>
        <v>#REF!</v>
      </c>
      <c r="D8" s="16" t="e">
        <f>B8/C8</f>
        <v>#REF!</v>
      </c>
      <c r="E8" s="17">
        <v>0.88749999999999996</v>
      </c>
    </row>
    <row r="9" spans="1:5" x14ac:dyDescent="0.25">
      <c r="A9" s="7" t="s">
        <v>7</v>
      </c>
      <c r="B9" s="9">
        <v>1580789</v>
      </c>
      <c r="C9" s="20" t="e">
        <f>#REF!*1000*0.995*0.995</f>
        <v>#REF!</v>
      </c>
      <c r="D9" s="16" t="e">
        <f t="shared" si="0"/>
        <v>#REF!</v>
      </c>
      <c r="E9" s="17">
        <v>1.1334</v>
      </c>
    </row>
    <row r="10" spans="1:5" ht="15" thickBot="1" x14ac:dyDescent="0.3">
      <c r="A10" s="8" t="s">
        <v>8</v>
      </c>
      <c r="B10" s="10">
        <v>1320973</v>
      </c>
      <c r="C10" s="21" t="e">
        <f>#REF!*0.995*0.995</f>
        <v>#REF!</v>
      </c>
      <c r="D10" s="18" t="e">
        <f t="shared" si="0"/>
        <v>#REF!</v>
      </c>
      <c r="E10" s="19">
        <v>1.0082</v>
      </c>
    </row>
  </sheetData>
  <phoneticPr fontId="2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Hwy 2 and Odessa</vt:lpstr>
      <vt:lpstr>February FireLight Ground Mount</vt:lpstr>
      <vt:lpstr>Sept FireLight Q3</vt:lpstr>
      <vt:lpstr>Erie Ridge Q2</vt:lpstr>
      <vt:lpstr>Firelight Ground Mount</vt:lpstr>
      <vt:lpstr>Ground_Mounts</vt:lpstr>
      <vt:lpstr>'February FireLight Ground Mount'!Print_Area</vt:lpstr>
      <vt:lpstr>'Hwy 2 and Odessa'!Print_Area</vt:lpstr>
      <vt:lpstr>'Sept FireLight Q3'!Print_Area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Jerick Astejada</dc:creator>
  <cp:lastModifiedBy>Corporate Edition</cp:lastModifiedBy>
  <cp:lastPrinted>2015-03-20T20:05:29Z</cp:lastPrinted>
  <dcterms:created xsi:type="dcterms:W3CDTF">2014-10-01T20:46:04Z</dcterms:created>
  <dcterms:modified xsi:type="dcterms:W3CDTF">2017-03-02T03:24:06Z</dcterms:modified>
</cp:coreProperties>
</file>