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G:\내 드라이브\문서\4. 계산\"/>
    </mc:Choice>
  </mc:AlternateContent>
  <bookViews>
    <workbookView xWindow="0" yWindow="0" windowWidth="28800" windowHeight="12285" tabRatio="871"/>
  </bookViews>
  <sheets>
    <sheet name="420" sheetId="4" r:id="rId1"/>
    <sheet name="620" sheetId="23" r:id="rId2"/>
    <sheet name="무볼트" sheetId="5" r:id="rId3"/>
    <sheet name="무볼트 연결" sheetId="20" r:id="rId4"/>
    <sheet name="4,620연결" sheetId="19" r:id="rId5"/>
    <sheet name="무볼트 보강" sheetId="21" r:id="rId6"/>
    <sheet name="한국앵글 발주서" sheetId="9" r:id="rId7"/>
    <sheet name="아라상사" sheetId="11" r:id="rId8"/>
    <sheet name="아라상사 무볼트" sheetId="13" r:id="rId9"/>
    <sheet name="앵글단가" sheetId="18" r:id="rId10"/>
  </sheets>
  <definedNames>
    <definedName name="_xlnm._FilterDatabase" localSheetId="7" hidden="1">아라상사!$L$15:$N$28</definedName>
  </definedNames>
  <calcPr calcId="162913"/>
</workbook>
</file>

<file path=xl/calcChain.xml><?xml version="1.0" encoding="utf-8"?>
<calcChain xmlns="http://schemas.openxmlformats.org/spreadsheetml/2006/main">
  <c r="J24" i="4" l="1"/>
  <c r="J34" i="4"/>
  <c r="P31" i="11" l="1"/>
  <c r="P30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16" i="11"/>
  <c r="J22" i="4" l="1"/>
  <c r="H53" i="5" l="1"/>
  <c r="H52" i="5"/>
  <c r="F60" i="5"/>
  <c r="I22" i="11"/>
  <c r="I25" i="11"/>
  <c r="B25" i="5" l="1"/>
  <c r="B26" i="5"/>
  <c r="M17" i="5"/>
  <c r="L17" i="5"/>
  <c r="K17" i="5"/>
  <c r="J17" i="5"/>
  <c r="I17" i="5"/>
  <c r="I13" i="5"/>
  <c r="I18" i="5"/>
  <c r="C33" i="5" l="1"/>
  <c r="C31" i="5"/>
  <c r="J22" i="23" l="1"/>
  <c r="C32" i="5" l="1"/>
  <c r="Y34" i="19" l="1"/>
  <c r="Y35" i="19"/>
  <c r="Y36" i="19"/>
  <c r="Y37" i="19"/>
  <c r="Y33" i="19"/>
  <c r="S6" i="18" l="1"/>
  <c r="R6" i="18"/>
  <c r="Q6" i="18"/>
  <c r="P6" i="18"/>
  <c r="O6" i="18"/>
  <c r="N6" i="18"/>
  <c r="I43" i="23" l="1"/>
  <c r="I42" i="23"/>
  <c r="I41" i="23"/>
  <c r="I40" i="23"/>
  <c r="J37" i="23"/>
  <c r="M34" i="23" s="1"/>
  <c r="J36" i="23"/>
  <c r="M33" i="23" s="1"/>
  <c r="J34" i="23"/>
  <c r="M31" i="23" s="1"/>
  <c r="J33" i="23"/>
  <c r="J43" i="23" s="1"/>
  <c r="K43" i="23" s="1"/>
  <c r="I33" i="23"/>
  <c r="J32" i="23"/>
  <c r="K32" i="23" s="1"/>
  <c r="I32" i="23"/>
  <c r="J31" i="23"/>
  <c r="I31" i="23"/>
  <c r="J30" i="23"/>
  <c r="K30" i="23" s="1"/>
  <c r="I30" i="23"/>
  <c r="J27" i="23"/>
  <c r="M25" i="23" s="1"/>
  <c r="J26" i="23"/>
  <c r="J24" i="23"/>
  <c r="M22" i="23" s="1"/>
  <c r="J23" i="23"/>
  <c r="I23" i="23"/>
  <c r="K22" i="23"/>
  <c r="I22" i="23"/>
  <c r="J21" i="23"/>
  <c r="J40" i="23" s="1"/>
  <c r="K40" i="23" s="1"/>
  <c r="I21" i="23"/>
  <c r="D17" i="23"/>
  <c r="B17" i="23"/>
  <c r="O16" i="23"/>
  <c r="N16" i="23"/>
  <c r="M16" i="23"/>
  <c r="L16" i="23"/>
  <c r="K16" i="23"/>
  <c r="J16" i="23"/>
  <c r="O15" i="23"/>
  <c r="N15" i="23"/>
  <c r="M15" i="23"/>
  <c r="L15" i="23"/>
  <c r="K15" i="23"/>
  <c r="J15" i="23"/>
  <c r="O14" i="23"/>
  <c r="N14" i="23"/>
  <c r="M14" i="23"/>
  <c r="L14" i="23"/>
  <c r="K14" i="23"/>
  <c r="J14" i="23"/>
  <c r="O13" i="23"/>
  <c r="N13" i="23"/>
  <c r="M13" i="23"/>
  <c r="L13" i="23"/>
  <c r="K13" i="23"/>
  <c r="J13" i="23"/>
  <c r="O12" i="23"/>
  <c r="N12" i="23"/>
  <c r="M12" i="23"/>
  <c r="L12" i="23"/>
  <c r="K12" i="23"/>
  <c r="J12" i="23"/>
  <c r="J46" i="23" l="1"/>
  <c r="J42" i="23"/>
  <c r="K42" i="23" s="1"/>
  <c r="J47" i="23"/>
  <c r="M44" i="23" s="1"/>
  <c r="J35" i="23"/>
  <c r="K35" i="23" s="1"/>
  <c r="K33" i="23"/>
  <c r="J25" i="23"/>
  <c r="M23" i="23" s="1"/>
  <c r="K21" i="23"/>
  <c r="M24" i="23"/>
  <c r="M42" i="23" s="1"/>
  <c r="K23" i="23"/>
  <c r="M41" i="23"/>
  <c r="J41" i="23"/>
  <c r="K41" i="23" s="1"/>
  <c r="K31" i="23"/>
  <c r="K29" i="23" s="1"/>
  <c r="M30" i="23" s="1"/>
  <c r="J44" i="23"/>
  <c r="D30" i="9"/>
  <c r="D31" i="9"/>
  <c r="D32" i="9"/>
  <c r="D33" i="9"/>
  <c r="D34" i="9"/>
  <c r="M32" i="23" l="1"/>
  <c r="K25" i="23"/>
  <c r="K39" i="23"/>
  <c r="K20" i="23"/>
  <c r="M21" i="23" s="1"/>
  <c r="M26" i="23" s="1"/>
  <c r="M27" i="23" s="1"/>
  <c r="N27" i="23" s="1"/>
  <c r="J45" i="23"/>
  <c r="M43" i="23" s="1"/>
  <c r="M35" i="23"/>
  <c r="K45" i="23" l="1"/>
  <c r="N26" i="23"/>
  <c r="E23" i="23" s="1"/>
  <c r="F23" i="23" s="1"/>
  <c r="M40" i="23"/>
  <c r="M45" i="23" s="1"/>
  <c r="C30" i="23"/>
  <c r="D30" i="23" s="1"/>
  <c r="C28" i="23"/>
  <c r="D28" i="23" s="1"/>
  <c r="C29" i="23"/>
  <c r="D29" i="23" s="1"/>
  <c r="C26" i="23"/>
  <c r="D26" i="23" s="1"/>
  <c r="C24" i="23"/>
  <c r="D24" i="23" s="1"/>
  <c r="C23" i="23"/>
  <c r="D23" i="23" s="1"/>
  <c r="C22" i="23"/>
  <c r="D22" i="23" s="1"/>
  <c r="C21" i="23"/>
  <c r="D21" i="23" s="1"/>
  <c r="C27" i="23"/>
  <c r="D27" i="23" s="1"/>
  <c r="C25" i="23"/>
  <c r="D25" i="23" s="1"/>
  <c r="N35" i="23"/>
  <c r="M36" i="23"/>
  <c r="N36" i="23" s="1"/>
  <c r="E28" i="23" l="1"/>
  <c r="F28" i="23" s="1"/>
  <c r="E30" i="23"/>
  <c r="F30" i="23" s="1"/>
  <c r="E27" i="23"/>
  <c r="F27" i="23" s="1"/>
  <c r="E24" i="23"/>
  <c r="F24" i="23" s="1"/>
  <c r="E25" i="23"/>
  <c r="F25" i="23" s="1"/>
  <c r="E22" i="23"/>
  <c r="F22" i="23" s="1"/>
  <c r="E26" i="23"/>
  <c r="F26" i="23" s="1"/>
  <c r="E21" i="23"/>
  <c r="F21" i="23" s="1"/>
  <c r="E29" i="23"/>
  <c r="F29" i="23" s="1"/>
  <c r="C36" i="23"/>
  <c r="D36" i="23" s="1"/>
  <c r="C35" i="23"/>
  <c r="D35" i="23" s="1"/>
  <c r="C38" i="23"/>
  <c r="D38" i="23" s="1"/>
  <c r="C34" i="23"/>
  <c r="D34" i="23" s="1"/>
  <c r="C42" i="23"/>
  <c r="D42" i="23" s="1"/>
  <c r="C37" i="23"/>
  <c r="D37" i="23" s="1"/>
  <c r="C39" i="23"/>
  <c r="D39" i="23" s="1"/>
  <c r="C41" i="23"/>
  <c r="D41" i="23" s="1"/>
  <c r="C40" i="23"/>
  <c r="D40" i="23" s="1"/>
  <c r="C33" i="23"/>
  <c r="D33" i="23" s="1"/>
  <c r="P38" i="23"/>
  <c r="Q38" i="23" s="1"/>
  <c r="P26" i="23"/>
  <c r="Q26" i="23" s="1"/>
  <c r="P35" i="23"/>
  <c r="Q35" i="23" s="1"/>
  <c r="P36" i="23"/>
  <c r="Q36" i="23" s="1"/>
  <c r="P29" i="23"/>
  <c r="Q29" i="23" s="1"/>
  <c r="P22" i="23"/>
  <c r="Q22" i="23" s="1"/>
  <c r="M46" i="23"/>
  <c r="P31" i="23"/>
  <c r="Q31" i="23" s="1"/>
  <c r="P24" i="23"/>
  <c r="Q24" i="23" s="1"/>
  <c r="P34" i="23"/>
  <c r="Q34" i="23" s="1"/>
  <c r="P32" i="23"/>
  <c r="Q32" i="23" s="1"/>
  <c r="P30" i="23"/>
  <c r="Q30" i="23" s="1"/>
  <c r="P37" i="23"/>
  <c r="Q37" i="23" s="1"/>
  <c r="P28" i="23"/>
  <c r="Q28" i="23" s="1"/>
  <c r="P25" i="23"/>
  <c r="Q25" i="23" s="1"/>
  <c r="P27" i="23"/>
  <c r="Q27" i="23" s="1"/>
  <c r="P39" i="23"/>
  <c r="Q39" i="23" s="1"/>
  <c r="P33" i="23"/>
  <c r="Q33" i="23" s="1"/>
  <c r="P23" i="23"/>
  <c r="Q23" i="23" s="1"/>
  <c r="P21" i="23"/>
  <c r="Q21" i="23" s="1"/>
  <c r="E39" i="23"/>
  <c r="F39" i="23" s="1"/>
  <c r="E41" i="23"/>
  <c r="F41" i="23" s="1"/>
  <c r="E36" i="23"/>
  <c r="F36" i="23" s="1"/>
  <c r="E42" i="23"/>
  <c r="F42" i="23" s="1"/>
  <c r="E38" i="23"/>
  <c r="F38" i="23" s="1"/>
  <c r="E34" i="23"/>
  <c r="F34" i="23" s="1"/>
  <c r="E35" i="23"/>
  <c r="F35" i="23" s="1"/>
  <c r="E40" i="23"/>
  <c r="F40" i="23" s="1"/>
  <c r="E33" i="23"/>
  <c r="F33" i="23" s="1"/>
  <c r="E37" i="23"/>
  <c r="F37" i="23" s="1"/>
  <c r="H40" i="21"/>
  <c r="I31" i="21"/>
  <c r="J31" i="21" s="1"/>
  <c r="H31" i="21"/>
  <c r="J23" i="21"/>
  <c r="I23" i="21"/>
  <c r="H23" i="21"/>
  <c r="H39" i="21"/>
  <c r="H38" i="21"/>
  <c r="H37" i="21"/>
  <c r="H36" i="21"/>
  <c r="I33" i="21"/>
  <c r="L30" i="21" s="1"/>
  <c r="I32" i="21"/>
  <c r="L29" i="21" s="1"/>
  <c r="I30" i="21"/>
  <c r="J30" i="21" s="1"/>
  <c r="H30" i="21"/>
  <c r="I29" i="21"/>
  <c r="H29" i="21"/>
  <c r="I28" i="21"/>
  <c r="J28" i="21" s="1"/>
  <c r="H28" i="21"/>
  <c r="I25" i="21"/>
  <c r="L22" i="21" s="1"/>
  <c r="I24" i="21"/>
  <c r="J22" i="21"/>
  <c r="I22" i="21"/>
  <c r="I38" i="21" s="1"/>
  <c r="J38" i="21" s="1"/>
  <c r="H22" i="21"/>
  <c r="I21" i="21"/>
  <c r="J21" i="21" s="1"/>
  <c r="H21" i="21"/>
  <c r="I20" i="21"/>
  <c r="J20" i="21" s="1"/>
  <c r="H20" i="21"/>
  <c r="N17" i="21"/>
  <c r="M17" i="21"/>
  <c r="L17" i="21"/>
  <c r="K17" i="21"/>
  <c r="J17" i="21"/>
  <c r="I17" i="21"/>
  <c r="N16" i="21"/>
  <c r="M16" i="21"/>
  <c r="L16" i="21"/>
  <c r="K16" i="21"/>
  <c r="J16" i="21"/>
  <c r="I16" i="21"/>
  <c r="N15" i="21"/>
  <c r="M15" i="21"/>
  <c r="L15" i="21"/>
  <c r="K15" i="21"/>
  <c r="J15" i="21"/>
  <c r="I15" i="21"/>
  <c r="N14" i="21"/>
  <c r="M14" i="21"/>
  <c r="L14" i="21"/>
  <c r="K14" i="21"/>
  <c r="J14" i="21"/>
  <c r="I14" i="21"/>
  <c r="N13" i="21"/>
  <c r="M13" i="21"/>
  <c r="L13" i="21"/>
  <c r="K13" i="21"/>
  <c r="J13" i="21"/>
  <c r="I13" i="21"/>
  <c r="R37" i="23" l="1"/>
  <c r="S37" i="23" s="1"/>
  <c r="R28" i="23"/>
  <c r="S28" i="23" s="1"/>
  <c r="R25" i="23"/>
  <c r="S25" i="23" s="1"/>
  <c r="R23" i="23"/>
  <c r="S23" i="23" s="1"/>
  <c r="R31" i="23"/>
  <c r="S31" i="23" s="1"/>
  <c r="R24" i="23"/>
  <c r="S24" i="23" s="1"/>
  <c r="R39" i="23"/>
  <c r="S39" i="23" s="1"/>
  <c r="R33" i="23"/>
  <c r="S33" i="23" s="1"/>
  <c r="R26" i="23"/>
  <c r="S26" i="23" s="1"/>
  <c r="R22" i="23"/>
  <c r="S22" i="23" s="1"/>
  <c r="R38" i="23"/>
  <c r="S38" i="23" s="1"/>
  <c r="R35" i="23"/>
  <c r="S35" i="23" s="1"/>
  <c r="R34" i="23"/>
  <c r="S34" i="23" s="1"/>
  <c r="R32" i="23"/>
  <c r="S32" i="23" s="1"/>
  <c r="R30" i="23"/>
  <c r="S30" i="23" s="1"/>
  <c r="R27" i="23"/>
  <c r="S27" i="23" s="1"/>
  <c r="R36" i="23"/>
  <c r="S36" i="23" s="1"/>
  <c r="R29" i="23"/>
  <c r="S29" i="23" s="1"/>
  <c r="R21" i="23"/>
  <c r="S21" i="23" s="1"/>
  <c r="I41" i="21"/>
  <c r="J19" i="21"/>
  <c r="L20" i="21" s="1"/>
  <c r="I37" i="21"/>
  <c r="I36" i="21"/>
  <c r="I40" i="21"/>
  <c r="J40" i="21" s="1"/>
  <c r="I39" i="21"/>
  <c r="J39" i="21" s="1"/>
  <c r="J29" i="21"/>
  <c r="J27" i="21" s="1"/>
  <c r="L28" i="21" s="1"/>
  <c r="L31" i="21" s="1"/>
  <c r="J37" i="21"/>
  <c r="L38" i="21"/>
  <c r="J36" i="21"/>
  <c r="I42" i="21"/>
  <c r="L21" i="21"/>
  <c r="L37" i="21" s="1"/>
  <c r="L32" i="21" l="1"/>
  <c r="M32" i="21" s="1"/>
  <c r="C41" i="21" s="1"/>
  <c r="D41" i="21" s="1"/>
  <c r="M31" i="21"/>
  <c r="E41" i="21" s="1"/>
  <c r="F41" i="21" s="1"/>
  <c r="J35" i="21"/>
  <c r="E40" i="21" l="1"/>
  <c r="F40" i="21" s="1"/>
  <c r="C32" i="21"/>
  <c r="D32" i="21" s="1"/>
  <c r="C33" i="21"/>
  <c r="D33" i="21" s="1"/>
  <c r="C35" i="21"/>
  <c r="D35" i="21" s="1"/>
  <c r="C40" i="21"/>
  <c r="D40" i="21" s="1"/>
  <c r="C36" i="21"/>
  <c r="D36" i="21" s="1"/>
  <c r="C39" i="21"/>
  <c r="D39" i="21" s="1"/>
  <c r="C37" i="21"/>
  <c r="D37" i="21" s="1"/>
  <c r="C38" i="21"/>
  <c r="D38" i="21" s="1"/>
  <c r="E35" i="21"/>
  <c r="F35" i="21" s="1"/>
  <c r="C34" i="21"/>
  <c r="D34" i="21" s="1"/>
  <c r="E36" i="21"/>
  <c r="F36" i="21" s="1"/>
  <c r="E37" i="21"/>
  <c r="F37" i="21" s="1"/>
  <c r="E33" i="21"/>
  <c r="F33" i="21" s="1"/>
  <c r="E38" i="21"/>
  <c r="F38" i="21" s="1"/>
  <c r="E34" i="21"/>
  <c r="F34" i="21" s="1"/>
  <c r="E39" i="21"/>
  <c r="F39" i="21" s="1"/>
  <c r="E32" i="21"/>
  <c r="F32" i="21" s="1"/>
  <c r="L36" i="21"/>
  <c r="L23" i="21"/>
  <c r="C34" i="5"/>
  <c r="F32" i="5" s="1"/>
  <c r="M23" i="21" l="1"/>
  <c r="L39" i="21"/>
  <c r="L24" i="21"/>
  <c r="M24" i="21" s="1"/>
  <c r="E13" i="19"/>
  <c r="C18" i="20"/>
  <c r="C19" i="19"/>
  <c r="C17" i="20"/>
  <c r="E19" i="19"/>
  <c r="H37" i="20"/>
  <c r="H36" i="20"/>
  <c r="H35" i="20"/>
  <c r="H34" i="20"/>
  <c r="H29" i="20"/>
  <c r="H28" i="20"/>
  <c r="H27" i="20"/>
  <c r="H22" i="20"/>
  <c r="H21" i="20"/>
  <c r="H20" i="20"/>
  <c r="N17" i="20"/>
  <c r="M17" i="20"/>
  <c r="L17" i="20"/>
  <c r="K17" i="20"/>
  <c r="J17" i="20"/>
  <c r="I17" i="20"/>
  <c r="N16" i="20"/>
  <c r="M16" i="20"/>
  <c r="L16" i="20"/>
  <c r="K16" i="20"/>
  <c r="J16" i="20"/>
  <c r="I16" i="20"/>
  <c r="N15" i="20"/>
  <c r="M15" i="20"/>
  <c r="L15" i="20"/>
  <c r="K15" i="20"/>
  <c r="J15" i="20"/>
  <c r="I15" i="20"/>
  <c r="N14" i="20"/>
  <c r="M14" i="20"/>
  <c r="L14" i="20"/>
  <c r="K14" i="20"/>
  <c r="J14" i="20"/>
  <c r="I14" i="20"/>
  <c r="N13" i="20"/>
  <c r="M13" i="20"/>
  <c r="L13" i="20"/>
  <c r="K13" i="20"/>
  <c r="J13" i="20"/>
  <c r="I13" i="20"/>
  <c r="C27" i="21" l="1"/>
  <c r="D27" i="21" s="1"/>
  <c r="C26" i="21"/>
  <c r="D26" i="21" s="1"/>
  <c r="C23" i="21"/>
  <c r="D23" i="21" s="1"/>
  <c r="C22" i="21"/>
  <c r="D22" i="21" s="1"/>
  <c r="C21" i="21"/>
  <c r="D21" i="21" s="1"/>
  <c r="C20" i="21"/>
  <c r="D20" i="21" s="1"/>
  <c r="C24" i="21"/>
  <c r="D24" i="21" s="1"/>
  <c r="C29" i="21"/>
  <c r="D29" i="21" s="1"/>
  <c r="C28" i="21"/>
  <c r="D28" i="21" s="1"/>
  <c r="C25" i="21"/>
  <c r="D25" i="21" s="1"/>
  <c r="O25" i="21"/>
  <c r="P25" i="21" s="1"/>
  <c r="O22" i="21"/>
  <c r="P22" i="21" s="1"/>
  <c r="O21" i="21"/>
  <c r="P21" i="21" s="1"/>
  <c r="O20" i="21"/>
  <c r="P20" i="21" s="1"/>
  <c r="O31" i="21"/>
  <c r="P31" i="21" s="1"/>
  <c r="O23" i="21"/>
  <c r="P23" i="21" s="1"/>
  <c r="O37" i="21"/>
  <c r="P37" i="21" s="1"/>
  <c r="O36" i="21"/>
  <c r="P36" i="21" s="1"/>
  <c r="O35" i="21"/>
  <c r="P35" i="21" s="1"/>
  <c r="O34" i="21"/>
  <c r="P34" i="21" s="1"/>
  <c r="O33" i="21"/>
  <c r="P33" i="21" s="1"/>
  <c r="O30" i="21"/>
  <c r="P30" i="21" s="1"/>
  <c r="O24" i="21"/>
  <c r="P24" i="21" s="1"/>
  <c r="O32" i="21"/>
  <c r="P32" i="21" s="1"/>
  <c r="O29" i="21"/>
  <c r="P29" i="21" s="1"/>
  <c r="O28" i="21"/>
  <c r="P28" i="21" s="1"/>
  <c r="O27" i="21"/>
  <c r="P27" i="21" s="1"/>
  <c r="O26" i="21"/>
  <c r="P26" i="21" s="1"/>
  <c r="L40" i="21"/>
  <c r="O38" i="21"/>
  <c r="P38" i="21" s="1"/>
  <c r="E26" i="21"/>
  <c r="F26" i="21" s="1"/>
  <c r="E23" i="21"/>
  <c r="F23" i="21" s="1"/>
  <c r="E22" i="21"/>
  <c r="F22" i="21" s="1"/>
  <c r="E21" i="21"/>
  <c r="F21" i="21" s="1"/>
  <c r="E20" i="21"/>
  <c r="F20" i="21" s="1"/>
  <c r="E24" i="21"/>
  <c r="F24" i="21" s="1"/>
  <c r="E25" i="21"/>
  <c r="F25" i="21" s="1"/>
  <c r="E29" i="21"/>
  <c r="F29" i="21" s="1"/>
  <c r="E28" i="21"/>
  <c r="F28" i="21" s="1"/>
  <c r="E27" i="21"/>
  <c r="F27" i="21" s="1"/>
  <c r="I43" i="19"/>
  <c r="I42" i="19"/>
  <c r="I41" i="19"/>
  <c r="I40" i="19"/>
  <c r="I33" i="19"/>
  <c r="I32" i="19"/>
  <c r="I31" i="19"/>
  <c r="I30" i="19"/>
  <c r="I23" i="19"/>
  <c r="I22" i="19"/>
  <c r="I21" i="19"/>
  <c r="D17" i="19"/>
  <c r="B17" i="19"/>
  <c r="O16" i="19"/>
  <c r="N16" i="19"/>
  <c r="M16" i="19"/>
  <c r="L16" i="19"/>
  <c r="K16" i="19"/>
  <c r="J16" i="19"/>
  <c r="O15" i="19"/>
  <c r="N15" i="19"/>
  <c r="M15" i="19"/>
  <c r="L15" i="19"/>
  <c r="K15" i="19"/>
  <c r="J15" i="19"/>
  <c r="O14" i="19"/>
  <c r="N14" i="19"/>
  <c r="M14" i="19"/>
  <c r="L14" i="19"/>
  <c r="K14" i="19"/>
  <c r="J14" i="19"/>
  <c r="O13" i="19"/>
  <c r="N13" i="19"/>
  <c r="M13" i="19"/>
  <c r="L13" i="19"/>
  <c r="K13" i="19"/>
  <c r="J13" i="19"/>
  <c r="O12" i="19"/>
  <c r="N12" i="19"/>
  <c r="M12" i="19"/>
  <c r="L12" i="19"/>
  <c r="K12" i="19"/>
  <c r="J12" i="19"/>
  <c r="D17" i="4"/>
  <c r="B17" i="4"/>
  <c r="J36" i="4"/>
  <c r="M33" i="4" s="1"/>
  <c r="Q37" i="21" l="1"/>
  <c r="R37" i="21" s="1"/>
  <c r="Q36" i="21"/>
  <c r="R36" i="21" s="1"/>
  <c r="Q35" i="21"/>
  <c r="R35" i="21" s="1"/>
  <c r="Q34" i="21"/>
  <c r="R34" i="21" s="1"/>
  <c r="Q33" i="21"/>
  <c r="R33" i="21" s="1"/>
  <c r="Q30" i="21"/>
  <c r="R30" i="21" s="1"/>
  <c r="Q24" i="21"/>
  <c r="R24" i="21" s="1"/>
  <c r="Q23" i="21"/>
  <c r="R23" i="21" s="1"/>
  <c r="Q29" i="21"/>
  <c r="R29" i="21" s="1"/>
  <c r="Q28" i="21"/>
  <c r="R28" i="21" s="1"/>
  <c r="Q27" i="21"/>
  <c r="R27" i="21" s="1"/>
  <c r="Q26" i="21"/>
  <c r="R26" i="21" s="1"/>
  <c r="Q38" i="21"/>
  <c r="R38" i="21" s="1"/>
  <c r="Q32" i="21"/>
  <c r="R32" i="21" s="1"/>
  <c r="Q25" i="21"/>
  <c r="R25" i="21" s="1"/>
  <c r="Q22" i="21"/>
  <c r="R22" i="21" s="1"/>
  <c r="Q21" i="21"/>
  <c r="R21" i="21" s="1"/>
  <c r="Q20" i="21"/>
  <c r="R20" i="21" s="1"/>
  <c r="Q31" i="21"/>
  <c r="R31" i="21" s="1"/>
  <c r="J36" i="19"/>
  <c r="M33" i="19" s="1"/>
  <c r="J31" i="19"/>
  <c r="K31" i="19" s="1"/>
  <c r="J24" i="19"/>
  <c r="M22" i="19" s="1"/>
  <c r="J23" i="19"/>
  <c r="J21" i="19"/>
  <c r="K21" i="19" s="1"/>
  <c r="J22" i="19"/>
  <c r="J27" i="19"/>
  <c r="M25" i="19" s="1"/>
  <c r="J26" i="19"/>
  <c r="J32" i="19"/>
  <c r="K32" i="19" s="1"/>
  <c r="J33" i="19"/>
  <c r="J43" i="19" s="1"/>
  <c r="K43" i="19" s="1"/>
  <c r="J30" i="19"/>
  <c r="K30" i="19" s="1"/>
  <c r="J34" i="19"/>
  <c r="M31" i="19" s="1"/>
  <c r="J42" i="19" l="1"/>
  <c r="K42" i="19" s="1"/>
  <c r="J41" i="19"/>
  <c r="K41" i="19" s="1"/>
  <c r="K29" i="19"/>
  <c r="M30" i="19" s="1"/>
  <c r="M41" i="19"/>
  <c r="J35" i="19"/>
  <c r="K35" i="19" s="1"/>
  <c r="K23" i="19"/>
  <c r="J46" i="19"/>
  <c r="K22" i="19"/>
  <c r="J44" i="19"/>
  <c r="K33" i="19"/>
  <c r="J40" i="19"/>
  <c r="K40" i="19" s="1"/>
  <c r="J25" i="19"/>
  <c r="K25" i="19" s="1"/>
  <c r="J37" i="19"/>
  <c r="M34" i="19" s="1"/>
  <c r="M24" i="19"/>
  <c r="M42" i="19" s="1"/>
  <c r="K39" i="19" l="1"/>
  <c r="M32" i="19"/>
  <c r="M35" i="19" s="1"/>
  <c r="N35" i="19" s="1"/>
  <c r="K20" i="19"/>
  <c r="M21" i="19" s="1"/>
  <c r="M40" i="19" s="1"/>
  <c r="J47" i="19"/>
  <c r="M44" i="19" s="1"/>
  <c r="J45" i="19"/>
  <c r="M23" i="19"/>
  <c r="M26" i="19" l="1"/>
  <c r="M36" i="19"/>
  <c r="N36" i="19" s="1"/>
  <c r="C40" i="19" s="1"/>
  <c r="D40" i="19" s="1"/>
  <c r="M43" i="19"/>
  <c r="M45" i="19" s="1"/>
  <c r="K45" i="19"/>
  <c r="E39" i="19"/>
  <c r="F39" i="19" s="1"/>
  <c r="E42" i="19"/>
  <c r="F42" i="19" s="1"/>
  <c r="E41" i="19"/>
  <c r="E38" i="19"/>
  <c r="F38" i="19" s="1"/>
  <c r="E34" i="19"/>
  <c r="E33" i="19"/>
  <c r="F33" i="19" s="1"/>
  <c r="E40" i="19"/>
  <c r="F40" i="19" s="1"/>
  <c r="E36" i="19"/>
  <c r="F36" i="19" s="1"/>
  <c r="E35" i="19"/>
  <c r="F35" i="19" s="1"/>
  <c r="E37" i="19"/>
  <c r="F37" i="19" s="1"/>
  <c r="M27" i="19"/>
  <c r="N27" i="19" s="1"/>
  <c r="N26" i="19"/>
  <c r="F34" i="19" l="1"/>
  <c r="C35" i="19"/>
  <c r="D35" i="19" s="1"/>
  <c r="C42" i="19"/>
  <c r="D42" i="19" s="1"/>
  <c r="C33" i="19"/>
  <c r="D33" i="19" s="1"/>
  <c r="C34" i="19"/>
  <c r="D34" i="19" s="1"/>
  <c r="C38" i="19"/>
  <c r="D38" i="19" s="1"/>
  <c r="C41" i="19"/>
  <c r="D41" i="19" s="1"/>
  <c r="C39" i="19"/>
  <c r="D39" i="19" s="1"/>
  <c r="C37" i="19"/>
  <c r="D37" i="19" s="1"/>
  <c r="F41" i="19"/>
  <c r="C36" i="19"/>
  <c r="D36" i="19" s="1"/>
  <c r="P21" i="19"/>
  <c r="Q21" i="19" s="1"/>
  <c r="P32" i="19"/>
  <c r="Q32" i="19" s="1"/>
  <c r="P34" i="19"/>
  <c r="Q34" i="19" s="1"/>
  <c r="P38" i="19"/>
  <c r="Q38" i="19" s="1"/>
  <c r="P27" i="19"/>
  <c r="Q27" i="19" s="1"/>
  <c r="P24" i="19"/>
  <c r="Q24" i="19" s="1"/>
  <c r="P31" i="19"/>
  <c r="Q31" i="19" s="1"/>
  <c r="P22" i="19"/>
  <c r="Q22" i="19" s="1"/>
  <c r="P35" i="19"/>
  <c r="Q35" i="19" s="1"/>
  <c r="P30" i="19"/>
  <c r="Q30" i="19" s="1"/>
  <c r="M46" i="19"/>
  <c r="R39" i="19" s="1"/>
  <c r="S39" i="19" s="1"/>
  <c r="P39" i="19"/>
  <c r="Q39" i="19" s="1"/>
  <c r="P26" i="19"/>
  <c r="Q26" i="19" s="1"/>
  <c r="P23" i="19"/>
  <c r="Q23" i="19" s="1"/>
  <c r="P37" i="19"/>
  <c r="Q37" i="19" s="1"/>
  <c r="P25" i="19"/>
  <c r="Q25" i="19" s="1"/>
  <c r="P33" i="19"/>
  <c r="Q33" i="19" s="1"/>
  <c r="P29" i="19"/>
  <c r="Q29" i="19" s="1"/>
  <c r="P36" i="19"/>
  <c r="Q36" i="19" s="1"/>
  <c r="P28" i="19"/>
  <c r="Q28" i="19" s="1"/>
  <c r="E30" i="19"/>
  <c r="F30" i="19" s="1"/>
  <c r="E24" i="19"/>
  <c r="F24" i="19" s="1"/>
  <c r="E23" i="19"/>
  <c r="F23" i="19" s="1"/>
  <c r="E22" i="19"/>
  <c r="F22" i="19" s="1"/>
  <c r="E21" i="19"/>
  <c r="F21" i="19" s="1"/>
  <c r="E25" i="19"/>
  <c r="F25" i="19" s="1"/>
  <c r="E28" i="19"/>
  <c r="F28" i="19" s="1"/>
  <c r="E29" i="19"/>
  <c r="F29" i="19" s="1"/>
  <c r="E26" i="19"/>
  <c r="F26" i="19" s="1"/>
  <c r="E27" i="19"/>
  <c r="F27" i="19" s="1"/>
  <c r="C27" i="19"/>
  <c r="D27" i="19" s="1"/>
  <c r="C28" i="19"/>
  <c r="D28" i="19" s="1"/>
  <c r="C29" i="19"/>
  <c r="D29" i="19" s="1"/>
  <c r="C26" i="19"/>
  <c r="D26" i="19" s="1"/>
  <c r="C30" i="19"/>
  <c r="D30" i="19" s="1"/>
  <c r="C24" i="19"/>
  <c r="D24" i="19" s="1"/>
  <c r="C23" i="19"/>
  <c r="D23" i="19" s="1"/>
  <c r="C22" i="19"/>
  <c r="D22" i="19" s="1"/>
  <c r="C21" i="19"/>
  <c r="D21" i="19" s="1"/>
  <c r="C25" i="19"/>
  <c r="D25" i="19" s="1"/>
  <c r="R29" i="19" l="1"/>
  <c r="S29" i="19" s="1"/>
  <c r="R30" i="19"/>
  <c r="S30" i="19" s="1"/>
  <c r="R31" i="19"/>
  <c r="S31" i="19" s="1"/>
  <c r="R24" i="19"/>
  <c r="S24" i="19" s="1"/>
  <c r="R38" i="19"/>
  <c r="S38" i="19" s="1"/>
  <c r="R35" i="19"/>
  <c r="S35" i="19" s="1"/>
  <c r="R33" i="19"/>
  <c r="S33" i="19" s="1"/>
  <c r="R21" i="19"/>
  <c r="S21" i="19" s="1"/>
  <c r="R27" i="19"/>
  <c r="S27" i="19" s="1"/>
  <c r="R25" i="19"/>
  <c r="S25" i="19" s="1"/>
  <c r="R37" i="19"/>
  <c r="S37" i="19" s="1"/>
  <c r="R22" i="19"/>
  <c r="S22" i="19" s="1"/>
  <c r="R36" i="19"/>
  <c r="S36" i="19" s="1"/>
  <c r="R28" i="19"/>
  <c r="S28" i="19" s="1"/>
  <c r="R34" i="19"/>
  <c r="S34" i="19" s="1"/>
  <c r="R32" i="19"/>
  <c r="S32" i="19" s="1"/>
  <c r="R23" i="19"/>
  <c r="S23" i="19" s="1"/>
  <c r="R26" i="19"/>
  <c r="S26" i="19" s="1"/>
  <c r="K6" i="18" l="1"/>
  <c r="J6" i="18"/>
  <c r="I6" i="18"/>
  <c r="H6" i="18"/>
  <c r="G6" i="18"/>
  <c r="F6" i="18"/>
  <c r="E6" i="18"/>
  <c r="D6" i="18"/>
  <c r="C6" i="18"/>
  <c r="O7" i="5" l="1"/>
  <c r="B23" i="5" s="1"/>
  <c r="C38" i="5"/>
  <c r="P6" i="5" s="1"/>
  <c r="C22" i="5" l="1"/>
  <c r="D22" i="5" s="1"/>
  <c r="C40" i="5"/>
  <c r="P9" i="5" s="1"/>
  <c r="C39" i="5"/>
  <c r="B39" i="5"/>
  <c r="B37" i="5"/>
  <c r="C37" i="5"/>
  <c r="D37" i="5" s="1"/>
  <c r="B38" i="5"/>
  <c r="D38" i="5"/>
  <c r="C41" i="5"/>
  <c r="F39" i="5" s="1"/>
  <c r="J18" i="5"/>
  <c r="K18" i="5"/>
  <c r="L18" i="5"/>
  <c r="M18" i="5"/>
  <c r="I16" i="5"/>
  <c r="J16" i="5"/>
  <c r="K16" i="5"/>
  <c r="L16" i="5"/>
  <c r="M16" i="5"/>
  <c r="C25" i="5" l="1"/>
  <c r="F22" i="5" s="1"/>
  <c r="F38" i="5"/>
  <c r="P8" i="5"/>
  <c r="D39" i="5"/>
  <c r="D41" i="5" s="1"/>
  <c r="H17" i="13"/>
  <c r="H16" i="13"/>
  <c r="H5" i="13"/>
  <c r="Q8" i="5" l="1"/>
  <c r="C24" i="5"/>
  <c r="D24" i="5" s="1"/>
  <c r="F37" i="5"/>
  <c r="F40" i="5" s="1"/>
  <c r="F41" i="5" s="1"/>
  <c r="M8" i="13"/>
  <c r="O8" i="13" s="1"/>
  <c r="J17" i="13"/>
  <c r="I27" i="13"/>
  <c r="M7" i="13" s="1"/>
  <c r="J5" i="13"/>
  <c r="J16" i="13"/>
  <c r="H26" i="13"/>
  <c r="J26" i="13" s="1"/>
  <c r="H25" i="13"/>
  <c r="J25" i="13" s="1"/>
  <c r="H24" i="13"/>
  <c r="J24" i="13" s="1"/>
  <c r="H23" i="13"/>
  <c r="J23" i="13" s="1"/>
  <c r="H22" i="13"/>
  <c r="J22" i="13" s="1"/>
  <c r="H21" i="13"/>
  <c r="J21" i="13" s="1"/>
  <c r="H20" i="13"/>
  <c r="J20" i="13" s="1"/>
  <c r="H19" i="13"/>
  <c r="J19" i="13" s="1"/>
  <c r="H18" i="13"/>
  <c r="J18" i="13" s="1"/>
  <c r="H15" i="13"/>
  <c r="J15" i="13" s="1"/>
  <c r="H14" i="13"/>
  <c r="J14" i="13" s="1"/>
  <c r="H13" i="13"/>
  <c r="J13" i="13" s="1"/>
  <c r="H12" i="13"/>
  <c r="J12" i="13" s="1"/>
  <c r="H11" i="13"/>
  <c r="J11" i="13" s="1"/>
  <c r="H10" i="13"/>
  <c r="J10" i="13" s="1"/>
  <c r="H9" i="13"/>
  <c r="J9" i="13" s="1"/>
  <c r="H8" i="13"/>
  <c r="J8" i="13" s="1"/>
  <c r="H7" i="13"/>
  <c r="J7" i="13" s="1"/>
  <c r="H6" i="13"/>
  <c r="J6" i="13" s="1"/>
  <c r="D31" i="13"/>
  <c r="D30" i="13"/>
  <c r="D29" i="13"/>
  <c r="D28" i="13"/>
  <c r="D27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C26" i="13" l="1"/>
  <c r="C4" i="13"/>
  <c r="M5" i="13" s="1"/>
  <c r="O5" i="13" s="1"/>
  <c r="J27" i="13"/>
  <c r="O7" i="13" s="1"/>
  <c r="C24" i="11"/>
  <c r="C32" i="11"/>
  <c r="C31" i="11"/>
  <c r="C29" i="11"/>
  <c r="C30" i="11"/>
  <c r="C26" i="11"/>
  <c r="M6" i="13" l="1"/>
  <c r="O6" i="13" s="1"/>
  <c r="O9" i="13" s="1"/>
  <c r="O10" i="13" s="1"/>
  <c r="O11" i="13" s="1"/>
  <c r="N11" i="9" l="1"/>
  <c r="O11" i="9" s="1"/>
  <c r="D6" i="9" l="1"/>
  <c r="H43" i="11" l="1"/>
  <c r="H42" i="11"/>
  <c r="H41" i="11"/>
  <c r="H40" i="11"/>
  <c r="H39" i="11"/>
  <c r="H38" i="11"/>
  <c r="H37" i="11"/>
  <c r="H36" i="11"/>
  <c r="I28" i="11"/>
  <c r="I27" i="11"/>
  <c r="I26" i="11"/>
  <c r="C25" i="11"/>
  <c r="I24" i="11"/>
  <c r="I23" i="11"/>
  <c r="C23" i="11"/>
  <c r="I21" i="11"/>
  <c r="I20" i="11"/>
  <c r="C20" i="11"/>
  <c r="I19" i="11"/>
  <c r="C19" i="11"/>
  <c r="I18" i="11"/>
  <c r="C18" i="11"/>
  <c r="I17" i="11"/>
  <c r="C17" i="11"/>
  <c r="I16" i="11"/>
  <c r="I15" i="11"/>
  <c r="C15" i="11"/>
  <c r="I14" i="11"/>
  <c r="C14" i="11"/>
  <c r="I13" i="11"/>
  <c r="C13" i="11"/>
  <c r="I12" i="11"/>
  <c r="C12" i="11"/>
  <c r="I11" i="11"/>
  <c r="C11" i="11"/>
  <c r="I10" i="11"/>
  <c r="I9" i="11"/>
  <c r="I8" i="11"/>
  <c r="C8" i="11"/>
  <c r="I7" i="11"/>
  <c r="C7" i="11"/>
  <c r="I6" i="11"/>
  <c r="C6" i="11"/>
  <c r="I5" i="11"/>
  <c r="C5" i="11"/>
  <c r="B22" i="11" l="1"/>
  <c r="B16" i="11"/>
  <c r="B10" i="11"/>
  <c r="B4" i="11"/>
  <c r="I29" i="11"/>
  <c r="H33" i="9" l="1"/>
  <c r="H32" i="9"/>
  <c r="H31" i="9"/>
  <c r="H30" i="9"/>
  <c r="D29" i="9"/>
  <c r="C28" i="9" s="1"/>
  <c r="D27" i="9"/>
  <c r="D26" i="9"/>
  <c r="H27" i="9"/>
  <c r="D25" i="9"/>
  <c r="H26" i="9"/>
  <c r="D24" i="9"/>
  <c r="H25" i="9"/>
  <c r="D23" i="9"/>
  <c r="H24" i="9"/>
  <c r="D22" i="9"/>
  <c r="D21" i="9"/>
  <c r="D20" i="9"/>
  <c r="H21" i="9"/>
  <c r="D19" i="9"/>
  <c r="H20" i="9"/>
  <c r="D18" i="9"/>
  <c r="H19" i="9"/>
  <c r="D17" i="9"/>
  <c r="H18" i="9"/>
  <c r="D16" i="9"/>
  <c r="D15" i="9"/>
  <c r="D14" i="9"/>
  <c r="H15" i="9"/>
  <c r="D13" i="9"/>
  <c r="H14" i="9"/>
  <c r="D12" i="9"/>
  <c r="H13" i="9"/>
  <c r="D11" i="9"/>
  <c r="H12" i="9"/>
  <c r="D10" i="9"/>
  <c r="H11" i="9"/>
  <c r="D9" i="9"/>
  <c r="D8" i="9"/>
  <c r="D7" i="9"/>
  <c r="H8" i="9"/>
  <c r="H7" i="9"/>
  <c r="D5" i="9"/>
  <c r="H6" i="9"/>
  <c r="D4" i="9"/>
  <c r="H5" i="9"/>
  <c r="D3" i="9"/>
  <c r="N10" i="9" l="1"/>
  <c r="O10" i="9" s="1"/>
  <c r="N4" i="9"/>
  <c r="O4" i="9" s="1"/>
  <c r="C2" i="9"/>
  <c r="N3" i="9" s="1"/>
  <c r="O3" i="9" s="1"/>
  <c r="G25" i="9"/>
  <c r="N9" i="9" s="1"/>
  <c r="O9" i="9" s="1"/>
  <c r="G9" i="9"/>
  <c r="N6" i="9" s="1"/>
  <c r="O6" i="9" s="1"/>
  <c r="G15" i="9"/>
  <c r="N7" i="9" s="1"/>
  <c r="O7" i="9" s="1"/>
  <c r="G20" i="9"/>
  <c r="G4" i="9"/>
  <c r="N5" i="9" s="1"/>
  <c r="O5" i="9" s="1"/>
  <c r="N8" i="9" l="1"/>
  <c r="O8" i="9" s="1"/>
  <c r="O12" i="9" s="1"/>
  <c r="O13" i="9" s="1"/>
  <c r="O16" i="4" l="1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8" i="5" l="1"/>
  <c r="B24" i="5" s="1"/>
  <c r="O6" i="5"/>
  <c r="B22" i="5" s="1"/>
  <c r="O5" i="5"/>
  <c r="B21" i="5" s="1"/>
  <c r="M15" i="5" l="1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P10" i="5"/>
  <c r="C26" i="5" s="1"/>
  <c r="F23" i="5" s="1"/>
  <c r="P7" i="5"/>
  <c r="C23" i="5" s="1"/>
  <c r="B32" i="5"/>
  <c r="B31" i="5"/>
  <c r="C30" i="5"/>
  <c r="P5" i="5" s="1"/>
  <c r="C21" i="5" s="1"/>
  <c r="D21" i="5" s="1"/>
  <c r="B30" i="5"/>
  <c r="Q7" i="5" l="1"/>
  <c r="D23" i="5"/>
  <c r="D26" i="5" s="1"/>
  <c r="F21" i="5" s="1"/>
  <c r="F24" i="5" s="1"/>
  <c r="F25" i="5" s="1"/>
  <c r="F31" i="5"/>
  <c r="R6" i="5" s="1"/>
  <c r="D32" i="5"/>
  <c r="D31" i="5"/>
  <c r="Q6" i="5" s="1"/>
  <c r="R7" i="5"/>
  <c r="D30" i="5"/>
  <c r="I22" i="5" l="1"/>
  <c r="I28" i="5"/>
  <c r="I34" i="5"/>
  <c r="I21" i="5"/>
  <c r="I23" i="5"/>
  <c r="I29" i="5"/>
  <c r="I35" i="5"/>
  <c r="I32" i="5"/>
  <c r="I27" i="5"/>
  <c r="I39" i="5"/>
  <c r="I24" i="5"/>
  <c r="I30" i="5"/>
  <c r="I36" i="5"/>
  <c r="I25" i="5"/>
  <c r="I31" i="5"/>
  <c r="I37" i="5"/>
  <c r="I26" i="5"/>
  <c r="I38" i="5"/>
  <c r="I33" i="5"/>
  <c r="D34" i="5"/>
  <c r="F30" i="5" s="1"/>
  <c r="R5" i="5" s="1"/>
  <c r="Q5" i="5"/>
  <c r="J27" i="4"/>
  <c r="M25" i="4" s="1"/>
  <c r="J44" i="4"/>
  <c r="M22" i="4"/>
  <c r="J26" i="4"/>
  <c r="J46" i="4" s="1"/>
  <c r="I43" i="4"/>
  <c r="J33" i="4"/>
  <c r="I33" i="4"/>
  <c r="I42" i="4"/>
  <c r="J32" i="4"/>
  <c r="I32" i="4"/>
  <c r="J23" i="4"/>
  <c r="I23" i="4"/>
  <c r="I41" i="4"/>
  <c r="J31" i="4"/>
  <c r="I31" i="4"/>
  <c r="I22" i="4"/>
  <c r="I40" i="4"/>
  <c r="J30" i="4"/>
  <c r="K30" i="4" s="1"/>
  <c r="I30" i="4"/>
  <c r="J21" i="4"/>
  <c r="K21" i="4" s="1"/>
  <c r="I21" i="4"/>
  <c r="M31" i="4" l="1"/>
  <c r="M41" i="4" s="1"/>
  <c r="J25" i="4"/>
  <c r="M23" i="4" s="1"/>
  <c r="K31" i="4"/>
  <c r="J35" i="4"/>
  <c r="M24" i="4"/>
  <c r="Q10" i="5"/>
  <c r="F33" i="5"/>
  <c r="K33" i="4"/>
  <c r="J42" i="4"/>
  <c r="K42" i="4" s="1"/>
  <c r="K23" i="4"/>
  <c r="J40" i="4"/>
  <c r="K40" i="4" s="1"/>
  <c r="K22" i="4"/>
  <c r="K32" i="4"/>
  <c r="J43" i="4"/>
  <c r="K43" i="4" s="1"/>
  <c r="J41" i="4"/>
  <c r="K41" i="4" s="1"/>
  <c r="J37" i="4"/>
  <c r="M34" i="4" s="1"/>
  <c r="R8" i="5" l="1"/>
  <c r="F20" i="5" s="1"/>
  <c r="F34" i="5"/>
  <c r="K35" i="4"/>
  <c r="M32" i="4"/>
  <c r="K29" i="4"/>
  <c r="M30" i="4" s="1"/>
  <c r="M42" i="4"/>
  <c r="K20" i="4"/>
  <c r="M21" i="4" s="1"/>
  <c r="J47" i="4"/>
  <c r="M44" i="4" s="1"/>
  <c r="J45" i="4"/>
  <c r="K25" i="4"/>
  <c r="K39" i="4"/>
  <c r="R9" i="5" l="1"/>
  <c r="K45" i="4"/>
  <c r="M43" i="4"/>
  <c r="M35" i="4"/>
  <c r="M40" i="4"/>
  <c r="M26" i="4"/>
  <c r="N35" i="4" l="1"/>
  <c r="M36" i="4"/>
  <c r="N36" i="4" s="1"/>
  <c r="N26" i="4"/>
  <c r="M27" i="4"/>
  <c r="N27" i="4" s="1"/>
  <c r="K21" i="5"/>
  <c r="M45" i="4"/>
  <c r="M46" i="4" l="1"/>
  <c r="P27" i="4"/>
  <c r="Q27" i="4" s="1"/>
  <c r="P33" i="4"/>
  <c r="Q33" i="4" s="1"/>
  <c r="P39" i="4"/>
  <c r="Q39" i="4" s="1"/>
  <c r="P22" i="4"/>
  <c r="Q22" i="4" s="1"/>
  <c r="P28" i="4"/>
  <c r="Q28" i="4" s="1"/>
  <c r="P34" i="4"/>
  <c r="Q34" i="4" s="1"/>
  <c r="P21" i="4"/>
  <c r="Q21" i="4" s="1"/>
  <c r="P23" i="4"/>
  <c r="Q23" i="4" s="1"/>
  <c r="P29" i="4"/>
  <c r="Q29" i="4" s="1"/>
  <c r="P24" i="4"/>
  <c r="Q24" i="4" s="1"/>
  <c r="P30" i="4"/>
  <c r="Q30" i="4" s="1"/>
  <c r="P36" i="4"/>
  <c r="Q36" i="4" s="1"/>
  <c r="P25" i="4"/>
  <c r="Q25" i="4" s="1"/>
  <c r="P31" i="4"/>
  <c r="Q31" i="4" s="1"/>
  <c r="P37" i="4"/>
  <c r="Q37" i="4" s="1"/>
  <c r="P26" i="4"/>
  <c r="Q26" i="4" s="1"/>
  <c r="P32" i="4"/>
  <c r="Q32" i="4" s="1"/>
  <c r="P38" i="4"/>
  <c r="Q38" i="4" s="1"/>
  <c r="P35" i="4"/>
  <c r="Q35" i="4" s="1"/>
  <c r="C34" i="4"/>
  <c r="D34" i="4" s="1"/>
  <c r="C40" i="4"/>
  <c r="D40" i="4" s="1"/>
  <c r="C41" i="4"/>
  <c r="D41" i="4" s="1"/>
  <c r="C37" i="4"/>
  <c r="D37" i="4" s="1"/>
  <c r="C35" i="4"/>
  <c r="D35" i="4" s="1"/>
  <c r="C36" i="4"/>
  <c r="D36" i="4" s="1"/>
  <c r="C42" i="4"/>
  <c r="D42" i="4" s="1"/>
  <c r="C33" i="4"/>
  <c r="D33" i="4" s="1"/>
  <c r="C38" i="4"/>
  <c r="D38" i="4" s="1"/>
  <c r="C39" i="4"/>
  <c r="D39" i="4" s="1"/>
  <c r="E36" i="4"/>
  <c r="F36" i="4" s="1"/>
  <c r="E42" i="4"/>
  <c r="F42" i="4" s="1"/>
  <c r="E40" i="4"/>
  <c r="F40" i="4" s="1"/>
  <c r="E37" i="4"/>
  <c r="F37" i="4" s="1"/>
  <c r="E33" i="4"/>
  <c r="F33" i="4" s="1"/>
  <c r="E38" i="4"/>
  <c r="F38" i="4" s="1"/>
  <c r="E39" i="4"/>
  <c r="F39" i="4" s="1"/>
  <c r="E34" i="4"/>
  <c r="F34" i="4" s="1"/>
  <c r="E35" i="4"/>
  <c r="F35" i="4" s="1"/>
  <c r="E41" i="4"/>
  <c r="F41" i="4" s="1"/>
  <c r="C22" i="4"/>
  <c r="D22" i="4" s="1"/>
  <c r="C28" i="4"/>
  <c r="D28" i="4" s="1"/>
  <c r="C23" i="4"/>
  <c r="D23" i="4" s="1"/>
  <c r="C29" i="4"/>
  <c r="D29" i="4" s="1"/>
  <c r="C24" i="4"/>
  <c r="D24" i="4" s="1"/>
  <c r="C30" i="4"/>
  <c r="D30" i="4" s="1"/>
  <c r="C27" i="4"/>
  <c r="D27" i="4" s="1"/>
  <c r="C25" i="4"/>
  <c r="D25" i="4" s="1"/>
  <c r="C21" i="4"/>
  <c r="D21" i="4" s="1"/>
  <c r="C26" i="4"/>
  <c r="D26" i="4" s="1"/>
  <c r="E24" i="4"/>
  <c r="F24" i="4" s="1"/>
  <c r="E30" i="4"/>
  <c r="F30" i="4" s="1"/>
  <c r="E25" i="4"/>
  <c r="F25" i="4" s="1"/>
  <c r="E21" i="4"/>
  <c r="F21" i="4" s="1"/>
  <c r="E26" i="4"/>
  <c r="F26" i="4" s="1"/>
  <c r="E23" i="4"/>
  <c r="F23" i="4" s="1"/>
  <c r="E27" i="4"/>
  <c r="F27" i="4" s="1"/>
  <c r="E22" i="4"/>
  <c r="F22" i="4" s="1"/>
  <c r="E28" i="4"/>
  <c r="F28" i="4" s="1"/>
  <c r="E29" i="4"/>
  <c r="F29" i="4" s="1"/>
  <c r="J21" i="5"/>
  <c r="B28" i="11"/>
  <c r="B33" i="11" s="1"/>
  <c r="I33" i="11" s="1"/>
  <c r="I34" i="11" s="1"/>
  <c r="J30" i="5" l="1"/>
  <c r="K30" i="5"/>
  <c r="J37" i="5"/>
  <c r="K37" i="5"/>
  <c r="J22" i="5"/>
  <c r="K22" i="5"/>
  <c r="J34" i="5"/>
  <c r="K34" i="5"/>
  <c r="J24" i="5"/>
  <c r="K24" i="5"/>
  <c r="J38" i="5"/>
  <c r="K38" i="5"/>
  <c r="J35" i="5"/>
  <c r="K35" i="5"/>
  <c r="J39" i="5"/>
  <c r="K39" i="5"/>
  <c r="J28" i="5"/>
  <c r="K28" i="5"/>
  <c r="J33" i="5"/>
  <c r="K33" i="5"/>
  <c r="J31" i="5"/>
  <c r="K31" i="5"/>
  <c r="J32" i="5"/>
  <c r="K32" i="5"/>
  <c r="J29" i="5"/>
  <c r="K29" i="5"/>
  <c r="J25" i="5"/>
  <c r="K25" i="5"/>
  <c r="J26" i="5"/>
  <c r="K26" i="5"/>
  <c r="J23" i="5"/>
  <c r="K23" i="5"/>
  <c r="J36" i="5"/>
  <c r="K36" i="5"/>
  <c r="J27" i="5"/>
  <c r="K27" i="5"/>
  <c r="R25" i="4"/>
  <c r="S25" i="4" s="1"/>
  <c r="R31" i="4"/>
  <c r="S31" i="4" s="1"/>
  <c r="R37" i="4"/>
  <c r="S37" i="4" s="1"/>
  <c r="R26" i="4"/>
  <c r="S26" i="4" s="1"/>
  <c r="R32" i="4"/>
  <c r="S32" i="4" s="1"/>
  <c r="R38" i="4"/>
  <c r="S38" i="4" s="1"/>
  <c r="R27" i="4"/>
  <c r="S27" i="4" s="1"/>
  <c r="R33" i="4"/>
  <c r="S33" i="4" s="1"/>
  <c r="R39" i="4"/>
  <c r="S39" i="4" s="1"/>
  <c r="R22" i="4"/>
  <c r="S22" i="4" s="1"/>
  <c r="R28" i="4"/>
  <c r="S28" i="4" s="1"/>
  <c r="R34" i="4"/>
  <c r="S34" i="4" s="1"/>
  <c r="R21" i="4"/>
  <c r="S21" i="4" s="1"/>
  <c r="R23" i="4"/>
  <c r="S23" i="4" s="1"/>
  <c r="R29" i="4"/>
  <c r="S29" i="4" s="1"/>
  <c r="R35" i="4"/>
  <c r="S35" i="4" s="1"/>
  <c r="R24" i="4"/>
  <c r="S24" i="4" s="1"/>
  <c r="R30" i="4"/>
  <c r="S30" i="4" s="1"/>
  <c r="R36" i="4"/>
  <c r="S36" i="4" s="1"/>
  <c r="I30" i="20"/>
  <c r="L28" i="20" s="1"/>
  <c r="I28" i="20"/>
  <c r="J28" i="20" s="1"/>
  <c r="I29" i="20"/>
  <c r="I37" i="20" s="1"/>
  <c r="J37" i="20" s="1"/>
  <c r="I31" i="20"/>
  <c r="L29" i="20" s="1"/>
  <c r="I27" i="20"/>
  <c r="J27" i="20" s="1"/>
  <c r="I22" i="20"/>
  <c r="I20" i="20"/>
  <c r="J20" i="20" s="1"/>
  <c r="I24" i="20" l="1"/>
  <c r="L22" i="20" s="1"/>
  <c r="L36" i="20" s="1"/>
  <c r="I23" i="20"/>
  <c r="I38" i="20" s="1"/>
  <c r="J29" i="20"/>
  <c r="J26" i="20" s="1"/>
  <c r="L27" i="20" s="1"/>
  <c r="L30" i="20" s="1"/>
  <c r="J34" i="20"/>
  <c r="I36" i="20"/>
  <c r="J36" i="20" s="1"/>
  <c r="J22" i="20"/>
  <c r="I34" i="20"/>
  <c r="I21" i="20"/>
  <c r="I39" i="20"/>
  <c r="L21" i="20" l="1"/>
  <c r="L35" i="20" s="1"/>
  <c r="M30" i="20"/>
  <c r="E35" i="20" s="1"/>
  <c r="F35" i="20" s="1"/>
  <c r="L31" i="20"/>
  <c r="M31" i="20" s="1"/>
  <c r="C38" i="20" s="1"/>
  <c r="D38" i="20" s="1"/>
  <c r="I35" i="20"/>
  <c r="J21" i="20"/>
  <c r="E40" i="20" l="1"/>
  <c r="F40" i="20" s="1"/>
  <c r="E32" i="20"/>
  <c r="F32" i="20" s="1"/>
  <c r="E36" i="20"/>
  <c r="F36" i="20" s="1"/>
  <c r="C40" i="20"/>
  <c r="D40" i="20" s="1"/>
  <c r="C35" i="20"/>
  <c r="D35" i="20" s="1"/>
  <c r="C32" i="20"/>
  <c r="D32" i="20" s="1"/>
  <c r="C37" i="20"/>
  <c r="D37" i="20" s="1"/>
  <c r="C41" i="20"/>
  <c r="D41" i="20" s="1"/>
  <c r="E34" i="20"/>
  <c r="F34" i="20" s="1"/>
  <c r="C34" i="20"/>
  <c r="D34" i="20" s="1"/>
  <c r="E41" i="20"/>
  <c r="F41" i="20" s="1"/>
  <c r="C36" i="20"/>
  <c r="D36" i="20" s="1"/>
  <c r="E37" i="20"/>
  <c r="F37" i="20" s="1"/>
  <c r="E39" i="20"/>
  <c r="F39" i="20" s="1"/>
  <c r="E33" i="20"/>
  <c r="F33" i="20" s="1"/>
  <c r="C39" i="20"/>
  <c r="D39" i="20" s="1"/>
  <c r="C33" i="20"/>
  <c r="D33" i="20" s="1"/>
  <c r="E38" i="20"/>
  <c r="F38" i="20" s="1"/>
  <c r="J35" i="20"/>
  <c r="J19" i="20"/>
  <c r="L20" i="20" l="1"/>
  <c r="J33" i="20"/>
  <c r="L34" i="20" l="1"/>
  <c r="L23" i="20"/>
  <c r="L37" i="20" l="1"/>
  <c r="M23" i="20"/>
  <c r="L24" i="20"/>
  <c r="M24" i="20" s="1"/>
  <c r="C20" i="20" l="1"/>
  <c r="D20" i="20" s="1"/>
  <c r="C28" i="20"/>
  <c r="D28" i="20" s="1"/>
  <c r="C29" i="20"/>
  <c r="D29" i="20" s="1"/>
  <c r="C23" i="20"/>
  <c r="D23" i="20" s="1"/>
  <c r="C27" i="20"/>
  <c r="D27" i="20" s="1"/>
  <c r="C26" i="20"/>
  <c r="D26" i="20" s="1"/>
  <c r="C24" i="20"/>
  <c r="D24" i="20" s="1"/>
  <c r="C22" i="20"/>
  <c r="D22" i="20" s="1"/>
  <c r="C25" i="20"/>
  <c r="D25" i="20" s="1"/>
  <c r="C21" i="20"/>
  <c r="D21" i="20" s="1"/>
  <c r="E22" i="20"/>
  <c r="F22" i="20" s="1"/>
  <c r="E23" i="20"/>
  <c r="F23" i="20" s="1"/>
  <c r="E27" i="20"/>
  <c r="F27" i="20" s="1"/>
  <c r="E21" i="20"/>
  <c r="F21" i="20" s="1"/>
  <c r="E20" i="20"/>
  <c r="F20" i="20" s="1"/>
  <c r="E25" i="20"/>
  <c r="F25" i="20" s="1"/>
  <c r="E29" i="20"/>
  <c r="F29" i="20" s="1"/>
  <c r="E24" i="20"/>
  <c r="F24" i="20" s="1"/>
  <c r="E28" i="20"/>
  <c r="F28" i="20" s="1"/>
  <c r="E26" i="20"/>
  <c r="F26" i="20" s="1"/>
  <c r="O32" i="20"/>
  <c r="P32" i="20" s="1"/>
  <c r="O26" i="20"/>
  <c r="P26" i="20" s="1"/>
  <c r="O35" i="20"/>
  <c r="P35" i="20" s="1"/>
  <c r="O20" i="20"/>
  <c r="P20" i="20" s="1"/>
  <c r="O28" i="20"/>
  <c r="P28" i="20" s="1"/>
  <c r="O27" i="20"/>
  <c r="P27" i="20" s="1"/>
  <c r="O24" i="20"/>
  <c r="P24" i="20" s="1"/>
  <c r="O21" i="20"/>
  <c r="P21" i="20" s="1"/>
  <c r="O34" i="20"/>
  <c r="P34" i="20" s="1"/>
  <c r="O31" i="20"/>
  <c r="P31" i="20" s="1"/>
  <c r="O30" i="20"/>
  <c r="P30" i="20" s="1"/>
  <c r="O36" i="20"/>
  <c r="P36" i="20" s="1"/>
  <c r="O22" i="20"/>
  <c r="P22" i="20" s="1"/>
  <c r="O29" i="20"/>
  <c r="P29" i="20" s="1"/>
  <c r="O23" i="20"/>
  <c r="P23" i="20" s="1"/>
  <c r="O33" i="20"/>
  <c r="P33" i="20" s="1"/>
  <c r="O25" i="20"/>
  <c r="P25" i="20" s="1"/>
  <c r="O37" i="20"/>
  <c r="P37" i="20" s="1"/>
  <c r="O38" i="20"/>
  <c r="P38" i="20" s="1"/>
  <c r="L38" i="20"/>
  <c r="Q25" i="20" l="1"/>
  <c r="R25" i="20" s="1"/>
  <c r="Q26" i="20"/>
  <c r="R26" i="20" s="1"/>
  <c r="Q33" i="20"/>
  <c r="R33" i="20" s="1"/>
  <c r="Q23" i="20"/>
  <c r="R23" i="20" s="1"/>
  <c r="Q35" i="20"/>
  <c r="R35" i="20" s="1"/>
  <c r="Q24" i="20"/>
  <c r="R24" i="20" s="1"/>
  <c r="Q28" i="20"/>
  <c r="R28" i="20" s="1"/>
  <c r="Q36" i="20"/>
  <c r="R36" i="20" s="1"/>
  <c r="Q22" i="20"/>
  <c r="R22" i="20" s="1"/>
  <c r="Q32" i="20"/>
  <c r="R32" i="20" s="1"/>
  <c r="Q27" i="20"/>
  <c r="R27" i="20" s="1"/>
  <c r="Q29" i="20"/>
  <c r="R29" i="20" s="1"/>
  <c r="Q37" i="20"/>
  <c r="R37" i="20" s="1"/>
  <c r="Q30" i="20"/>
  <c r="R30" i="20" s="1"/>
  <c r="Q21" i="20"/>
  <c r="R21" i="20" s="1"/>
  <c r="Q31" i="20"/>
  <c r="R31" i="20" s="1"/>
  <c r="Q38" i="20"/>
  <c r="R38" i="20" s="1"/>
  <c r="Q34" i="20"/>
  <c r="R34" i="20" s="1"/>
  <c r="Q20" i="20"/>
  <c r="R20" i="20" s="1"/>
</calcChain>
</file>

<file path=xl/sharedStrings.xml><?xml version="1.0" encoding="utf-8"?>
<sst xmlns="http://schemas.openxmlformats.org/spreadsheetml/2006/main" count="560" uniqueCount="214">
  <si>
    <t>단</t>
    <phoneticPr fontId="2" type="noConversion"/>
  </si>
  <si>
    <t>가로</t>
    <phoneticPr fontId="2" type="noConversion"/>
  </si>
  <si>
    <t>높이</t>
    <phoneticPr fontId="2" type="noConversion"/>
  </si>
  <si>
    <t>매입가</t>
    <phoneticPr fontId="2" type="noConversion"/>
  </si>
  <si>
    <t>합판9mm</t>
    <phoneticPr fontId="2" type="noConversion"/>
  </si>
  <si>
    <t>합판12mm</t>
    <phoneticPr fontId="2" type="noConversion"/>
  </si>
  <si>
    <t>중고 판매가</t>
    <phoneticPr fontId="2" type="noConversion"/>
  </si>
  <si>
    <t>신품 판매가</t>
    <phoneticPr fontId="2" type="noConversion"/>
  </si>
  <si>
    <t>총 가격</t>
    <phoneticPr fontId="2" type="noConversion"/>
  </si>
  <si>
    <t>세로(폭)</t>
    <phoneticPr fontId="2" type="noConversion"/>
  </si>
  <si>
    <t>판 장당 가격</t>
    <phoneticPr fontId="2" type="noConversion"/>
  </si>
  <si>
    <t>볼트/너트</t>
    <phoneticPr fontId="2" type="noConversion"/>
  </si>
  <si>
    <t>CP</t>
    <phoneticPr fontId="2" type="noConversion"/>
  </si>
  <si>
    <t>판(4*8)</t>
    <phoneticPr fontId="2" type="noConversion"/>
  </si>
  <si>
    <t>앵글(1m)</t>
  </si>
  <si>
    <t>앵글(1m)</t>
    <phoneticPr fontId="2" type="noConversion"/>
  </si>
  <si>
    <t>독립</t>
    <phoneticPr fontId="2" type="noConversion"/>
  </si>
  <si>
    <t>연결</t>
    <phoneticPr fontId="2" type="noConversion"/>
  </si>
  <si>
    <t xml:space="preserve">CP </t>
    <phoneticPr fontId="2" type="noConversion"/>
  </si>
  <si>
    <t>볼트/너트</t>
    <phoneticPr fontId="2" type="noConversion"/>
  </si>
  <si>
    <t>.</t>
    <phoneticPr fontId="2" type="noConversion"/>
  </si>
  <si>
    <t>420백</t>
    <phoneticPr fontId="2" type="noConversion"/>
  </si>
  <si>
    <t>620백</t>
    <phoneticPr fontId="2" type="noConversion"/>
  </si>
  <si>
    <t>420청</t>
    <phoneticPr fontId="2" type="noConversion"/>
  </si>
  <si>
    <t>620청</t>
    <phoneticPr fontId="2" type="noConversion"/>
  </si>
  <si>
    <t>보강당 볼트</t>
    <phoneticPr fontId="2" type="noConversion"/>
  </si>
  <si>
    <t>MDF9mm</t>
    <phoneticPr fontId="2" type="noConversion"/>
  </si>
  <si>
    <t>MDF12mm</t>
    <phoneticPr fontId="2" type="noConversion"/>
  </si>
  <si>
    <t>장수</t>
    <phoneticPr fontId="2" type="noConversion"/>
  </si>
  <si>
    <t>가로</t>
    <phoneticPr fontId="2" type="noConversion"/>
  </si>
  <si>
    <t>깊이</t>
    <phoneticPr fontId="2" type="noConversion"/>
  </si>
  <si>
    <t>430청</t>
    <phoneticPr fontId="2" type="noConversion"/>
  </si>
  <si>
    <t>630청</t>
    <phoneticPr fontId="2" type="noConversion"/>
  </si>
  <si>
    <t>620아연</t>
    <phoneticPr fontId="2" type="noConversion"/>
  </si>
  <si>
    <t>평철 청</t>
    <phoneticPr fontId="2" type="noConversion"/>
  </si>
  <si>
    <t>피치</t>
    <phoneticPr fontId="2" type="noConversion"/>
  </si>
  <si>
    <t>합계</t>
    <phoneticPr fontId="2" type="noConversion"/>
  </si>
  <si>
    <t>안전좌</t>
    <phoneticPr fontId="2" type="noConversion"/>
  </si>
  <si>
    <t>안전좌</t>
    <phoneticPr fontId="2" type="noConversion"/>
  </si>
  <si>
    <t>양면9mm</t>
    <phoneticPr fontId="2" type="noConversion"/>
  </si>
  <si>
    <t>양면12mm</t>
    <phoneticPr fontId="2" type="noConversion"/>
  </si>
  <si>
    <t>안전좌</t>
  </si>
  <si>
    <t>안전좌</t>
    <phoneticPr fontId="2" type="noConversion"/>
  </si>
  <si>
    <t>판재</t>
    <phoneticPr fontId="2" type="noConversion"/>
  </si>
  <si>
    <t>앵글</t>
    <phoneticPr fontId="2" type="noConversion"/>
  </si>
  <si>
    <t>판재</t>
    <phoneticPr fontId="2" type="noConversion"/>
  </si>
  <si>
    <t>연결 단가차이</t>
    <phoneticPr fontId="2" type="noConversion"/>
  </si>
  <si>
    <t>420 청</t>
    <phoneticPr fontId="2" type="noConversion"/>
  </si>
  <si>
    <t>기둥</t>
    <phoneticPr fontId="2" type="noConversion"/>
  </si>
  <si>
    <t>620 청</t>
    <phoneticPr fontId="2" type="noConversion"/>
  </si>
  <si>
    <t>프레임</t>
    <phoneticPr fontId="2" type="noConversion"/>
  </si>
  <si>
    <t>프레임</t>
    <phoneticPr fontId="2" type="noConversion"/>
  </si>
  <si>
    <t>630 청</t>
    <phoneticPr fontId="2" type="noConversion"/>
  </si>
  <si>
    <t>420 아이보리</t>
    <phoneticPr fontId="2" type="noConversion"/>
  </si>
  <si>
    <t>연결</t>
    <phoneticPr fontId="2" type="noConversion"/>
  </si>
  <si>
    <t>620 아이보리</t>
    <phoneticPr fontId="2" type="noConversion"/>
  </si>
  <si>
    <t>비고</t>
    <phoneticPr fontId="2" type="noConversion"/>
  </si>
  <si>
    <t>폴던스 1.6T 아이보리</t>
    <phoneticPr fontId="2" type="noConversion"/>
  </si>
  <si>
    <t>연결1.8T</t>
    <phoneticPr fontId="2" type="noConversion"/>
  </si>
  <si>
    <t>폴던스 1.6T 아이보리</t>
  </si>
  <si>
    <t>가격</t>
    <phoneticPr fontId="2" type="noConversion"/>
  </si>
  <si>
    <t>총계</t>
    <phoneticPr fontId="2" type="noConversion"/>
  </si>
  <si>
    <t>출발전 010-3524-2786 으로 전화주세요</t>
    <phoneticPr fontId="2" type="noConversion"/>
  </si>
  <si>
    <t>420볼트</t>
    <phoneticPr fontId="2" type="noConversion"/>
  </si>
  <si>
    <t>630볼트</t>
    <phoneticPr fontId="2" type="noConversion"/>
  </si>
  <si>
    <t>볼트</t>
    <phoneticPr fontId="2" type="noConversion"/>
  </si>
  <si>
    <t>CP</t>
    <phoneticPr fontId="2" type="noConversion"/>
  </si>
  <si>
    <t>안전좌</t>
    <phoneticPr fontId="2" type="noConversion"/>
  </si>
  <si>
    <t>请 大</t>
    <phoneticPr fontId="2" type="noConversion"/>
  </si>
  <si>
    <t>请 小</t>
    <phoneticPr fontId="2" type="noConversion"/>
  </si>
  <si>
    <t>白 小</t>
    <phoneticPr fontId="2" type="noConversion"/>
  </si>
  <si>
    <t>白 大</t>
    <phoneticPr fontId="2" type="noConversion"/>
  </si>
  <si>
    <t>폴던스 부속</t>
    <phoneticPr fontId="2" type="noConversion"/>
  </si>
  <si>
    <t>높이 조절</t>
    <phoneticPr fontId="2" type="noConversion"/>
  </si>
  <si>
    <t>바퀴브라켓</t>
    <phoneticPr fontId="2" type="noConversion"/>
  </si>
  <si>
    <t>ST International</t>
    <phoneticPr fontId="2" type="noConversion"/>
  </si>
  <si>
    <t>아라상사</t>
    <phoneticPr fontId="2" type="noConversion"/>
  </si>
  <si>
    <t>품목</t>
    <phoneticPr fontId="2" type="noConversion"/>
  </si>
  <si>
    <t>수량</t>
    <phoneticPr fontId="2" type="noConversion"/>
  </si>
  <si>
    <t>금액</t>
    <phoneticPr fontId="2" type="noConversion"/>
  </si>
  <si>
    <t>합계금액</t>
    <phoneticPr fontId="2" type="noConversion"/>
  </si>
  <si>
    <t>420 청</t>
    <phoneticPr fontId="2" type="noConversion"/>
  </si>
  <si>
    <t>볼/너트</t>
    <phoneticPr fontId="2" type="noConversion"/>
  </si>
  <si>
    <t>420볼/너트</t>
    <phoneticPr fontId="2" type="noConversion"/>
  </si>
  <si>
    <t>430볼/너트</t>
    <phoneticPr fontId="2" type="noConversion"/>
  </si>
  <si>
    <t>630볼/너트</t>
    <phoneticPr fontId="2" type="noConversion"/>
  </si>
  <si>
    <t>CP</t>
    <phoneticPr fontId="2" type="noConversion"/>
  </si>
  <si>
    <t>620 청</t>
    <phoneticPr fontId="2" type="noConversion"/>
  </si>
  <si>
    <t>420아</t>
    <phoneticPr fontId="2" type="noConversion"/>
  </si>
  <si>
    <t>420청</t>
    <phoneticPr fontId="2" type="noConversion"/>
  </si>
  <si>
    <t>620아</t>
    <phoneticPr fontId="2" type="noConversion"/>
  </si>
  <si>
    <t>620청</t>
    <phoneticPr fontId="2" type="noConversion"/>
  </si>
  <si>
    <t>안전좌</t>
    <phoneticPr fontId="2" type="noConversion"/>
  </si>
  <si>
    <t>630 청</t>
    <phoneticPr fontId="2" type="noConversion"/>
  </si>
  <si>
    <t>폴던스</t>
    <phoneticPr fontId="2" type="noConversion"/>
  </si>
  <si>
    <t>판재</t>
    <phoneticPr fontId="2" type="noConversion"/>
  </si>
  <si>
    <t>MDF9T</t>
    <phoneticPr fontId="2" type="noConversion"/>
  </si>
  <si>
    <t>420 아</t>
    <phoneticPr fontId="2" type="noConversion"/>
  </si>
  <si>
    <t>MDF12T</t>
    <phoneticPr fontId="2" type="noConversion"/>
  </si>
  <si>
    <t>합판8.5T</t>
    <phoneticPr fontId="2" type="noConversion"/>
  </si>
  <si>
    <t>합판11.5T</t>
    <phoneticPr fontId="2" type="noConversion"/>
  </si>
  <si>
    <t>코팅9T</t>
    <phoneticPr fontId="2" type="noConversion"/>
  </si>
  <si>
    <t>620 아</t>
    <phoneticPr fontId="2" type="noConversion"/>
  </si>
  <si>
    <t>코팅12T</t>
    <phoneticPr fontId="2" type="noConversion"/>
  </si>
  <si>
    <t>비고</t>
    <phoneticPr fontId="2" type="noConversion"/>
  </si>
  <si>
    <t>합계</t>
    <phoneticPr fontId="2" type="noConversion"/>
  </si>
  <si>
    <t>내용</t>
    <phoneticPr fontId="2" type="noConversion"/>
  </si>
  <si>
    <t>폴던스 안전좌</t>
    <phoneticPr fontId="2" type="noConversion"/>
  </si>
  <si>
    <t xml:space="preserve">합계 + 부가세 </t>
    <phoneticPr fontId="2" type="noConversion"/>
  </si>
  <si>
    <t>안전좌</t>
    <phoneticPr fontId="2" type="noConversion"/>
  </si>
  <si>
    <t>총액 A</t>
    <phoneticPr fontId="2" type="noConversion"/>
  </si>
  <si>
    <t>총액 B</t>
    <phoneticPr fontId="2" type="noConversion"/>
  </si>
  <si>
    <t>합계 A+B</t>
    <phoneticPr fontId="2" type="noConversion"/>
  </si>
  <si>
    <t>부가세포함</t>
    <phoneticPr fontId="2" type="noConversion"/>
  </si>
  <si>
    <t>`</t>
    <phoneticPr fontId="2" type="noConversion"/>
  </si>
  <si>
    <t>400
~
1200</t>
    <phoneticPr fontId="2" type="noConversion"/>
  </si>
  <si>
    <t>1300
~
1500</t>
    <phoneticPr fontId="2" type="noConversion"/>
  </si>
  <si>
    <t>4*8 1장 금액</t>
    <phoneticPr fontId="2" type="noConversion"/>
  </si>
  <si>
    <t xml:space="preserve">판재 </t>
    <phoneticPr fontId="2" type="noConversion"/>
  </si>
  <si>
    <t>수량</t>
    <phoneticPr fontId="2" type="noConversion"/>
  </si>
  <si>
    <t>총액</t>
    <phoneticPr fontId="2" type="noConversion"/>
  </si>
  <si>
    <t>십단위 절삭</t>
    <phoneticPr fontId="2" type="noConversion"/>
  </si>
  <si>
    <t>부가세 포함</t>
    <phoneticPr fontId="2" type="noConversion"/>
  </si>
  <si>
    <t>별도 기재</t>
    <phoneticPr fontId="2" type="noConversion"/>
  </si>
  <si>
    <t>무볼트 앵글(기둥, 프레임)</t>
    <phoneticPr fontId="2" type="noConversion"/>
  </si>
  <si>
    <t>종류</t>
    <phoneticPr fontId="2" type="noConversion"/>
  </si>
  <si>
    <t>무볼트 앵글(연결)</t>
    <phoneticPr fontId="2" type="noConversion"/>
  </si>
  <si>
    <t>추가 안전좌</t>
    <phoneticPr fontId="2" type="noConversion"/>
  </si>
  <si>
    <t>아라상사 무볼트앵글 및 판재新品 주문서</t>
    <phoneticPr fontId="2" type="noConversion"/>
  </si>
  <si>
    <t>개당 +300원(m당 아님)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</si>
  <si>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</si>
  <si>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폴던스 1.6T 아이보리</t>
    <phoneticPr fontId="2" type="noConversion"/>
  </si>
  <si>
    <t>ST로 계산서 발행 부탁드립니다</t>
  </si>
  <si>
    <t>독립 수량</t>
    <phoneticPr fontId="2" type="noConversion"/>
  </si>
  <si>
    <t>연결 수량</t>
    <phoneticPr fontId="2" type="noConversion"/>
  </si>
  <si>
    <t>깊이</t>
    <phoneticPr fontId="2" type="noConversion"/>
  </si>
  <si>
    <t>단</t>
    <phoneticPr fontId="2" type="noConversion"/>
  </si>
  <si>
    <t>독립</t>
    <phoneticPr fontId="2" type="noConversion"/>
  </si>
  <si>
    <t>앵글</t>
    <phoneticPr fontId="2" type="noConversion"/>
  </si>
  <si>
    <t>판재</t>
    <phoneticPr fontId="2" type="noConversion"/>
  </si>
  <si>
    <t>안전좌</t>
    <phoneticPr fontId="2" type="noConversion"/>
  </si>
  <si>
    <t>합계</t>
    <phoneticPr fontId="2" type="noConversion"/>
  </si>
  <si>
    <t>판재</t>
    <phoneticPr fontId="2" type="noConversion"/>
  </si>
  <si>
    <t>연결</t>
    <phoneticPr fontId="2" type="noConversion"/>
  </si>
  <si>
    <t>앵글</t>
    <phoneticPr fontId="2" type="noConversion"/>
  </si>
  <si>
    <t>판재</t>
    <phoneticPr fontId="2" type="noConversion"/>
  </si>
  <si>
    <t>안전좌</t>
    <phoneticPr fontId="2" type="noConversion"/>
  </si>
  <si>
    <t>합계</t>
    <phoneticPr fontId="2" type="noConversion"/>
  </si>
  <si>
    <t>안전좌</t>
    <phoneticPr fontId="2" type="noConversion"/>
  </si>
  <si>
    <t>판재</t>
    <phoneticPr fontId="2" type="noConversion"/>
  </si>
  <si>
    <t>안전좌</t>
    <phoneticPr fontId="2" type="noConversion"/>
  </si>
  <si>
    <t>판재</t>
    <phoneticPr fontId="2" type="noConversion"/>
  </si>
  <si>
    <t>안전좌</t>
    <phoneticPr fontId="2" type="noConversion"/>
  </si>
  <si>
    <t>1조당</t>
    <phoneticPr fontId="2" type="noConversion"/>
  </si>
  <si>
    <t>1조당</t>
    <phoneticPr fontId="2" type="noConversion"/>
  </si>
  <si>
    <t>조당</t>
    <phoneticPr fontId="2" type="noConversion"/>
  </si>
  <si>
    <t>합계</t>
    <phoneticPr fontId="2" type="noConversion"/>
  </si>
  <si>
    <t>합계</t>
    <phoneticPr fontId="2" type="noConversion"/>
  </si>
  <si>
    <t>독립 수량</t>
    <phoneticPr fontId="2" type="noConversion"/>
  </si>
  <si>
    <t>연결 수량</t>
    <phoneticPr fontId="2" type="noConversion"/>
  </si>
  <si>
    <t>보강길이</t>
    <phoneticPr fontId="2" type="noConversion"/>
  </si>
  <si>
    <t>보강 개수</t>
    <phoneticPr fontId="2" type="noConversion"/>
  </si>
  <si>
    <t>독립 CP</t>
    <phoneticPr fontId="2" type="noConversion"/>
  </si>
  <si>
    <t>연결 CP</t>
    <phoneticPr fontId="2" type="noConversion"/>
  </si>
  <si>
    <t>CP</t>
    <phoneticPr fontId="2" type="noConversion"/>
  </si>
  <si>
    <t>총 가격</t>
    <phoneticPr fontId="2" type="noConversion"/>
  </si>
  <si>
    <t>독립</t>
    <phoneticPr fontId="2" type="noConversion"/>
  </si>
  <si>
    <t>앵글</t>
    <phoneticPr fontId="2" type="noConversion"/>
  </si>
  <si>
    <t>볼트/너트</t>
    <phoneticPr fontId="2" type="noConversion"/>
  </si>
  <si>
    <t>연결</t>
    <phoneticPr fontId="2" type="noConversion"/>
  </si>
  <si>
    <t>볼트/너트</t>
    <phoneticPr fontId="2" type="noConversion"/>
  </si>
  <si>
    <t>합계</t>
    <phoneticPr fontId="2" type="noConversion"/>
  </si>
  <si>
    <t>판재</t>
    <phoneticPr fontId="2" type="noConversion"/>
  </si>
  <si>
    <t>총 가격</t>
    <phoneticPr fontId="2" type="noConversion"/>
  </si>
  <si>
    <t>조당</t>
    <phoneticPr fontId="2" type="noConversion"/>
  </si>
  <si>
    <t>1조당</t>
    <phoneticPr fontId="2" type="noConversion"/>
  </si>
  <si>
    <t>1조당</t>
    <phoneticPr fontId="2" type="noConversion"/>
  </si>
  <si>
    <t>보강 단가차이</t>
    <phoneticPr fontId="2" type="noConversion"/>
  </si>
  <si>
    <t>부가세포함</t>
    <phoneticPr fontId="2" type="noConversion"/>
  </si>
  <si>
    <t>연결1.8T</t>
  </si>
  <si>
    <t>폴던스 1.8T 아이보리</t>
    <phoneticPr fontId="2" type="noConversion"/>
  </si>
  <si>
    <t>폴던스 1.8T 아이보리</t>
    <phoneticPr fontId="2" type="noConversion"/>
  </si>
  <si>
    <t>화성랙</t>
    <phoneticPr fontId="2" type="noConversion"/>
  </si>
  <si>
    <t>420청</t>
    <phoneticPr fontId="2" type="noConversion"/>
  </si>
  <si>
    <t>보강</t>
    <phoneticPr fontId="2" type="noConversion"/>
  </si>
  <si>
    <t>판</t>
    <phoneticPr fontId="2" type="noConversion"/>
  </si>
  <si>
    <t>3열</t>
    <phoneticPr fontId="2" type="noConversion"/>
  </si>
  <si>
    <t>4열</t>
    <phoneticPr fontId="2" type="noConversion"/>
  </si>
  <si>
    <t>6열</t>
    <phoneticPr fontId="2" type="noConversion"/>
  </si>
  <si>
    <t>판매가</t>
    <phoneticPr fontId="2" type="noConversion"/>
  </si>
  <si>
    <t>연결</t>
    <phoneticPr fontId="2" type="noConversion"/>
  </si>
  <si>
    <t>마진</t>
    <phoneticPr fontId="2" type="noConversion"/>
  </si>
  <si>
    <t>앵글</t>
    <phoneticPr fontId="2" type="noConversion"/>
  </si>
  <si>
    <t>MDF</t>
    <phoneticPr fontId="2" type="noConversion"/>
  </si>
  <si>
    <t>망치</t>
    <phoneticPr fontId="2" type="noConversion"/>
  </si>
  <si>
    <t>연결부속</t>
    <phoneticPr fontId="2" type="noConversion"/>
  </si>
  <si>
    <t>안전좌</t>
    <phoneticPr fontId="2" type="noConversion"/>
  </si>
  <si>
    <t>박스</t>
    <phoneticPr fontId="2" type="noConversion"/>
  </si>
  <si>
    <t>속지</t>
    <phoneticPr fontId="2" type="noConversion"/>
  </si>
  <si>
    <t>1세트당</t>
    <phoneticPr fontId="2" type="noConversion"/>
  </si>
  <si>
    <t>무볼트 박스포장</t>
    <phoneticPr fontId="2" type="noConversion"/>
  </si>
  <si>
    <t>수량</t>
    <phoneticPr fontId="2" type="noConversion"/>
  </si>
  <si>
    <t>종류</t>
    <phoneticPr fontId="2" type="noConversion"/>
  </si>
  <si>
    <t>날짜</t>
    <phoneticPr fontId="2" type="noConversion"/>
  </si>
  <si>
    <t>MDF12T</t>
    <phoneticPr fontId="2" type="noConversion"/>
  </si>
  <si>
    <t>중국산4*8 11.5T</t>
    <phoneticPr fontId="2" type="noConversion"/>
  </si>
  <si>
    <t>MDF 양면9T</t>
    <phoneticPr fontId="2" type="noConversion"/>
  </si>
  <si>
    <t>미얀마3*6 11.5T</t>
    <phoneticPr fontId="2" type="noConversion"/>
  </si>
  <si>
    <t>MDF 양면12T</t>
    <phoneticPr fontId="2" type="noConversion"/>
  </si>
  <si>
    <t>베트남4*8 11.5T</t>
    <phoneticPr fontId="2" type="noConversion"/>
  </si>
  <si>
    <t xml:space="preserve">단가 </t>
    <phoneticPr fontId="2" type="noConversion"/>
  </si>
  <si>
    <t>합계</t>
    <phoneticPr fontId="2" type="noConversion"/>
  </si>
  <si>
    <t>총계</t>
    <phoneticPr fontId="2" type="noConversion"/>
  </si>
  <si>
    <t>부가세포함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</si>
</sst>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42" formatCode="_-&quot;₩&quot;* #,##0_-;\-&quot;₩&quot;* #,##0_-;_-&quot;₩&quot;* &quot;-&quot;_-;_-@_-"/>
    <numFmt numFmtId="41" formatCode="_-* #,##0_-;\-* #,##0_-;_-* &quot;-&quot;_-;_-@_-"/>
    <numFmt numFmtId="176" formatCode="###,###&quot;mm&quot;"/>
    <numFmt numFmtId="177" formatCode="##&quot;단&quot;"/>
    <numFmt numFmtId="178" formatCode="##,###,###&quot;원&quot;"/>
    <numFmt numFmtId="179" formatCode="####&quot;장&quot;"/>
    <numFmt numFmtId="180" formatCode="###,###&quot;개&quot;"/>
    <numFmt numFmtId="181" formatCode="####&quot;앵&quot;&quot;글&quot;"/>
    <numFmt numFmtId="182" formatCode="#,##0.0_ "/>
    <numFmt numFmtId="183" formatCode="&quot;연결&quot;\ ###,###&quot;mm&quot;"/>
    <numFmt numFmtId="184" formatCode="_-* #,##0.0_-;\-* #,##0.0_-;_-* &quot;-&quot;_-;_-@_-"/>
    <numFmt numFmtId="185" formatCode="###,###&quot;m&quot;"/>
    <numFmt numFmtId="186" formatCode="&quot;총 &quot;###,###&quot;m&quot;"/>
    <numFmt numFmtId="187" formatCode="_-* #,##0.00_-;\-* #,##0.00_-;_-* &quot;-&quot;_-;_-@_-"/>
    <numFmt numFmtId="188" formatCode="mm&quot;월&quot;\ dd&quot;일&quot;"/>
    <numFmt numFmtId="189" formatCode="0########.0&quot;m&quot;"/>
    <numFmt numFmtId="190" formatCode="&quot;총 &quot;###,###.0&quot;m&quot;"/>
    <numFmt numFmtId="191" formatCode="_-[$₩-412]* #,##0.0_-;\-[$₩-412]* #,##0.0_-;_-[$₩-412]* &quot;-&quot;??_-;_-@_-"/>
    <numFmt numFmtId="192" formatCode="###,###&quot;원&quot;"/>
    <numFmt numFmtId="193" formatCode="###,###.0&quot;m&quot;"/>
    <numFmt numFmtId="194" formatCode="###,###,###&quot;원&quot;"/>
    <numFmt numFmtId="195" formatCode="&quot;총 &quot;###,###&quot;장&quot;"/>
    <numFmt numFmtId="196" formatCode="###,###&quot;장&quot;"/>
    <numFmt numFmtId="197" formatCode="&quot;총 &quot;###,###&quot;개&quot;"/>
    <numFmt numFmtId="198" formatCode="&quot;총 &quot;###,###.00&quot;m&quot;"/>
    <numFmt numFmtId="199" formatCode="0########.00&quot;m&quot;"/>
    <numFmt numFmtId="200" formatCode="###,###,###&quot;열&quot;"/>
    <numFmt numFmtId="201" formatCode="###,###,###&quot;세트&quot;"/>
    <numFmt numFmtId="202" formatCode="&quot;보강&quot;\ ###,###&quot;mm&quot;"/>
    <numFmt numFmtId="203" formatCode="&quot;기둥 &quot;###,###&quot;mm&quot;"/>
    <numFmt numFmtId="204" formatCode="&quot;프레임 &quot;###,###&quot;mm&quot;"/>
    <numFmt numFmtId="205" formatCode="&quot;연결 프레임 &quot;###,###&quot;mm&quot;"/>
    <numFmt numFmtId="206" formatCode="_-* #,##0_-;\-* #,##0_-;_-* &quot;-&quot;?_-;_-@_-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34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435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178" fontId="0" fillId="0" borderId="1" xfId="1" applyNumberFormat="1" applyFont="1" applyBorder="1">
      <alignment vertical="center"/>
    </xf>
    <xf numFmtId="41" fontId="5" fillId="0" borderId="0" xfId="1" applyFont="1">
      <alignment vertical="center"/>
    </xf>
    <xf numFmtId="41" fontId="0" fillId="0" borderId="4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5" xfId="1" applyFont="1" applyBorder="1">
      <alignment vertical="center"/>
    </xf>
    <xf numFmtId="41" fontId="3" fillId="0" borderId="2" xfId="1" applyFont="1" applyBorder="1">
      <alignment vertical="center"/>
    </xf>
    <xf numFmtId="178" fontId="0" fillId="2" borderId="3" xfId="1" applyNumberFormat="1" applyFont="1" applyFill="1" applyBorder="1">
      <alignment vertical="center"/>
    </xf>
    <xf numFmtId="41" fontId="3" fillId="2" borderId="4" xfId="1" applyFont="1" applyFill="1" applyBorder="1">
      <alignment vertical="center"/>
    </xf>
    <xf numFmtId="41" fontId="3" fillId="2" borderId="6" xfId="1" applyFont="1" applyFill="1" applyBorder="1">
      <alignment vertical="center"/>
    </xf>
    <xf numFmtId="41" fontId="0" fillId="2" borderId="2" xfId="1" applyFont="1" applyFill="1" applyBorder="1" applyAlignment="1">
      <alignment horizontal="left" vertical="center"/>
    </xf>
    <xf numFmtId="176" fontId="0" fillId="2" borderId="3" xfId="1" applyNumberFormat="1" applyFont="1" applyFill="1" applyBorder="1" applyAlignment="1">
      <alignment horizontal="right" vertical="center"/>
    </xf>
    <xf numFmtId="41" fontId="0" fillId="2" borderId="4" xfId="1" applyFont="1" applyFill="1" applyBorder="1" applyAlignment="1">
      <alignment horizontal="left" vertical="center"/>
    </xf>
    <xf numFmtId="41" fontId="0" fillId="0" borderId="7" xfId="1" applyFont="1" applyBorder="1">
      <alignment vertical="center"/>
    </xf>
    <xf numFmtId="41" fontId="0" fillId="0" borderId="16" xfId="1" applyFont="1" applyBorder="1">
      <alignment vertical="center"/>
    </xf>
    <xf numFmtId="41" fontId="0" fillId="0" borderId="0" xfId="1" applyFont="1" applyBorder="1" applyAlignment="1">
      <alignment horizontal="right" vertical="center"/>
    </xf>
    <xf numFmtId="41" fontId="6" fillId="0" borderId="0" xfId="1" applyFont="1" applyBorder="1">
      <alignment vertical="center"/>
    </xf>
    <xf numFmtId="41" fontId="4" fillId="2" borderId="4" xfId="1" applyFont="1" applyFill="1" applyBorder="1">
      <alignment vertical="center"/>
    </xf>
    <xf numFmtId="180" fontId="0" fillId="2" borderId="5" xfId="1" applyNumberFormat="1" applyFont="1" applyFill="1" applyBorder="1" applyAlignment="1">
      <alignment horizontal="right" vertical="center"/>
    </xf>
    <xf numFmtId="41" fontId="4" fillId="0" borderId="16" xfId="1" applyFont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" fontId="0" fillId="0" borderId="8" xfId="0" applyNumberFormat="1" applyBorder="1">
      <alignment vertical="center"/>
    </xf>
    <xf numFmtId="1" fontId="0" fillId="0" borderId="3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2" xfId="0" applyFont="1" applyBorder="1">
      <alignment vertical="center"/>
    </xf>
    <xf numFmtId="0" fontId="7" fillId="0" borderId="30" xfId="0" applyFont="1" applyBorder="1">
      <alignment vertical="center"/>
    </xf>
    <xf numFmtId="0" fontId="7" fillId="3" borderId="22" xfId="0" applyFont="1" applyFill="1" applyBorder="1">
      <alignment vertical="center"/>
    </xf>
    <xf numFmtId="0" fontId="7" fillId="3" borderId="28" xfId="0" applyFont="1" applyFill="1" applyBorder="1">
      <alignment vertical="center"/>
    </xf>
    <xf numFmtId="41" fontId="3" fillId="0" borderId="20" xfId="1" applyFont="1" applyBorder="1">
      <alignment vertical="center"/>
    </xf>
    <xf numFmtId="41" fontId="0" fillId="0" borderId="20" xfId="1" applyFont="1" applyBorder="1">
      <alignment vertical="center"/>
    </xf>
    <xf numFmtId="41" fontId="3" fillId="0" borderId="14" xfId="1" applyFont="1" applyBorder="1">
      <alignment vertical="center"/>
    </xf>
    <xf numFmtId="41" fontId="4" fillId="4" borderId="8" xfId="1" applyFont="1" applyFill="1" applyBorder="1" applyAlignment="1">
      <alignment horizontal="right" vertical="center"/>
    </xf>
    <xf numFmtId="41" fontId="0" fillId="5" borderId="8" xfId="1" applyFont="1" applyFill="1" applyBorder="1" applyAlignment="1">
      <alignment horizontal="right" vertical="center"/>
    </xf>
    <xf numFmtId="41" fontId="0" fillId="4" borderId="8" xfId="1" applyFont="1" applyFill="1" applyBorder="1">
      <alignment vertical="center"/>
    </xf>
    <xf numFmtId="41" fontId="0" fillId="4" borderId="26" xfId="1" applyFont="1" applyFill="1" applyBorder="1">
      <alignment vertical="center"/>
    </xf>
    <xf numFmtId="1" fontId="0" fillId="6" borderId="2" xfId="0" applyNumberFormat="1" applyFill="1" applyBorder="1">
      <alignment vertical="center"/>
    </xf>
    <xf numFmtId="1" fontId="0" fillId="6" borderId="4" xfId="0" applyNumberFormat="1" applyFill="1" applyBorder="1">
      <alignment vertical="center"/>
    </xf>
    <xf numFmtId="1" fontId="0" fillId="6" borderId="8" xfId="0" applyNumberFormat="1" applyFill="1" applyBorder="1">
      <alignment vertical="center"/>
    </xf>
    <xf numFmtId="1" fontId="0" fillId="6" borderId="1" xfId="0" applyNumberFormat="1" applyFill="1" applyBorder="1">
      <alignment vertical="center"/>
    </xf>
    <xf numFmtId="41" fontId="1" fillId="0" borderId="0" xfId="1" applyFont="1">
      <alignment vertical="center"/>
    </xf>
    <xf numFmtId="41" fontId="3" fillId="0" borderId="3" xfId="1" applyFont="1" applyBorder="1">
      <alignment vertical="center"/>
    </xf>
    <xf numFmtId="178" fontId="0" fillId="2" borderId="5" xfId="1" applyNumberFormat="1" applyFont="1" applyFill="1" applyBorder="1">
      <alignment vertical="center"/>
    </xf>
    <xf numFmtId="178" fontId="0" fillId="2" borderId="7" xfId="1" applyNumberFormat="1" applyFont="1" applyFill="1" applyBorder="1">
      <alignment vertical="center"/>
    </xf>
    <xf numFmtId="178" fontId="0" fillId="2" borderId="44" xfId="1" applyNumberFormat="1" applyFont="1" applyFill="1" applyBorder="1">
      <alignment vertical="center"/>
    </xf>
    <xf numFmtId="0" fontId="7" fillId="8" borderId="30" xfId="0" applyFont="1" applyFill="1" applyBorder="1">
      <alignment vertical="center"/>
    </xf>
    <xf numFmtId="1" fontId="0" fillId="8" borderId="4" xfId="0" applyNumberFormat="1" applyFill="1" applyBorder="1">
      <alignment vertical="center"/>
    </xf>
    <xf numFmtId="1" fontId="0" fillId="8" borderId="1" xfId="0" applyNumberFormat="1" applyFill="1" applyBorder="1">
      <alignment vertical="center"/>
    </xf>
    <xf numFmtId="1" fontId="0" fillId="8" borderId="5" xfId="0" applyNumberFormat="1" applyFill="1" applyBorder="1">
      <alignment vertical="center"/>
    </xf>
    <xf numFmtId="0" fontId="7" fillId="8" borderId="33" xfId="0" applyFont="1" applyFill="1" applyBorder="1">
      <alignment vertical="center"/>
    </xf>
    <xf numFmtId="1" fontId="0" fillId="8" borderId="6" xfId="0" applyNumberFormat="1" applyFill="1" applyBorder="1">
      <alignment vertical="center"/>
    </xf>
    <xf numFmtId="1" fontId="0" fillId="8" borderId="9" xfId="0" applyNumberFormat="1" applyFill="1" applyBorder="1">
      <alignment vertical="center"/>
    </xf>
    <xf numFmtId="1" fontId="0" fillId="8" borderId="7" xfId="0" applyNumberFormat="1" applyFill="1" applyBorder="1">
      <alignment vertical="center"/>
    </xf>
    <xf numFmtId="0" fontId="3" fillId="0" borderId="0" xfId="0" applyFont="1">
      <alignment vertical="center"/>
    </xf>
    <xf numFmtId="176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185" fontId="0" fillId="0" borderId="0" xfId="0" applyNumberFormat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176" fontId="0" fillId="0" borderId="0" xfId="1" applyNumberFormat="1" applyFont="1" applyBorder="1" applyAlignment="1">
      <alignment horizontal="right" vertical="center"/>
    </xf>
    <xf numFmtId="180" fontId="0" fillId="0" borderId="0" xfId="1" applyNumberFormat="1" applyFont="1" applyBorder="1">
      <alignment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176" fontId="0" fillId="0" borderId="1" xfId="1" applyNumberFormat="1" applyFont="1" applyFill="1" applyBorder="1" applyAlignment="1">
      <alignment horizontal="right" vertical="center"/>
    </xf>
    <xf numFmtId="176" fontId="10" fillId="0" borderId="1" xfId="1" applyNumberFormat="1" applyFont="1" applyFill="1" applyBorder="1" applyAlignment="1">
      <alignment horizontal="right" vertical="center"/>
    </xf>
    <xf numFmtId="41" fontId="10" fillId="0" borderId="1" xfId="1" applyFont="1" applyFill="1" applyBorder="1">
      <alignment vertical="center"/>
    </xf>
    <xf numFmtId="176" fontId="8" fillId="0" borderId="0" xfId="1" applyNumberFormat="1" applyFont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 applyAlignment="1">
      <alignment horizontal="right" vertical="center"/>
    </xf>
    <xf numFmtId="41" fontId="0" fillId="0" borderId="42" xfId="1" applyFont="1" applyBorder="1">
      <alignment vertical="center"/>
    </xf>
    <xf numFmtId="176" fontId="4" fillId="0" borderId="1" xfId="0" applyNumberFormat="1" applyFont="1" applyFill="1" applyBorder="1" applyAlignment="1">
      <alignment horizontal="right" vertical="center"/>
    </xf>
    <xf numFmtId="41" fontId="4" fillId="0" borderId="1" xfId="1" applyFont="1" applyBorder="1">
      <alignment vertical="center"/>
    </xf>
    <xf numFmtId="188" fontId="0" fillId="0" borderId="0" xfId="1" applyNumberFormat="1" applyFont="1">
      <alignment vertical="center"/>
    </xf>
    <xf numFmtId="0" fontId="0" fillId="0" borderId="54" xfId="0" applyBorder="1">
      <alignment vertical="center"/>
    </xf>
    <xf numFmtId="176" fontId="0" fillId="0" borderId="54" xfId="0" applyNumberFormat="1" applyBorder="1" applyAlignment="1">
      <alignment horizontal="right" vertical="center"/>
    </xf>
    <xf numFmtId="180" fontId="0" fillId="0" borderId="54" xfId="0" applyNumberFormat="1" applyBorder="1">
      <alignment vertical="center"/>
    </xf>
    <xf numFmtId="185" fontId="0" fillId="0" borderId="55" xfId="0" applyNumberFormat="1" applyBorder="1">
      <alignment vertical="center"/>
    </xf>
    <xf numFmtId="0" fontId="0" fillId="0" borderId="19" xfId="0" applyBorder="1">
      <alignment vertical="center"/>
    </xf>
    <xf numFmtId="180" fontId="0" fillId="0" borderId="0" xfId="0" applyNumberFormat="1" applyBorder="1">
      <alignment vertical="center"/>
    </xf>
    <xf numFmtId="185" fontId="0" fillId="0" borderId="0" xfId="0" applyNumberFormat="1" applyBorder="1">
      <alignment vertical="center"/>
    </xf>
    <xf numFmtId="185" fontId="0" fillId="0" borderId="24" xfId="0" applyNumberFormat="1" applyBorder="1">
      <alignment vertical="center"/>
    </xf>
    <xf numFmtId="0" fontId="0" fillId="0" borderId="47" xfId="0" applyBorder="1">
      <alignment vertical="center"/>
    </xf>
    <xf numFmtId="0" fontId="0" fillId="0" borderId="53" xfId="0" applyBorder="1">
      <alignment vertical="center"/>
    </xf>
    <xf numFmtId="176" fontId="0" fillId="0" borderId="53" xfId="0" applyNumberFormat="1" applyBorder="1" applyAlignment="1">
      <alignment horizontal="right" vertical="center"/>
    </xf>
    <xf numFmtId="180" fontId="0" fillId="0" borderId="53" xfId="0" applyNumberFormat="1" applyBorder="1">
      <alignment vertical="center"/>
    </xf>
    <xf numFmtId="185" fontId="0" fillId="0" borderId="53" xfId="0" applyNumberFormat="1" applyBorder="1">
      <alignment vertical="center"/>
    </xf>
    <xf numFmtId="185" fontId="0" fillId="0" borderId="56" xfId="0" applyNumberFormat="1" applyBorder="1">
      <alignment vertical="center"/>
    </xf>
    <xf numFmtId="176" fontId="0" fillId="9" borderId="1" xfId="1" applyNumberFormat="1" applyFont="1" applyFill="1" applyBorder="1" applyAlignment="1">
      <alignment horizontal="right" vertical="center"/>
    </xf>
    <xf numFmtId="176" fontId="0" fillId="10" borderId="1" xfId="1" applyNumberFormat="1" applyFont="1" applyFill="1" applyBorder="1" applyAlignment="1">
      <alignment horizontal="right" vertical="center"/>
    </xf>
    <xf numFmtId="0" fontId="0" fillId="10" borderId="1" xfId="0" applyFill="1" applyBorder="1">
      <alignment vertical="center"/>
    </xf>
    <xf numFmtId="176" fontId="0" fillId="10" borderId="1" xfId="0" applyNumberFormat="1" applyFill="1" applyBorder="1" applyAlignment="1">
      <alignment horizontal="right" vertical="center"/>
    </xf>
    <xf numFmtId="0" fontId="0" fillId="0" borderId="54" xfId="0" applyBorder="1" applyAlignment="1">
      <alignment horizontal="right" vertical="center"/>
    </xf>
    <xf numFmtId="180" fontId="3" fillId="0" borderId="19" xfId="0" applyNumberFormat="1" applyFont="1" applyBorder="1">
      <alignment vertical="center"/>
    </xf>
    <xf numFmtId="180" fontId="3" fillId="0" borderId="0" xfId="0" applyNumberFormat="1" applyFont="1" applyBorder="1">
      <alignment vertical="center"/>
    </xf>
    <xf numFmtId="180" fontId="3" fillId="0" borderId="31" xfId="0" applyNumberFormat="1" applyFont="1" applyBorder="1">
      <alignment vertical="center"/>
    </xf>
    <xf numFmtId="186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89" fontId="0" fillId="0" borderId="0" xfId="0" applyNumberFormat="1">
      <alignment vertical="center"/>
    </xf>
    <xf numFmtId="190" fontId="0" fillId="10" borderId="1" xfId="0" applyNumberFormat="1" applyFill="1" applyBorder="1">
      <alignment vertical="center"/>
    </xf>
    <xf numFmtId="190" fontId="0" fillId="9" borderId="1" xfId="1" applyNumberFormat="1" applyFont="1" applyFill="1" applyBorder="1">
      <alignment vertical="center"/>
    </xf>
    <xf numFmtId="190" fontId="0" fillId="10" borderId="1" xfId="1" applyNumberFormat="1" applyFont="1" applyFill="1" applyBorder="1">
      <alignment vertical="center"/>
    </xf>
    <xf numFmtId="190" fontId="0" fillId="0" borderId="0" xfId="0" applyNumberFormat="1">
      <alignment vertical="center"/>
    </xf>
    <xf numFmtId="41" fontId="3" fillId="0" borderId="8" xfId="1" applyFont="1" applyBorder="1">
      <alignment vertical="center"/>
    </xf>
    <xf numFmtId="42" fontId="0" fillId="4" borderId="1" xfId="2" applyFont="1" applyFill="1" applyBorder="1">
      <alignment vertical="center"/>
    </xf>
    <xf numFmtId="42" fontId="0" fillId="5" borderId="1" xfId="2" applyFont="1" applyFill="1" applyBorder="1">
      <alignment vertical="center"/>
    </xf>
    <xf numFmtId="42" fontId="0" fillId="4" borderId="27" xfId="2" applyFont="1" applyFill="1" applyBorder="1">
      <alignment vertical="center"/>
    </xf>
    <xf numFmtId="42" fontId="0" fillId="4" borderId="9" xfId="2" applyFont="1" applyFill="1" applyBorder="1">
      <alignment vertical="center"/>
    </xf>
    <xf numFmtId="42" fontId="0" fillId="5" borderId="9" xfId="2" applyFont="1" applyFill="1" applyBorder="1">
      <alignment vertical="center"/>
    </xf>
    <xf numFmtId="42" fontId="0" fillId="4" borderId="7" xfId="2" applyFont="1" applyFill="1" applyBorder="1">
      <alignment vertical="center"/>
    </xf>
    <xf numFmtId="42" fontId="0" fillId="4" borderId="42" xfId="2" applyFont="1" applyFill="1" applyBorder="1">
      <alignment vertical="center"/>
    </xf>
    <xf numFmtId="41" fontId="4" fillId="4" borderId="15" xfId="1" applyFont="1" applyFill="1" applyBorder="1" applyAlignment="1">
      <alignment horizontal="right" vertical="center"/>
    </xf>
    <xf numFmtId="42" fontId="0" fillId="4" borderId="16" xfId="2" applyFont="1" applyFill="1" applyBorder="1">
      <alignment vertical="center"/>
    </xf>
    <xf numFmtId="42" fontId="0" fillId="4" borderId="57" xfId="2" applyFont="1" applyFill="1" applyBorder="1">
      <alignment vertical="center"/>
    </xf>
    <xf numFmtId="41" fontId="3" fillId="0" borderId="15" xfId="1" applyFont="1" applyBorder="1">
      <alignment vertical="center"/>
    </xf>
    <xf numFmtId="41" fontId="0" fillId="0" borderId="39" xfId="1" applyFont="1" applyBorder="1">
      <alignment vertical="center"/>
    </xf>
    <xf numFmtId="41" fontId="0" fillId="0" borderId="45" xfId="1" applyFont="1" applyBorder="1">
      <alignment vertical="center"/>
    </xf>
    <xf numFmtId="41" fontId="0" fillId="0" borderId="40" xfId="1" applyFont="1" applyBorder="1">
      <alignment vertical="center"/>
    </xf>
    <xf numFmtId="42" fontId="0" fillId="0" borderId="16" xfId="2" applyFont="1" applyBorder="1">
      <alignment vertical="center"/>
    </xf>
    <xf numFmtId="42" fontId="0" fillId="0" borderId="1" xfId="2" applyFont="1" applyBorder="1">
      <alignment vertical="center"/>
    </xf>
    <xf numFmtId="42" fontId="0" fillId="0" borderId="5" xfId="2" applyFont="1" applyBorder="1">
      <alignment vertical="center"/>
    </xf>
    <xf numFmtId="42" fontId="0" fillId="0" borderId="10" xfId="2" applyFont="1" applyBorder="1">
      <alignment vertical="center"/>
    </xf>
    <xf numFmtId="42" fontId="0" fillId="0" borderId="9" xfId="2" applyFont="1" applyBorder="1">
      <alignment vertical="center"/>
    </xf>
    <xf numFmtId="42" fontId="0" fillId="0" borderId="7" xfId="2" applyFont="1" applyBorder="1">
      <alignment vertical="center"/>
    </xf>
    <xf numFmtId="191" fontId="0" fillId="0" borderId="1" xfId="1" applyNumberFormat="1" applyFont="1" applyBorder="1">
      <alignment vertical="center"/>
    </xf>
    <xf numFmtId="191" fontId="0" fillId="0" borderId="5" xfId="1" applyNumberFormat="1" applyFont="1" applyBorder="1">
      <alignment vertical="center"/>
    </xf>
    <xf numFmtId="191" fontId="0" fillId="0" borderId="9" xfId="1" applyNumberFormat="1" applyFont="1" applyBorder="1">
      <alignment vertical="center"/>
    </xf>
    <xf numFmtId="191" fontId="0" fillId="0" borderId="7" xfId="1" applyNumberFormat="1" applyFont="1" applyBorder="1">
      <alignment vertical="center"/>
    </xf>
    <xf numFmtId="41" fontId="0" fillId="0" borderId="30" xfId="1" applyFont="1" applyBorder="1">
      <alignment vertical="center"/>
    </xf>
    <xf numFmtId="41" fontId="0" fillId="0" borderId="33" xfId="1" applyFont="1" applyBorder="1">
      <alignment vertical="center"/>
    </xf>
    <xf numFmtId="191" fontId="0" fillId="0" borderId="4" xfId="1" applyNumberFormat="1" applyFont="1" applyBorder="1">
      <alignment vertical="center"/>
    </xf>
    <xf numFmtId="41" fontId="13" fillId="4" borderId="8" xfId="1" applyFont="1" applyFill="1" applyBorder="1" applyAlignment="1">
      <alignment horizontal="right" vertical="center"/>
    </xf>
    <xf numFmtId="41" fontId="3" fillId="10" borderId="8" xfId="1" applyFont="1" applyFill="1" applyBorder="1" applyAlignment="1">
      <alignment horizontal="right" vertical="center"/>
    </xf>
    <xf numFmtId="41" fontId="3" fillId="10" borderId="3" xfId="1" applyFont="1" applyFill="1" applyBorder="1" applyAlignment="1">
      <alignment horizontal="right" vertical="center"/>
    </xf>
    <xf numFmtId="41" fontId="4" fillId="10" borderId="8" xfId="1" applyFont="1" applyFill="1" applyBorder="1" applyAlignment="1">
      <alignment horizontal="right" vertical="center"/>
    </xf>
    <xf numFmtId="42" fontId="0" fillId="10" borderId="1" xfId="2" applyFont="1" applyFill="1" applyBorder="1">
      <alignment vertical="center"/>
    </xf>
    <xf numFmtId="42" fontId="0" fillId="10" borderId="42" xfId="2" applyFont="1" applyFill="1" applyBorder="1">
      <alignment vertical="center"/>
    </xf>
    <xf numFmtId="41" fontId="3" fillId="2" borderId="38" xfId="1" applyFont="1" applyFill="1" applyBorder="1">
      <alignment vertical="center"/>
    </xf>
    <xf numFmtId="41" fontId="3" fillId="2" borderId="13" xfId="1" applyFont="1" applyFill="1" applyBorder="1">
      <alignment vertical="center"/>
    </xf>
    <xf numFmtId="41" fontId="3" fillId="2" borderId="32" xfId="1" applyFont="1" applyFill="1" applyBorder="1">
      <alignment vertical="center"/>
    </xf>
    <xf numFmtId="41" fontId="0" fillId="0" borderId="46" xfId="1" applyFont="1" applyBorder="1">
      <alignment vertical="center"/>
    </xf>
    <xf numFmtId="191" fontId="0" fillId="0" borderId="41" xfId="1" applyNumberFormat="1" applyFont="1" applyBorder="1">
      <alignment vertical="center"/>
    </xf>
    <xf numFmtId="191" fontId="0" fillId="0" borderId="42" xfId="1" applyNumberFormat="1" applyFont="1" applyBorder="1">
      <alignment vertical="center"/>
    </xf>
    <xf numFmtId="191" fontId="0" fillId="0" borderId="16" xfId="1" applyNumberFormat="1" applyFont="1" applyBorder="1">
      <alignment vertical="center"/>
    </xf>
    <xf numFmtId="191" fontId="0" fillId="0" borderId="10" xfId="1" applyNumberFormat="1" applyFont="1" applyBorder="1">
      <alignment vertical="center"/>
    </xf>
    <xf numFmtId="180" fontId="3" fillId="0" borderId="53" xfId="0" applyNumberFormat="1" applyFont="1" applyBorder="1">
      <alignment vertical="center"/>
    </xf>
    <xf numFmtId="180" fontId="3" fillId="0" borderId="54" xfId="0" applyNumberFormat="1" applyFont="1" applyBorder="1">
      <alignment vertical="center"/>
    </xf>
    <xf numFmtId="180" fontId="14" fillId="0" borderId="0" xfId="0" applyNumberFormat="1" applyFont="1" applyBorder="1" applyAlignment="1">
      <alignment horizontal="right" vertical="center"/>
    </xf>
    <xf numFmtId="180" fontId="3" fillId="0" borderId="0" xfId="0" applyNumberFormat="1" applyFont="1" applyBorder="1" applyAlignment="1">
      <alignment horizontal="right" vertical="center"/>
    </xf>
    <xf numFmtId="192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11" xfId="0" applyFont="1" applyBorder="1" applyAlignment="1">
      <alignment horizontal="center" vertical="center"/>
    </xf>
    <xf numFmtId="192" fontId="3" fillId="0" borderId="2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92" fontId="3" fillId="0" borderId="58" xfId="0" applyNumberFormat="1" applyFont="1" applyBorder="1">
      <alignment vertical="center"/>
    </xf>
    <xf numFmtId="192" fontId="0" fillId="0" borderId="0" xfId="0" applyNumberFormat="1" applyAlignment="1">
      <alignment horizontal="center" vertical="center"/>
    </xf>
    <xf numFmtId="192" fontId="0" fillId="0" borderId="38" xfId="0" applyNumberFormat="1" applyBorder="1">
      <alignment vertical="center"/>
    </xf>
    <xf numFmtId="192" fontId="0" fillId="0" borderId="0" xfId="0" applyNumberFormat="1">
      <alignment vertical="center"/>
    </xf>
    <xf numFmtId="180" fontId="0" fillId="0" borderId="1" xfId="0" applyNumberFormat="1" applyBorder="1">
      <alignment vertical="center"/>
    </xf>
    <xf numFmtId="192" fontId="0" fillId="0" borderId="5" xfId="0" applyNumberFormat="1" applyBorder="1" applyAlignment="1">
      <alignment horizontal="right" vertical="center"/>
    </xf>
    <xf numFmtId="192" fontId="0" fillId="0" borderId="39" xfId="0" applyNumberFormat="1" applyBorder="1">
      <alignment vertical="center"/>
    </xf>
    <xf numFmtId="0" fontId="0" fillId="0" borderId="41" xfId="0" applyBorder="1">
      <alignment vertical="center"/>
    </xf>
    <xf numFmtId="180" fontId="0" fillId="0" borderId="42" xfId="0" applyNumberFormat="1" applyBorder="1">
      <alignment vertical="center"/>
    </xf>
    <xf numFmtId="192" fontId="0" fillId="0" borderId="44" xfId="0" applyNumberFormat="1" applyBorder="1" applyAlignment="1">
      <alignment horizontal="right" vertical="center"/>
    </xf>
    <xf numFmtId="192" fontId="0" fillId="0" borderId="45" xfId="0" applyNumberFormat="1" applyBorder="1">
      <alignment vertical="center"/>
    </xf>
    <xf numFmtId="0" fontId="0" fillId="0" borderId="4" xfId="0" applyFill="1" applyBorder="1">
      <alignment vertical="center"/>
    </xf>
    <xf numFmtId="180" fontId="0" fillId="0" borderId="9" xfId="0" applyNumberFormat="1" applyBorder="1">
      <alignment vertical="center"/>
    </xf>
    <xf numFmtId="192" fontId="0" fillId="0" borderId="7" xfId="0" applyNumberFormat="1" applyBorder="1" applyAlignment="1">
      <alignment horizontal="right" vertical="center"/>
    </xf>
    <xf numFmtId="192" fontId="0" fillId="0" borderId="40" xfId="0" applyNumberFormat="1" applyBorder="1">
      <alignment vertical="center"/>
    </xf>
    <xf numFmtId="192" fontId="0" fillId="0" borderId="50" xfId="0" applyNumberFormat="1" applyBorder="1">
      <alignment vertical="center"/>
    </xf>
    <xf numFmtId="0" fontId="0" fillId="0" borderId="4" xfId="0" applyBorder="1" applyAlignment="1">
      <alignment horizontal="left" vertical="center"/>
    </xf>
    <xf numFmtId="176" fontId="9" fillId="0" borderId="42" xfId="1" applyNumberFormat="1" applyFont="1" applyBorder="1" applyAlignment="1">
      <alignment horizontal="right" vertical="center"/>
    </xf>
    <xf numFmtId="41" fontId="0" fillId="0" borderId="42" xfId="1" applyFont="1" applyBorder="1" applyAlignment="1">
      <alignment horizontal="right" vertical="center"/>
    </xf>
    <xf numFmtId="0" fontId="0" fillId="2" borderId="49" xfId="0" applyFill="1" applyBorder="1">
      <alignment vertical="center"/>
    </xf>
    <xf numFmtId="192" fontId="0" fillId="2" borderId="34" xfId="0" applyNumberFormat="1" applyFill="1" applyBorder="1">
      <alignment vertical="center"/>
    </xf>
    <xf numFmtId="0" fontId="0" fillId="2" borderId="58" xfId="0" applyFill="1" applyBorder="1">
      <alignment vertical="center"/>
    </xf>
    <xf numFmtId="192" fontId="0" fillId="2" borderId="55" xfId="0" applyNumberFormat="1" applyFill="1" applyBorder="1">
      <alignment vertical="center"/>
    </xf>
    <xf numFmtId="185" fontId="3" fillId="0" borderId="34" xfId="0" applyNumberFormat="1" applyFont="1" applyBorder="1" applyAlignment="1">
      <alignment horizontal="center" vertical="center"/>
    </xf>
    <xf numFmtId="176" fontId="3" fillId="0" borderId="52" xfId="0" applyNumberFormat="1" applyFont="1" applyBorder="1" applyAlignment="1">
      <alignment horizontal="center" vertical="center"/>
    </xf>
    <xf numFmtId="0" fontId="0" fillId="0" borderId="20" xfId="1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9" xfId="0" applyNumberFormat="1" applyBorder="1" applyAlignment="1">
      <alignment horizontal="right" vertical="center"/>
    </xf>
    <xf numFmtId="41" fontId="0" fillId="0" borderId="0" xfId="0" applyNumberFormat="1">
      <alignment vertical="center"/>
    </xf>
    <xf numFmtId="41" fontId="0" fillId="0" borderId="61" xfId="1" applyFont="1" applyBorder="1">
      <alignment vertical="center"/>
    </xf>
    <xf numFmtId="41" fontId="0" fillId="0" borderId="17" xfId="1" applyFont="1" applyBorder="1">
      <alignment vertical="center"/>
    </xf>
    <xf numFmtId="41" fontId="0" fillId="0" borderId="18" xfId="1" applyFont="1" applyBorder="1">
      <alignment vertical="center"/>
    </xf>
    <xf numFmtId="0" fontId="0" fillId="7" borderId="58" xfId="0" applyFill="1" applyBorder="1">
      <alignment vertical="center"/>
    </xf>
    <xf numFmtId="192" fontId="0" fillId="7" borderId="55" xfId="0" applyNumberFormat="1" applyFill="1" applyBorder="1">
      <alignment vertical="center"/>
    </xf>
    <xf numFmtId="0" fontId="3" fillId="0" borderId="0" xfId="0" applyFont="1" applyBorder="1">
      <alignment vertical="center"/>
    </xf>
    <xf numFmtId="0" fontId="4" fillId="2" borderId="1" xfId="0" applyFont="1" applyFill="1" applyBorder="1">
      <alignment vertical="center"/>
    </xf>
    <xf numFmtId="176" fontId="4" fillId="2" borderId="1" xfId="0" applyNumberFormat="1" applyFont="1" applyFill="1" applyBorder="1" applyAlignment="1">
      <alignment horizontal="right" vertical="center"/>
    </xf>
    <xf numFmtId="193" fontId="0" fillId="0" borderId="0" xfId="0" applyNumberFormat="1">
      <alignment vertical="center"/>
    </xf>
    <xf numFmtId="192" fontId="0" fillId="9" borderId="1" xfId="0" applyNumberFormat="1" applyFill="1" applyBorder="1">
      <alignment vertical="center"/>
    </xf>
    <xf numFmtId="192" fontId="0" fillId="10" borderId="1" xfId="1" applyNumberFormat="1" applyFont="1" applyFill="1" applyBorder="1">
      <alignment vertical="center"/>
    </xf>
    <xf numFmtId="194" fontId="0" fillId="2" borderId="34" xfId="1" applyNumberFormat="1" applyFont="1" applyFill="1" applyBorder="1">
      <alignment vertical="center"/>
    </xf>
    <xf numFmtId="41" fontId="1" fillId="0" borderId="1" xfId="1" applyFont="1" applyBorder="1">
      <alignment vertical="center"/>
    </xf>
    <xf numFmtId="0" fontId="0" fillId="0" borderId="0" xfId="0" applyAlignment="1">
      <alignment vertical="center"/>
    </xf>
    <xf numFmtId="194" fontId="0" fillId="0" borderId="1" xfId="1" applyNumberFormat="1" applyFont="1" applyBorder="1">
      <alignment vertical="center"/>
    </xf>
    <xf numFmtId="194" fontId="0" fillId="0" borderId="1" xfId="1" applyNumberFormat="1" applyFont="1" applyBorder="1" applyAlignment="1">
      <alignment horizontal="right" vertical="center"/>
    </xf>
    <xf numFmtId="194" fontId="0" fillId="7" borderId="1" xfId="1" applyNumberFormat="1" applyFont="1" applyFill="1" applyBorder="1">
      <alignment vertical="center"/>
    </xf>
    <xf numFmtId="194" fontId="0" fillId="7" borderId="1" xfId="1" applyNumberFormat="1" applyFont="1" applyFill="1" applyBorder="1" applyAlignment="1">
      <alignment horizontal="right" vertical="center"/>
    </xf>
    <xf numFmtId="185" fontId="14" fillId="0" borderId="0" xfId="0" applyNumberFormat="1" applyFont="1" applyAlignment="1">
      <alignment vertical="center"/>
    </xf>
    <xf numFmtId="176" fontId="11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76" fontId="0" fillId="0" borderId="16" xfId="1" applyNumberFormat="1" applyFont="1" applyBorder="1" applyAlignment="1">
      <alignment horizontal="right" vertical="center"/>
    </xf>
    <xf numFmtId="176" fontId="9" fillId="0" borderId="16" xfId="1" applyNumberFormat="1" applyFont="1" applyBorder="1" applyAlignment="1">
      <alignment horizontal="right" vertical="center"/>
    </xf>
    <xf numFmtId="176" fontId="0" fillId="0" borderId="16" xfId="0" applyNumberFormat="1" applyBorder="1" applyAlignment="1">
      <alignment horizontal="right" vertical="center"/>
    </xf>
    <xf numFmtId="176" fontId="0" fillId="7" borderId="16" xfId="1" applyNumberFormat="1" applyFont="1" applyFill="1" applyBorder="1" applyAlignment="1">
      <alignment horizontal="right" vertical="center"/>
    </xf>
    <xf numFmtId="176" fontId="9" fillId="7" borderId="16" xfId="1" applyNumberFormat="1" applyFont="1" applyFill="1" applyBorder="1" applyAlignment="1">
      <alignment horizontal="right" vertical="center"/>
    </xf>
    <xf numFmtId="195" fontId="0" fillId="0" borderId="1" xfId="0" applyNumberFormat="1" applyBorder="1">
      <alignment vertical="center"/>
    </xf>
    <xf numFmtId="176" fontId="8" fillId="7" borderId="0" xfId="0" applyNumberFormat="1" applyFont="1" applyFill="1" applyAlignment="1">
      <alignment horizontal="right" vertical="center"/>
    </xf>
    <xf numFmtId="0" fontId="3" fillId="7" borderId="1" xfId="0" applyFont="1" applyFill="1" applyBorder="1">
      <alignment vertical="center"/>
    </xf>
    <xf numFmtId="176" fontId="3" fillId="7" borderId="1" xfId="0" applyNumberFormat="1" applyFont="1" applyFill="1" applyBorder="1" applyAlignment="1">
      <alignment horizontal="right" vertical="center"/>
    </xf>
    <xf numFmtId="196" fontId="0" fillId="0" borderId="1" xfId="0" applyNumberFormat="1" applyBorder="1" applyAlignment="1">
      <alignment vertical="center"/>
    </xf>
    <xf numFmtId="0" fontId="0" fillId="0" borderId="0" xfId="0" applyNumberFormat="1">
      <alignment vertical="center"/>
    </xf>
    <xf numFmtId="194" fontId="0" fillId="0" borderId="0" xfId="0" applyNumberFormat="1" applyBorder="1" applyAlignment="1">
      <alignment vertical="center"/>
    </xf>
    <xf numFmtId="194" fontId="0" fillId="0" borderId="0" xfId="0" applyNumberFormat="1" applyFill="1" applyBorder="1" applyAlignment="1">
      <alignment vertical="center"/>
    </xf>
    <xf numFmtId="195" fontId="4" fillId="7" borderId="16" xfId="0" applyNumberFormat="1" applyFont="1" applyFill="1" applyBorder="1">
      <alignment vertical="center"/>
    </xf>
    <xf numFmtId="194" fontId="0" fillId="0" borderId="20" xfId="1" applyNumberFormat="1" applyFont="1" applyBorder="1">
      <alignment vertical="center"/>
    </xf>
    <xf numFmtId="176" fontId="0" fillId="0" borderId="17" xfId="1" applyNumberFormat="1" applyFont="1" applyBorder="1" applyAlignment="1">
      <alignment horizontal="right" vertical="center"/>
    </xf>
    <xf numFmtId="176" fontId="0" fillId="0" borderId="17" xfId="1" applyNumberFormat="1" applyFont="1" applyFill="1" applyBorder="1" applyAlignment="1">
      <alignment horizontal="right" vertical="center"/>
    </xf>
    <xf numFmtId="176" fontId="10" fillId="0" borderId="17" xfId="1" applyNumberFormat="1" applyFont="1" applyFill="1" applyBorder="1" applyAlignment="1">
      <alignment horizontal="right" vertical="center"/>
    </xf>
    <xf numFmtId="176" fontId="0" fillId="0" borderId="17" xfId="0" applyNumberFormat="1" applyBorder="1" applyAlignment="1">
      <alignment horizontal="right" vertical="center"/>
    </xf>
    <xf numFmtId="176" fontId="0" fillId="0" borderId="17" xfId="0" applyNumberFormat="1" applyFill="1" applyBorder="1" applyAlignment="1">
      <alignment horizontal="right" vertical="center"/>
    </xf>
    <xf numFmtId="41" fontId="0" fillId="10" borderId="38" xfId="1" applyFont="1" applyFill="1" applyBorder="1">
      <alignment vertical="center"/>
    </xf>
    <xf numFmtId="41" fontId="0" fillId="10" borderId="39" xfId="1" applyFont="1" applyFill="1" applyBorder="1">
      <alignment vertical="center"/>
    </xf>
    <xf numFmtId="41" fontId="10" fillId="10" borderId="39" xfId="1" applyFont="1" applyFill="1" applyBorder="1">
      <alignment vertical="center"/>
    </xf>
    <xf numFmtId="41" fontId="0" fillId="10" borderId="40" xfId="1" applyFont="1" applyFill="1" applyBorder="1">
      <alignment vertical="center"/>
    </xf>
    <xf numFmtId="0" fontId="0" fillId="7" borderId="1" xfId="0" applyFill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7" borderId="4" xfId="0" applyNumberFormat="1" applyFill="1" applyBorder="1" applyAlignment="1">
      <alignment vertical="center"/>
    </xf>
    <xf numFmtId="178" fontId="0" fillId="0" borderId="5" xfId="0" applyNumberFormat="1" applyBorder="1">
      <alignment vertical="center"/>
    </xf>
    <xf numFmtId="194" fontId="0" fillId="0" borderId="5" xfId="1" applyNumberFormat="1" applyFont="1" applyBorder="1">
      <alignment vertical="center"/>
    </xf>
    <xf numFmtId="176" fontId="0" fillId="7" borderId="6" xfId="0" applyNumberFormat="1" applyFill="1" applyBorder="1" applyAlignment="1">
      <alignment vertical="center"/>
    </xf>
    <xf numFmtId="197" fontId="0" fillId="0" borderId="9" xfId="0" applyNumberFormat="1" applyBorder="1">
      <alignment vertical="center"/>
    </xf>
    <xf numFmtId="178" fontId="0" fillId="0" borderId="9" xfId="0" applyNumberFormat="1" applyBorder="1">
      <alignment vertical="center"/>
    </xf>
    <xf numFmtId="194" fontId="0" fillId="0" borderId="7" xfId="1" applyNumberFormat="1" applyFont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11" xfId="0" applyBorder="1">
      <alignment vertical="center"/>
    </xf>
    <xf numFmtId="178" fontId="0" fillId="0" borderId="1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4" xfId="0" applyBorder="1">
      <alignment vertical="center"/>
    </xf>
    <xf numFmtId="178" fontId="0" fillId="0" borderId="65" xfId="0" applyNumberFormat="1" applyBorder="1">
      <alignment vertical="center"/>
    </xf>
    <xf numFmtId="198" fontId="4" fillId="7" borderId="42" xfId="0" applyNumberFormat="1" applyFont="1" applyFill="1" applyBorder="1">
      <alignment vertical="center"/>
    </xf>
    <xf numFmtId="199" fontId="0" fillId="0" borderId="0" xfId="0" applyNumberFormat="1">
      <alignment vertical="center"/>
    </xf>
    <xf numFmtId="198" fontId="0" fillId="0" borderId="1" xfId="0" applyNumberFormat="1" applyBorder="1">
      <alignment vertical="center"/>
    </xf>
    <xf numFmtId="176" fontId="3" fillId="7" borderId="61" xfId="1" applyNumberFormat="1" applyFont="1" applyFill="1" applyBorder="1" applyAlignment="1">
      <alignment horizontal="right" vertical="center"/>
    </xf>
    <xf numFmtId="194" fontId="0" fillId="10" borderId="48" xfId="1" applyNumberFormat="1" applyFont="1" applyFill="1" applyBorder="1">
      <alignment vertical="center"/>
    </xf>
    <xf numFmtId="185" fontId="0" fillId="2" borderId="11" xfId="0" applyNumberFormat="1" applyFill="1" applyBorder="1">
      <alignment vertical="center"/>
    </xf>
    <xf numFmtId="0" fontId="0" fillId="2" borderId="12" xfId="0" applyFill="1" applyBorder="1">
      <alignment vertical="center"/>
    </xf>
    <xf numFmtId="178" fontId="0" fillId="7" borderId="23" xfId="1" applyNumberFormat="1" applyFont="1" applyFill="1" applyBorder="1">
      <alignment vertical="center"/>
    </xf>
    <xf numFmtId="178" fontId="0" fillId="7" borderId="16" xfId="1" applyNumberFormat="1" applyFont="1" applyFill="1" applyBorder="1">
      <alignment vertical="center"/>
    </xf>
    <xf numFmtId="178" fontId="0" fillId="7" borderId="10" xfId="1" applyNumberFormat="1" applyFont="1" applyFill="1" applyBorder="1">
      <alignment vertical="center"/>
    </xf>
    <xf numFmtId="184" fontId="3" fillId="7" borderId="50" xfId="1" applyNumberFormat="1" applyFont="1" applyFill="1" applyBorder="1">
      <alignment vertical="center"/>
    </xf>
    <xf numFmtId="184" fontId="3" fillId="7" borderId="39" xfId="1" applyNumberFormat="1" applyFont="1" applyFill="1" applyBorder="1">
      <alignment vertical="center"/>
    </xf>
    <xf numFmtId="184" fontId="3" fillId="7" borderId="40" xfId="1" applyNumberFormat="1" applyFont="1" applyFill="1" applyBorder="1">
      <alignment vertical="center"/>
    </xf>
    <xf numFmtId="184" fontId="3" fillId="7" borderId="45" xfId="1" applyNumberFormat="1" applyFont="1" applyFill="1" applyBorder="1">
      <alignment vertical="center"/>
    </xf>
    <xf numFmtId="178" fontId="9" fillId="7" borderId="57" xfId="1" applyNumberFormat="1" applyFont="1" applyFill="1" applyBorder="1">
      <alignment vertical="center"/>
    </xf>
    <xf numFmtId="184" fontId="3" fillId="2" borderId="34" xfId="1" applyNumberFormat="1" applyFont="1" applyFill="1" applyBorder="1">
      <alignment vertical="center"/>
    </xf>
    <xf numFmtId="178" fontId="0" fillId="2" borderId="66" xfId="1" applyNumberFormat="1" applyFont="1" applyFill="1" applyBorder="1">
      <alignment vertical="center"/>
    </xf>
    <xf numFmtId="0" fontId="0" fillId="0" borderId="0" xfId="0" applyFill="1" applyBorder="1">
      <alignment vertical="center"/>
    </xf>
    <xf numFmtId="180" fontId="12" fillId="0" borderId="54" xfId="0" applyNumberFormat="1" applyFont="1" applyBorder="1">
      <alignment vertical="center"/>
    </xf>
    <xf numFmtId="0" fontId="0" fillId="0" borderId="17" xfId="0" applyBorder="1">
      <alignment vertical="center"/>
    </xf>
    <xf numFmtId="0" fontId="0" fillId="0" borderId="16" xfId="0" applyBorder="1">
      <alignment vertical="center"/>
    </xf>
    <xf numFmtId="0" fontId="0" fillId="0" borderId="42" xfId="0" applyBorder="1">
      <alignment vertical="center"/>
    </xf>
    <xf numFmtId="0" fontId="0" fillId="0" borderId="20" xfId="0" applyBorder="1">
      <alignment vertical="center"/>
    </xf>
    <xf numFmtId="0" fontId="7" fillId="3" borderId="28" xfId="0" applyFont="1" applyFill="1" applyBorder="1" applyAlignment="1">
      <alignment horizontal="right" vertical="center"/>
    </xf>
    <xf numFmtId="0" fontId="7" fillId="0" borderId="29" xfId="0" applyFont="1" applyBorder="1" applyAlignment="1">
      <alignment horizontal="right" vertical="center"/>
    </xf>
    <xf numFmtId="182" fontId="0" fillId="0" borderId="0" xfId="1" applyNumberFormat="1" applyFont="1" applyBorder="1">
      <alignment vertical="center"/>
    </xf>
    <xf numFmtId="0" fontId="7" fillId="8" borderId="30" xfId="0" applyFont="1" applyFill="1" applyBorder="1" applyAlignment="1">
      <alignment horizontal="right" vertical="center"/>
    </xf>
    <xf numFmtId="0" fontId="7" fillId="7" borderId="33" xfId="0" applyFont="1" applyFill="1" applyBorder="1" applyAlignment="1">
      <alignment horizontal="right" vertical="center"/>
    </xf>
    <xf numFmtId="1" fontId="0" fillId="7" borderId="9" xfId="0" applyNumberFormat="1" applyFill="1" applyBorder="1">
      <alignment vertical="center"/>
    </xf>
    <xf numFmtId="1" fontId="0" fillId="7" borderId="7" xfId="0" applyNumberFormat="1" applyFill="1" applyBorder="1">
      <alignment vertical="center"/>
    </xf>
    <xf numFmtId="1" fontId="0" fillId="6" borderId="6" xfId="0" applyNumberFormat="1" applyFill="1" applyBorder="1">
      <alignment vertical="center"/>
    </xf>
    <xf numFmtId="1" fontId="0" fillId="6" borderId="9" xfId="0" applyNumberFormat="1" applyFill="1" applyBorder="1">
      <alignment vertical="center"/>
    </xf>
    <xf numFmtId="176" fontId="0" fillId="2" borderId="26" xfId="1" applyNumberFormat="1" applyFont="1" applyFill="1" applyBorder="1" applyAlignment="1">
      <alignment horizontal="right" vertical="center"/>
    </xf>
    <xf numFmtId="176" fontId="0" fillId="2" borderId="27" xfId="1" applyNumberFormat="1" applyFont="1" applyFill="1" applyBorder="1" applyAlignment="1">
      <alignment horizontal="right" vertical="center"/>
    </xf>
    <xf numFmtId="177" fontId="0" fillId="2" borderId="27" xfId="1" applyNumberFormat="1" applyFont="1" applyFill="1" applyBorder="1" applyAlignment="1">
      <alignment horizontal="right" vertical="center"/>
    </xf>
    <xf numFmtId="41" fontId="0" fillId="2" borderId="38" xfId="1" applyFont="1" applyFill="1" applyBorder="1" applyAlignment="1">
      <alignment horizontal="left" vertical="center"/>
    </xf>
    <xf numFmtId="41" fontId="0" fillId="2" borderId="39" xfId="1" applyFont="1" applyFill="1" applyBorder="1" applyAlignment="1">
      <alignment horizontal="left" vertical="center"/>
    </xf>
    <xf numFmtId="41" fontId="0" fillId="2" borderId="40" xfId="1" applyFont="1" applyFill="1" applyBorder="1" applyAlignment="1">
      <alignment horizontal="left" vertical="center"/>
    </xf>
    <xf numFmtId="41" fontId="0" fillId="0" borderId="1" xfId="1" applyFont="1" applyBorder="1" applyAlignment="1">
      <alignment vertical="center"/>
    </xf>
    <xf numFmtId="190" fontId="0" fillId="0" borderId="0" xfId="1" applyNumberFormat="1" applyFont="1" applyBorder="1">
      <alignment vertical="center"/>
    </xf>
    <xf numFmtId="41" fontId="15" fillId="7" borderId="14" xfId="1" applyFont="1" applyFill="1" applyBorder="1">
      <alignment vertical="center"/>
    </xf>
    <xf numFmtId="41" fontId="15" fillId="7" borderId="5" xfId="1" applyFont="1" applyFill="1" applyBorder="1">
      <alignment vertical="center"/>
    </xf>
    <xf numFmtId="41" fontId="15" fillId="7" borderId="44" xfId="1" applyFont="1" applyFill="1" applyBorder="1">
      <alignment vertical="center"/>
    </xf>
    <xf numFmtId="41" fontId="15" fillId="2" borderId="12" xfId="1" applyFont="1" applyFill="1" applyBorder="1">
      <alignment vertical="center"/>
    </xf>
    <xf numFmtId="41" fontId="15" fillId="7" borderId="7" xfId="1" applyFont="1" applyFill="1" applyBorder="1">
      <alignment vertical="center"/>
    </xf>
    <xf numFmtId="184" fontId="3" fillId="7" borderId="38" xfId="1" applyNumberFormat="1" applyFont="1" applyFill="1" applyBorder="1">
      <alignment vertical="center"/>
    </xf>
    <xf numFmtId="178" fontId="0" fillId="7" borderId="15" xfId="1" applyNumberFormat="1" applyFont="1" applyFill="1" applyBorder="1">
      <alignment vertical="center"/>
    </xf>
    <xf numFmtId="41" fontId="15" fillId="7" borderId="3" xfId="1" applyFont="1" applyFill="1" applyBorder="1">
      <alignment vertical="center"/>
    </xf>
    <xf numFmtId="193" fontId="0" fillId="0" borderId="16" xfId="1" applyNumberFormat="1" applyFont="1" applyBorder="1">
      <alignment vertical="center"/>
    </xf>
    <xf numFmtId="176" fontId="0" fillId="0" borderId="17" xfId="1" applyNumberFormat="1" applyFont="1" applyBorder="1" applyAlignment="1">
      <alignment horizontal="left" vertical="center"/>
    </xf>
    <xf numFmtId="41" fontId="3" fillId="2" borderId="15" xfId="1" applyFont="1" applyFill="1" applyBorder="1">
      <alignment vertical="center"/>
    </xf>
    <xf numFmtId="41" fontId="3" fillId="2" borderId="16" xfId="1" applyFont="1" applyFill="1" applyBorder="1">
      <alignment vertical="center"/>
    </xf>
    <xf numFmtId="41" fontId="3" fillId="2" borderId="57" xfId="1" applyFont="1" applyFill="1" applyBorder="1">
      <alignment vertical="center"/>
    </xf>
    <xf numFmtId="41" fontId="3" fillId="2" borderId="10" xfId="1" applyFont="1" applyFill="1" applyBorder="1">
      <alignment vertical="center"/>
    </xf>
    <xf numFmtId="180" fontId="0" fillId="0" borderId="38" xfId="1" applyNumberFormat="1" applyFont="1" applyBorder="1">
      <alignment vertical="center"/>
    </xf>
    <xf numFmtId="180" fontId="0" fillId="0" borderId="39" xfId="1" applyNumberFormat="1" applyFont="1" applyBorder="1">
      <alignment vertical="center"/>
    </xf>
    <xf numFmtId="179" fontId="0" fillId="0" borderId="39" xfId="1" applyNumberFormat="1" applyFont="1" applyBorder="1">
      <alignment vertical="center"/>
    </xf>
    <xf numFmtId="180" fontId="0" fillId="0" borderId="40" xfId="1" applyNumberFormat="1" applyFont="1" applyBorder="1">
      <alignment vertical="center"/>
    </xf>
    <xf numFmtId="183" fontId="0" fillId="0" borderId="17" xfId="1" applyNumberFormat="1" applyFont="1" applyBorder="1" applyAlignment="1">
      <alignment horizontal="left" vertical="center"/>
    </xf>
    <xf numFmtId="0" fontId="3" fillId="2" borderId="34" xfId="0" applyFont="1" applyFill="1" applyBorder="1">
      <alignment vertical="center"/>
    </xf>
    <xf numFmtId="187" fontId="0" fillId="0" borderId="0" xfId="1" applyNumberFormat="1" applyFont="1">
      <alignment vertical="center"/>
    </xf>
    <xf numFmtId="187" fontId="1" fillId="0" borderId="0" xfId="1" applyNumberFormat="1" applyFont="1">
      <alignment vertical="center"/>
    </xf>
    <xf numFmtId="187" fontId="6" fillId="0" borderId="0" xfId="1" applyNumberFormat="1" applyFont="1" applyBorder="1">
      <alignment vertical="center"/>
    </xf>
    <xf numFmtId="187" fontId="3" fillId="7" borderId="38" xfId="1" applyNumberFormat="1" applyFont="1" applyFill="1" applyBorder="1">
      <alignment vertical="center"/>
    </xf>
    <xf numFmtId="187" fontId="3" fillId="7" borderId="39" xfId="1" applyNumberFormat="1" applyFont="1" applyFill="1" applyBorder="1">
      <alignment vertical="center"/>
    </xf>
    <xf numFmtId="187" fontId="3" fillId="7" borderId="40" xfId="1" applyNumberFormat="1" applyFont="1" applyFill="1" applyBorder="1">
      <alignment vertical="center"/>
    </xf>
    <xf numFmtId="41" fontId="15" fillId="2" borderId="5" xfId="1" applyFont="1" applyFill="1" applyBorder="1">
      <alignment vertical="center"/>
    </xf>
    <xf numFmtId="178" fontId="0" fillId="2" borderId="16" xfId="1" applyNumberFormat="1" applyFont="1" applyFill="1" applyBorder="1">
      <alignment vertical="center"/>
    </xf>
    <xf numFmtId="187" fontId="3" fillId="2" borderId="39" xfId="1" applyNumberFormat="1" applyFont="1" applyFill="1" applyBorder="1">
      <alignment vertical="center"/>
    </xf>
    <xf numFmtId="181" fontId="4" fillId="0" borderId="1" xfId="1" applyNumberFormat="1" applyFont="1" applyBorder="1" applyAlignment="1">
      <alignment horizontal="right" vertical="center"/>
    </xf>
    <xf numFmtId="41" fontId="4" fillId="0" borderId="1" xfId="1" applyFont="1" applyBorder="1" applyAlignment="1">
      <alignment horizontal="right" vertical="center"/>
    </xf>
    <xf numFmtId="181" fontId="4" fillId="0" borderId="16" xfId="1" applyNumberFormat="1" applyFont="1" applyBorder="1" applyAlignment="1">
      <alignment horizontal="right" vertical="center"/>
    </xf>
    <xf numFmtId="41" fontId="0" fillId="0" borderId="16" xfId="1" applyFont="1" applyBorder="1" applyAlignment="1">
      <alignment horizontal="right" vertical="center"/>
    </xf>
    <xf numFmtId="41" fontId="0" fillId="2" borderId="0" xfId="1" applyFont="1" applyFill="1" applyBorder="1">
      <alignment vertical="center"/>
    </xf>
    <xf numFmtId="41" fontId="0" fillId="2" borderId="24" xfId="1" applyFont="1" applyFill="1" applyBorder="1">
      <alignment vertical="center"/>
    </xf>
    <xf numFmtId="180" fontId="0" fillId="2" borderId="5" xfId="1" applyNumberFormat="1" applyFont="1" applyFill="1" applyBorder="1">
      <alignment vertical="center"/>
    </xf>
    <xf numFmtId="41" fontId="0" fillId="2" borderId="6" xfId="1" applyFont="1" applyFill="1" applyBorder="1">
      <alignment vertical="center"/>
    </xf>
    <xf numFmtId="180" fontId="0" fillId="2" borderId="7" xfId="1" applyNumberFormat="1" applyFont="1" applyFill="1" applyBorder="1">
      <alignment vertical="center"/>
    </xf>
    <xf numFmtId="41" fontId="1" fillId="2" borderId="15" xfId="1" applyFont="1" applyFill="1" applyBorder="1" applyAlignment="1">
      <alignment vertical="top" wrapText="1"/>
    </xf>
    <xf numFmtId="41" fontId="4" fillId="2" borderId="16" xfId="1" applyFont="1" applyFill="1" applyBorder="1" applyAlignment="1">
      <alignment vertical="top" wrapText="1"/>
    </xf>
    <xf numFmtId="41" fontId="4" fillId="2" borderId="16" xfId="1" applyFont="1" applyFill="1" applyBorder="1" applyAlignment="1">
      <alignment vertical="center"/>
    </xf>
    <xf numFmtId="41" fontId="4" fillId="2" borderId="16" xfId="1" applyFont="1" applyFill="1" applyBorder="1">
      <alignment vertical="center"/>
    </xf>
    <xf numFmtId="41" fontId="4" fillId="2" borderId="10" xfId="1" applyFont="1" applyFill="1" applyBorder="1">
      <alignment vertical="center"/>
    </xf>
    <xf numFmtId="176" fontId="0" fillId="2" borderId="5" xfId="1" applyNumberFormat="1" applyFont="1" applyFill="1" applyBorder="1" applyAlignment="1">
      <alignment horizontal="right" vertical="center"/>
    </xf>
    <xf numFmtId="177" fontId="0" fillId="2" borderId="5" xfId="1" applyNumberFormat="1" applyFont="1" applyFill="1" applyBorder="1" applyAlignment="1">
      <alignment horizontal="right" vertical="center"/>
    </xf>
    <xf numFmtId="41" fontId="3" fillId="2" borderId="2" xfId="1" applyFont="1" applyFill="1" applyBorder="1">
      <alignment vertical="center"/>
    </xf>
    <xf numFmtId="180" fontId="0" fillId="0" borderId="16" xfId="1" applyNumberFormat="1" applyFont="1" applyBorder="1">
      <alignment vertical="center"/>
    </xf>
    <xf numFmtId="41" fontId="16" fillId="0" borderId="0" xfId="1" applyFont="1">
      <alignment vertical="center"/>
    </xf>
    <xf numFmtId="41" fontId="17" fillId="0" borderId="0" xfId="1" applyFont="1">
      <alignment vertical="center"/>
    </xf>
    <xf numFmtId="41" fontId="18" fillId="0" borderId="0" xfId="1" applyFont="1">
      <alignment vertical="center"/>
    </xf>
    <xf numFmtId="41" fontId="19" fillId="0" borderId="0" xfId="1" applyFont="1">
      <alignment vertical="center"/>
    </xf>
    <xf numFmtId="41" fontId="0" fillId="2" borderId="41" xfId="1" applyFont="1" applyFill="1" applyBorder="1">
      <alignment vertical="center"/>
    </xf>
    <xf numFmtId="180" fontId="0" fillId="2" borderId="44" xfId="1" applyNumberFormat="1" applyFont="1" applyFill="1" applyBorder="1">
      <alignment vertical="center"/>
    </xf>
    <xf numFmtId="200" fontId="20" fillId="11" borderId="11" xfId="1" applyNumberFormat="1" applyFont="1" applyFill="1" applyBorder="1">
      <alignment vertical="center"/>
    </xf>
    <xf numFmtId="201" fontId="20" fillId="11" borderId="12" xfId="1" applyNumberFormat="1" applyFont="1" applyFill="1" applyBorder="1" applyAlignment="1">
      <alignment horizontal="right" vertical="center"/>
    </xf>
    <xf numFmtId="201" fontId="0" fillId="2" borderId="27" xfId="1" applyNumberFormat="1" applyFont="1" applyFill="1" applyBorder="1" applyAlignment="1">
      <alignment horizontal="right" vertical="center"/>
    </xf>
    <xf numFmtId="201" fontId="0" fillId="2" borderId="60" xfId="1" applyNumberFormat="1" applyFont="1" applyFill="1" applyBorder="1" applyAlignment="1">
      <alignment horizontal="right" vertical="center"/>
    </xf>
    <xf numFmtId="41" fontId="0" fillId="0" borderId="0" xfId="1" applyNumberFormat="1" applyFont="1">
      <alignment vertical="center"/>
    </xf>
    <xf numFmtId="41" fontId="1" fillId="0" borderId="0" xfId="1" applyNumberFormat="1" applyFont="1">
      <alignment vertical="center"/>
    </xf>
    <xf numFmtId="41" fontId="0" fillId="7" borderId="15" xfId="1" applyNumberFormat="1" applyFont="1" applyFill="1" applyBorder="1">
      <alignment vertical="center"/>
    </xf>
    <xf numFmtId="41" fontId="0" fillId="7" borderId="16" xfId="1" applyNumberFormat="1" applyFont="1" applyFill="1" applyBorder="1">
      <alignment vertical="center"/>
    </xf>
    <xf numFmtId="41" fontId="0" fillId="2" borderId="16" xfId="1" applyNumberFormat="1" applyFont="1" applyFill="1" applyBorder="1">
      <alignment vertical="center"/>
    </xf>
    <xf numFmtId="41" fontId="0" fillId="7" borderId="10" xfId="1" applyNumberFormat="1" applyFont="1" applyFill="1" applyBorder="1">
      <alignment vertical="center"/>
    </xf>
    <xf numFmtId="202" fontId="0" fillId="0" borderId="17" xfId="1" applyNumberFormat="1" applyFont="1" applyBorder="1" applyAlignment="1">
      <alignment horizontal="left" vertical="center"/>
    </xf>
    <xf numFmtId="176" fontId="22" fillId="9" borderId="1" xfId="1" applyNumberFormat="1" applyFont="1" applyFill="1" applyBorder="1" applyAlignment="1">
      <alignment vertical="center"/>
    </xf>
    <xf numFmtId="176" fontId="22" fillId="9" borderId="17" xfId="1" applyNumberFormat="1" applyFont="1" applyFill="1" applyBorder="1" applyAlignment="1">
      <alignment vertical="center"/>
    </xf>
    <xf numFmtId="176" fontId="22" fillId="9" borderId="16" xfId="1" applyNumberFormat="1" applyFont="1" applyFill="1" applyBorder="1" applyAlignment="1">
      <alignment vertical="center"/>
    </xf>
    <xf numFmtId="176" fontId="21" fillId="10" borderId="1" xfId="0" applyNumberFormat="1" applyFont="1" applyFill="1" applyBorder="1" applyAlignment="1">
      <alignment vertical="center"/>
    </xf>
    <xf numFmtId="176" fontId="22" fillId="10" borderId="1" xfId="0" applyNumberFormat="1" applyFont="1" applyFill="1" applyBorder="1" applyAlignment="1">
      <alignment vertical="center"/>
    </xf>
    <xf numFmtId="176" fontId="22" fillId="10" borderId="17" xfId="1" applyNumberFormat="1" applyFont="1" applyFill="1" applyBorder="1" applyAlignment="1">
      <alignment vertical="center"/>
    </xf>
    <xf numFmtId="176" fontId="22" fillId="10" borderId="16" xfId="1" applyNumberFormat="1" applyFont="1" applyFill="1" applyBorder="1" applyAlignment="1">
      <alignment vertical="center"/>
    </xf>
    <xf numFmtId="0" fontId="7" fillId="8" borderId="33" xfId="0" applyFont="1" applyFill="1" applyBorder="1" applyAlignment="1">
      <alignment horizontal="right" vertical="center"/>
    </xf>
    <xf numFmtId="0" fontId="7" fillId="3" borderId="29" xfId="0" applyFont="1" applyFill="1" applyBorder="1" applyAlignment="1">
      <alignment horizontal="right" vertical="center"/>
    </xf>
    <xf numFmtId="1" fontId="0" fillId="6" borderId="3" xfId="0" applyNumberFormat="1" applyFill="1" applyBorder="1">
      <alignment vertical="center"/>
    </xf>
    <xf numFmtId="1" fontId="0" fillId="6" borderId="5" xfId="0" applyNumberFormat="1" applyFill="1" applyBorder="1">
      <alignment vertical="center"/>
    </xf>
    <xf numFmtId="41" fontId="23" fillId="0" borderId="0" xfId="1" applyFont="1" applyBorder="1">
      <alignment vertical="center"/>
    </xf>
    <xf numFmtId="203" fontId="0" fillId="0" borderId="11" xfId="1" applyNumberFormat="1" applyFont="1" applyBorder="1" applyAlignment="1">
      <alignment horizontal="left" vertical="center"/>
    </xf>
    <xf numFmtId="180" fontId="0" fillId="0" borderId="12" xfId="1" applyNumberFormat="1" applyFont="1" applyBorder="1">
      <alignment vertical="center"/>
    </xf>
    <xf numFmtId="204" fontId="0" fillId="0" borderId="2" xfId="1" applyNumberFormat="1" applyFont="1" applyBorder="1" applyAlignment="1">
      <alignment horizontal="left" vertical="center"/>
    </xf>
    <xf numFmtId="180" fontId="0" fillId="0" borderId="3" xfId="1" applyNumberFormat="1" applyFont="1" applyBorder="1">
      <alignment vertical="center"/>
    </xf>
    <xf numFmtId="204" fontId="0" fillId="0" borderId="4" xfId="1" applyNumberFormat="1" applyFont="1" applyBorder="1" applyAlignment="1">
      <alignment horizontal="left" vertical="center"/>
    </xf>
    <xf numFmtId="180" fontId="0" fillId="0" borderId="5" xfId="1" applyNumberFormat="1" applyFont="1" applyBorder="1">
      <alignment vertical="center"/>
    </xf>
    <xf numFmtId="205" fontId="0" fillId="0" borderId="6" xfId="1" applyNumberFormat="1" applyFont="1" applyBorder="1" applyAlignment="1">
      <alignment horizontal="left" vertical="center"/>
    </xf>
    <xf numFmtId="180" fontId="0" fillId="0" borderId="7" xfId="1" applyNumberFormat="1" applyFont="1" applyBorder="1">
      <alignment vertical="center"/>
    </xf>
    <xf numFmtId="41" fontId="0" fillId="0" borderId="2" xfId="1" applyFont="1" applyBorder="1">
      <alignment vertical="center"/>
    </xf>
    <xf numFmtId="179" fontId="0" fillId="0" borderId="3" xfId="1" applyNumberFormat="1" applyFont="1" applyBorder="1">
      <alignment vertical="center"/>
    </xf>
    <xf numFmtId="204" fontId="0" fillId="0" borderId="6" xfId="1" applyNumberFormat="1" applyFont="1" applyBorder="1" applyAlignment="1">
      <alignment horizontal="left" vertical="center"/>
    </xf>
    <xf numFmtId="178" fontId="0" fillId="0" borderId="3" xfId="1" applyNumberFormat="1" applyFont="1" applyBorder="1">
      <alignment vertical="center"/>
    </xf>
    <xf numFmtId="178" fontId="0" fillId="0" borderId="5" xfId="1" applyNumberFormat="1" applyFont="1" applyBorder="1">
      <alignment vertical="center"/>
    </xf>
    <xf numFmtId="178" fontId="0" fillId="0" borderId="7" xfId="1" applyNumberFormat="1" applyFont="1" applyBorder="1">
      <alignment vertical="center"/>
    </xf>
    <xf numFmtId="41" fontId="0" fillId="0" borderId="4" xfId="1" applyFont="1" applyBorder="1" applyAlignment="1">
      <alignment vertical="center"/>
    </xf>
    <xf numFmtId="193" fontId="0" fillId="0" borderId="38" xfId="1" applyNumberFormat="1" applyFont="1" applyBorder="1">
      <alignment vertical="center"/>
    </xf>
    <xf numFmtId="193" fontId="0" fillId="0" borderId="39" xfId="1" applyNumberFormat="1" applyFont="1" applyBorder="1">
      <alignment vertical="center"/>
    </xf>
    <xf numFmtId="190" fontId="0" fillId="0" borderId="48" xfId="1" applyNumberFormat="1" applyFont="1" applyBorder="1">
      <alignment vertical="center"/>
    </xf>
    <xf numFmtId="41" fontId="0" fillId="0" borderId="0" xfId="1" applyFont="1" applyAlignment="1">
      <alignment horizontal="center" vertical="center"/>
    </xf>
    <xf numFmtId="41" fontId="24" fillId="0" borderId="0" xfId="1" applyFont="1">
      <alignment vertical="center"/>
    </xf>
    <xf numFmtId="188" fontId="0" fillId="0" borderId="0" xfId="0" applyNumberFormat="1">
      <alignment vertical="center"/>
    </xf>
    <xf numFmtId="206" fontId="0" fillId="0" borderId="0" xfId="0" applyNumberFormat="1">
      <alignment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80" fontId="3" fillId="0" borderId="49" xfId="0" applyNumberFormat="1" applyFont="1" applyBorder="1" applyAlignment="1">
      <alignment horizontal="center" vertical="center"/>
    </xf>
    <xf numFmtId="180" fontId="3" fillId="0" borderId="52" xfId="0" applyNumberFormat="1" applyFont="1" applyBorder="1" applyAlignment="1">
      <alignment horizontal="center" vertical="center"/>
    </xf>
    <xf numFmtId="192" fontId="3" fillId="0" borderId="49" xfId="0" applyNumberFormat="1" applyFont="1" applyBorder="1" applyAlignment="1">
      <alignment horizontal="center" vertical="center"/>
    </xf>
    <xf numFmtId="192" fontId="3" fillId="0" borderId="3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51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80" fontId="4" fillId="0" borderId="30" xfId="0" applyNumberFormat="1" applyFont="1" applyBorder="1" applyAlignment="1">
      <alignment horizontal="left" vertical="center"/>
    </xf>
    <xf numFmtId="180" fontId="4" fillId="0" borderId="37" xfId="0" applyNumberFormat="1" applyFont="1" applyBorder="1" applyAlignment="1">
      <alignment horizontal="left" vertical="center"/>
    </xf>
    <xf numFmtId="180" fontId="4" fillId="0" borderId="16" xfId="0" applyNumberFormat="1" applyFont="1" applyBorder="1" applyAlignment="1">
      <alignment horizontal="left" vertical="center"/>
    </xf>
    <xf numFmtId="192" fontId="0" fillId="0" borderId="30" xfId="1" applyNumberFormat="1" applyFont="1" applyBorder="1" applyAlignment="1">
      <alignment horizontal="center" vertical="center"/>
    </xf>
    <xf numFmtId="192" fontId="0" fillId="0" borderId="27" xfId="1" applyNumberFormat="1" applyFont="1" applyBorder="1" applyAlignment="1">
      <alignment horizontal="center" vertical="center"/>
    </xf>
    <xf numFmtId="192" fontId="4" fillId="0" borderId="32" xfId="1" applyNumberFormat="1" applyFont="1" applyBorder="1" applyAlignment="1">
      <alignment horizontal="center" vertical="center"/>
    </xf>
    <xf numFmtId="192" fontId="4" fillId="0" borderId="26" xfId="1" applyNumberFormat="1" applyFont="1" applyBorder="1" applyAlignment="1">
      <alignment horizontal="center" vertical="center"/>
    </xf>
    <xf numFmtId="192" fontId="0" fillId="0" borderId="33" xfId="1" applyNumberFormat="1" applyFont="1" applyBorder="1" applyAlignment="1">
      <alignment horizontal="center" vertical="center"/>
    </xf>
    <xf numFmtId="192" fontId="0" fillId="0" borderId="60" xfId="1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47"/>
  <sheetViews>
    <sheetView tabSelected="1" zoomScale="85" zoomScaleNormal="85" workbookViewId="0">
      <selection activeCell="V29" sqref="V28:V29"/>
    </sheetView>
  </sheetViews>
  <sheetFormatPr defaultColWidth="9" defaultRowHeight="16.5" x14ac:dyDescent="0.3"/>
  <cols>
    <col min="1" max="1" width="3.25" style="1" customWidth="1"/>
    <col min="2" max="2" width="14.25" style="1" bestFit="1" customWidth="1"/>
    <col min="3" max="3" width="11.125" style="1" customWidth="1"/>
    <col min="4" max="4" width="14.25" style="1" customWidth="1"/>
    <col min="5" max="5" width="11.875" style="1" customWidth="1"/>
    <col min="6" max="6" width="13.25" style="1" customWidth="1"/>
    <col min="7" max="7" width="11.625" style="1" customWidth="1"/>
    <col min="8" max="8" width="3.875" style="1" customWidth="1"/>
    <col min="9" max="10" width="11.625" style="1" customWidth="1"/>
    <col min="11" max="11" width="11.5" style="1" customWidth="1"/>
    <col min="12" max="12" width="10.5" style="1" bestFit="1" customWidth="1"/>
    <col min="13" max="13" width="10.875" style="1" bestFit="1" customWidth="1"/>
    <col min="14" max="15" width="12.25" style="1" bestFit="1" customWidth="1"/>
    <col min="16" max="19" width="11.625" style="1" customWidth="1"/>
    <col min="20" max="21" width="9" style="1"/>
    <col min="22" max="22" width="11.5" style="1" bestFit="1" customWidth="1"/>
    <col min="23" max="23" width="9.875" style="1" bestFit="1" customWidth="1"/>
    <col min="24" max="26" width="11.5" style="1" bestFit="1" customWidth="1"/>
    <col min="27" max="16384" width="9" style="1"/>
  </cols>
  <sheetData>
    <row r="1" spans="2:15" ht="17.25" thickBot="1" x14ac:dyDescent="0.35"/>
    <row r="2" spans="2:15" ht="17.25" hidden="1" thickBot="1" x14ac:dyDescent="0.35">
      <c r="B2" s="24"/>
      <c r="C2" s="25">
        <v>600</v>
      </c>
      <c r="D2" s="25">
        <v>700</v>
      </c>
      <c r="E2" s="25">
        <v>800</v>
      </c>
      <c r="F2" s="25">
        <v>900</v>
      </c>
      <c r="G2" s="25">
        <v>1000</v>
      </c>
      <c r="H2" s="25">
        <v>1100</v>
      </c>
      <c r="I2" s="25">
        <v>1200</v>
      </c>
      <c r="J2" s="25">
        <v>1300</v>
      </c>
      <c r="K2" s="25">
        <v>1400</v>
      </c>
      <c r="L2" s="26">
        <v>1500</v>
      </c>
    </row>
    <row r="3" spans="2:15" ht="17.25" hidden="1" thickBot="1" x14ac:dyDescent="0.35">
      <c r="B3" s="27">
        <v>300</v>
      </c>
      <c r="C3" s="28">
        <v>16</v>
      </c>
      <c r="D3" s="28">
        <v>13</v>
      </c>
      <c r="E3" s="28">
        <v>12</v>
      </c>
      <c r="F3" s="28">
        <v>10</v>
      </c>
      <c r="G3" s="28">
        <v>8</v>
      </c>
      <c r="H3" s="28">
        <v>8</v>
      </c>
      <c r="I3" s="28">
        <v>8</v>
      </c>
      <c r="J3" s="28">
        <v>4</v>
      </c>
      <c r="K3" s="28">
        <v>4</v>
      </c>
      <c r="L3" s="29">
        <v>4</v>
      </c>
    </row>
    <row r="4" spans="2:15" ht="17.25" hidden="1" thickBot="1" x14ac:dyDescent="0.35">
      <c r="B4" s="27">
        <v>400</v>
      </c>
      <c r="C4" s="289">
        <v>12</v>
      </c>
      <c r="D4" s="28">
        <v>9</v>
      </c>
      <c r="E4" s="28">
        <v>9</v>
      </c>
      <c r="F4" s="28">
        <v>7</v>
      </c>
      <c r="G4" s="28">
        <v>6</v>
      </c>
      <c r="H4" s="28">
        <v>6</v>
      </c>
      <c r="I4" s="28">
        <v>6</v>
      </c>
      <c r="J4" s="28">
        <v>3</v>
      </c>
      <c r="K4" s="28">
        <v>3</v>
      </c>
      <c r="L4" s="29">
        <v>3</v>
      </c>
    </row>
    <row r="5" spans="2:15" ht="17.25" hidden="1" thickBot="1" x14ac:dyDescent="0.35">
      <c r="B5" s="27">
        <v>450</v>
      </c>
      <c r="C5" s="28">
        <v>10</v>
      </c>
      <c r="D5" s="288">
        <v>6</v>
      </c>
      <c r="E5" s="28">
        <v>6</v>
      </c>
      <c r="F5" s="28">
        <v>5</v>
      </c>
      <c r="G5" s="28">
        <v>5</v>
      </c>
      <c r="H5" s="28">
        <v>5</v>
      </c>
      <c r="I5" s="28">
        <v>5</v>
      </c>
      <c r="J5" s="28">
        <v>2</v>
      </c>
      <c r="K5" s="28">
        <v>2</v>
      </c>
      <c r="L5" s="29">
        <v>2</v>
      </c>
    </row>
    <row r="6" spans="2:15" ht="17.25" hidden="1" thickBot="1" x14ac:dyDescent="0.35">
      <c r="B6" s="27">
        <v>500</v>
      </c>
      <c r="C6" s="290">
        <v>8</v>
      </c>
      <c r="D6" s="28">
        <v>6</v>
      </c>
      <c r="E6" s="28">
        <v>6</v>
      </c>
      <c r="F6" s="28">
        <v>4</v>
      </c>
      <c r="G6" s="28">
        <v>4</v>
      </c>
      <c r="H6" s="28">
        <v>4</v>
      </c>
      <c r="I6" s="28">
        <v>4</v>
      </c>
      <c r="J6" s="28">
        <v>2</v>
      </c>
      <c r="K6" s="28">
        <v>2</v>
      </c>
      <c r="L6" s="29">
        <v>2</v>
      </c>
    </row>
    <row r="7" spans="2:15" ht="17.25" hidden="1" thickBot="1" x14ac:dyDescent="0.35">
      <c r="B7" s="27">
        <v>600</v>
      </c>
      <c r="C7" s="28">
        <v>8</v>
      </c>
      <c r="D7" s="28">
        <v>6</v>
      </c>
      <c r="E7" s="28">
        <v>6</v>
      </c>
      <c r="F7" s="28">
        <v>4</v>
      </c>
      <c r="G7" s="28">
        <v>4</v>
      </c>
      <c r="H7" s="28">
        <v>4</v>
      </c>
      <c r="I7" s="28">
        <v>4</v>
      </c>
      <c r="J7" s="28">
        <v>2</v>
      </c>
      <c r="K7" s="28">
        <v>2</v>
      </c>
      <c r="L7" s="29">
        <v>2</v>
      </c>
    </row>
    <row r="8" spans="2:15" ht="17.25" hidden="1" thickBot="1" x14ac:dyDescent="0.35">
      <c r="B8" s="27">
        <v>700</v>
      </c>
      <c r="C8" s="28">
        <v>6</v>
      </c>
      <c r="D8" s="28">
        <v>3</v>
      </c>
      <c r="E8" s="28">
        <v>3</v>
      </c>
      <c r="F8" s="28">
        <v>3</v>
      </c>
      <c r="G8" s="28">
        <v>3</v>
      </c>
      <c r="H8" s="28">
        <v>3</v>
      </c>
      <c r="I8" s="28">
        <v>3</v>
      </c>
      <c r="J8" s="28">
        <v>1</v>
      </c>
      <c r="K8" s="28">
        <v>1</v>
      </c>
      <c r="L8" s="29">
        <v>1</v>
      </c>
    </row>
    <row r="9" spans="2:15" ht="17.25" hidden="1" thickBot="1" x14ac:dyDescent="0.35">
      <c r="B9" s="27">
        <v>800</v>
      </c>
      <c r="C9" s="28">
        <v>6</v>
      </c>
      <c r="D9" s="28">
        <v>3</v>
      </c>
      <c r="E9" s="28">
        <v>3</v>
      </c>
      <c r="F9" s="28">
        <v>3</v>
      </c>
      <c r="G9" s="28">
        <v>3</v>
      </c>
      <c r="H9" s="28">
        <v>3</v>
      </c>
      <c r="I9" s="28">
        <v>3</v>
      </c>
      <c r="J9" s="28">
        <v>1</v>
      </c>
      <c r="K9" s="28">
        <v>1</v>
      </c>
      <c r="L9" s="29">
        <v>1</v>
      </c>
    </row>
    <row r="10" spans="2:15" ht="17.25" hidden="1" thickBot="1" x14ac:dyDescent="0.35">
      <c r="B10" s="30">
        <v>900</v>
      </c>
      <c r="C10" s="31">
        <v>5</v>
      </c>
      <c r="D10" s="31">
        <v>3</v>
      </c>
      <c r="E10" s="31">
        <v>3</v>
      </c>
      <c r="F10" s="31">
        <v>2</v>
      </c>
      <c r="G10" s="31">
        <v>2</v>
      </c>
      <c r="H10" s="31">
        <v>2</v>
      </c>
      <c r="I10" s="31">
        <v>2</v>
      </c>
      <c r="J10" s="31">
        <v>1</v>
      </c>
      <c r="K10" s="31">
        <v>1</v>
      </c>
      <c r="L10" s="32">
        <v>1</v>
      </c>
    </row>
    <row r="11" spans="2:15" ht="18" thickBot="1" x14ac:dyDescent="0.35">
      <c r="B11" s="20" t="s">
        <v>16</v>
      </c>
      <c r="D11" s="20" t="s">
        <v>169</v>
      </c>
      <c r="E11" s="5"/>
      <c r="I11" s="327">
        <v>8300</v>
      </c>
      <c r="J11" s="41">
        <v>600</v>
      </c>
      <c r="K11" s="37">
        <v>700</v>
      </c>
      <c r="L11" s="42">
        <v>800</v>
      </c>
      <c r="M11" s="37">
        <v>900</v>
      </c>
      <c r="N11" s="42">
        <v>1200</v>
      </c>
      <c r="O11" s="38">
        <v>1500</v>
      </c>
    </row>
    <row r="12" spans="2:15" ht="17.25" x14ac:dyDescent="0.3">
      <c r="B12" s="14" t="s">
        <v>2</v>
      </c>
      <c r="C12" s="15">
        <v>2100</v>
      </c>
      <c r="D12" s="346" t="s">
        <v>160</v>
      </c>
      <c r="E12" s="15">
        <v>300</v>
      </c>
      <c r="F12" s="353" t="s">
        <v>14</v>
      </c>
      <c r="G12" s="11">
        <v>1000</v>
      </c>
      <c r="I12" s="39">
        <v>300</v>
      </c>
      <c r="J12" s="50">
        <f>ROUNDUP(I11/C3,-2)</f>
        <v>600</v>
      </c>
      <c r="K12" s="33">
        <f>ROUNDUP(I11/D3,-2)</f>
        <v>700</v>
      </c>
      <c r="L12" s="52">
        <f>ROUNDUP(I11/E3,-2)</f>
        <v>700</v>
      </c>
      <c r="M12" s="33">
        <f>ROUNDUP(I11/F3,-2)</f>
        <v>900</v>
      </c>
      <c r="N12" s="52">
        <f>ROUNDUP(I11/I3,-2)</f>
        <v>1100</v>
      </c>
      <c r="O12" s="34">
        <f>ROUNDUP(I11/L3,-2)</f>
        <v>2100</v>
      </c>
    </row>
    <row r="13" spans="2:15" ht="17.25" x14ac:dyDescent="0.3">
      <c r="B13" s="16" t="s">
        <v>1</v>
      </c>
      <c r="C13" s="351">
        <v>900</v>
      </c>
      <c r="D13" s="347" t="s">
        <v>161</v>
      </c>
      <c r="E13" s="22">
        <v>4</v>
      </c>
      <c r="F13" s="12" t="s">
        <v>10</v>
      </c>
      <c r="G13" s="56">
        <v>1400</v>
      </c>
      <c r="I13" s="59">
        <v>400</v>
      </c>
      <c r="J13" s="60">
        <f>ROUNDUP(I11/C4,-2)</f>
        <v>700</v>
      </c>
      <c r="K13" s="61">
        <f>ROUNDUP(I11/D4,-2)</f>
        <v>1000</v>
      </c>
      <c r="L13" s="61">
        <f>ROUNDUP(I11/E4,-2)</f>
        <v>1000</v>
      </c>
      <c r="M13" s="61">
        <f>ROUNDUP(I11/F4,-2)</f>
        <v>1200</v>
      </c>
      <c r="N13" s="61">
        <f>ROUNDUP(I11/I4,-2)</f>
        <v>1400</v>
      </c>
      <c r="O13" s="62">
        <f>ROUNDUP(I11/L4,-2)</f>
        <v>2800</v>
      </c>
    </row>
    <row r="14" spans="2:15" ht="17.25" x14ac:dyDescent="0.3">
      <c r="B14" s="16" t="s">
        <v>9</v>
      </c>
      <c r="C14" s="351">
        <v>400</v>
      </c>
      <c r="D14" s="348" t="s">
        <v>25</v>
      </c>
      <c r="E14" s="22">
        <v>2</v>
      </c>
      <c r="F14" s="12" t="s">
        <v>18</v>
      </c>
      <c r="G14" s="56">
        <v>45</v>
      </c>
      <c r="I14" s="40">
        <v>450</v>
      </c>
      <c r="J14" s="51">
        <f>ROUNDUP(I11/C5,-2)</f>
        <v>900</v>
      </c>
      <c r="K14" s="35">
        <f>ROUNDUP(I11/D5,-2)</f>
        <v>1400</v>
      </c>
      <c r="L14" s="53">
        <f>ROUNDUP(I11/E5,-2)</f>
        <v>1400</v>
      </c>
      <c r="M14" s="35">
        <f>ROUNDUP(I11/F5,-2)</f>
        <v>1700</v>
      </c>
      <c r="N14" s="53">
        <f>ROUNDUP(I11/I5,-2)</f>
        <v>1700</v>
      </c>
      <c r="O14" s="36">
        <f>ROUNDUP(I11/L5,-2)</f>
        <v>4200</v>
      </c>
    </row>
    <row r="15" spans="2:15" ht="17.25" x14ac:dyDescent="0.3">
      <c r="B15" s="16" t="s">
        <v>0</v>
      </c>
      <c r="C15" s="352">
        <v>7</v>
      </c>
      <c r="D15" s="341"/>
      <c r="E15" s="342"/>
      <c r="F15" s="12" t="s">
        <v>19</v>
      </c>
      <c r="G15" s="56">
        <v>20</v>
      </c>
      <c r="I15" s="40">
        <v>600</v>
      </c>
      <c r="J15" s="51">
        <f>ROUNDUP(I11/C7,-2)</f>
        <v>1100</v>
      </c>
      <c r="K15" s="35">
        <f>ROUNDUP(I11/D7,-2)</f>
        <v>1400</v>
      </c>
      <c r="L15" s="53">
        <f>ROUNDUP(I11/E7,-2)</f>
        <v>1400</v>
      </c>
      <c r="M15" s="35">
        <f>ROUNDUP(I11/F7,-2)</f>
        <v>2100</v>
      </c>
      <c r="N15" s="53">
        <f>ROUNDUP(I11/I7,-2)</f>
        <v>2100</v>
      </c>
      <c r="O15" s="36">
        <f>ROUNDUP(I11/L7,-2)</f>
        <v>4200</v>
      </c>
    </row>
    <row r="16" spans="2:15" ht="18" thickBot="1" x14ac:dyDescent="0.35">
      <c r="B16" s="21" t="s">
        <v>162</v>
      </c>
      <c r="C16" s="343">
        <v>8</v>
      </c>
      <c r="D16" s="349" t="s">
        <v>163</v>
      </c>
      <c r="E16" s="343">
        <v>4</v>
      </c>
      <c r="F16" s="13" t="s">
        <v>41</v>
      </c>
      <c r="G16" s="57">
        <v>40</v>
      </c>
      <c r="I16" s="63">
        <v>900</v>
      </c>
      <c r="J16" s="64">
        <f>ROUNDUP(I11/C10,-2)</f>
        <v>1700</v>
      </c>
      <c r="K16" s="65">
        <f>ROUNDUP(I11/D10,-2)</f>
        <v>2800</v>
      </c>
      <c r="L16" s="65">
        <f>ROUNDUP(I11/E10,-2)</f>
        <v>2800</v>
      </c>
      <c r="M16" s="65">
        <f>ROUNDUP(I11/F10,-2)</f>
        <v>4200</v>
      </c>
      <c r="N16" s="65">
        <f>ROUNDUP(I11/I10,-2)</f>
        <v>4200</v>
      </c>
      <c r="O16" s="66">
        <f>ROUNDUP(I11/L10,-2)</f>
        <v>8300</v>
      </c>
    </row>
    <row r="17" spans="2:19" ht="19.5" customHeight="1" thickBot="1" x14ac:dyDescent="0.35">
      <c r="B17" s="344" t="str">
        <f>"+조당추가볼트"</f>
        <v>+조당추가볼트</v>
      </c>
      <c r="C17" s="345">
        <v>0</v>
      </c>
      <c r="D17" s="350" t="str">
        <f>"+조당추가볼트"</f>
        <v>+조당추가볼트</v>
      </c>
      <c r="E17" s="345">
        <v>0</v>
      </c>
    </row>
    <row r="18" spans="2:19" ht="17.25" thickBot="1" x14ac:dyDescent="0.35">
      <c r="B18" s="344" t="s">
        <v>158</v>
      </c>
      <c r="C18" s="345">
        <v>1</v>
      </c>
      <c r="D18" s="350" t="s">
        <v>159</v>
      </c>
      <c r="E18" s="345">
        <v>0</v>
      </c>
    </row>
    <row r="19" spans="2:19" ht="16.5" customHeight="1" x14ac:dyDescent="0.3"/>
    <row r="20" spans="2:19" ht="17.25" thickBot="1" x14ac:dyDescent="0.35">
      <c r="B20" s="20" t="s">
        <v>166</v>
      </c>
      <c r="C20" s="1" t="s">
        <v>174</v>
      </c>
      <c r="E20" s="1" t="s">
        <v>105</v>
      </c>
      <c r="I20" s="20" t="s">
        <v>16</v>
      </c>
      <c r="K20" s="307">
        <f>SUM(K21:K23)</f>
        <v>26.6</v>
      </c>
      <c r="O20" s="330" t="s">
        <v>171</v>
      </c>
    </row>
    <row r="21" spans="2:19" ht="18.75" customHeight="1" x14ac:dyDescent="0.3">
      <c r="B21" s="313">
        <v>1.1000000000000001</v>
      </c>
      <c r="C21" s="314">
        <f t="shared" ref="C21:C30" si="0">ROUNDUP($N$27*B21,-3)</f>
        <v>43000</v>
      </c>
      <c r="D21" s="315">
        <f t="shared" ref="D21:D30" si="1">C21-$M$27</f>
        <v>4640</v>
      </c>
      <c r="E21" s="314">
        <f t="shared" ref="E21:E30" si="2">ROUNDUP($N$26*B21,-3)</f>
        <v>43000</v>
      </c>
      <c r="F21" s="315">
        <f>E21-$M$26</f>
        <v>4640</v>
      </c>
      <c r="I21" s="317">
        <f>C12</f>
        <v>2100</v>
      </c>
      <c r="J21" s="322">
        <f>4*C18</f>
        <v>4</v>
      </c>
      <c r="K21" s="316">
        <f>C12*J21/1000</f>
        <v>8.4</v>
      </c>
      <c r="L21" s="339" t="s">
        <v>44</v>
      </c>
      <c r="M21" s="4">
        <f>K20*G12</f>
        <v>26600</v>
      </c>
      <c r="N21" s="3"/>
      <c r="O21" s="331">
        <v>1.1000000000000001</v>
      </c>
      <c r="P21" s="314">
        <f>$M$45*O21</f>
        <v>42196</v>
      </c>
      <c r="Q21" s="315">
        <f>P21-$M$45</f>
        <v>3836</v>
      </c>
      <c r="R21" s="314">
        <f>ROUNDUP($M$46*O21,-3)</f>
        <v>43000</v>
      </c>
      <c r="S21" s="315">
        <f>R21-$M$45</f>
        <v>4640</v>
      </c>
    </row>
    <row r="22" spans="2:19" x14ac:dyDescent="0.3">
      <c r="B22" s="279">
        <v>1.2</v>
      </c>
      <c r="C22" s="276">
        <f t="shared" si="0"/>
        <v>47000</v>
      </c>
      <c r="D22" s="309">
        <f t="shared" si="1"/>
        <v>8640</v>
      </c>
      <c r="E22" s="276">
        <f t="shared" si="2"/>
        <v>47000</v>
      </c>
      <c r="F22" s="309">
        <f t="shared" ref="F22:F30" si="3">E22-$M$26</f>
        <v>8640</v>
      </c>
      <c r="I22" s="317">
        <f>C13</f>
        <v>900</v>
      </c>
      <c r="J22" s="323">
        <f>C15*2*C18</f>
        <v>14</v>
      </c>
      <c r="K22" s="316">
        <f>C13*J22/1000</f>
        <v>12.6</v>
      </c>
      <c r="L22" s="23" t="s">
        <v>45</v>
      </c>
      <c r="M22" s="4">
        <f>J24*G13</f>
        <v>9800</v>
      </c>
      <c r="N22" s="3"/>
      <c r="O22" s="332">
        <v>1.1499999999999999</v>
      </c>
      <c r="P22" s="276">
        <f t="shared" ref="P22:P39" si="4">$M$45*O22</f>
        <v>44114</v>
      </c>
      <c r="Q22" s="309">
        <f t="shared" ref="Q22:Q39" si="5">P22-$M$45</f>
        <v>5754</v>
      </c>
      <c r="R22" s="276">
        <f t="shared" ref="R22:R39" si="6">ROUNDUP($M$46*O22,-3)</f>
        <v>45000</v>
      </c>
      <c r="S22" s="309">
        <f t="shared" ref="S22:S39" si="7">R22-$M$45</f>
        <v>6640</v>
      </c>
    </row>
    <row r="23" spans="2:19" x14ac:dyDescent="0.3">
      <c r="B23" s="279">
        <v>1.3</v>
      </c>
      <c r="C23" s="276">
        <f t="shared" si="0"/>
        <v>51000</v>
      </c>
      <c r="D23" s="309">
        <f t="shared" si="1"/>
        <v>12640</v>
      </c>
      <c r="E23" s="276">
        <f t="shared" si="2"/>
        <v>51000</v>
      </c>
      <c r="F23" s="309">
        <f t="shared" si="3"/>
        <v>12640</v>
      </c>
      <c r="I23" s="317">
        <f>C14</f>
        <v>400</v>
      </c>
      <c r="J23" s="323">
        <f>C15*2*C18</f>
        <v>14</v>
      </c>
      <c r="K23" s="316">
        <f>C14*J23/1000</f>
        <v>5.6</v>
      </c>
      <c r="L23" s="18" t="s">
        <v>11</v>
      </c>
      <c r="M23" s="4">
        <f>G15*J25</f>
        <v>1440</v>
      </c>
      <c r="N23" s="3"/>
      <c r="O23" s="332">
        <v>1.2</v>
      </c>
      <c r="P23" s="276">
        <f t="shared" si="4"/>
        <v>46032</v>
      </c>
      <c r="Q23" s="309">
        <f t="shared" si="5"/>
        <v>7672</v>
      </c>
      <c r="R23" s="276">
        <f t="shared" si="6"/>
        <v>47000</v>
      </c>
      <c r="S23" s="309">
        <f t="shared" si="7"/>
        <v>8640</v>
      </c>
    </row>
    <row r="24" spans="2:19" x14ac:dyDescent="0.3">
      <c r="B24" s="279">
        <v>1.4</v>
      </c>
      <c r="C24" s="276">
        <f t="shared" si="0"/>
        <v>55000</v>
      </c>
      <c r="D24" s="309">
        <f t="shared" si="1"/>
        <v>16640</v>
      </c>
      <c r="E24" s="276">
        <f t="shared" si="2"/>
        <v>55000</v>
      </c>
      <c r="F24" s="309">
        <f t="shared" si="3"/>
        <v>16640</v>
      </c>
      <c r="I24" s="206" t="s">
        <v>43</v>
      </c>
      <c r="J24" s="324">
        <f>C15*C18</f>
        <v>7</v>
      </c>
      <c r="K24" s="354"/>
      <c r="L24" s="18" t="s">
        <v>12</v>
      </c>
      <c r="M24" s="4">
        <f>G14*J26</f>
        <v>360</v>
      </c>
      <c r="N24" s="3"/>
      <c r="O24" s="332">
        <v>1.25</v>
      </c>
      <c r="P24" s="276">
        <f t="shared" si="4"/>
        <v>47950</v>
      </c>
      <c r="Q24" s="309">
        <f t="shared" si="5"/>
        <v>9590</v>
      </c>
      <c r="R24" s="276">
        <f t="shared" si="6"/>
        <v>49000</v>
      </c>
      <c r="S24" s="309">
        <f t="shared" si="7"/>
        <v>10640</v>
      </c>
    </row>
    <row r="25" spans="2:19" ht="17.25" thickBot="1" x14ac:dyDescent="0.35">
      <c r="B25" s="281">
        <v>1.5</v>
      </c>
      <c r="C25" s="282">
        <f t="shared" si="0"/>
        <v>59000</v>
      </c>
      <c r="D25" s="310">
        <f t="shared" si="1"/>
        <v>20640</v>
      </c>
      <c r="E25" s="282">
        <f t="shared" si="2"/>
        <v>59000</v>
      </c>
      <c r="F25" s="310">
        <f t="shared" si="3"/>
        <v>20640</v>
      </c>
      <c r="I25" s="206" t="s">
        <v>11</v>
      </c>
      <c r="J25" s="323">
        <f>((J22+J23)*2+(J26*2)+(C17*C18))</f>
        <v>72</v>
      </c>
      <c r="K25" s="354">
        <f>ROUNDUP(J25,-1)</f>
        <v>80</v>
      </c>
      <c r="L25" s="18" t="s">
        <v>41</v>
      </c>
      <c r="M25" s="4">
        <f>G16*J27</f>
        <v>160</v>
      </c>
      <c r="N25" s="3"/>
      <c r="O25" s="332">
        <v>1.3</v>
      </c>
      <c r="P25" s="276">
        <f t="shared" si="4"/>
        <v>49868</v>
      </c>
      <c r="Q25" s="309">
        <f t="shared" si="5"/>
        <v>11508</v>
      </c>
      <c r="R25" s="276">
        <f t="shared" si="6"/>
        <v>51000</v>
      </c>
      <c r="S25" s="309">
        <f t="shared" si="7"/>
        <v>12640</v>
      </c>
    </row>
    <row r="26" spans="2:19" ht="17.25" thickBot="1" x14ac:dyDescent="0.35">
      <c r="B26" s="283">
        <v>1.6</v>
      </c>
      <c r="C26" s="284">
        <f t="shared" si="0"/>
        <v>63000</v>
      </c>
      <c r="D26" s="311">
        <f t="shared" si="1"/>
        <v>24640</v>
      </c>
      <c r="E26" s="284">
        <f t="shared" si="2"/>
        <v>63000</v>
      </c>
      <c r="F26" s="311">
        <f t="shared" si="3"/>
        <v>24640</v>
      </c>
      <c r="I26" s="206" t="s">
        <v>12</v>
      </c>
      <c r="J26" s="323">
        <f>C16*C18</f>
        <v>8</v>
      </c>
      <c r="K26" s="18"/>
      <c r="L26" s="340" t="s">
        <v>8</v>
      </c>
      <c r="M26" s="4">
        <f>SUM(M21:M25)</f>
        <v>38360</v>
      </c>
      <c r="N26" s="4">
        <f>ROUNDUP(M26,-3)</f>
        <v>39000</v>
      </c>
      <c r="O26" s="332">
        <v>1.35</v>
      </c>
      <c r="P26" s="276">
        <f t="shared" si="4"/>
        <v>51786</v>
      </c>
      <c r="Q26" s="309">
        <f t="shared" si="5"/>
        <v>13426</v>
      </c>
      <c r="R26" s="276">
        <f t="shared" si="6"/>
        <v>53000</v>
      </c>
      <c r="S26" s="309">
        <f t="shared" si="7"/>
        <v>14640</v>
      </c>
    </row>
    <row r="27" spans="2:19" ht="17.25" thickBot="1" x14ac:dyDescent="0.35">
      <c r="B27" s="278">
        <v>1.7</v>
      </c>
      <c r="C27" s="275">
        <f t="shared" si="0"/>
        <v>67000</v>
      </c>
      <c r="D27" s="308">
        <f t="shared" si="1"/>
        <v>28640</v>
      </c>
      <c r="E27" s="275">
        <f t="shared" si="2"/>
        <v>67000</v>
      </c>
      <c r="F27" s="308">
        <f t="shared" si="3"/>
        <v>28640</v>
      </c>
      <c r="I27" s="206" t="s">
        <v>42</v>
      </c>
      <c r="J27" s="325">
        <f>4*C18</f>
        <v>4</v>
      </c>
      <c r="K27" s="354"/>
      <c r="L27" s="340" t="s">
        <v>175</v>
      </c>
      <c r="M27" s="4">
        <f>M26/C18</f>
        <v>38360</v>
      </c>
      <c r="N27" s="4">
        <f>ROUNDUP(M27,-3)</f>
        <v>39000</v>
      </c>
      <c r="O27" s="332">
        <v>1.4</v>
      </c>
      <c r="P27" s="276">
        <f t="shared" si="4"/>
        <v>53704</v>
      </c>
      <c r="Q27" s="309">
        <f t="shared" si="5"/>
        <v>15344</v>
      </c>
      <c r="R27" s="276">
        <f t="shared" si="6"/>
        <v>55000</v>
      </c>
      <c r="S27" s="309">
        <f t="shared" si="7"/>
        <v>16640</v>
      </c>
    </row>
    <row r="28" spans="2:19" x14ac:dyDescent="0.3">
      <c r="B28" s="279">
        <v>1.8</v>
      </c>
      <c r="C28" s="276">
        <f t="shared" si="0"/>
        <v>71000</v>
      </c>
      <c r="D28" s="309">
        <f t="shared" si="1"/>
        <v>32640</v>
      </c>
      <c r="E28" s="276">
        <f t="shared" si="2"/>
        <v>71000</v>
      </c>
      <c r="F28" s="309">
        <f t="shared" si="3"/>
        <v>32640</v>
      </c>
      <c r="O28" s="332">
        <v>1.45</v>
      </c>
      <c r="P28" s="276">
        <f t="shared" si="4"/>
        <v>55622</v>
      </c>
      <c r="Q28" s="309">
        <f t="shared" si="5"/>
        <v>17262</v>
      </c>
      <c r="R28" s="276">
        <f t="shared" si="6"/>
        <v>57000</v>
      </c>
      <c r="S28" s="309">
        <f t="shared" si="7"/>
        <v>18640</v>
      </c>
    </row>
    <row r="29" spans="2:19" ht="17.25" thickBot="1" x14ac:dyDescent="0.35">
      <c r="B29" s="279">
        <v>1.9</v>
      </c>
      <c r="C29" s="276">
        <f t="shared" si="0"/>
        <v>75000</v>
      </c>
      <c r="D29" s="309">
        <f t="shared" si="1"/>
        <v>36640</v>
      </c>
      <c r="E29" s="276">
        <f t="shared" si="2"/>
        <v>75000</v>
      </c>
      <c r="F29" s="309">
        <f t="shared" si="3"/>
        <v>36640</v>
      </c>
      <c r="I29" s="20" t="s">
        <v>169</v>
      </c>
      <c r="K29" s="307">
        <f>SUM(K30:K32)</f>
        <v>0</v>
      </c>
      <c r="O29" s="332">
        <v>1.5</v>
      </c>
      <c r="P29" s="276">
        <f t="shared" si="4"/>
        <v>57540</v>
      </c>
      <c r="Q29" s="309">
        <f t="shared" si="5"/>
        <v>19180</v>
      </c>
      <c r="R29" s="276">
        <f t="shared" si="6"/>
        <v>59000</v>
      </c>
      <c r="S29" s="309">
        <f t="shared" si="7"/>
        <v>20640</v>
      </c>
    </row>
    <row r="30" spans="2:19" ht="17.25" thickBot="1" x14ac:dyDescent="0.35">
      <c r="B30" s="280">
        <v>2</v>
      </c>
      <c r="C30" s="277">
        <f t="shared" si="0"/>
        <v>78000</v>
      </c>
      <c r="D30" s="312">
        <f t="shared" si="1"/>
        <v>39640</v>
      </c>
      <c r="E30" s="277">
        <f t="shared" si="2"/>
        <v>78000</v>
      </c>
      <c r="F30" s="312">
        <f t="shared" si="3"/>
        <v>39640</v>
      </c>
      <c r="I30" s="317">
        <f>C12</f>
        <v>2100</v>
      </c>
      <c r="J30" s="322">
        <f>2*E18</f>
        <v>0</v>
      </c>
      <c r="K30" s="316">
        <f>C12*J30/1000</f>
        <v>0</v>
      </c>
      <c r="L30" s="339" t="s">
        <v>167</v>
      </c>
      <c r="M30" s="4">
        <f>K29*G12</f>
        <v>0</v>
      </c>
      <c r="N30" s="3"/>
      <c r="O30" s="332">
        <v>1.55</v>
      </c>
      <c r="P30" s="276">
        <f t="shared" si="4"/>
        <v>59458</v>
      </c>
      <c r="Q30" s="309">
        <f t="shared" si="5"/>
        <v>21098</v>
      </c>
      <c r="R30" s="276">
        <f t="shared" si="6"/>
        <v>61000</v>
      </c>
      <c r="S30" s="309">
        <f t="shared" si="7"/>
        <v>22640</v>
      </c>
    </row>
    <row r="31" spans="2:19" x14ac:dyDescent="0.3">
      <c r="I31" s="317">
        <f>C13</f>
        <v>900</v>
      </c>
      <c r="J31" s="323">
        <f>C15*2*E18</f>
        <v>0</v>
      </c>
      <c r="K31" s="316">
        <f>C13*J31/1000</f>
        <v>0</v>
      </c>
      <c r="L31" s="23" t="s">
        <v>95</v>
      </c>
      <c r="M31" s="4">
        <f>J34*G13</f>
        <v>0</v>
      </c>
      <c r="N31" s="3"/>
      <c r="O31" s="336">
        <v>1.6</v>
      </c>
      <c r="P31" s="335">
        <f t="shared" si="4"/>
        <v>61376</v>
      </c>
      <c r="Q31" s="334">
        <f t="shared" si="5"/>
        <v>23016</v>
      </c>
      <c r="R31" s="335">
        <f t="shared" si="6"/>
        <v>63000</v>
      </c>
      <c r="S31" s="334">
        <f t="shared" si="7"/>
        <v>24640</v>
      </c>
    </row>
    <row r="32" spans="2:19" ht="17.25" thickBot="1" x14ac:dyDescent="0.35">
      <c r="B32" s="20" t="s">
        <v>169</v>
      </c>
      <c r="C32" s="1" t="s">
        <v>174</v>
      </c>
      <c r="E32" s="1" t="s">
        <v>105</v>
      </c>
      <c r="I32" s="317">
        <f>C14</f>
        <v>400</v>
      </c>
      <c r="J32" s="323">
        <f>C15*E18</f>
        <v>0</v>
      </c>
      <c r="K32" s="316">
        <f>C14*J32/1000</f>
        <v>0</v>
      </c>
      <c r="L32" s="18" t="s">
        <v>168</v>
      </c>
      <c r="M32" s="4">
        <f>G15*J35</f>
        <v>0</v>
      </c>
      <c r="N32" s="3"/>
      <c r="O32" s="332">
        <v>1.65</v>
      </c>
      <c r="P32" s="276">
        <f t="shared" si="4"/>
        <v>63294</v>
      </c>
      <c r="Q32" s="309">
        <f t="shared" si="5"/>
        <v>24934</v>
      </c>
      <c r="R32" s="276">
        <f t="shared" si="6"/>
        <v>65000</v>
      </c>
      <c r="S32" s="309">
        <f t="shared" si="7"/>
        <v>26640</v>
      </c>
    </row>
    <row r="33" spans="2:19" x14ac:dyDescent="0.3">
      <c r="B33" s="313">
        <v>1.1000000000000001</v>
      </c>
      <c r="C33" s="314" t="e">
        <f t="shared" ref="C33:C42" si="8">ROUNDUP($N$36*B33,-3)</f>
        <v>#DIV/0!</v>
      </c>
      <c r="D33" s="315" t="e">
        <f t="shared" ref="D33:D42" si="9">C33-$M$36</f>
        <v>#DIV/0!</v>
      </c>
      <c r="E33" s="314">
        <f t="shared" ref="E33:E42" si="10">ROUNDUP($N$35*B33,-3)</f>
        <v>0</v>
      </c>
      <c r="F33" s="315">
        <f>E33-$M$35</f>
        <v>0</v>
      </c>
      <c r="I33" s="317">
        <f>E12</f>
        <v>300</v>
      </c>
      <c r="J33" s="323">
        <f>E13*E18</f>
        <v>0</v>
      </c>
      <c r="K33" s="316">
        <f>E12*J33/1000</f>
        <v>0</v>
      </c>
      <c r="L33" s="18" t="s">
        <v>86</v>
      </c>
      <c r="M33" s="4">
        <f>G14*J36</f>
        <v>0</v>
      </c>
      <c r="N33" s="3"/>
      <c r="O33" s="332">
        <v>1.7</v>
      </c>
      <c r="P33" s="276">
        <f t="shared" si="4"/>
        <v>65212</v>
      </c>
      <c r="Q33" s="309">
        <f t="shared" si="5"/>
        <v>26852</v>
      </c>
      <c r="R33" s="276">
        <f t="shared" si="6"/>
        <v>67000</v>
      </c>
      <c r="S33" s="309">
        <f t="shared" si="7"/>
        <v>28640</v>
      </c>
    </row>
    <row r="34" spans="2:19" x14ac:dyDescent="0.3">
      <c r="B34" s="279">
        <v>1.2</v>
      </c>
      <c r="C34" s="276" t="e">
        <f t="shared" si="8"/>
        <v>#DIV/0!</v>
      </c>
      <c r="D34" s="309" t="e">
        <f t="shared" si="9"/>
        <v>#DIV/0!</v>
      </c>
      <c r="E34" s="276">
        <f t="shared" si="10"/>
        <v>0</v>
      </c>
      <c r="F34" s="309">
        <f t="shared" ref="F34:F42" si="11">E34-$M$35</f>
        <v>0</v>
      </c>
      <c r="I34" s="206" t="s">
        <v>95</v>
      </c>
      <c r="J34" s="324">
        <f>C15*E18</f>
        <v>0</v>
      </c>
      <c r="K34" s="354"/>
      <c r="L34" s="18" t="s">
        <v>41</v>
      </c>
      <c r="M34" s="4">
        <f>G16*J37</f>
        <v>0</v>
      </c>
      <c r="N34" s="3"/>
      <c r="O34" s="332">
        <v>1.75</v>
      </c>
      <c r="P34" s="276">
        <f t="shared" si="4"/>
        <v>67130</v>
      </c>
      <c r="Q34" s="309">
        <f t="shared" si="5"/>
        <v>28770</v>
      </c>
      <c r="R34" s="276">
        <f t="shared" si="6"/>
        <v>69000</v>
      </c>
      <c r="S34" s="309">
        <f t="shared" si="7"/>
        <v>30640</v>
      </c>
    </row>
    <row r="35" spans="2:19" x14ac:dyDescent="0.3">
      <c r="B35" s="279">
        <v>1.3</v>
      </c>
      <c r="C35" s="276" t="e">
        <f t="shared" si="8"/>
        <v>#DIV/0!</v>
      </c>
      <c r="D35" s="309" t="e">
        <f t="shared" si="9"/>
        <v>#DIV/0!</v>
      </c>
      <c r="E35" s="276">
        <f t="shared" si="10"/>
        <v>0</v>
      </c>
      <c r="F35" s="309">
        <f t="shared" si="11"/>
        <v>0</v>
      </c>
      <c r="I35" s="206" t="s">
        <v>170</v>
      </c>
      <c r="J35" s="323">
        <f>((J31+J32)*2)+(J33*E14)+(E17*E18)</f>
        <v>0</v>
      </c>
      <c r="K35" s="354">
        <f>ROUNDUP(J35,-1)</f>
        <v>0</v>
      </c>
      <c r="L35" s="340" t="s">
        <v>165</v>
      </c>
      <c r="M35" s="4">
        <f>SUM(M30:M34)</f>
        <v>0</v>
      </c>
      <c r="N35" s="4">
        <f>ROUNDUP(M35,-3)</f>
        <v>0</v>
      </c>
      <c r="O35" s="332">
        <v>1.8</v>
      </c>
      <c r="P35" s="276">
        <f t="shared" si="4"/>
        <v>69048</v>
      </c>
      <c r="Q35" s="309">
        <f t="shared" si="5"/>
        <v>30688</v>
      </c>
      <c r="R35" s="276">
        <f t="shared" si="6"/>
        <v>71000</v>
      </c>
      <c r="S35" s="309">
        <f t="shared" si="7"/>
        <v>32640</v>
      </c>
    </row>
    <row r="36" spans="2:19" x14ac:dyDescent="0.3">
      <c r="B36" s="279">
        <v>1.4</v>
      </c>
      <c r="C36" s="276" t="e">
        <f t="shared" si="8"/>
        <v>#DIV/0!</v>
      </c>
      <c r="D36" s="309" t="e">
        <f t="shared" si="9"/>
        <v>#DIV/0!</v>
      </c>
      <c r="E36" s="276">
        <f t="shared" si="10"/>
        <v>0</v>
      </c>
      <c r="F36" s="309">
        <f t="shared" si="11"/>
        <v>0</v>
      </c>
      <c r="I36" s="206" t="s">
        <v>86</v>
      </c>
      <c r="J36" s="323">
        <f>E16*E18</f>
        <v>0</v>
      </c>
      <c r="K36" s="18"/>
      <c r="L36" s="78" t="s">
        <v>176</v>
      </c>
      <c r="M36" s="4" t="e">
        <f>M35/E18</f>
        <v>#DIV/0!</v>
      </c>
      <c r="N36" s="4" t="e">
        <f>ROUNDUP(M36,-3)</f>
        <v>#DIV/0!</v>
      </c>
      <c r="O36" s="332">
        <v>1.85</v>
      </c>
      <c r="P36" s="276">
        <f t="shared" si="4"/>
        <v>70966</v>
      </c>
      <c r="Q36" s="309">
        <f t="shared" si="5"/>
        <v>32606</v>
      </c>
      <c r="R36" s="276">
        <f t="shared" si="6"/>
        <v>73000</v>
      </c>
      <c r="S36" s="309">
        <f t="shared" si="7"/>
        <v>34640</v>
      </c>
    </row>
    <row r="37" spans="2:19" ht="17.25" thickBot="1" x14ac:dyDescent="0.35">
      <c r="B37" s="281">
        <v>1.5</v>
      </c>
      <c r="C37" s="282" t="e">
        <f t="shared" si="8"/>
        <v>#DIV/0!</v>
      </c>
      <c r="D37" s="310" t="e">
        <f t="shared" si="9"/>
        <v>#DIV/0!</v>
      </c>
      <c r="E37" s="282">
        <f t="shared" si="10"/>
        <v>0</v>
      </c>
      <c r="F37" s="310">
        <f t="shared" si="11"/>
        <v>0</v>
      </c>
      <c r="I37" s="206" t="s">
        <v>92</v>
      </c>
      <c r="J37" s="325">
        <f>J30</f>
        <v>0</v>
      </c>
      <c r="K37" s="74"/>
      <c r="O37" s="332">
        <v>1.9</v>
      </c>
      <c r="P37" s="276">
        <f t="shared" si="4"/>
        <v>72884</v>
      </c>
      <c r="Q37" s="309">
        <f t="shared" si="5"/>
        <v>34524</v>
      </c>
      <c r="R37" s="276">
        <f t="shared" si="6"/>
        <v>75000</v>
      </c>
      <c r="S37" s="309">
        <f t="shared" si="7"/>
        <v>36640</v>
      </c>
    </row>
    <row r="38" spans="2:19" ht="17.25" thickBot="1" x14ac:dyDescent="0.35">
      <c r="B38" s="283">
        <v>1.6</v>
      </c>
      <c r="C38" s="284" t="e">
        <f t="shared" si="8"/>
        <v>#DIV/0!</v>
      </c>
      <c r="D38" s="311" t="e">
        <f t="shared" si="9"/>
        <v>#DIV/0!</v>
      </c>
      <c r="E38" s="284">
        <f t="shared" si="10"/>
        <v>0</v>
      </c>
      <c r="F38" s="311">
        <f t="shared" si="11"/>
        <v>0</v>
      </c>
      <c r="O38" s="332">
        <v>1.95</v>
      </c>
      <c r="P38" s="276">
        <f t="shared" si="4"/>
        <v>74802</v>
      </c>
      <c r="Q38" s="309">
        <f t="shared" si="5"/>
        <v>36442</v>
      </c>
      <c r="R38" s="276">
        <f t="shared" si="6"/>
        <v>77000</v>
      </c>
      <c r="S38" s="309">
        <f t="shared" si="7"/>
        <v>38640</v>
      </c>
    </row>
    <row r="39" spans="2:19" ht="17.25" thickBot="1" x14ac:dyDescent="0.35">
      <c r="B39" s="278">
        <v>1.7</v>
      </c>
      <c r="C39" s="275" t="e">
        <f t="shared" si="8"/>
        <v>#DIV/0!</v>
      </c>
      <c r="D39" s="308" t="e">
        <f t="shared" si="9"/>
        <v>#DIV/0!</v>
      </c>
      <c r="E39" s="275">
        <f t="shared" si="10"/>
        <v>0</v>
      </c>
      <c r="F39" s="308">
        <f t="shared" si="11"/>
        <v>0</v>
      </c>
      <c r="I39" s="20" t="s">
        <v>171</v>
      </c>
      <c r="K39" s="307">
        <f>SUM(K40:K43)</f>
        <v>26.6</v>
      </c>
      <c r="O39" s="333">
        <v>2</v>
      </c>
      <c r="P39" s="277">
        <f t="shared" si="4"/>
        <v>76720</v>
      </c>
      <c r="Q39" s="312">
        <f t="shared" si="5"/>
        <v>38360</v>
      </c>
      <c r="R39" s="277">
        <f t="shared" si="6"/>
        <v>78000</v>
      </c>
      <c r="S39" s="312">
        <f t="shared" si="7"/>
        <v>39640</v>
      </c>
    </row>
    <row r="40" spans="2:19" x14ac:dyDescent="0.3">
      <c r="B40" s="279">
        <v>1.8</v>
      </c>
      <c r="C40" s="276" t="e">
        <f t="shared" si="8"/>
        <v>#DIV/0!</v>
      </c>
      <c r="D40" s="309" t="e">
        <f t="shared" si="9"/>
        <v>#DIV/0!</v>
      </c>
      <c r="E40" s="276">
        <f t="shared" si="10"/>
        <v>0</v>
      </c>
      <c r="F40" s="309">
        <f t="shared" si="11"/>
        <v>0</v>
      </c>
      <c r="I40" s="317">
        <f>C12</f>
        <v>2100</v>
      </c>
      <c r="J40" s="322">
        <f>J21+J30</f>
        <v>4</v>
      </c>
      <c r="K40" s="316">
        <f>C12*J40/1000</f>
        <v>8.4</v>
      </c>
      <c r="L40" s="337" t="s">
        <v>167</v>
      </c>
      <c r="M40" s="4">
        <f>M21+M30</f>
        <v>26600</v>
      </c>
      <c r="N40" s="3"/>
    </row>
    <row r="41" spans="2:19" x14ac:dyDescent="0.3">
      <c r="B41" s="279">
        <v>1.9</v>
      </c>
      <c r="C41" s="276" t="e">
        <f t="shared" si="8"/>
        <v>#DIV/0!</v>
      </c>
      <c r="D41" s="309" t="e">
        <f t="shared" si="9"/>
        <v>#DIV/0!</v>
      </c>
      <c r="E41" s="276">
        <f t="shared" si="10"/>
        <v>0</v>
      </c>
      <c r="F41" s="309">
        <f t="shared" si="11"/>
        <v>0</v>
      </c>
      <c r="I41" s="317">
        <f>C13</f>
        <v>900</v>
      </c>
      <c r="J41" s="323">
        <f>J22+J31</f>
        <v>14</v>
      </c>
      <c r="K41" s="316">
        <f>C13*J41/1000</f>
        <v>12.6</v>
      </c>
      <c r="L41" s="338" t="s">
        <v>95</v>
      </c>
      <c r="M41" s="4">
        <f>M22+M31</f>
        <v>9800</v>
      </c>
      <c r="N41" s="3"/>
    </row>
    <row r="42" spans="2:19" ht="17.25" thickBot="1" x14ac:dyDescent="0.35">
      <c r="B42" s="280">
        <v>2</v>
      </c>
      <c r="C42" s="277" t="e">
        <f t="shared" si="8"/>
        <v>#DIV/0!</v>
      </c>
      <c r="D42" s="312" t="e">
        <f t="shared" si="9"/>
        <v>#DIV/0!</v>
      </c>
      <c r="E42" s="277">
        <f t="shared" si="10"/>
        <v>0</v>
      </c>
      <c r="F42" s="312">
        <f t="shared" si="11"/>
        <v>0</v>
      </c>
      <c r="I42" s="317">
        <f>C14</f>
        <v>400</v>
      </c>
      <c r="J42" s="323">
        <f>J23+J32</f>
        <v>14</v>
      </c>
      <c r="K42" s="316">
        <f>C14*J42/1000</f>
        <v>5.6</v>
      </c>
      <c r="L42" s="2" t="s">
        <v>164</v>
      </c>
      <c r="M42" s="4">
        <f>M24</f>
        <v>360</v>
      </c>
      <c r="N42" s="3"/>
    </row>
    <row r="43" spans="2:19" x14ac:dyDescent="0.3">
      <c r="I43" s="317">
        <f>E12</f>
        <v>300</v>
      </c>
      <c r="J43" s="323">
        <f>J33</f>
        <v>0</v>
      </c>
      <c r="K43" s="316">
        <f>E12*J43/1000</f>
        <v>0</v>
      </c>
      <c r="L43" s="2" t="s">
        <v>168</v>
      </c>
      <c r="M43" s="4">
        <f>G15*J45</f>
        <v>1440</v>
      </c>
      <c r="N43" s="3"/>
    </row>
    <row r="44" spans="2:19" x14ac:dyDescent="0.3">
      <c r="I44" s="206" t="s">
        <v>172</v>
      </c>
      <c r="J44" s="324">
        <f>J24+J34</f>
        <v>7</v>
      </c>
      <c r="K44" s="354"/>
      <c r="L44" s="2" t="s">
        <v>41</v>
      </c>
      <c r="M44" s="4">
        <f>G16*J47</f>
        <v>160</v>
      </c>
      <c r="N44" s="3"/>
    </row>
    <row r="45" spans="2:19" x14ac:dyDescent="0.3">
      <c r="I45" s="206" t="s">
        <v>168</v>
      </c>
      <c r="J45" s="323">
        <f>J25+J35</f>
        <v>72</v>
      </c>
      <c r="K45" s="354">
        <f>ROUNDUP(J45,-1)</f>
        <v>80</v>
      </c>
      <c r="L45" s="78" t="s">
        <v>173</v>
      </c>
      <c r="M45" s="4">
        <f>SUM(M40:M44)</f>
        <v>38360</v>
      </c>
    </row>
    <row r="46" spans="2:19" x14ac:dyDescent="0.3">
      <c r="I46" s="206" t="s">
        <v>86</v>
      </c>
      <c r="J46" s="323">
        <f>J26+J36</f>
        <v>8</v>
      </c>
      <c r="K46" s="18"/>
      <c r="L46" s="2"/>
      <c r="M46" s="4">
        <f>ROUNDUP(M45,-3)</f>
        <v>39000</v>
      </c>
    </row>
    <row r="47" spans="2:19" ht="17.25" thickBot="1" x14ac:dyDescent="0.35">
      <c r="I47" s="206" t="s">
        <v>92</v>
      </c>
      <c r="J47" s="325">
        <f>J27+J37</f>
        <v>4</v>
      </c>
      <c r="K47" s="354"/>
      <c r="L47" s="2"/>
      <c r="M4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V26"/>
  <sheetViews>
    <sheetView topLeftCell="A13" workbookViewId="0">
      <selection activeCell="F16" sqref="F16"/>
    </sheetView>
  </sheetViews>
  <sheetFormatPr defaultRowHeight="16.5" x14ac:dyDescent="0.3"/>
  <sheetData>
    <row r="2" spans="2:22" x14ac:dyDescent="0.3">
      <c r="B2" s="1"/>
      <c r="C2" s="1"/>
      <c r="D2" s="1"/>
      <c r="E2" s="1">
        <v>1200</v>
      </c>
      <c r="F2" s="1">
        <v>1900</v>
      </c>
      <c r="G2" s="1">
        <v>900</v>
      </c>
      <c r="H2" s="1"/>
      <c r="I2" s="1"/>
      <c r="J2" s="19"/>
      <c r="K2" s="1"/>
      <c r="M2" s="1" t="s">
        <v>182</v>
      </c>
      <c r="N2" s="1"/>
      <c r="O2" s="1"/>
      <c r="P2" s="1">
        <v>1200</v>
      </c>
      <c r="Q2" s="1">
        <v>1900</v>
      </c>
      <c r="R2" s="1">
        <v>900</v>
      </c>
      <c r="S2" s="1"/>
      <c r="T2" s="1"/>
      <c r="U2" s="19"/>
      <c r="V2" s="1"/>
    </row>
    <row r="3" spans="2:22" ht="17.25" thickBot="1" x14ac:dyDescent="0.35">
      <c r="B3" s="1"/>
      <c r="C3" s="88">
        <v>43840</v>
      </c>
      <c r="D3" s="88">
        <v>43762</v>
      </c>
      <c r="E3" s="88">
        <v>43840</v>
      </c>
      <c r="F3" s="88">
        <v>43978</v>
      </c>
      <c r="G3" s="88">
        <v>43840</v>
      </c>
      <c r="H3" s="88">
        <v>43840</v>
      </c>
      <c r="I3" s="1"/>
      <c r="J3" s="1"/>
      <c r="K3" s="1"/>
      <c r="M3" s="1"/>
      <c r="N3" s="88">
        <v>43840</v>
      </c>
      <c r="O3" s="88">
        <v>43762</v>
      </c>
      <c r="P3" s="88">
        <v>43840</v>
      </c>
      <c r="Q3" s="88">
        <v>43978</v>
      </c>
      <c r="R3" s="88">
        <v>43840</v>
      </c>
      <c r="S3" s="88">
        <v>43840</v>
      </c>
      <c r="T3" s="1"/>
      <c r="U3" s="1"/>
      <c r="V3" s="1"/>
    </row>
    <row r="4" spans="2:22" x14ac:dyDescent="0.3">
      <c r="B4" s="158" t="s">
        <v>15</v>
      </c>
      <c r="C4" s="132" t="s">
        <v>23</v>
      </c>
      <c r="D4" s="46" t="s">
        <v>31</v>
      </c>
      <c r="E4" s="46" t="s">
        <v>24</v>
      </c>
      <c r="F4" s="46" t="s">
        <v>32</v>
      </c>
      <c r="G4" s="155" t="s">
        <v>21</v>
      </c>
      <c r="H4" s="155" t="s">
        <v>22</v>
      </c>
      <c r="I4" s="47" t="s">
        <v>33</v>
      </c>
      <c r="J4" s="48" t="s">
        <v>34</v>
      </c>
      <c r="K4" s="49" t="s">
        <v>35</v>
      </c>
      <c r="M4" s="158" t="s">
        <v>15</v>
      </c>
      <c r="N4" s="132" t="s">
        <v>23</v>
      </c>
      <c r="O4" s="46" t="s">
        <v>24</v>
      </c>
      <c r="P4" s="46" t="s">
        <v>32</v>
      </c>
      <c r="Q4" s="155" t="s">
        <v>21</v>
      </c>
      <c r="R4" s="155" t="s">
        <v>22</v>
      </c>
      <c r="S4" s="47" t="s">
        <v>33</v>
      </c>
    </row>
    <row r="5" spans="2:22" x14ac:dyDescent="0.3">
      <c r="B5" s="136" t="s">
        <v>3</v>
      </c>
      <c r="C5" s="133">
        <v>800</v>
      </c>
      <c r="D5" s="125">
        <v>1460</v>
      </c>
      <c r="E5" s="125">
        <v>1100</v>
      </c>
      <c r="F5" s="125">
        <v>1820</v>
      </c>
      <c r="G5" s="156">
        <v>850</v>
      </c>
      <c r="H5" s="156">
        <v>1200</v>
      </c>
      <c r="I5" s="126">
        <v>1300</v>
      </c>
      <c r="J5" s="125">
        <v>780</v>
      </c>
      <c r="K5" s="127">
        <v>930</v>
      </c>
      <c r="M5" s="136" t="s">
        <v>3</v>
      </c>
      <c r="N5" s="133">
        <v>960</v>
      </c>
      <c r="O5" s="125">
        <v>1300</v>
      </c>
      <c r="P5" s="125">
        <v>2100</v>
      </c>
      <c r="Q5" s="156">
        <v>1010</v>
      </c>
      <c r="R5" s="156">
        <v>1400</v>
      </c>
      <c r="S5" s="126">
        <v>1600</v>
      </c>
    </row>
    <row r="6" spans="2:22" ht="17.25" thickBot="1" x14ac:dyDescent="0.35">
      <c r="B6" s="137" t="s">
        <v>7</v>
      </c>
      <c r="C6" s="134">
        <f t="shared" ref="C6:K6" si="0">ROUNDUP(C5*1.6, -2)</f>
        <v>1300</v>
      </c>
      <c r="D6" s="131">
        <f t="shared" si="0"/>
        <v>2400</v>
      </c>
      <c r="E6" s="131">
        <f t="shared" si="0"/>
        <v>1800</v>
      </c>
      <c r="F6" s="131">
        <f t="shared" si="0"/>
        <v>3000</v>
      </c>
      <c r="G6" s="157">
        <f t="shared" si="0"/>
        <v>1400</v>
      </c>
      <c r="H6" s="157">
        <f t="shared" si="0"/>
        <v>2000</v>
      </c>
      <c r="I6" s="129">
        <f t="shared" si="0"/>
        <v>2100</v>
      </c>
      <c r="J6" s="128">
        <f t="shared" si="0"/>
        <v>1300</v>
      </c>
      <c r="K6" s="130">
        <f t="shared" si="0"/>
        <v>1500</v>
      </c>
      <c r="M6" s="137" t="s">
        <v>7</v>
      </c>
      <c r="N6" s="134">
        <f t="shared" ref="N6:S6" si="1">ROUNDUP(N5*1.6, -2)</f>
        <v>1600</v>
      </c>
      <c r="O6" s="131">
        <f t="shared" si="1"/>
        <v>2100</v>
      </c>
      <c r="P6" s="131">
        <f t="shared" si="1"/>
        <v>3400</v>
      </c>
      <c r="Q6" s="157">
        <f t="shared" si="1"/>
        <v>1700</v>
      </c>
      <c r="R6" s="157">
        <f t="shared" si="1"/>
        <v>2300</v>
      </c>
      <c r="S6" s="129">
        <f t="shared" si="1"/>
        <v>2600</v>
      </c>
    </row>
    <row r="7" spans="2:22" x14ac:dyDescent="0.3">
      <c r="B7" s="158" t="s">
        <v>13</v>
      </c>
      <c r="C7" s="135" t="s">
        <v>26</v>
      </c>
      <c r="D7" s="124" t="s">
        <v>27</v>
      </c>
      <c r="E7" s="7" t="s">
        <v>4</v>
      </c>
      <c r="F7" s="124" t="s">
        <v>5</v>
      </c>
      <c r="G7" s="124" t="s">
        <v>39</v>
      </c>
      <c r="H7" s="55" t="s">
        <v>40</v>
      </c>
      <c r="I7" s="1"/>
      <c r="J7" s="1"/>
      <c r="K7" s="1"/>
      <c r="R7" s="1"/>
      <c r="S7" s="1"/>
      <c r="T7" s="1"/>
      <c r="U7" s="1"/>
      <c r="V7" s="1"/>
    </row>
    <row r="8" spans="2:22" x14ac:dyDescent="0.3">
      <c r="B8" s="136" t="s">
        <v>3</v>
      </c>
      <c r="C8" s="139"/>
      <c r="D8" s="140"/>
      <c r="E8" s="140"/>
      <c r="F8" s="140"/>
      <c r="G8" s="140"/>
      <c r="H8" s="141"/>
      <c r="I8" s="1"/>
      <c r="J8" s="1"/>
      <c r="K8" s="1"/>
      <c r="M8" s="159" t="s">
        <v>65</v>
      </c>
      <c r="N8" s="43" t="s">
        <v>63</v>
      </c>
      <c r="O8" s="45" t="s">
        <v>64</v>
      </c>
      <c r="P8" s="1"/>
      <c r="Q8" s="1"/>
      <c r="R8" s="1"/>
      <c r="S8" s="1"/>
      <c r="T8" s="1"/>
      <c r="U8" s="1"/>
      <c r="V8" s="1"/>
    </row>
    <row r="9" spans="2:22" x14ac:dyDescent="0.3">
      <c r="B9" s="136" t="s">
        <v>6</v>
      </c>
      <c r="C9" s="139">
        <v>15000</v>
      </c>
      <c r="D9" s="140">
        <v>20000</v>
      </c>
      <c r="E9" s="140">
        <v>20000</v>
      </c>
      <c r="F9" s="140">
        <v>25000</v>
      </c>
      <c r="G9" s="140"/>
      <c r="H9" s="141"/>
      <c r="I9" s="1"/>
      <c r="J9" s="1"/>
      <c r="K9" s="1"/>
      <c r="M9" s="6" t="s">
        <v>3</v>
      </c>
      <c r="N9" s="145">
        <v>10.5</v>
      </c>
      <c r="O9" s="146">
        <v>18.600000000000001</v>
      </c>
      <c r="P9" s="1"/>
      <c r="Q9" s="1"/>
      <c r="R9" s="1"/>
      <c r="S9" s="1"/>
      <c r="T9" s="1"/>
      <c r="U9" s="1"/>
      <c r="V9" s="1"/>
    </row>
    <row r="10" spans="2:22" ht="17.25" thickBot="1" x14ac:dyDescent="0.35">
      <c r="B10" s="138" t="s">
        <v>7</v>
      </c>
      <c r="C10" s="142">
        <v>20000</v>
      </c>
      <c r="D10" s="143">
        <v>24000</v>
      </c>
      <c r="E10" s="143">
        <v>24000</v>
      </c>
      <c r="F10" s="143">
        <v>28000</v>
      </c>
      <c r="G10" s="143"/>
      <c r="H10" s="144"/>
      <c r="I10" s="1"/>
      <c r="J10" s="1"/>
      <c r="K10" s="1"/>
      <c r="R10" s="1"/>
      <c r="S10" s="1"/>
      <c r="T10" s="1"/>
      <c r="U10" s="1"/>
      <c r="V10" s="1"/>
    </row>
    <row r="11" spans="2:22" x14ac:dyDescent="0.3">
      <c r="B11" s="159" t="s">
        <v>65</v>
      </c>
      <c r="C11" s="43" t="s">
        <v>63</v>
      </c>
      <c r="D11" s="45" t="s">
        <v>64</v>
      </c>
      <c r="E11" s="1"/>
      <c r="F11" s="1"/>
      <c r="G11" s="1"/>
      <c r="H11" s="1"/>
      <c r="I11" s="1"/>
      <c r="J11" s="1"/>
      <c r="K11" s="1"/>
      <c r="M11" s="160" t="s">
        <v>12</v>
      </c>
      <c r="N11" s="152" t="s">
        <v>23</v>
      </c>
      <c r="O11" s="152" t="s">
        <v>24</v>
      </c>
      <c r="P11" s="153" t="s">
        <v>183</v>
      </c>
      <c r="Q11" s="154" t="s">
        <v>24</v>
      </c>
      <c r="R11" s="1"/>
      <c r="S11" s="1"/>
      <c r="T11" s="1"/>
      <c r="U11" s="1"/>
      <c r="V11" s="1"/>
    </row>
    <row r="12" spans="2:22" x14ac:dyDescent="0.3">
      <c r="B12" s="6" t="s">
        <v>3</v>
      </c>
      <c r="C12" s="145">
        <v>10.5</v>
      </c>
      <c r="D12" s="146">
        <v>18.600000000000001</v>
      </c>
      <c r="E12" s="1"/>
      <c r="F12" s="1"/>
      <c r="G12" s="1"/>
      <c r="H12" s="1"/>
      <c r="I12" s="1"/>
      <c r="J12" s="1"/>
      <c r="K12" s="1"/>
      <c r="M12" s="149" t="s">
        <v>3</v>
      </c>
      <c r="N12" s="145">
        <v>160</v>
      </c>
      <c r="O12" s="145">
        <v>50</v>
      </c>
      <c r="P12" s="145">
        <v>70</v>
      </c>
      <c r="Q12" s="146">
        <v>190</v>
      </c>
      <c r="R12" s="1"/>
      <c r="S12" s="1"/>
      <c r="T12" s="1"/>
      <c r="U12" s="1"/>
      <c r="V12" s="1"/>
    </row>
    <row r="13" spans="2:22" ht="17.25" thickBot="1" x14ac:dyDescent="0.35">
      <c r="B13" s="6" t="s">
        <v>6</v>
      </c>
      <c r="C13" s="145"/>
      <c r="D13" s="146"/>
      <c r="E13" s="1"/>
      <c r="F13" s="1"/>
      <c r="G13" s="1"/>
      <c r="H13" s="1"/>
      <c r="I13" s="1"/>
      <c r="J13" s="1"/>
      <c r="K13" s="1"/>
      <c r="R13" s="1"/>
      <c r="S13" s="1"/>
      <c r="T13" s="1"/>
      <c r="U13" s="1"/>
      <c r="V13" s="1"/>
    </row>
    <row r="14" spans="2:22" ht="17.25" thickBot="1" x14ac:dyDescent="0.35">
      <c r="B14" s="8" t="s">
        <v>7</v>
      </c>
      <c r="C14" s="147">
        <v>50</v>
      </c>
      <c r="D14" s="148">
        <v>50</v>
      </c>
      <c r="E14" s="1"/>
      <c r="F14" s="1"/>
      <c r="G14" s="1"/>
      <c r="H14" s="1"/>
      <c r="I14" s="1"/>
      <c r="J14" s="1"/>
      <c r="K14" s="1"/>
      <c r="M14" s="160" t="s">
        <v>37</v>
      </c>
      <c r="N14" s="10">
        <v>420</v>
      </c>
      <c r="O14" s="124">
        <v>620</v>
      </c>
      <c r="P14" s="145"/>
      <c r="Q14" s="146"/>
      <c r="R14" s="1"/>
      <c r="S14" s="1"/>
      <c r="T14" s="1"/>
      <c r="U14" s="1"/>
      <c r="V14" s="1"/>
    </row>
    <row r="15" spans="2:22" ht="17.25" thickBot="1" x14ac:dyDescent="0.35">
      <c r="B15" s="160" t="s">
        <v>66</v>
      </c>
      <c r="C15" s="152" t="s">
        <v>69</v>
      </c>
      <c r="D15" s="152" t="s">
        <v>68</v>
      </c>
      <c r="E15" s="153" t="s">
        <v>70</v>
      </c>
      <c r="F15" s="154" t="s">
        <v>71</v>
      </c>
      <c r="G15" s="1"/>
      <c r="H15" s="1"/>
      <c r="I15" s="1"/>
      <c r="J15" s="1"/>
      <c r="K15" s="1"/>
      <c r="M15" s="149" t="s">
        <v>3</v>
      </c>
      <c r="N15" s="151">
        <v>10.5</v>
      </c>
      <c r="O15" s="145">
        <v>33</v>
      </c>
      <c r="P15" s="147">
        <v>300</v>
      </c>
      <c r="Q15" s="148">
        <v>500</v>
      </c>
      <c r="R15" s="1"/>
      <c r="S15" s="1"/>
      <c r="T15" s="1"/>
      <c r="U15" s="1"/>
      <c r="V15" s="1"/>
    </row>
    <row r="16" spans="2:22" x14ac:dyDescent="0.3">
      <c r="B16" s="149" t="s">
        <v>3</v>
      </c>
      <c r="C16" s="145">
        <v>45</v>
      </c>
      <c r="D16" s="145">
        <v>145</v>
      </c>
      <c r="E16" s="145">
        <v>65</v>
      </c>
      <c r="F16" s="146">
        <v>165</v>
      </c>
      <c r="G16" s="1"/>
      <c r="H16" s="1"/>
      <c r="I16" s="1"/>
      <c r="J16" s="1"/>
      <c r="K16" s="1"/>
      <c r="M16" s="149" t="s">
        <v>6</v>
      </c>
      <c r="N16" s="151"/>
      <c r="O16" s="145"/>
      <c r="P16" s="55">
        <v>630</v>
      </c>
      <c r="Q16" s="1"/>
      <c r="R16" s="1"/>
      <c r="S16" s="1"/>
      <c r="T16" s="1"/>
      <c r="U16" s="1"/>
      <c r="V16" s="1"/>
    </row>
    <row r="17" spans="2:22" ht="17.25" thickBot="1" x14ac:dyDescent="0.35">
      <c r="B17" s="149" t="s">
        <v>6</v>
      </c>
      <c r="C17" s="145"/>
      <c r="D17" s="145"/>
      <c r="E17" s="145"/>
      <c r="F17" s="146"/>
      <c r="G17" s="1"/>
      <c r="H17" s="1"/>
      <c r="I17" s="1"/>
      <c r="J17" s="1"/>
      <c r="K17" s="1"/>
      <c r="M17" s="161" t="s">
        <v>7</v>
      </c>
      <c r="N17" s="162">
        <v>50</v>
      </c>
      <c r="O17" s="163">
        <v>100</v>
      </c>
      <c r="P17" s="146">
        <v>93</v>
      </c>
      <c r="Q17" s="1"/>
      <c r="R17" s="1"/>
      <c r="S17" s="1"/>
      <c r="T17" s="1"/>
      <c r="U17" s="1"/>
      <c r="V17" s="1"/>
    </row>
    <row r="18" spans="2:22" ht="17.25" thickBot="1" x14ac:dyDescent="0.35">
      <c r="B18" s="150" t="s">
        <v>7</v>
      </c>
      <c r="C18" s="147">
        <v>150</v>
      </c>
      <c r="D18" s="147">
        <v>300</v>
      </c>
      <c r="E18" s="147">
        <v>300</v>
      </c>
      <c r="F18" s="148">
        <v>500</v>
      </c>
      <c r="G18" s="1"/>
      <c r="H18" s="1"/>
      <c r="I18" s="1"/>
      <c r="J18" s="1"/>
      <c r="K18" s="1"/>
      <c r="M18" s="158" t="s">
        <v>72</v>
      </c>
      <c r="N18" s="135" t="s">
        <v>73</v>
      </c>
      <c r="O18" s="55" t="s">
        <v>74</v>
      </c>
      <c r="P18" s="146"/>
      <c r="Q18" s="1"/>
      <c r="R18" s="1"/>
      <c r="S18" s="1"/>
      <c r="T18" s="1"/>
      <c r="U18" s="1"/>
      <c r="V18" s="1"/>
    </row>
    <row r="19" spans="2:22" ht="17.25" thickBot="1" x14ac:dyDescent="0.35">
      <c r="B19" s="160" t="s">
        <v>67</v>
      </c>
      <c r="C19" s="10">
        <v>420</v>
      </c>
      <c r="D19" s="124">
        <v>620</v>
      </c>
      <c r="E19" s="55">
        <v>630</v>
      </c>
      <c r="F19" s="1"/>
      <c r="G19" s="1"/>
      <c r="H19" s="1"/>
      <c r="I19" s="1"/>
      <c r="J19" s="1"/>
      <c r="K19" s="1"/>
      <c r="M19" s="136" t="s">
        <v>3</v>
      </c>
      <c r="N19" s="164">
        <v>600</v>
      </c>
      <c r="O19" s="9">
        <v>3000</v>
      </c>
      <c r="P19" s="148">
        <v>300</v>
      </c>
      <c r="Q19" s="1"/>
      <c r="R19" s="1"/>
      <c r="S19" s="1"/>
      <c r="T19" s="1"/>
      <c r="U19" s="1"/>
      <c r="V19" s="1"/>
    </row>
    <row r="20" spans="2:22" x14ac:dyDescent="0.3">
      <c r="B20" s="149" t="s">
        <v>3</v>
      </c>
      <c r="C20" s="151">
        <v>10.5</v>
      </c>
      <c r="D20" s="145">
        <v>33</v>
      </c>
      <c r="E20" s="146">
        <v>93</v>
      </c>
      <c r="F20" s="1"/>
      <c r="G20" s="1"/>
      <c r="H20" s="1"/>
      <c r="I20" s="1"/>
      <c r="J20" s="1"/>
      <c r="K20" s="1"/>
      <c r="M20" s="136" t="s">
        <v>6</v>
      </c>
      <c r="N20" s="164"/>
      <c r="O20" s="9"/>
      <c r="P20" s="1"/>
      <c r="Q20" s="1"/>
      <c r="R20" s="1"/>
      <c r="S20" s="1"/>
      <c r="T20" s="1"/>
      <c r="U20" s="1"/>
      <c r="V20" s="1"/>
    </row>
    <row r="21" spans="2:22" ht="17.25" thickBot="1" x14ac:dyDescent="0.35">
      <c r="B21" s="149" t="s">
        <v>6</v>
      </c>
      <c r="C21" s="151"/>
      <c r="D21" s="145"/>
      <c r="E21" s="146"/>
      <c r="F21" s="1"/>
      <c r="G21" s="1"/>
      <c r="H21" s="1"/>
      <c r="I21" s="1"/>
      <c r="J21" s="1"/>
      <c r="K21" s="1"/>
      <c r="M21" s="138" t="s">
        <v>7</v>
      </c>
      <c r="N21" s="165">
        <v>1500</v>
      </c>
      <c r="O21" s="17">
        <v>5000</v>
      </c>
      <c r="P21" s="1"/>
      <c r="Q21" s="1"/>
      <c r="R21" s="1"/>
      <c r="S21" s="1"/>
      <c r="T21" s="1"/>
      <c r="U21" s="1"/>
      <c r="V21" s="1"/>
    </row>
    <row r="22" spans="2:22" ht="17.25" thickBot="1" x14ac:dyDescent="0.35">
      <c r="B22" s="161" t="s">
        <v>7</v>
      </c>
      <c r="C22" s="162">
        <v>50</v>
      </c>
      <c r="D22" s="163">
        <v>100</v>
      </c>
      <c r="E22" s="148">
        <v>300</v>
      </c>
      <c r="F22" s="1"/>
      <c r="G22" s="1"/>
      <c r="H22" s="1"/>
      <c r="I22" s="1"/>
      <c r="J22" s="1"/>
      <c r="K22" s="1"/>
      <c r="R22" s="1"/>
      <c r="S22" s="1"/>
      <c r="T22" s="1"/>
      <c r="U22" s="1"/>
      <c r="V22" s="1"/>
    </row>
    <row r="23" spans="2:22" x14ac:dyDescent="0.3">
      <c r="B23" s="158" t="s">
        <v>72</v>
      </c>
      <c r="C23" s="135" t="s">
        <v>73</v>
      </c>
      <c r="D23" s="55" t="s">
        <v>74</v>
      </c>
      <c r="E23" s="1"/>
      <c r="F23" s="1"/>
      <c r="G23" s="1"/>
      <c r="H23" s="1"/>
      <c r="I23" s="1"/>
      <c r="J23" s="1"/>
      <c r="K23" s="1"/>
      <c r="T23" s="1"/>
      <c r="U23" s="1"/>
      <c r="V23" s="1"/>
    </row>
    <row r="24" spans="2:22" x14ac:dyDescent="0.3">
      <c r="B24" s="136" t="s">
        <v>3</v>
      </c>
      <c r="C24" s="164">
        <v>600</v>
      </c>
      <c r="D24" s="9">
        <v>3000</v>
      </c>
      <c r="E24" s="1"/>
      <c r="F24" s="1"/>
      <c r="G24" s="1"/>
      <c r="H24" s="1"/>
      <c r="I24" s="1"/>
      <c r="J24" s="1"/>
      <c r="K24" s="1"/>
      <c r="T24" s="1"/>
      <c r="U24" s="1"/>
      <c r="V24" s="1"/>
    </row>
    <row r="25" spans="2:22" x14ac:dyDescent="0.3">
      <c r="B25" s="136" t="s">
        <v>6</v>
      </c>
      <c r="C25" s="164"/>
      <c r="D25" s="9"/>
      <c r="E25" s="1"/>
      <c r="F25" s="1"/>
      <c r="G25" s="1"/>
      <c r="H25" s="1"/>
      <c r="I25" s="1"/>
      <c r="J25" s="1"/>
      <c r="K25" s="1"/>
      <c r="T25" s="1"/>
      <c r="U25" s="1"/>
      <c r="V25" s="1"/>
    </row>
    <row r="26" spans="2:22" ht="17.25" thickBot="1" x14ac:dyDescent="0.35">
      <c r="B26" s="138" t="s">
        <v>7</v>
      </c>
      <c r="C26" s="165">
        <v>1500</v>
      </c>
      <c r="D26" s="17">
        <v>5000</v>
      </c>
      <c r="E26" s="1"/>
      <c r="F26" s="1"/>
      <c r="G26" s="1"/>
      <c r="H26" s="1"/>
      <c r="I26" s="1"/>
      <c r="J26" s="1"/>
      <c r="K26" s="1"/>
      <c r="T26" s="1"/>
      <c r="U26" s="1"/>
      <c r="V2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S47"/>
  <sheetViews>
    <sheetView zoomScale="85" zoomScaleNormal="85" workbookViewId="0">
      <selection activeCell="C12" sqref="C12"/>
    </sheetView>
  </sheetViews>
  <sheetFormatPr defaultColWidth="9" defaultRowHeight="16.5" x14ac:dyDescent="0.3"/>
  <cols>
    <col min="1" max="1" width="3.25" style="1" customWidth="1"/>
    <col min="2" max="2" width="14.25" style="1" bestFit="1" customWidth="1"/>
    <col min="3" max="3" width="11.125" style="1" customWidth="1"/>
    <col min="4" max="4" width="14.25" style="1" customWidth="1"/>
    <col min="5" max="5" width="11.875" style="1" customWidth="1"/>
    <col min="6" max="6" width="13.25" style="1" customWidth="1"/>
    <col min="7" max="7" width="11.625" style="1" customWidth="1"/>
    <col min="8" max="8" width="3.875" style="1" customWidth="1"/>
    <col min="9" max="10" width="11.625" style="1" customWidth="1"/>
    <col min="11" max="11" width="11.5" style="1" customWidth="1"/>
    <col min="12" max="12" width="10.5" style="1" bestFit="1" customWidth="1"/>
    <col min="13" max="13" width="10.875" style="1" bestFit="1" customWidth="1"/>
    <col min="14" max="15" width="12.25" style="1" bestFit="1" customWidth="1"/>
    <col min="16" max="19" width="11.625" style="1" customWidth="1"/>
    <col min="20" max="21" width="9" style="1"/>
    <col min="22" max="23" width="11.5" style="1" bestFit="1" customWidth="1"/>
    <col min="24" max="25" width="9" style="1"/>
    <col min="26" max="26" width="11.5" style="1" bestFit="1" customWidth="1"/>
    <col min="27" max="16384" width="9" style="1"/>
  </cols>
  <sheetData>
    <row r="1" spans="2:15" ht="17.25" thickBot="1" x14ac:dyDescent="0.35"/>
    <row r="2" spans="2:15" ht="17.25" hidden="1" thickBot="1" x14ac:dyDescent="0.35">
      <c r="B2" s="24"/>
      <c r="C2" s="25">
        <v>600</v>
      </c>
      <c r="D2" s="25">
        <v>700</v>
      </c>
      <c r="E2" s="25">
        <v>800</v>
      </c>
      <c r="F2" s="25">
        <v>900</v>
      </c>
      <c r="G2" s="25">
        <v>1000</v>
      </c>
      <c r="H2" s="25">
        <v>1100</v>
      </c>
      <c r="I2" s="25">
        <v>1200</v>
      </c>
      <c r="J2" s="25">
        <v>1300</v>
      </c>
      <c r="K2" s="25">
        <v>1400</v>
      </c>
      <c r="L2" s="26">
        <v>1500</v>
      </c>
    </row>
    <row r="3" spans="2:15" ht="17.25" hidden="1" thickBot="1" x14ac:dyDescent="0.35">
      <c r="B3" s="27">
        <v>300</v>
      </c>
      <c r="C3" s="28">
        <v>16</v>
      </c>
      <c r="D3" s="28">
        <v>13</v>
      </c>
      <c r="E3" s="28">
        <v>12</v>
      </c>
      <c r="F3" s="28">
        <v>10</v>
      </c>
      <c r="G3" s="28">
        <v>8</v>
      </c>
      <c r="H3" s="28">
        <v>8</v>
      </c>
      <c r="I3" s="28">
        <v>8</v>
      </c>
      <c r="J3" s="28">
        <v>4</v>
      </c>
      <c r="K3" s="28">
        <v>4</v>
      </c>
      <c r="L3" s="29">
        <v>4</v>
      </c>
    </row>
    <row r="4" spans="2:15" ht="17.25" hidden="1" thickBot="1" x14ac:dyDescent="0.35">
      <c r="B4" s="27">
        <v>400</v>
      </c>
      <c r="C4" s="289">
        <v>12</v>
      </c>
      <c r="D4" s="28">
        <v>9</v>
      </c>
      <c r="E4" s="28">
        <v>9</v>
      </c>
      <c r="F4" s="28">
        <v>7</v>
      </c>
      <c r="G4" s="28">
        <v>6</v>
      </c>
      <c r="H4" s="28">
        <v>6</v>
      </c>
      <c r="I4" s="28">
        <v>6</v>
      </c>
      <c r="J4" s="28">
        <v>3</v>
      </c>
      <c r="K4" s="28">
        <v>3</v>
      </c>
      <c r="L4" s="29">
        <v>3</v>
      </c>
    </row>
    <row r="5" spans="2:15" ht="17.25" hidden="1" thickBot="1" x14ac:dyDescent="0.35">
      <c r="B5" s="27">
        <v>450</v>
      </c>
      <c r="C5" s="28">
        <v>10</v>
      </c>
      <c r="D5" s="288">
        <v>6</v>
      </c>
      <c r="E5" s="28">
        <v>6</v>
      </c>
      <c r="F5" s="28">
        <v>5</v>
      </c>
      <c r="G5" s="28">
        <v>5</v>
      </c>
      <c r="H5" s="28">
        <v>5</v>
      </c>
      <c r="I5" s="28">
        <v>5</v>
      </c>
      <c r="J5" s="28">
        <v>2</v>
      </c>
      <c r="K5" s="28">
        <v>2</v>
      </c>
      <c r="L5" s="29">
        <v>2</v>
      </c>
    </row>
    <row r="6" spans="2:15" ht="17.25" hidden="1" thickBot="1" x14ac:dyDescent="0.35">
      <c r="B6" s="27">
        <v>500</v>
      </c>
      <c r="C6" s="290">
        <v>8</v>
      </c>
      <c r="D6" s="28">
        <v>6</v>
      </c>
      <c r="E6" s="28">
        <v>6</v>
      </c>
      <c r="F6" s="28">
        <v>4</v>
      </c>
      <c r="G6" s="28">
        <v>4</v>
      </c>
      <c r="H6" s="28">
        <v>4</v>
      </c>
      <c r="I6" s="28">
        <v>4</v>
      </c>
      <c r="J6" s="28">
        <v>2</v>
      </c>
      <c r="K6" s="28">
        <v>2</v>
      </c>
      <c r="L6" s="29">
        <v>2</v>
      </c>
    </row>
    <row r="7" spans="2:15" ht="17.25" hidden="1" thickBot="1" x14ac:dyDescent="0.35">
      <c r="B7" s="27">
        <v>600</v>
      </c>
      <c r="C7" s="28">
        <v>8</v>
      </c>
      <c r="D7" s="28">
        <v>6</v>
      </c>
      <c r="E7" s="28">
        <v>6</v>
      </c>
      <c r="F7" s="28">
        <v>4</v>
      </c>
      <c r="G7" s="28">
        <v>4</v>
      </c>
      <c r="H7" s="28">
        <v>4</v>
      </c>
      <c r="I7" s="28">
        <v>4</v>
      </c>
      <c r="J7" s="28">
        <v>2</v>
      </c>
      <c r="K7" s="28">
        <v>2</v>
      </c>
      <c r="L7" s="29">
        <v>2</v>
      </c>
    </row>
    <row r="8" spans="2:15" ht="17.25" hidden="1" thickBot="1" x14ac:dyDescent="0.35">
      <c r="B8" s="27">
        <v>700</v>
      </c>
      <c r="C8" s="28">
        <v>6</v>
      </c>
      <c r="D8" s="28">
        <v>3</v>
      </c>
      <c r="E8" s="28">
        <v>3</v>
      </c>
      <c r="F8" s="28">
        <v>3</v>
      </c>
      <c r="G8" s="28">
        <v>3</v>
      </c>
      <c r="H8" s="28">
        <v>3</v>
      </c>
      <c r="I8" s="28">
        <v>3</v>
      </c>
      <c r="J8" s="28">
        <v>1</v>
      </c>
      <c r="K8" s="28">
        <v>1</v>
      </c>
      <c r="L8" s="29">
        <v>1</v>
      </c>
    </row>
    <row r="9" spans="2:15" ht="17.25" hidden="1" thickBot="1" x14ac:dyDescent="0.35">
      <c r="B9" s="27">
        <v>800</v>
      </c>
      <c r="C9" s="28">
        <v>6</v>
      </c>
      <c r="D9" s="28">
        <v>3</v>
      </c>
      <c r="E9" s="28">
        <v>3</v>
      </c>
      <c r="F9" s="28">
        <v>3</v>
      </c>
      <c r="G9" s="28">
        <v>3</v>
      </c>
      <c r="H9" s="28">
        <v>3</v>
      </c>
      <c r="I9" s="28">
        <v>3</v>
      </c>
      <c r="J9" s="28">
        <v>1</v>
      </c>
      <c r="K9" s="28">
        <v>1</v>
      </c>
      <c r="L9" s="29">
        <v>1</v>
      </c>
    </row>
    <row r="10" spans="2:15" ht="17.25" hidden="1" thickBot="1" x14ac:dyDescent="0.35">
      <c r="B10" s="30">
        <v>900</v>
      </c>
      <c r="C10" s="31">
        <v>5</v>
      </c>
      <c r="D10" s="31">
        <v>3</v>
      </c>
      <c r="E10" s="31">
        <v>3</v>
      </c>
      <c r="F10" s="31">
        <v>2</v>
      </c>
      <c r="G10" s="31">
        <v>2</v>
      </c>
      <c r="H10" s="31">
        <v>2</v>
      </c>
      <c r="I10" s="31">
        <v>2</v>
      </c>
      <c r="J10" s="31">
        <v>1</v>
      </c>
      <c r="K10" s="31">
        <v>1</v>
      </c>
      <c r="L10" s="32">
        <v>1</v>
      </c>
    </row>
    <row r="11" spans="2:15" ht="18" thickBot="1" x14ac:dyDescent="0.35">
      <c r="B11" s="20" t="s">
        <v>16</v>
      </c>
      <c r="D11" s="20" t="s">
        <v>17</v>
      </c>
      <c r="E11" s="5"/>
      <c r="I11" s="327">
        <v>15500</v>
      </c>
      <c r="J11" s="41">
        <v>600</v>
      </c>
      <c r="K11" s="37">
        <v>700</v>
      </c>
      <c r="L11" s="42">
        <v>800</v>
      </c>
      <c r="M11" s="37">
        <v>900</v>
      </c>
      <c r="N11" s="42">
        <v>1200</v>
      </c>
      <c r="O11" s="38">
        <v>1500</v>
      </c>
    </row>
    <row r="12" spans="2:15" ht="17.25" x14ac:dyDescent="0.3">
      <c r="B12" s="14" t="s">
        <v>2</v>
      </c>
      <c r="C12" s="15">
        <v>1500</v>
      </c>
      <c r="D12" s="346" t="s">
        <v>160</v>
      </c>
      <c r="E12" s="15">
        <v>300</v>
      </c>
      <c r="F12" s="353" t="s">
        <v>14</v>
      </c>
      <c r="G12" s="11">
        <v>1400</v>
      </c>
      <c r="I12" s="39">
        <v>300</v>
      </c>
      <c r="J12" s="50">
        <f>ROUNDUP(I11/C3,-2)</f>
        <v>1000</v>
      </c>
      <c r="K12" s="33">
        <f>ROUNDUP(I11/D3,-2)</f>
        <v>1200</v>
      </c>
      <c r="L12" s="52">
        <f>ROUNDUP(I11/E3,-2)</f>
        <v>1300</v>
      </c>
      <c r="M12" s="33">
        <f>ROUNDUP(I11/F3,-2)</f>
        <v>1600</v>
      </c>
      <c r="N12" s="52">
        <f>ROUNDUP(I11/I3,-2)</f>
        <v>2000</v>
      </c>
      <c r="O12" s="34">
        <f>ROUNDUP(I11/L3,-2)</f>
        <v>3900</v>
      </c>
    </row>
    <row r="13" spans="2:15" ht="17.25" x14ac:dyDescent="0.3">
      <c r="B13" s="16" t="s">
        <v>1</v>
      </c>
      <c r="C13" s="351">
        <v>1200</v>
      </c>
      <c r="D13" s="347" t="s">
        <v>161</v>
      </c>
      <c r="E13" s="22">
        <v>5</v>
      </c>
      <c r="F13" s="12" t="s">
        <v>10</v>
      </c>
      <c r="G13" s="56">
        <v>2600</v>
      </c>
      <c r="I13" s="59">
        <v>400</v>
      </c>
      <c r="J13" s="60">
        <f>ROUNDUP(I11/C4,-2)</f>
        <v>1300</v>
      </c>
      <c r="K13" s="61">
        <f>ROUNDUP(I11/D4,-2)</f>
        <v>1800</v>
      </c>
      <c r="L13" s="61">
        <f>ROUNDUP(I11/E4,-2)</f>
        <v>1800</v>
      </c>
      <c r="M13" s="61">
        <f>ROUNDUP(I11/F4,-2)</f>
        <v>2300</v>
      </c>
      <c r="N13" s="61">
        <f>ROUNDUP(I11/I4,-2)</f>
        <v>2600</v>
      </c>
      <c r="O13" s="62">
        <f>ROUNDUP(I11/L4,-2)</f>
        <v>5200</v>
      </c>
    </row>
    <row r="14" spans="2:15" ht="17.25" x14ac:dyDescent="0.3">
      <c r="B14" s="16" t="s">
        <v>9</v>
      </c>
      <c r="C14" s="351">
        <v>400</v>
      </c>
      <c r="D14" s="348" t="s">
        <v>25</v>
      </c>
      <c r="E14" s="22">
        <v>2</v>
      </c>
      <c r="F14" s="12" t="s">
        <v>18</v>
      </c>
      <c r="G14" s="56">
        <v>150</v>
      </c>
      <c r="I14" s="40">
        <v>450</v>
      </c>
      <c r="J14" s="51">
        <f>ROUNDUP(I11/C5,-2)</f>
        <v>1600</v>
      </c>
      <c r="K14" s="35">
        <f>ROUNDUP(I11/D5,-2)</f>
        <v>2600</v>
      </c>
      <c r="L14" s="53">
        <f>ROUNDUP(I11/E5,-2)</f>
        <v>2600</v>
      </c>
      <c r="M14" s="35">
        <f>ROUNDUP(I11/F5,-2)</f>
        <v>3100</v>
      </c>
      <c r="N14" s="53">
        <f>ROUNDUP(I11/I5,-2)</f>
        <v>3100</v>
      </c>
      <c r="O14" s="36">
        <f>ROUNDUP(I11/L5,-2)</f>
        <v>7800</v>
      </c>
    </row>
    <row r="15" spans="2:15" ht="17.25" x14ac:dyDescent="0.3">
      <c r="B15" s="16" t="s">
        <v>0</v>
      </c>
      <c r="C15" s="352">
        <v>3</v>
      </c>
      <c r="D15" s="341"/>
      <c r="E15" s="342"/>
      <c r="F15" s="12" t="s">
        <v>19</v>
      </c>
      <c r="G15" s="56">
        <v>30</v>
      </c>
      <c r="I15" s="40">
        <v>600</v>
      </c>
      <c r="J15" s="51">
        <f>ROUNDUP(I11/C7,-2)</f>
        <v>2000</v>
      </c>
      <c r="K15" s="35">
        <f>ROUNDUP(I11/D7,-2)</f>
        <v>2600</v>
      </c>
      <c r="L15" s="53">
        <f>ROUNDUP(I11/E7,-2)</f>
        <v>2600</v>
      </c>
      <c r="M15" s="35">
        <f>ROUNDUP(I11/F7,-2)</f>
        <v>3900</v>
      </c>
      <c r="N15" s="53">
        <f>ROUNDUP(I11/I7,-2)</f>
        <v>3900</v>
      </c>
      <c r="O15" s="36">
        <f>ROUNDUP(I11/L7,-2)</f>
        <v>7800</v>
      </c>
    </row>
    <row r="16" spans="2:15" ht="18" thickBot="1" x14ac:dyDescent="0.35">
      <c r="B16" s="21" t="s">
        <v>162</v>
      </c>
      <c r="C16" s="343">
        <v>4</v>
      </c>
      <c r="D16" s="349" t="s">
        <v>163</v>
      </c>
      <c r="E16" s="343">
        <v>2</v>
      </c>
      <c r="F16" s="13" t="s">
        <v>41</v>
      </c>
      <c r="G16" s="57">
        <v>40</v>
      </c>
      <c r="I16" s="63">
        <v>900</v>
      </c>
      <c r="J16" s="64">
        <f>ROUNDUP(I11/C10,-2)</f>
        <v>3100</v>
      </c>
      <c r="K16" s="65">
        <f>ROUNDUP(I11/D10,-2)</f>
        <v>5200</v>
      </c>
      <c r="L16" s="65">
        <f>ROUNDUP(I11/E10,-2)</f>
        <v>5200</v>
      </c>
      <c r="M16" s="65">
        <f>ROUNDUP(I11/F10,-2)</f>
        <v>7800</v>
      </c>
      <c r="N16" s="65">
        <f>ROUNDUP(I11/I10,-2)</f>
        <v>7800</v>
      </c>
      <c r="O16" s="66">
        <f>ROUNDUP(I11/L10,-2)</f>
        <v>15500</v>
      </c>
    </row>
    <row r="17" spans="2:19" ht="19.5" customHeight="1" thickBot="1" x14ac:dyDescent="0.35">
      <c r="B17" s="344" t="str">
        <f>"+조당추가볼트"</f>
        <v>+조당추가볼트</v>
      </c>
      <c r="C17" s="345">
        <v>8</v>
      </c>
      <c r="D17" s="350" t="str">
        <f>"+조당추가볼트"</f>
        <v>+조당추가볼트</v>
      </c>
      <c r="E17" s="345">
        <v>4</v>
      </c>
    </row>
    <row r="18" spans="2:19" ht="17.25" thickBot="1" x14ac:dyDescent="0.35">
      <c r="B18" s="344" t="s">
        <v>158</v>
      </c>
      <c r="C18" s="345">
        <v>1</v>
      </c>
      <c r="D18" s="350" t="s">
        <v>159</v>
      </c>
      <c r="E18" s="345">
        <v>0</v>
      </c>
    </row>
    <row r="19" spans="2:19" ht="16.5" customHeight="1" x14ac:dyDescent="0.3"/>
    <row r="20" spans="2:19" ht="17.25" thickBot="1" x14ac:dyDescent="0.35">
      <c r="B20" s="20" t="s">
        <v>166</v>
      </c>
      <c r="C20" s="1" t="s">
        <v>174</v>
      </c>
      <c r="E20" s="1" t="s">
        <v>105</v>
      </c>
      <c r="I20" s="20" t="s">
        <v>16</v>
      </c>
      <c r="K20" s="307">
        <f>SUM(K21:K23)</f>
        <v>15.6</v>
      </c>
      <c r="O20" s="330" t="s">
        <v>171</v>
      </c>
    </row>
    <row r="21" spans="2:19" ht="18.75" customHeight="1" x14ac:dyDescent="0.3">
      <c r="B21" s="313">
        <v>1.1000000000000001</v>
      </c>
      <c r="C21" s="314">
        <f t="shared" ref="C21:C30" si="0">ROUNDUP($N$27*B21,-3)</f>
        <v>36000</v>
      </c>
      <c r="D21" s="315">
        <f t="shared" ref="D21:D30" si="1">C21-$M$27</f>
        <v>4400</v>
      </c>
      <c r="E21" s="314">
        <f t="shared" ref="E21:E30" si="2">ROUNDUP($N$26*B21,-3)</f>
        <v>36000</v>
      </c>
      <c r="F21" s="315">
        <f>E21-$M$26</f>
        <v>4400</v>
      </c>
      <c r="I21" s="317">
        <f>C12</f>
        <v>1500</v>
      </c>
      <c r="J21" s="322">
        <f>4*C18</f>
        <v>4</v>
      </c>
      <c r="K21" s="316">
        <f>C12*J21/1000</f>
        <v>6</v>
      </c>
      <c r="L21" s="339" t="s">
        <v>44</v>
      </c>
      <c r="M21" s="4">
        <f>K20*G12</f>
        <v>21840</v>
      </c>
      <c r="N21" s="3"/>
      <c r="O21" s="331">
        <v>1.1000000000000001</v>
      </c>
      <c r="P21" s="314">
        <f>$M$45*O21</f>
        <v>34760</v>
      </c>
      <c r="Q21" s="315">
        <f>P21-$M$45</f>
        <v>3160</v>
      </c>
      <c r="R21" s="314">
        <f>ROUNDUP($M$46*O21,-3)</f>
        <v>36000</v>
      </c>
      <c r="S21" s="315">
        <f>R21-$M$45</f>
        <v>4400</v>
      </c>
    </row>
    <row r="22" spans="2:19" x14ac:dyDescent="0.3">
      <c r="B22" s="279">
        <v>1.2</v>
      </c>
      <c r="C22" s="276">
        <f t="shared" si="0"/>
        <v>39000</v>
      </c>
      <c r="D22" s="309">
        <f t="shared" si="1"/>
        <v>7400</v>
      </c>
      <c r="E22" s="276">
        <f t="shared" si="2"/>
        <v>39000</v>
      </c>
      <c r="F22" s="309">
        <f t="shared" ref="F22:F30" si="3">E22-$M$26</f>
        <v>7400</v>
      </c>
      <c r="I22" s="317">
        <f>C13</f>
        <v>1200</v>
      </c>
      <c r="J22" s="323">
        <f>C15*2*C18</f>
        <v>6</v>
      </c>
      <c r="K22" s="316">
        <f>C13*J22/1000</f>
        <v>7.2</v>
      </c>
      <c r="L22" s="23" t="s">
        <v>45</v>
      </c>
      <c r="M22" s="4">
        <f>J24*G13</f>
        <v>7800</v>
      </c>
      <c r="N22" s="3"/>
      <c r="O22" s="332">
        <v>1.1499999999999999</v>
      </c>
      <c r="P22" s="276">
        <f t="shared" ref="P22:P39" si="4">$M$45*O22</f>
        <v>36340</v>
      </c>
      <c r="Q22" s="309">
        <f t="shared" ref="Q22:Q39" si="5">P22-$M$45</f>
        <v>4740</v>
      </c>
      <c r="R22" s="276">
        <f t="shared" ref="R22:R39" si="6">ROUNDUP($M$46*O22,-3)</f>
        <v>37000</v>
      </c>
      <c r="S22" s="309">
        <f t="shared" ref="S22:S39" si="7">R22-$M$45</f>
        <v>5400</v>
      </c>
    </row>
    <row r="23" spans="2:19" x14ac:dyDescent="0.3">
      <c r="B23" s="279">
        <v>1.3</v>
      </c>
      <c r="C23" s="276">
        <f t="shared" si="0"/>
        <v>42000</v>
      </c>
      <c r="D23" s="309">
        <f t="shared" si="1"/>
        <v>10400</v>
      </c>
      <c r="E23" s="276">
        <f t="shared" si="2"/>
        <v>42000</v>
      </c>
      <c r="F23" s="309">
        <f t="shared" si="3"/>
        <v>10400</v>
      </c>
      <c r="I23" s="317">
        <f>C14</f>
        <v>400</v>
      </c>
      <c r="J23" s="323">
        <f>C15*2*C18</f>
        <v>6</v>
      </c>
      <c r="K23" s="316">
        <f>C14*J23/1000</f>
        <v>2.4</v>
      </c>
      <c r="L23" s="18" t="s">
        <v>11</v>
      </c>
      <c r="M23" s="4">
        <f>G15*J25</f>
        <v>1200</v>
      </c>
      <c r="N23" s="3"/>
      <c r="O23" s="332">
        <v>1.2</v>
      </c>
      <c r="P23" s="276">
        <f t="shared" si="4"/>
        <v>37920</v>
      </c>
      <c r="Q23" s="309">
        <f t="shared" si="5"/>
        <v>6320</v>
      </c>
      <c r="R23" s="276">
        <f t="shared" si="6"/>
        <v>39000</v>
      </c>
      <c r="S23" s="309">
        <f t="shared" si="7"/>
        <v>7400</v>
      </c>
    </row>
    <row r="24" spans="2:19" x14ac:dyDescent="0.3">
      <c r="B24" s="279">
        <v>1.4</v>
      </c>
      <c r="C24" s="276">
        <f t="shared" si="0"/>
        <v>45000</v>
      </c>
      <c r="D24" s="309">
        <f t="shared" si="1"/>
        <v>13400</v>
      </c>
      <c r="E24" s="276">
        <f t="shared" si="2"/>
        <v>45000</v>
      </c>
      <c r="F24" s="309">
        <f t="shared" si="3"/>
        <v>13400</v>
      </c>
      <c r="I24" s="206" t="s">
        <v>43</v>
      </c>
      <c r="J24" s="324">
        <f>C15*C18</f>
        <v>3</v>
      </c>
      <c r="K24" s="354"/>
      <c r="L24" s="18" t="s">
        <v>12</v>
      </c>
      <c r="M24" s="4">
        <f>G14*J26</f>
        <v>600</v>
      </c>
      <c r="N24" s="3"/>
      <c r="O24" s="332">
        <v>1.25</v>
      </c>
      <c r="P24" s="276">
        <f t="shared" si="4"/>
        <v>39500</v>
      </c>
      <c r="Q24" s="309">
        <f t="shared" si="5"/>
        <v>7900</v>
      </c>
      <c r="R24" s="276">
        <f t="shared" si="6"/>
        <v>40000</v>
      </c>
      <c r="S24" s="309">
        <f t="shared" si="7"/>
        <v>8400</v>
      </c>
    </row>
    <row r="25" spans="2:19" ht="17.25" thickBot="1" x14ac:dyDescent="0.35">
      <c r="B25" s="281">
        <v>1.5</v>
      </c>
      <c r="C25" s="282">
        <f t="shared" si="0"/>
        <v>48000</v>
      </c>
      <c r="D25" s="310">
        <f t="shared" si="1"/>
        <v>16400</v>
      </c>
      <c r="E25" s="282">
        <f t="shared" si="2"/>
        <v>48000</v>
      </c>
      <c r="F25" s="310">
        <f t="shared" si="3"/>
        <v>16400</v>
      </c>
      <c r="I25" s="206" t="s">
        <v>11</v>
      </c>
      <c r="J25" s="323">
        <f>((J22+J23)*2+(J26*2)+(C17*C18))</f>
        <v>40</v>
      </c>
      <c r="K25" s="354">
        <f>ROUNDUP(J25,-1)</f>
        <v>40</v>
      </c>
      <c r="L25" s="18" t="s">
        <v>41</v>
      </c>
      <c r="M25" s="4">
        <f>G16*J27</f>
        <v>160</v>
      </c>
      <c r="N25" s="3"/>
      <c r="O25" s="332">
        <v>1.3</v>
      </c>
      <c r="P25" s="276">
        <f t="shared" si="4"/>
        <v>41080</v>
      </c>
      <c r="Q25" s="309">
        <f t="shared" si="5"/>
        <v>9480</v>
      </c>
      <c r="R25" s="276">
        <f t="shared" si="6"/>
        <v>42000</v>
      </c>
      <c r="S25" s="309">
        <f t="shared" si="7"/>
        <v>10400</v>
      </c>
    </row>
    <row r="26" spans="2:19" ht="17.25" thickBot="1" x14ac:dyDescent="0.35">
      <c r="B26" s="283">
        <v>1.6</v>
      </c>
      <c r="C26" s="284">
        <f t="shared" si="0"/>
        <v>52000</v>
      </c>
      <c r="D26" s="311">
        <f t="shared" si="1"/>
        <v>20400</v>
      </c>
      <c r="E26" s="284">
        <f t="shared" si="2"/>
        <v>52000</v>
      </c>
      <c r="F26" s="311">
        <f t="shared" si="3"/>
        <v>20400</v>
      </c>
      <c r="I26" s="206" t="s">
        <v>12</v>
      </c>
      <c r="J26" s="323">
        <f>C16*C18</f>
        <v>4</v>
      </c>
      <c r="K26" s="18"/>
      <c r="L26" s="340" t="s">
        <v>8</v>
      </c>
      <c r="M26" s="4">
        <f>SUM(M21:M25)</f>
        <v>31600</v>
      </c>
      <c r="N26" s="4">
        <f>ROUNDUP(M26,-3)</f>
        <v>32000</v>
      </c>
      <c r="O26" s="332">
        <v>1.35</v>
      </c>
      <c r="P26" s="276">
        <f t="shared" si="4"/>
        <v>42660</v>
      </c>
      <c r="Q26" s="309">
        <f t="shared" si="5"/>
        <v>11060</v>
      </c>
      <c r="R26" s="276">
        <f t="shared" si="6"/>
        <v>44000</v>
      </c>
      <c r="S26" s="309">
        <f t="shared" si="7"/>
        <v>12400</v>
      </c>
    </row>
    <row r="27" spans="2:19" ht="17.25" thickBot="1" x14ac:dyDescent="0.35">
      <c r="B27" s="278">
        <v>1.7</v>
      </c>
      <c r="C27" s="275">
        <f t="shared" si="0"/>
        <v>55000</v>
      </c>
      <c r="D27" s="308">
        <f t="shared" si="1"/>
        <v>23400</v>
      </c>
      <c r="E27" s="275">
        <f t="shared" si="2"/>
        <v>55000</v>
      </c>
      <c r="F27" s="308">
        <f t="shared" si="3"/>
        <v>23400</v>
      </c>
      <c r="I27" s="206" t="s">
        <v>42</v>
      </c>
      <c r="J27" s="325">
        <f>4*C18</f>
        <v>4</v>
      </c>
      <c r="K27" s="354"/>
      <c r="L27" s="340" t="s">
        <v>175</v>
      </c>
      <c r="M27" s="4">
        <f>M26/C18</f>
        <v>31600</v>
      </c>
      <c r="N27" s="4">
        <f>ROUNDUP(M27,-3)</f>
        <v>32000</v>
      </c>
      <c r="O27" s="332">
        <v>1.4</v>
      </c>
      <c r="P27" s="276">
        <f t="shared" si="4"/>
        <v>44240</v>
      </c>
      <c r="Q27" s="309">
        <f t="shared" si="5"/>
        <v>12640</v>
      </c>
      <c r="R27" s="276">
        <f t="shared" si="6"/>
        <v>45000</v>
      </c>
      <c r="S27" s="309">
        <f t="shared" si="7"/>
        <v>13400</v>
      </c>
    </row>
    <row r="28" spans="2:19" x14ac:dyDescent="0.3">
      <c r="B28" s="279">
        <v>1.8</v>
      </c>
      <c r="C28" s="276">
        <f t="shared" si="0"/>
        <v>58000</v>
      </c>
      <c r="D28" s="309">
        <f t="shared" si="1"/>
        <v>26400</v>
      </c>
      <c r="E28" s="276">
        <f t="shared" si="2"/>
        <v>58000</v>
      </c>
      <c r="F28" s="309">
        <f t="shared" si="3"/>
        <v>26400</v>
      </c>
      <c r="O28" s="332">
        <v>1.45</v>
      </c>
      <c r="P28" s="276">
        <f t="shared" si="4"/>
        <v>45820</v>
      </c>
      <c r="Q28" s="309">
        <f t="shared" si="5"/>
        <v>14220</v>
      </c>
      <c r="R28" s="276">
        <f t="shared" si="6"/>
        <v>47000</v>
      </c>
      <c r="S28" s="309">
        <f t="shared" si="7"/>
        <v>15400</v>
      </c>
    </row>
    <row r="29" spans="2:19" ht="17.25" thickBot="1" x14ac:dyDescent="0.35">
      <c r="B29" s="279">
        <v>1.9</v>
      </c>
      <c r="C29" s="276">
        <f t="shared" si="0"/>
        <v>61000</v>
      </c>
      <c r="D29" s="309">
        <f t="shared" si="1"/>
        <v>29400</v>
      </c>
      <c r="E29" s="276">
        <f t="shared" si="2"/>
        <v>61000</v>
      </c>
      <c r="F29" s="309">
        <f t="shared" si="3"/>
        <v>29400</v>
      </c>
      <c r="I29" s="20" t="s">
        <v>17</v>
      </c>
      <c r="K29" s="307">
        <f>SUM(K30:K32)</f>
        <v>0</v>
      </c>
      <c r="O29" s="332">
        <v>1.5</v>
      </c>
      <c r="P29" s="276">
        <f t="shared" si="4"/>
        <v>47400</v>
      </c>
      <c r="Q29" s="309">
        <f t="shared" si="5"/>
        <v>15800</v>
      </c>
      <c r="R29" s="276">
        <f t="shared" si="6"/>
        <v>48000</v>
      </c>
      <c r="S29" s="309">
        <f t="shared" si="7"/>
        <v>16400</v>
      </c>
    </row>
    <row r="30" spans="2:19" ht="17.25" thickBot="1" x14ac:dyDescent="0.35">
      <c r="B30" s="280">
        <v>2</v>
      </c>
      <c r="C30" s="277">
        <f t="shared" si="0"/>
        <v>64000</v>
      </c>
      <c r="D30" s="312">
        <f t="shared" si="1"/>
        <v>32400</v>
      </c>
      <c r="E30" s="277">
        <f t="shared" si="2"/>
        <v>64000</v>
      </c>
      <c r="F30" s="312">
        <f t="shared" si="3"/>
        <v>32400</v>
      </c>
      <c r="I30" s="317">
        <f>C12</f>
        <v>1500</v>
      </c>
      <c r="J30" s="322">
        <f>2*E18</f>
        <v>0</v>
      </c>
      <c r="K30" s="316">
        <f>C12*J30/1000</f>
        <v>0</v>
      </c>
      <c r="L30" s="339" t="s">
        <v>167</v>
      </c>
      <c r="M30" s="4">
        <f>K29*G12</f>
        <v>0</v>
      </c>
      <c r="N30" s="3"/>
      <c r="O30" s="332">
        <v>1.55</v>
      </c>
      <c r="P30" s="276">
        <f t="shared" si="4"/>
        <v>48980</v>
      </c>
      <c r="Q30" s="309">
        <f t="shared" si="5"/>
        <v>17380</v>
      </c>
      <c r="R30" s="276">
        <f t="shared" si="6"/>
        <v>50000</v>
      </c>
      <c r="S30" s="309">
        <f t="shared" si="7"/>
        <v>18400</v>
      </c>
    </row>
    <row r="31" spans="2:19" x14ac:dyDescent="0.3">
      <c r="I31" s="317">
        <f>C13</f>
        <v>1200</v>
      </c>
      <c r="J31" s="323">
        <f>C15*2*E18</f>
        <v>0</v>
      </c>
      <c r="K31" s="316">
        <f>C13*J31/1000</f>
        <v>0</v>
      </c>
      <c r="L31" s="23" t="s">
        <v>95</v>
      </c>
      <c r="M31" s="4">
        <f>J34*G13</f>
        <v>0</v>
      </c>
      <c r="N31" s="3"/>
      <c r="O31" s="336">
        <v>1.6</v>
      </c>
      <c r="P31" s="335">
        <f t="shared" si="4"/>
        <v>50560</v>
      </c>
      <c r="Q31" s="334">
        <f t="shared" si="5"/>
        <v>18960</v>
      </c>
      <c r="R31" s="335">
        <f t="shared" si="6"/>
        <v>52000</v>
      </c>
      <c r="S31" s="334">
        <f t="shared" si="7"/>
        <v>20400</v>
      </c>
    </row>
    <row r="32" spans="2:19" ht="17.25" thickBot="1" x14ac:dyDescent="0.35">
      <c r="B32" s="20" t="s">
        <v>17</v>
      </c>
      <c r="C32" s="1" t="s">
        <v>174</v>
      </c>
      <c r="E32" s="1" t="s">
        <v>105</v>
      </c>
      <c r="I32" s="317">
        <f>C14</f>
        <v>400</v>
      </c>
      <c r="J32" s="323">
        <f>C15*E18</f>
        <v>0</v>
      </c>
      <c r="K32" s="316">
        <f>C14*J32/1000</f>
        <v>0</v>
      </c>
      <c r="L32" s="18" t="s">
        <v>168</v>
      </c>
      <c r="M32" s="4">
        <f>G15*J35</f>
        <v>0</v>
      </c>
      <c r="N32" s="3"/>
      <c r="O32" s="332">
        <v>1.65</v>
      </c>
      <c r="P32" s="276">
        <f t="shared" si="4"/>
        <v>52140</v>
      </c>
      <c r="Q32" s="309">
        <f t="shared" si="5"/>
        <v>20540</v>
      </c>
      <c r="R32" s="276">
        <f t="shared" si="6"/>
        <v>53000</v>
      </c>
      <c r="S32" s="309">
        <f t="shared" si="7"/>
        <v>21400</v>
      </c>
    </row>
    <row r="33" spans="2:19" x14ac:dyDescent="0.3">
      <c r="B33" s="313">
        <v>1.1000000000000001</v>
      </c>
      <c r="C33" s="314" t="e">
        <f t="shared" ref="C33:C42" si="8">ROUNDUP($N$36*B33,-3)</f>
        <v>#DIV/0!</v>
      </c>
      <c r="D33" s="315" t="e">
        <f t="shared" ref="D33:D42" si="9">C33-$M$36</f>
        <v>#DIV/0!</v>
      </c>
      <c r="E33" s="314">
        <f t="shared" ref="E33:E42" si="10">ROUNDUP($N$35*B33,-3)</f>
        <v>0</v>
      </c>
      <c r="F33" s="315">
        <f>E33-$M$35</f>
        <v>0</v>
      </c>
      <c r="I33" s="317">
        <f>E12</f>
        <v>300</v>
      </c>
      <c r="J33" s="323">
        <f>E13*E18</f>
        <v>0</v>
      </c>
      <c r="K33" s="316">
        <f>E12*J33/1000</f>
        <v>0</v>
      </c>
      <c r="L33" s="18" t="s">
        <v>86</v>
      </c>
      <c r="M33" s="4">
        <f>G14*J36</f>
        <v>0</v>
      </c>
      <c r="N33" s="3"/>
      <c r="O33" s="332">
        <v>1.7</v>
      </c>
      <c r="P33" s="276">
        <f t="shared" si="4"/>
        <v>53720</v>
      </c>
      <c r="Q33" s="309">
        <f t="shared" si="5"/>
        <v>22120</v>
      </c>
      <c r="R33" s="276">
        <f t="shared" si="6"/>
        <v>55000</v>
      </c>
      <c r="S33" s="309">
        <f t="shared" si="7"/>
        <v>23400</v>
      </c>
    </row>
    <row r="34" spans="2:19" x14ac:dyDescent="0.3">
      <c r="B34" s="279">
        <v>1.2</v>
      </c>
      <c r="C34" s="276" t="e">
        <f t="shared" si="8"/>
        <v>#DIV/0!</v>
      </c>
      <c r="D34" s="309" t="e">
        <f t="shared" si="9"/>
        <v>#DIV/0!</v>
      </c>
      <c r="E34" s="276">
        <f t="shared" si="10"/>
        <v>0</v>
      </c>
      <c r="F34" s="309">
        <f t="shared" ref="F34:F42" si="11">E34-$M$35</f>
        <v>0</v>
      </c>
      <c r="I34" s="206" t="s">
        <v>95</v>
      </c>
      <c r="J34" s="324">
        <f>C15*E18</f>
        <v>0</v>
      </c>
      <c r="K34" s="354"/>
      <c r="L34" s="18" t="s">
        <v>41</v>
      </c>
      <c r="M34" s="4">
        <f>G16*J37</f>
        <v>0</v>
      </c>
      <c r="N34" s="3"/>
      <c r="O34" s="332">
        <v>1.75</v>
      </c>
      <c r="P34" s="276">
        <f t="shared" si="4"/>
        <v>55300</v>
      </c>
      <c r="Q34" s="309">
        <f t="shared" si="5"/>
        <v>23700</v>
      </c>
      <c r="R34" s="276">
        <f t="shared" si="6"/>
        <v>56000</v>
      </c>
      <c r="S34" s="309">
        <f t="shared" si="7"/>
        <v>24400</v>
      </c>
    </row>
    <row r="35" spans="2:19" x14ac:dyDescent="0.3">
      <c r="B35" s="279">
        <v>1.3</v>
      </c>
      <c r="C35" s="276" t="e">
        <f t="shared" si="8"/>
        <v>#DIV/0!</v>
      </c>
      <c r="D35" s="309" t="e">
        <f t="shared" si="9"/>
        <v>#DIV/0!</v>
      </c>
      <c r="E35" s="276">
        <f t="shared" si="10"/>
        <v>0</v>
      </c>
      <c r="F35" s="309">
        <f t="shared" si="11"/>
        <v>0</v>
      </c>
      <c r="I35" s="206" t="s">
        <v>170</v>
      </c>
      <c r="J35" s="323">
        <f>((J31+J32)*2)+(J33*E14)+(E17*E18)</f>
        <v>0</v>
      </c>
      <c r="K35" s="354">
        <f>ROUNDUP(J35,-1)</f>
        <v>0</v>
      </c>
      <c r="L35" s="340" t="s">
        <v>165</v>
      </c>
      <c r="M35" s="4">
        <f>SUM(M30:M34)</f>
        <v>0</v>
      </c>
      <c r="N35" s="4">
        <f>ROUNDUP(M35,-3)</f>
        <v>0</v>
      </c>
      <c r="O35" s="332">
        <v>1.8</v>
      </c>
      <c r="P35" s="276">
        <f t="shared" si="4"/>
        <v>56880</v>
      </c>
      <c r="Q35" s="309">
        <f t="shared" si="5"/>
        <v>25280</v>
      </c>
      <c r="R35" s="276">
        <f t="shared" si="6"/>
        <v>58000</v>
      </c>
      <c r="S35" s="309">
        <f t="shared" si="7"/>
        <v>26400</v>
      </c>
    </row>
    <row r="36" spans="2:19" x14ac:dyDescent="0.3">
      <c r="B36" s="279">
        <v>1.4</v>
      </c>
      <c r="C36" s="276" t="e">
        <f t="shared" si="8"/>
        <v>#DIV/0!</v>
      </c>
      <c r="D36" s="309" t="e">
        <f t="shared" si="9"/>
        <v>#DIV/0!</v>
      </c>
      <c r="E36" s="276">
        <f t="shared" si="10"/>
        <v>0</v>
      </c>
      <c r="F36" s="309">
        <f t="shared" si="11"/>
        <v>0</v>
      </c>
      <c r="I36" s="206" t="s">
        <v>86</v>
      </c>
      <c r="J36" s="323">
        <f>E16*E18</f>
        <v>0</v>
      </c>
      <c r="K36" s="18"/>
      <c r="L36" s="78" t="s">
        <v>176</v>
      </c>
      <c r="M36" s="4" t="e">
        <f>M35/E18</f>
        <v>#DIV/0!</v>
      </c>
      <c r="N36" s="4" t="e">
        <f>ROUNDUP(M36,-3)</f>
        <v>#DIV/0!</v>
      </c>
      <c r="O36" s="332">
        <v>1.85</v>
      </c>
      <c r="P36" s="276">
        <f t="shared" si="4"/>
        <v>58460</v>
      </c>
      <c r="Q36" s="309">
        <f t="shared" si="5"/>
        <v>26860</v>
      </c>
      <c r="R36" s="276">
        <f t="shared" si="6"/>
        <v>60000</v>
      </c>
      <c r="S36" s="309">
        <f t="shared" si="7"/>
        <v>28400</v>
      </c>
    </row>
    <row r="37" spans="2:19" ht="17.25" thickBot="1" x14ac:dyDescent="0.35">
      <c r="B37" s="281">
        <v>1.5</v>
      </c>
      <c r="C37" s="282" t="e">
        <f t="shared" si="8"/>
        <v>#DIV/0!</v>
      </c>
      <c r="D37" s="310" t="e">
        <f t="shared" si="9"/>
        <v>#DIV/0!</v>
      </c>
      <c r="E37" s="282">
        <f t="shared" si="10"/>
        <v>0</v>
      </c>
      <c r="F37" s="310">
        <f t="shared" si="11"/>
        <v>0</v>
      </c>
      <c r="I37" s="206" t="s">
        <v>92</v>
      </c>
      <c r="J37" s="325">
        <f>J30</f>
        <v>0</v>
      </c>
      <c r="K37" s="74"/>
      <c r="O37" s="332">
        <v>1.9</v>
      </c>
      <c r="P37" s="276">
        <f t="shared" si="4"/>
        <v>60040</v>
      </c>
      <c r="Q37" s="309">
        <f t="shared" si="5"/>
        <v>28440</v>
      </c>
      <c r="R37" s="276">
        <f t="shared" si="6"/>
        <v>61000</v>
      </c>
      <c r="S37" s="309">
        <f t="shared" si="7"/>
        <v>29400</v>
      </c>
    </row>
    <row r="38" spans="2:19" ht="17.25" thickBot="1" x14ac:dyDescent="0.35">
      <c r="B38" s="283">
        <v>1.6</v>
      </c>
      <c r="C38" s="284" t="e">
        <f t="shared" si="8"/>
        <v>#DIV/0!</v>
      </c>
      <c r="D38" s="311" t="e">
        <f t="shared" si="9"/>
        <v>#DIV/0!</v>
      </c>
      <c r="E38" s="284">
        <f t="shared" si="10"/>
        <v>0</v>
      </c>
      <c r="F38" s="311">
        <f t="shared" si="11"/>
        <v>0</v>
      </c>
      <c r="O38" s="332">
        <v>1.95</v>
      </c>
      <c r="P38" s="276">
        <f t="shared" si="4"/>
        <v>61620</v>
      </c>
      <c r="Q38" s="309">
        <f t="shared" si="5"/>
        <v>30020</v>
      </c>
      <c r="R38" s="276">
        <f t="shared" si="6"/>
        <v>63000</v>
      </c>
      <c r="S38" s="309">
        <f t="shared" si="7"/>
        <v>31400</v>
      </c>
    </row>
    <row r="39" spans="2:19" ht="17.25" thickBot="1" x14ac:dyDescent="0.35">
      <c r="B39" s="278">
        <v>1.7</v>
      </c>
      <c r="C39" s="275" t="e">
        <f t="shared" si="8"/>
        <v>#DIV/0!</v>
      </c>
      <c r="D39" s="308" t="e">
        <f t="shared" si="9"/>
        <v>#DIV/0!</v>
      </c>
      <c r="E39" s="275">
        <f t="shared" si="10"/>
        <v>0</v>
      </c>
      <c r="F39" s="308">
        <f t="shared" si="11"/>
        <v>0</v>
      </c>
      <c r="I39" s="20" t="s">
        <v>171</v>
      </c>
      <c r="K39" s="307">
        <f>SUM(K40:K43)</f>
        <v>15.6</v>
      </c>
      <c r="O39" s="333">
        <v>2</v>
      </c>
      <c r="P39" s="277">
        <f t="shared" si="4"/>
        <v>63200</v>
      </c>
      <c r="Q39" s="312">
        <f t="shared" si="5"/>
        <v>31600</v>
      </c>
      <c r="R39" s="277">
        <f t="shared" si="6"/>
        <v>64000</v>
      </c>
      <c r="S39" s="312">
        <f t="shared" si="7"/>
        <v>32400</v>
      </c>
    </row>
    <row r="40" spans="2:19" x14ac:dyDescent="0.3">
      <c r="B40" s="279">
        <v>1.8</v>
      </c>
      <c r="C40" s="276" t="e">
        <f t="shared" si="8"/>
        <v>#DIV/0!</v>
      </c>
      <c r="D40" s="309" t="e">
        <f t="shared" si="9"/>
        <v>#DIV/0!</v>
      </c>
      <c r="E40" s="276">
        <f t="shared" si="10"/>
        <v>0</v>
      </c>
      <c r="F40" s="309">
        <f t="shared" si="11"/>
        <v>0</v>
      </c>
      <c r="I40" s="317">
        <f>C12</f>
        <v>1500</v>
      </c>
      <c r="J40" s="322">
        <f>J21+J30</f>
        <v>4</v>
      </c>
      <c r="K40" s="316">
        <f>C12*J40/1000</f>
        <v>6</v>
      </c>
      <c r="L40" s="337" t="s">
        <v>167</v>
      </c>
      <c r="M40" s="4">
        <f>M21+M30</f>
        <v>21840</v>
      </c>
      <c r="N40" s="3"/>
    </row>
    <row r="41" spans="2:19" x14ac:dyDescent="0.3">
      <c r="B41" s="279">
        <v>1.9</v>
      </c>
      <c r="C41" s="276" t="e">
        <f t="shared" si="8"/>
        <v>#DIV/0!</v>
      </c>
      <c r="D41" s="309" t="e">
        <f t="shared" si="9"/>
        <v>#DIV/0!</v>
      </c>
      <c r="E41" s="276">
        <f t="shared" si="10"/>
        <v>0</v>
      </c>
      <c r="F41" s="309">
        <f t="shared" si="11"/>
        <v>0</v>
      </c>
      <c r="I41" s="317">
        <f>C13</f>
        <v>1200</v>
      </c>
      <c r="J41" s="323">
        <f>J22+J31</f>
        <v>6</v>
      </c>
      <c r="K41" s="316">
        <f>C13*J41/1000</f>
        <v>7.2</v>
      </c>
      <c r="L41" s="338" t="s">
        <v>95</v>
      </c>
      <c r="M41" s="4">
        <f>M22+M31</f>
        <v>7800</v>
      </c>
      <c r="N41" s="3"/>
    </row>
    <row r="42" spans="2:19" ht="17.25" thickBot="1" x14ac:dyDescent="0.35">
      <c r="B42" s="280">
        <v>2</v>
      </c>
      <c r="C42" s="277" t="e">
        <f t="shared" si="8"/>
        <v>#DIV/0!</v>
      </c>
      <c r="D42" s="312" t="e">
        <f t="shared" si="9"/>
        <v>#DIV/0!</v>
      </c>
      <c r="E42" s="277">
        <f t="shared" si="10"/>
        <v>0</v>
      </c>
      <c r="F42" s="312">
        <f t="shared" si="11"/>
        <v>0</v>
      </c>
      <c r="I42" s="317">
        <f>C14</f>
        <v>400</v>
      </c>
      <c r="J42" s="323">
        <f>J23+J32</f>
        <v>6</v>
      </c>
      <c r="K42" s="316">
        <f>C14*J42/1000</f>
        <v>2.4</v>
      </c>
      <c r="L42" s="2" t="s">
        <v>164</v>
      </c>
      <c r="M42" s="4">
        <f>M24</f>
        <v>600</v>
      </c>
      <c r="N42" s="3"/>
    </row>
    <row r="43" spans="2:19" x14ac:dyDescent="0.3">
      <c r="I43" s="317">
        <f>E12</f>
        <v>300</v>
      </c>
      <c r="J43" s="323">
        <f>J33</f>
        <v>0</v>
      </c>
      <c r="K43" s="316">
        <f>E12*J43/1000</f>
        <v>0</v>
      </c>
      <c r="L43" s="2" t="s">
        <v>168</v>
      </c>
      <c r="M43" s="4">
        <f>G15*J45</f>
        <v>1200</v>
      </c>
      <c r="N43" s="3"/>
    </row>
    <row r="44" spans="2:19" x14ac:dyDescent="0.3">
      <c r="I44" s="206" t="s">
        <v>149</v>
      </c>
      <c r="J44" s="324">
        <f>J24+J34</f>
        <v>3</v>
      </c>
      <c r="K44" s="354"/>
      <c r="L44" s="2" t="s">
        <v>41</v>
      </c>
      <c r="M44" s="4">
        <f>G16*J47</f>
        <v>160</v>
      </c>
      <c r="N44" s="3"/>
    </row>
    <row r="45" spans="2:19" x14ac:dyDescent="0.3">
      <c r="I45" s="206" t="s">
        <v>168</v>
      </c>
      <c r="J45" s="323">
        <f>J25+J35</f>
        <v>40</v>
      </c>
      <c r="K45" s="354">
        <f>ROUNDUP(J45,-1)</f>
        <v>40</v>
      </c>
      <c r="L45" s="78" t="s">
        <v>173</v>
      </c>
      <c r="M45" s="4">
        <f>SUM(M40:M44)</f>
        <v>31600</v>
      </c>
    </row>
    <row r="46" spans="2:19" x14ac:dyDescent="0.3">
      <c r="I46" s="206" t="s">
        <v>86</v>
      </c>
      <c r="J46" s="323">
        <f>J26+J36</f>
        <v>4</v>
      </c>
      <c r="K46" s="18"/>
      <c r="L46" s="2"/>
      <c r="M46" s="4">
        <f>ROUNDUP(M45,-3)</f>
        <v>32000</v>
      </c>
    </row>
    <row r="47" spans="2:19" ht="17.25" thickBot="1" x14ac:dyDescent="0.35">
      <c r="I47" s="206" t="s">
        <v>92</v>
      </c>
      <c r="J47" s="325">
        <f>J27+J37</f>
        <v>4</v>
      </c>
      <c r="K47" s="354"/>
      <c r="L47" s="2"/>
      <c r="M4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V60"/>
  <sheetViews>
    <sheetView topLeftCell="A11" zoomScale="85" zoomScaleNormal="85" workbookViewId="0">
      <selection activeCell="C15" sqref="C15:C16"/>
    </sheetView>
  </sheetViews>
  <sheetFormatPr defaultColWidth="9" defaultRowHeight="16.5" x14ac:dyDescent="0.3"/>
  <cols>
    <col min="1" max="1" width="3.25" style="1" customWidth="1"/>
    <col min="2" max="2" width="19.25" style="1" bestFit="1" customWidth="1"/>
    <col min="3" max="3" width="11.125" style="1" customWidth="1"/>
    <col min="4" max="4" width="12.75" style="1" customWidth="1"/>
    <col min="5" max="5" width="11.875" style="1" customWidth="1"/>
    <col min="6" max="6" width="13.25" style="1" customWidth="1"/>
    <col min="7" max="7" width="4.5" style="1" customWidth="1"/>
    <col min="8" max="8" width="14.125" style="1" customWidth="1"/>
    <col min="9" max="9" width="12.5" style="1" bestFit="1" customWidth="1"/>
    <col min="10" max="10" width="12.375" style="1" customWidth="1"/>
    <col min="11" max="11" width="12.25" style="1" bestFit="1" customWidth="1"/>
    <col min="12" max="12" width="11.5" style="1" customWidth="1"/>
    <col min="13" max="13" width="12.875" style="1" bestFit="1" customWidth="1"/>
    <col min="14" max="14" width="12.875" style="365" bestFit="1" customWidth="1"/>
    <col min="15" max="17" width="15.5" style="1" hidden="1" customWidth="1"/>
    <col min="18" max="19" width="11.5" style="1" bestFit="1" customWidth="1"/>
    <col min="20" max="24" width="9" style="1" customWidth="1"/>
    <col min="25" max="16384" width="9" style="1"/>
  </cols>
  <sheetData>
    <row r="1" spans="2:22" hidden="1" x14ac:dyDescent="0.3">
      <c r="B1" s="24" t="s">
        <v>28</v>
      </c>
      <c r="C1" s="25"/>
      <c r="D1" s="25" t="s">
        <v>29</v>
      </c>
      <c r="E1" s="25"/>
      <c r="F1" s="25"/>
      <c r="G1" s="25"/>
      <c r="H1" s="25"/>
      <c r="I1" s="25"/>
      <c r="J1" s="25"/>
      <c r="K1" s="25"/>
      <c r="L1" s="25"/>
      <c r="M1" s="26"/>
    </row>
    <row r="2" spans="2:22" hidden="1" x14ac:dyDescent="0.3">
      <c r="B2" s="27"/>
      <c r="C2" s="28"/>
      <c r="D2" s="28">
        <v>600</v>
      </c>
      <c r="E2" s="28">
        <v>700</v>
      </c>
      <c r="F2" s="28">
        <v>800</v>
      </c>
      <c r="G2" s="28">
        <v>900</v>
      </c>
      <c r="H2" s="28">
        <v>1000</v>
      </c>
      <c r="I2" s="28">
        <v>1100</v>
      </c>
      <c r="J2" s="28">
        <v>1200</v>
      </c>
      <c r="K2" s="28">
        <v>1300</v>
      </c>
      <c r="L2" s="28">
        <v>1400</v>
      </c>
      <c r="M2" s="29">
        <v>1500</v>
      </c>
    </row>
    <row r="3" spans="2:22" ht="18" hidden="1" customHeight="1" x14ac:dyDescent="0.3">
      <c r="B3" s="27" t="s">
        <v>30</v>
      </c>
      <c r="C3" s="28">
        <v>300</v>
      </c>
      <c r="D3" s="28">
        <v>16</v>
      </c>
      <c r="E3" s="28">
        <v>13</v>
      </c>
      <c r="F3" s="28">
        <v>12</v>
      </c>
      <c r="G3" s="28">
        <v>10</v>
      </c>
      <c r="H3" s="28">
        <v>8</v>
      </c>
      <c r="I3" s="28">
        <v>8</v>
      </c>
      <c r="J3" s="28">
        <v>8</v>
      </c>
      <c r="K3" s="28">
        <v>4</v>
      </c>
      <c r="L3" s="28">
        <v>4</v>
      </c>
      <c r="M3" s="29">
        <v>4</v>
      </c>
    </row>
    <row r="4" spans="2:22" ht="17.25" hidden="1" x14ac:dyDescent="0.3">
      <c r="B4" s="27"/>
      <c r="C4" s="28">
        <v>400</v>
      </c>
      <c r="D4" s="289">
        <v>12</v>
      </c>
      <c r="E4" s="28">
        <v>9</v>
      </c>
      <c r="F4" s="28">
        <v>9</v>
      </c>
      <c r="G4" s="28">
        <v>7</v>
      </c>
      <c r="H4" s="28">
        <v>6</v>
      </c>
      <c r="I4" s="28">
        <v>6</v>
      </c>
      <c r="J4" s="28">
        <v>6</v>
      </c>
      <c r="K4" s="28">
        <v>3</v>
      </c>
      <c r="L4" s="28">
        <v>3</v>
      </c>
      <c r="M4" s="29">
        <v>3</v>
      </c>
      <c r="O4" s="383" t="s">
        <v>36</v>
      </c>
      <c r="P4" s="293"/>
    </row>
    <row r="5" spans="2:22" ht="17.25" hidden="1" thickBot="1" x14ac:dyDescent="0.35">
      <c r="B5" s="27"/>
      <c r="C5" s="287">
        <v>450</v>
      </c>
      <c r="D5" s="28">
        <v>10</v>
      </c>
      <c r="E5" s="288">
        <v>6</v>
      </c>
      <c r="F5" s="28">
        <v>6</v>
      </c>
      <c r="G5" s="28">
        <v>5</v>
      </c>
      <c r="H5" s="28">
        <v>5</v>
      </c>
      <c r="I5" s="28">
        <v>5</v>
      </c>
      <c r="J5" s="28">
        <v>5</v>
      </c>
      <c r="K5" s="28">
        <v>2</v>
      </c>
      <c r="L5" s="28">
        <v>2</v>
      </c>
      <c r="M5" s="29">
        <v>2</v>
      </c>
      <c r="O5" s="384">
        <f>C12</f>
        <v>1800</v>
      </c>
      <c r="P5" s="385">
        <f>SUM(C30,C37)</f>
        <v>4</v>
      </c>
      <c r="Q5" s="399">
        <f>SUM(D30,D37)</f>
        <v>7.2</v>
      </c>
      <c r="R5" s="395">
        <f>SUM(F30,F37)</f>
        <v>41580</v>
      </c>
    </row>
    <row r="6" spans="2:22" hidden="1" x14ac:dyDescent="0.3">
      <c r="B6" s="27"/>
      <c r="C6" s="28">
        <v>500</v>
      </c>
      <c r="D6" s="290">
        <v>8</v>
      </c>
      <c r="E6" s="28">
        <v>6</v>
      </c>
      <c r="F6" s="28">
        <v>6</v>
      </c>
      <c r="G6" s="28">
        <v>4</v>
      </c>
      <c r="H6" s="28">
        <v>4</v>
      </c>
      <c r="I6" s="28">
        <v>4</v>
      </c>
      <c r="J6" s="28">
        <v>4</v>
      </c>
      <c r="K6" s="28">
        <v>2</v>
      </c>
      <c r="L6" s="28">
        <v>2</v>
      </c>
      <c r="M6" s="29">
        <v>2</v>
      </c>
      <c r="O6" s="386">
        <f>C13</f>
        <v>1500</v>
      </c>
      <c r="P6" s="387">
        <f>SUM(C31,C38)</f>
        <v>10</v>
      </c>
      <c r="Q6" s="400">
        <f>SUM(D31,D38)</f>
        <v>15</v>
      </c>
      <c r="R6" s="396">
        <f>SUM(F31,F38)</f>
        <v>12000</v>
      </c>
    </row>
    <row r="7" spans="2:22" hidden="1" x14ac:dyDescent="0.3">
      <c r="B7" s="27"/>
      <c r="C7" s="28">
        <v>600</v>
      </c>
      <c r="D7" s="28">
        <v>8</v>
      </c>
      <c r="E7" s="28">
        <v>6</v>
      </c>
      <c r="F7" s="28">
        <v>6</v>
      </c>
      <c r="G7" s="28">
        <v>4</v>
      </c>
      <c r="H7" s="28">
        <v>4</v>
      </c>
      <c r="I7" s="28">
        <v>4</v>
      </c>
      <c r="J7" s="28">
        <v>4</v>
      </c>
      <c r="K7" s="28">
        <v>2</v>
      </c>
      <c r="L7" s="28">
        <v>2</v>
      </c>
      <c r="M7" s="29">
        <v>2</v>
      </c>
      <c r="O7" s="388">
        <f>C14</f>
        <v>300</v>
      </c>
      <c r="P7" s="389">
        <f>C32</f>
        <v>10</v>
      </c>
      <c r="Q7" s="400">
        <f>C14*P7/1000</f>
        <v>3</v>
      </c>
      <c r="R7" s="396">
        <f>SUM(F32,F39)</f>
        <v>160</v>
      </c>
    </row>
    <row r="8" spans="2:22" ht="17.25" hidden="1" thickBot="1" x14ac:dyDescent="0.35">
      <c r="B8" s="27"/>
      <c r="C8" s="28">
        <v>700</v>
      </c>
      <c r="D8" s="28">
        <v>6</v>
      </c>
      <c r="E8" s="28">
        <v>3</v>
      </c>
      <c r="F8" s="28">
        <v>3</v>
      </c>
      <c r="G8" s="28">
        <v>3</v>
      </c>
      <c r="H8" s="28">
        <v>3</v>
      </c>
      <c r="I8" s="28">
        <v>3</v>
      </c>
      <c r="J8" s="28">
        <v>3</v>
      </c>
      <c r="K8" s="28">
        <v>1</v>
      </c>
      <c r="L8" s="28">
        <v>1</v>
      </c>
      <c r="M8" s="29">
        <v>1</v>
      </c>
      <c r="O8" s="390">
        <f>C14</f>
        <v>300</v>
      </c>
      <c r="P8" s="391">
        <f>C39</f>
        <v>0</v>
      </c>
      <c r="Q8" s="400">
        <f>C14*P8/1000</f>
        <v>0</v>
      </c>
      <c r="R8" s="396">
        <f>SUM(F33,F40)</f>
        <v>53740</v>
      </c>
    </row>
    <row r="9" spans="2:22" hidden="1" x14ac:dyDescent="0.3">
      <c r="B9" s="27"/>
      <c r="C9" s="28">
        <v>800</v>
      </c>
      <c r="D9" s="28">
        <v>6</v>
      </c>
      <c r="E9" s="28">
        <v>3</v>
      </c>
      <c r="F9" s="28">
        <v>3</v>
      </c>
      <c r="G9" s="28">
        <v>3</v>
      </c>
      <c r="H9" s="28">
        <v>3</v>
      </c>
      <c r="I9" s="28">
        <v>3</v>
      </c>
      <c r="J9" s="28">
        <v>3</v>
      </c>
      <c r="K9" s="28">
        <v>1</v>
      </c>
      <c r="L9" s="28">
        <v>1</v>
      </c>
      <c r="M9" s="29">
        <v>1</v>
      </c>
      <c r="N9" s="366"/>
      <c r="O9" s="392" t="s">
        <v>151</v>
      </c>
      <c r="P9" s="393">
        <f>SUM(C33,C40)</f>
        <v>5</v>
      </c>
      <c r="Q9" s="136"/>
      <c r="R9" s="396">
        <f>ROUNDUP(R8,-3)</f>
        <v>54000</v>
      </c>
    </row>
    <row r="10" spans="2:22" ht="17.25" hidden="1" thickBot="1" x14ac:dyDescent="0.35">
      <c r="B10" s="30"/>
      <c r="C10" s="31">
        <v>900</v>
      </c>
      <c r="D10" s="31">
        <v>5</v>
      </c>
      <c r="E10" s="31">
        <v>3</v>
      </c>
      <c r="F10" s="31">
        <v>3</v>
      </c>
      <c r="G10" s="31">
        <v>2</v>
      </c>
      <c r="H10" s="31">
        <v>2</v>
      </c>
      <c r="I10" s="31">
        <v>2</v>
      </c>
      <c r="J10" s="31">
        <v>2</v>
      </c>
      <c r="K10" s="31">
        <v>1</v>
      </c>
      <c r="L10" s="31">
        <v>1</v>
      </c>
      <c r="M10" s="32">
        <v>1</v>
      </c>
      <c r="O10" s="8" t="s">
        <v>152</v>
      </c>
      <c r="P10" s="391">
        <f>SUM(C34,C41)</f>
        <v>4</v>
      </c>
      <c r="Q10" s="401">
        <f>SUM(D34,D41)</f>
        <v>25.2</v>
      </c>
      <c r="R10" s="397"/>
    </row>
    <row r="11" spans="2:22" ht="17.25" thickBot="1" x14ac:dyDescent="0.35"/>
    <row r="12" spans="2:22" s="54" customFormat="1" ht="18" thickBot="1" x14ac:dyDescent="0.35">
      <c r="B12" s="303" t="s">
        <v>2</v>
      </c>
      <c r="C12" s="300">
        <v>1800</v>
      </c>
      <c r="D12" s="318" t="s">
        <v>14</v>
      </c>
      <c r="E12" s="11">
        <v>1650</v>
      </c>
      <c r="F12" s="1"/>
      <c r="H12" s="327">
        <v>9500</v>
      </c>
      <c r="I12" s="41">
        <v>600</v>
      </c>
      <c r="J12" s="37">
        <v>700</v>
      </c>
      <c r="K12" s="291">
        <v>900</v>
      </c>
      <c r="L12" s="37">
        <v>1200</v>
      </c>
      <c r="M12" s="380">
        <v>1500</v>
      </c>
      <c r="N12" s="366"/>
      <c r="O12" s="1"/>
      <c r="P12" s="1"/>
      <c r="Q12" s="1"/>
      <c r="V12" s="1"/>
    </row>
    <row r="13" spans="2:22" ht="17.25" customHeight="1" x14ac:dyDescent="0.3">
      <c r="B13" s="304" t="s">
        <v>1</v>
      </c>
      <c r="C13" s="301">
        <v>1500</v>
      </c>
      <c r="D13" s="319" t="s">
        <v>10</v>
      </c>
      <c r="E13" s="56">
        <v>2400</v>
      </c>
      <c r="H13" s="39">
        <v>300</v>
      </c>
      <c r="I13" s="50">
        <f>ROUNDUP(H12/D3,-2)</f>
        <v>600</v>
      </c>
      <c r="J13" s="33">
        <f>ROUNDUP(H12/E3,-2)</f>
        <v>800</v>
      </c>
      <c r="K13" s="52">
        <f>ROUNDUP(H12/G3,-2)</f>
        <v>1000</v>
      </c>
      <c r="L13" s="33">
        <f>ROUNDUP(H12/J3,-2)</f>
        <v>1200</v>
      </c>
      <c r="M13" s="381">
        <f>ROUNDUP(H12/M3,-2)</f>
        <v>2400</v>
      </c>
    </row>
    <row r="14" spans="2:22" ht="17.25" customHeight="1" x14ac:dyDescent="0.3">
      <c r="B14" s="304" t="s">
        <v>135</v>
      </c>
      <c r="C14" s="301">
        <v>300</v>
      </c>
      <c r="D14" s="320" t="s">
        <v>38</v>
      </c>
      <c r="E14" s="58">
        <v>40</v>
      </c>
      <c r="H14" s="59">
        <v>400</v>
      </c>
      <c r="I14" s="60">
        <f>ROUNDUP(H12/D4,-2)</f>
        <v>800</v>
      </c>
      <c r="J14" s="61">
        <f>ROUNDUP(H12/E4,-2)</f>
        <v>1100</v>
      </c>
      <c r="K14" s="61">
        <f>ROUNDUP(H12/G4,-2)</f>
        <v>1400</v>
      </c>
      <c r="L14" s="61">
        <f>ROUNDUP(H12/J4,-2)</f>
        <v>1600</v>
      </c>
      <c r="M14" s="62">
        <f>ROUNDUP(H12/M4,-2)</f>
        <v>3200</v>
      </c>
    </row>
    <row r="15" spans="2:22" ht="17.25" customHeight="1" thickBot="1" x14ac:dyDescent="0.35">
      <c r="B15" s="304" t="s">
        <v>136</v>
      </c>
      <c r="C15" s="302">
        <v>5</v>
      </c>
      <c r="D15" s="321" t="s">
        <v>46</v>
      </c>
      <c r="E15" s="57">
        <v>250</v>
      </c>
      <c r="H15" s="40">
        <v>450</v>
      </c>
      <c r="I15" s="51">
        <f>ROUNDUP(H12/D5,-2)</f>
        <v>1000</v>
      </c>
      <c r="J15" s="35">
        <f>ROUNDUP(H12/E5,-2)</f>
        <v>1600</v>
      </c>
      <c r="K15" s="53">
        <f>ROUNDUP(H12/G5,-2)</f>
        <v>1900</v>
      </c>
      <c r="L15" s="35">
        <f>ROUNDUP(H12/J5,-2)</f>
        <v>1900</v>
      </c>
      <c r="M15" s="382">
        <f>ROUNDUP(H12/M5,-2)</f>
        <v>4800</v>
      </c>
    </row>
    <row r="16" spans="2:22" ht="17.25" customHeight="1" x14ac:dyDescent="0.3">
      <c r="B16" s="304" t="s">
        <v>133</v>
      </c>
      <c r="C16" s="363">
        <v>1</v>
      </c>
      <c r="H16" s="294">
        <v>600</v>
      </c>
      <c r="I16" s="60">
        <f>ROUNDUP(H12/D7,-2)</f>
        <v>1200</v>
      </c>
      <c r="J16" s="61">
        <f>ROUNDUP(H12/E7,-2)</f>
        <v>1600</v>
      </c>
      <c r="K16" s="61">
        <f>ROUNDUP(H12/G7,-2)</f>
        <v>2400</v>
      </c>
      <c r="L16" s="61">
        <f>ROUNDUP(H12/J7,-2)</f>
        <v>2400</v>
      </c>
      <c r="M16" s="62">
        <f>ROUNDUP(H12/M7,-2)</f>
        <v>4800</v>
      </c>
    </row>
    <row r="17" spans="2:21" ht="17.25" customHeight="1" thickBot="1" x14ac:dyDescent="0.35">
      <c r="B17" s="305" t="s">
        <v>134</v>
      </c>
      <c r="C17" s="364">
        <v>0</v>
      </c>
      <c r="H17" s="40">
        <v>800</v>
      </c>
      <c r="I17" s="51">
        <f>ROUNDUP($H$12/D9,-2)</f>
        <v>1600</v>
      </c>
      <c r="J17" s="35">
        <f>ROUNDUP(H12/E9,-2)</f>
        <v>3200</v>
      </c>
      <c r="K17" s="53">
        <f>ROUNDUP(H12/G9,-2)</f>
        <v>3200</v>
      </c>
      <c r="L17" s="35">
        <f>ROUNDUP(H12/J9,-2)</f>
        <v>3200</v>
      </c>
      <c r="M17" s="382">
        <f>ROUNDUP(H12/M9,-2)</f>
        <v>9500</v>
      </c>
    </row>
    <row r="18" spans="2:21" ht="17.25" customHeight="1" thickBot="1" x14ac:dyDescent="0.35">
      <c r="H18" s="379">
        <v>900</v>
      </c>
      <c r="I18" s="64">
        <f>ROUNDUP(H12/D10,-2)</f>
        <v>1900</v>
      </c>
      <c r="J18" s="65">
        <f>ROUNDUP(H12/E10,-2)</f>
        <v>3200</v>
      </c>
      <c r="K18" s="65">
        <f>ROUNDUP(H12/G10,-2)</f>
        <v>4800</v>
      </c>
      <c r="L18" s="65">
        <f>ROUNDUP(H12/J10,-2)</f>
        <v>4800</v>
      </c>
      <c r="M18" s="66">
        <f>ROUNDUP(H12/M10,-2)</f>
        <v>9500</v>
      </c>
    </row>
    <row r="19" spans="2:21" ht="17.25" customHeight="1" x14ac:dyDescent="0.3"/>
    <row r="20" spans="2:21" ht="17.25" customHeight="1" thickBot="1" x14ac:dyDescent="0.35">
      <c r="B20" s="383" t="s">
        <v>36</v>
      </c>
      <c r="C20" s="293"/>
      <c r="E20" s="383" t="s">
        <v>36</v>
      </c>
      <c r="F20" s="402" t="str">
        <f>IF(F24=R8,"금액 정상","금액 비정상")</f>
        <v>금액 정상</v>
      </c>
      <c r="H20" s="383" t="s">
        <v>36</v>
      </c>
      <c r="I20" s="1" t="s">
        <v>189</v>
      </c>
      <c r="J20" s="1" t="s">
        <v>191</v>
      </c>
      <c r="K20" s="1" t="s">
        <v>178</v>
      </c>
      <c r="M20" s="403"/>
      <c r="R20" s="328"/>
    </row>
    <row r="21" spans="2:21" ht="17.25" customHeight="1" thickBot="1" x14ac:dyDescent="0.35">
      <c r="B21" s="384">
        <f t="shared" ref="B21:C26" si="0">O5</f>
        <v>1800</v>
      </c>
      <c r="C21" s="385">
        <f t="shared" si="0"/>
        <v>4</v>
      </c>
      <c r="D21" s="399">
        <f>(C21*C12)/1000</f>
        <v>7.2</v>
      </c>
      <c r="E21" s="392" t="s">
        <v>138</v>
      </c>
      <c r="F21" s="395">
        <f>(E12*D26)+(C39*E15)</f>
        <v>41580</v>
      </c>
      <c r="H21" s="331">
        <v>1.1000000000000001</v>
      </c>
      <c r="I21" s="314">
        <f>ROUNDUP($F$25*H21,-3)</f>
        <v>60000</v>
      </c>
      <c r="J21" s="315">
        <f t="shared" ref="J21:J39" si="1">I21-$R$8</f>
        <v>6260</v>
      </c>
      <c r="K21" s="315">
        <f t="shared" ref="K21:K39" si="2">I21*$H$21</f>
        <v>66000</v>
      </c>
    </row>
    <row r="22" spans="2:21" ht="17.25" customHeight="1" x14ac:dyDescent="0.3">
      <c r="B22" s="386">
        <f t="shared" si="0"/>
        <v>1500</v>
      </c>
      <c r="C22" s="387">
        <f t="shared" si="0"/>
        <v>10</v>
      </c>
      <c r="D22" s="400">
        <f>(C22*C13)/1000</f>
        <v>15</v>
      </c>
      <c r="E22" s="398" t="s">
        <v>43</v>
      </c>
      <c r="F22" s="396">
        <f>C25*E13</f>
        <v>12000</v>
      </c>
      <c r="H22" s="332">
        <v>1.1499999999999999</v>
      </c>
      <c r="I22" s="276">
        <f t="shared" ref="I22:I39" si="3">ROUNDUP($F$25*H22,-3)</f>
        <v>63000</v>
      </c>
      <c r="J22" s="309">
        <f t="shared" si="1"/>
        <v>9260</v>
      </c>
      <c r="K22" s="309">
        <f t="shared" si="2"/>
        <v>69300</v>
      </c>
      <c r="R22" s="88"/>
    </row>
    <row r="23" spans="2:21" ht="17.25" customHeight="1" x14ac:dyDescent="0.3">
      <c r="B23" s="388">
        <f t="shared" si="0"/>
        <v>300</v>
      </c>
      <c r="C23" s="389">
        <f>P7</f>
        <v>10</v>
      </c>
      <c r="D23" s="400">
        <f>(C23*C14)/1000</f>
        <v>3</v>
      </c>
      <c r="E23" s="398" t="s">
        <v>38</v>
      </c>
      <c r="F23" s="396">
        <f>E14*C26</f>
        <v>160</v>
      </c>
      <c r="H23" s="332">
        <v>1.2</v>
      </c>
      <c r="I23" s="276">
        <f t="shared" si="3"/>
        <v>65000</v>
      </c>
      <c r="J23" s="309">
        <f t="shared" si="1"/>
        <v>11260</v>
      </c>
      <c r="K23" s="309">
        <f t="shared" si="2"/>
        <v>71500</v>
      </c>
    </row>
    <row r="24" spans="2:21" ht="17.25" thickBot="1" x14ac:dyDescent="0.35">
      <c r="B24" s="390">
        <f t="shared" si="0"/>
        <v>300</v>
      </c>
      <c r="C24" s="391">
        <f t="shared" si="0"/>
        <v>0</v>
      </c>
      <c r="D24" s="400">
        <f>(C24*C14)/1000</f>
        <v>0</v>
      </c>
      <c r="E24" s="6" t="s">
        <v>36</v>
      </c>
      <c r="F24" s="396">
        <f>SUM(F21:F23)</f>
        <v>53740</v>
      </c>
      <c r="H24" s="332">
        <v>1.25</v>
      </c>
      <c r="I24" s="276">
        <f t="shared" si="3"/>
        <v>68000</v>
      </c>
      <c r="J24" s="309">
        <f t="shared" si="1"/>
        <v>14260</v>
      </c>
      <c r="K24" s="309">
        <f t="shared" si="2"/>
        <v>74800</v>
      </c>
    </row>
    <row r="25" spans="2:21" ht="15.75" customHeight="1" x14ac:dyDescent="0.3">
      <c r="B25" s="392" t="str">
        <f t="shared" si="0"/>
        <v>판재</v>
      </c>
      <c r="C25" s="393">
        <f t="shared" si="0"/>
        <v>5</v>
      </c>
      <c r="D25" s="136"/>
      <c r="E25" s="6"/>
      <c r="F25" s="396">
        <f>ROUNDUP(F24,-3)</f>
        <v>54000</v>
      </c>
      <c r="H25" s="332">
        <v>1.3</v>
      </c>
      <c r="I25" s="276">
        <f t="shared" si="3"/>
        <v>71000</v>
      </c>
      <c r="J25" s="309">
        <f t="shared" si="1"/>
        <v>17260</v>
      </c>
      <c r="K25" s="309">
        <f t="shared" si="2"/>
        <v>78100</v>
      </c>
    </row>
    <row r="26" spans="2:21" ht="15.75" customHeight="1" thickBot="1" x14ac:dyDescent="0.35">
      <c r="B26" s="8" t="str">
        <f t="shared" si="0"/>
        <v>안전좌</v>
      </c>
      <c r="C26" s="391">
        <f t="shared" si="0"/>
        <v>4</v>
      </c>
      <c r="D26" s="401">
        <f>SUM(D21:D24)</f>
        <v>25.2</v>
      </c>
      <c r="E26" s="8"/>
      <c r="F26" s="397"/>
      <c r="H26" s="332">
        <v>1.35</v>
      </c>
      <c r="I26" s="276">
        <f t="shared" si="3"/>
        <v>73000</v>
      </c>
      <c r="J26" s="309">
        <f t="shared" si="1"/>
        <v>19260</v>
      </c>
      <c r="K26" s="309">
        <f t="shared" si="2"/>
        <v>80300</v>
      </c>
    </row>
    <row r="27" spans="2:21" x14ac:dyDescent="0.3">
      <c r="H27" s="332">
        <v>1.4</v>
      </c>
      <c r="I27" s="276">
        <f t="shared" si="3"/>
        <v>76000</v>
      </c>
      <c r="J27" s="309">
        <f t="shared" si="1"/>
        <v>22260</v>
      </c>
      <c r="K27" s="309">
        <f t="shared" si="2"/>
        <v>83600</v>
      </c>
    </row>
    <row r="28" spans="2:21" x14ac:dyDescent="0.3">
      <c r="H28" s="332">
        <v>1.45</v>
      </c>
      <c r="I28" s="276">
        <f t="shared" si="3"/>
        <v>79000</v>
      </c>
      <c r="J28" s="309">
        <f t="shared" si="1"/>
        <v>25260</v>
      </c>
      <c r="K28" s="309">
        <f t="shared" si="2"/>
        <v>86900</v>
      </c>
    </row>
    <row r="29" spans="2:21" ht="18" thickBot="1" x14ac:dyDescent="0.35">
      <c r="B29" s="383" t="s">
        <v>137</v>
      </c>
      <c r="C29" s="293"/>
      <c r="E29" s="383" t="s">
        <v>137</v>
      </c>
      <c r="H29" s="332">
        <v>1.5</v>
      </c>
      <c r="I29" s="276">
        <f t="shared" si="3"/>
        <v>81000</v>
      </c>
      <c r="J29" s="309">
        <f t="shared" si="1"/>
        <v>27260</v>
      </c>
      <c r="K29" s="309">
        <f t="shared" si="2"/>
        <v>89100</v>
      </c>
    </row>
    <row r="30" spans="2:21" ht="17.25" thickBot="1" x14ac:dyDescent="0.35">
      <c r="B30" s="384">
        <f>C12</f>
        <v>1800</v>
      </c>
      <c r="C30" s="385">
        <f>4*C16</f>
        <v>4</v>
      </c>
      <c r="D30" s="399">
        <f>C12*C30/1000</f>
        <v>7.2</v>
      </c>
      <c r="E30" s="392" t="s">
        <v>138</v>
      </c>
      <c r="F30" s="395">
        <f>E12*D34</f>
        <v>41580</v>
      </c>
      <c r="H30" s="336">
        <v>1.55</v>
      </c>
      <c r="I30" s="335">
        <f t="shared" si="3"/>
        <v>84000</v>
      </c>
      <c r="J30" s="334">
        <f t="shared" si="1"/>
        <v>30260</v>
      </c>
      <c r="K30" s="334">
        <f t="shared" si="2"/>
        <v>92400.000000000015</v>
      </c>
    </row>
    <row r="31" spans="2:21" x14ac:dyDescent="0.3">
      <c r="B31" s="386">
        <f>C13</f>
        <v>1500</v>
      </c>
      <c r="C31" s="387">
        <f>C15*2*C16</f>
        <v>10</v>
      </c>
      <c r="D31" s="400">
        <f>C13*C31/1000</f>
        <v>15</v>
      </c>
      <c r="E31" s="398" t="s">
        <v>139</v>
      </c>
      <c r="F31" s="396">
        <f>C33*E13</f>
        <v>12000</v>
      </c>
      <c r="H31" s="332">
        <v>1.6</v>
      </c>
      <c r="I31" s="276">
        <f t="shared" si="3"/>
        <v>87000</v>
      </c>
      <c r="J31" s="309">
        <f t="shared" si="1"/>
        <v>33260</v>
      </c>
      <c r="K31" s="309">
        <f t="shared" si="2"/>
        <v>95700.000000000015</v>
      </c>
    </row>
    <row r="32" spans="2:21" ht="18" customHeight="1" thickBot="1" x14ac:dyDescent="0.35">
      <c r="B32" s="394">
        <f>C14</f>
        <v>300</v>
      </c>
      <c r="C32" s="391">
        <f>C15*2*C16</f>
        <v>10</v>
      </c>
      <c r="D32" s="400">
        <f>C14*C32/1000</f>
        <v>3</v>
      </c>
      <c r="E32" s="398" t="s">
        <v>140</v>
      </c>
      <c r="F32" s="396">
        <f>E14*C34</f>
        <v>160</v>
      </c>
      <c r="H32" s="332">
        <v>1.65</v>
      </c>
      <c r="I32" s="276">
        <f t="shared" si="3"/>
        <v>90000</v>
      </c>
      <c r="J32" s="309">
        <f t="shared" si="1"/>
        <v>36260</v>
      </c>
      <c r="K32" s="309">
        <f t="shared" si="2"/>
        <v>99000.000000000015</v>
      </c>
      <c r="M32" s="403"/>
      <c r="U32" s="328"/>
    </row>
    <row r="33" spans="2:11" x14ac:dyDescent="0.3">
      <c r="B33" s="392" t="s">
        <v>43</v>
      </c>
      <c r="C33" s="393">
        <f>C15*C16</f>
        <v>5</v>
      </c>
      <c r="D33" s="136"/>
      <c r="E33" s="6" t="s">
        <v>141</v>
      </c>
      <c r="F33" s="396">
        <f>SUM(F30:F32)</f>
        <v>53740</v>
      </c>
      <c r="H33" s="332">
        <v>1.7</v>
      </c>
      <c r="I33" s="276">
        <f t="shared" si="3"/>
        <v>92000</v>
      </c>
      <c r="J33" s="309">
        <f t="shared" si="1"/>
        <v>38260</v>
      </c>
      <c r="K33" s="309">
        <f t="shared" si="2"/>
        <v>101200.00000000001</v>
      </c>
    </row>
    <row r="34" spans="2:11" ht="17.25" thickBot="1" x14ac:dyDescent="0.35">
      <c r="B34" s="8" t="s">
        <v>37</v>
      </c>
      <c r="C34" s="391">
        <f>C16*4</f>
        <v>4</v>
      </c>
      <c r="D34" s="401">
        <f>SUM(D30:D32)</f>
        <v>25.2</v>
      </c>
      <c r="E34" s="8"/>
      <c r="F34" s="397">
        <f>ROUNDUP(F33,-3)</f>
        <v>54000</v>
      </c>
      <c r="H34" s="332">
        <v>1.75</v>
      </c>
      <c r="I34" s="276">
        <f t="shared" si="3"/>
        <v>95000</v>
      </c>
      <c r="J34" s="309">
        <f t="shared" si="1"/>
        <v>41260</v>
      </c>
      <c r="K34" s="309">
        <f t="shared" si="2"/>
        <v>104500.00000000001</v>
      </c>
    </row>
    <row r="35" spans="2:11" x14ac:dyDescent="0.3">
      <c r="H35" s="332">
        <v>1.8</v>
      </c>
      <c r="I35" s="276">
        <f t="shared" si="3"/>
        <v>98000</v>
      </c>
      <c r="J35" s="309">
        <f t="shared" si="1"/>
        <v>44260</v>
      </c>
      <c r="K35" s="309">
        <f t="shared" si="2"/>
        <v>107800.00000000001</v>
      </c>
    </row>
    <row r="36" spans="2:11" ht="18" thickBot="1" x14ac:dyDescent="0.35">
      <c r="B36" s="383" t="s">
        <v>190</v>
      </c>
      <c r="C36" s="293"/>
      <c r="E36" s="383" t="s">
        <v>190</v>
      </c>
      <c r="H36" s="332">
        <v>1.85</v>
      </c>
      <c r="I36" s="276">
        <f t="shared" si="3"/>
        <v>100000</v>
      </c>
      <c r="J36" s="309">
        <f t="shared" si="1"/>
        <v>46260</v>
      </c>
      <c r="K36" s="309">
        <f t="shared" si="2"/>
        <v>110000.00000000001</v>
      </c>
    </row>
    <row r="37" spans="2:11" ht="17.25" thickBot="1" x14ac:dyDescent="0.35">
      <c r="B37" s="384">
        <f>C12</f>
        <v>1800</v>
      </c>
      <c r="C37" s="385">
        <f>2*C17</f>
        <v>0</v>
      </c>
      <c r="D37" s="399">
        <f>C12*C37/1000</f>
        <v>0</v>
      </c>
      <c r="E37" s="392" t="s">
        <v>144</v>
      </c>
      <c r="F37" s="395">
        <f>(E12*D41)+(C39*E15)</f>
        <v>0</v>
      </c>
      <c r="H37" s="332">
        <v>1.9</v>
      </c>
      <c r="I37" s="276">
        <f t="shared" si="3"/>
        <v>103000</v>
      </c>
      <c r="J37" s="309">
        <f t="shared" si="1"/>
        <v>49260</v>
      </c>
      <c r="K37" s="309">
        <f t="shared" si="2"/>
        <v>113300.00000000001</v>
      </c>
    </row>
    <row r="38" spans="2:11" x14ac:dyDescent="0.3">
      <c r="B38" s="386">
        <f>C13</f>
        <v>1500</v>
      </c>
      <c r="C38" s="387">
        <f>C15*2*C17</f>
        <v>0</v>
      </c>
      <c r="D38" s="400">
        <f>C13*C38/1000</f>
        <v>0</v>
      </c>
      <c r="E38" s="398" t="s">
        <v>145</v>
      </c>
      <c r="F38" s="396">
        <f>E13*C40</f>
        <v>0</v>
      </c>
      <c r="H38" s="332">
        <v>1.95</v>
      </c>
      <c r="I38" s="276">
        <f t="shared" si="3"/>
        <v>106000</v>
      </c>
      <c r="J38" s="309">
        <f t="shared" si="1"/>
        <v>52260</v>
      </c>
      <c r="K38" s="309">
        <f t="shared" si="2"/>
        <v>116600.00000000001</v>
      </c>
    </row>
    <row r="39" spans="2:11" ht="17.25" thickBot="1" x14ac:dyDescent="0.35">
      <c r="B39" s="390">
        <f>C14</f>
        <v>300</v>
      </c>
      <c r="C39" s="391">
        <f>C15*C17</f>
        <v>0</v>
      </c>
      <c r="D39" s="400">
        <f>C14*C39/1000</f>
        <v>0</v>
      </c>
      <c r="E39" s="398" t="s">
        <v>146</v>
      </c>
      <c r="F39" s="396">
        <f>E14*C41</f>
        <v>0</v>
      </c>
      <c r="H39" s="333">
        <v>2</v>
      </c>
      <c r="I39" s="277">
        <f t="shared" si="3"/>
        <v>108000</v>
      </c>
      <c r="J39" s="312">
        <f t="shared" si="1"/>
        <v>54260</v>
      </c>
      <c r="K39" s="312">
        <f t="shared" si="2"/>
        <v>118800.00000000001</v>
      </c>
    </row>
    <row r="40" spans="2:11" x14ac:dyDescent="0.3">
      <c r="B40" s="392" t="s">
        <v>142</v>
      </c>
      <c r="C40" s="393">
        <f>C15*C17</f>
        <v>0</v>
      </c>
      <c r="D40" s="136"/>
      <c r="E40" s="6" t="s">
        <v>147</v>
      </c>
      <c r="F40" s="396">
        <f>SUM(F37:F39)</f>
        <v>0</v>
      </c>
    </row>
    <row r="41" spans="2:11" ht="17.25" thickBot="1" x14ac:dyDescent="0.35">
      <c r="B41" s="8" t="s">
        <v>148</v>
      </c>
      <c r="C41" s="391">
        <f>2*C17</f>
        <v>0</v>
      </c>
      <c r="D41" s="401">
        <f>SUM(D37:D39)</f>
        <v>0</v>
      </c>
      <c r="E41" s="8"/>
      <c r="F41" s="397">
        <f>ROUNDUP(F40,-3)</f>
        <v>0</v>
      </c>
    </row>
    <row r="50" spans="4:8" x14ac:dyDescent="0.3">
      <c r="E50" s="1" t="s">
        <v>200</v>
      </c>
    </row>
    <row r="52" spans="4:8" x14ac:dyDescent="0.3">
      <c r="D52" s="1">
        <v>31320</v>
      </c>
      <c r="E52" s="1" t="s">
        <v>192</v>
      </c>
      <c r="F52" s="1">
        <v>37800</v>
      </c>
      <c r="H52" s="1">
        <f>F52-D52</f>
        <v>6480</v>
      </c>
    </row>
    <row r="53" spans="4:8" x14ac:dyDescent="0.3">
      <c r="D53" s="1">
        <v>5000</v>
      </c>
      <c r="E53" s="1" t="s">
        <v>193</v>
      </c>
      <c r="F53" s="1">
        <v>8320</v>
      </c>
      <c r="H53" s="1">
        <f>F53-D53</f>
        <v>3320</v>
      </c>
    </row>
    <row r="54" spans="4:8" x14ac:dyDescent="0.3">
      <c r="E54" s="1" t="s">
        <v>194</v>
      </c>
      <c r="F54" s="1">
        <v>1000</v>
      </c>
    </row>
    <row r="55" spans="4:8" x14ac:dyDescent="0.3">
      <c r="E55" s="1" t="s">
        <v>195</v>
      </c>
      <c r="F55" s="1">
        <v>2600</v>
      </c>
    </row>
    <row r="56" spans="4:8" x14ac:dyDescent="0.3">
      <c r="E56" s="1" t="s">
        <v>196</v>
      </c>
      <c r="F56" s="1">
        <v>320</v>
      </c>
    </row>
    <row r="57" spans="4:8" x14ac:dyDescent="0.3">
      <c r="E57" s="1" t="s">
        <v>197</v>
      </c>
      <c r="F57" s="1">
        <v>1850</v>
      </c>
    </row>
    <row r="58" spans="4:8" x14ac:dyDescent="0.3">
      <c r="E58" s="1" t="s">
        <v>198</v>
      </c>
      <c r="F58" s="1">
        <v>160</v>
      </c>
    </row>
    <row r="60" spans="4:8" x14ac:dyDescent="0.3">
      <c r="E60" s="1" t="s">
        <v>199</v>
      </c>
      <c r="F60" s="1">
        <f>SUM(F52:F58)</f>
        <v>52050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Y41"/>
  <sheetViews>
    <sheetView topLeftCell="A14" zoomScale="85" zoomScaleNormal="85" workbookViewId="0">
      <selection activeCell="D33" sqref="D33"/>
    </sheetView>
  </sheetViews>
  <sheetFormatPr defaultColWidth="9" defaultRowHeight="16.5" x14ac:dyDescent="0.3"/>
  <cols>
    <col min="1" max="1" width="3.25" style="1" customWidth="1"/>
    <col min="2" max="2" width="14.25" style="1" bestFit="1" customWidth="1"/>
    <col min="3" max="3" width="11.125" style="1" customWidth="1"/>
    <col min="4" max="4" width="12.75" style="1" customWidth="1"/>
    <col min="5" max="5" width="11.875" style="1" customWidth="1"/>
    <col min="6" max="6" width="13.25" style="1" customWidth="1"/>
    <col min="7" max="7" width="4" style="1" customWidth="1"/>
    <col min="8" max="8" width="11.625" style="1" customWidth="1"/>
    <col min="9" max="9" width="12.5" style="1" bestFit="1" customWidth="1"/>
    <col min="10" max="10" width="12.375" style="1" customWidth="1"/>
    <col min="11" max="11" width="12.25" style="1" bestFit="1" customWidth="1"/>
    <col min="12" max="12" width="11.5" style="1" customWidth="1"/>
    <col min="13" max="14" width="12.875" style="1" bestFit="1" customWidth="1"/>
    <col min="15" max="15" width="11.5" style="328" customWidth="1"/>
    <col min="16" max="16" width="11.5" style="1" customWidth="1"/>
    <col min="17" max="18" width="15.5" style="1" bestFit="1" customWidth="1"/>
    <col min="19" max="19" width="11.5" style="1" customWidth="1"/>
    <col min="20" max="26" width="9" style="1" customWidth="1"/>
    <col min="27" max="16384" width="9" style="1"/>
  </cols>
  <sheetData>
    <row r="1" spans="2:25" hidden="1" x14ac:dyDescent="0.3">
      <c r="B1" s="24" t="s">
        <v>28</v>
      </c>
      <c r="C1" s="25"/>
      <c r="D1" s="25" t="s">
        <v>29</v>
      </c>
      <c r="E1" s="25"/>
      <c r="F1" s="25"/>
      <c r="G1" s="25"/>
      <c r="H1" s="25"/>
      <c r="I1" s="25"/>
      <c r="J1" s="25"/>
      <c r="K1" s="25"/>
      <c r="L1" s="25"/>
      <c r="M1" s="26"/>
    </row>
    <row r="2" spans="2:25" hidden="1" x14ac:dyDescent="0.3">
      <c r="B2" s="27"/>
      <c r="C2" s="28"/>
      <c r="D2" s="28">
        <v>600</v>
      </c>
      <c r="E2" s="28">
        <v>700</v>
      </c>
      <c r="F2" s="28">
        <v>800</v>
      </c>
      <c r="G2" s="28">
        <v>900</v>
      </c>
      <c r="H2" s="28">
        <v>1000</v>
      </c>
      <c r="I2" s="28">
        <v>1100</v>
      </c>
      <c r="J2" s="28">
        <v>1200</v>
      </c>
      <c r="K2" s="28">
        <v>1300</v>
      </c>
      <c r="L2" s="28">
        <v>1400</v>
      </c>
      <c r="M2" s="29">
        <v>1500</v>
      </c>
    </row>
    <row r="3" spans="2:25" ht="18" hidden="1" customHeight="1" x14ac:dyDescent="0.3">
      <c r="B3" s="27" t="s">
        <v>30</v>
      </c>
      <c r="C3" s="28">
        <v>300</v>
      </c>
      <c r="D3" s="28">
        <v>16</v>
      </c>
      <c r="E3" s="28">
        <v>13</v>
      </c>
      <c r="F3" s="28">
        <v>12</v>
      </c>
      <c r="G3" s="28">
        <v>10</v>
      </c>
      <c r="H3" s="28">
        <v>8</v>
      </c>
      <c r="I3" s="28">
        <v>8</v>
      </c>
      <c r="J3" s="28">
        <v>8</v>
      </c>
      <c r="K3" s="28">
        <v>4</v>
      </c>
      <c r="L3" s="28">
        <v>4</v>
      </c>
      <c r="M3" s="29">
        <v>4</v>
      </c>
    </row>
    <row r="4" spans="2:25" hidden="1" x14ac:dyDescent="0.3">
      <c r="B4" s="27"/>
      <c r="C4" s="28">
        <v>400</v>
      </c>
      <c r="D4" s="289">
        <v>12</v>
      </c>
      <c r="E4" s="28">
        <v>9</v>
      </c>
      <c r="F4" s="28">
        <v>9</v>
      </c>
      <c r="G4" s="28">
        <v>7</v>
      </c>
      <c r="H4" s="28">
        <v>6</v>
      </c>
      <c r="I4" s="28">
        <v>6</v>
      </c>
      <c r="J4" s="28">
        <v>6</v>
      </c>
      <c r="K4" s="28">
        <v>3</v>
      </c>
      <c r="L4" s="28">
        <v>3</v>
      </c>
      <c r="M4" s="29">
        <v>3</v>
      </c>
    </row>
    <row r="5" spans="2:25" hidden="1" x14ac:dyDescent="0.3">
      <c r="B5" s="27"/>
      <c r="C5" s="287">
        <v>450</v>
      </c>
      <c r="D5" s="28">
        <v>10</v>
      </c>
      <c r="E5" s="288">
        <v>6</v>
      </c>
      <c r="F5" s="28">
        <v>6</v>
      </c>
      <c r="G5" s="28">
        <v>5</v>
      </c>
      <c r="H5" s="28">
        <v>5</v>
      </c>
      <c r="I5" s="28">
        <v>5</v>
      </c>
      <c r="J5" s="28">
        <v>5</v>
      </c>
      <c r="K5" s="28">
        <v>2</v>
      </c>
      <c r="L5" s="28">
        <v>2</v>
      </c>
      <c r="M5" s="29">
        <v>2</v>
      </c>
    </row>
    <row r="6" spans="2:25" hidden="1" x14ac:dyDescent="0.3">
      <c r="B6" s="27"/>
      <c r="C6" s="28">
        <v>500</v>
      </c>
      <c r="D6" s="290">
        <v>8</v>
      </c>
      <c r="E6" s="28">
        <v>6</v>
      </c>
      <c r="F6" s="28">
        <v>6</v>
      </c>
      <c r="G6" s="28">
        <v>4</v>
      </c>
      <c r="H6" s="28">
        <v>4</v>
      </c>
      <c r="I6" s="28">
        <v>4</v>
      </c>
      <c r="J6" s="28">
        <v>4</v>
      </c>
      <c r="K6" s="28">
        <v>2</v>
      </c>
      <c r="L6" s="28">
        <v>2</v>
      </c>
      <c r="M6" s="29">
        <v>2</v>
      </c>
    </row>
    <row r="7" spans="2:25" hidden="1" x14ac:dyDescent="0.3">
      <c r="B7" s="27"/>
      <c r="C7" s="28">
        <v>600</v>
      </c>
      <c r="D7" s="28">
        <v>8</v>
      </c>
      <c r="E7" s="28">
        <v>6</v>
      </c>
      <c r="F7" s="28">
        <v>6</v>
      </c>
      <c r="G7" s="28">
        <v>4</v>
      </c>
      <c r="H7" s="28">
        <v>4</v>
      </c>
      <c r="I7" s="28">
        <v>4</v>
      </c>
      <c r="J7" s="28">
        <v>4</v>
      </c>
      <c r="K7" s="28">
        <v>2</v>
      </c>
      <c r="L7" s="28">
        <v>2</v>
      </c>
      <c r="M7" s="29">
        <v>2</v>
      </c>
    </row>
    <row r="8" spans="2:25" hidden="1" x14ac:dyDescent="0.3">
      <c r="B8" s="27"/>
      <c r="C8" s="28">
        <v>700</v>
      </c>
      <c r="D8" s="28">
        <v>6</v>
      </c>
      <c r="E8" s="28">
        <v>3</v>
      </c>
      <c r="F8" s="28">
        <v>3</v>
      </c>
      <c r="G8" s="28">
        <v>3</v>
      </c>
      <c r="H8" s="28">
        <v>3</v>
      </c>
      <c r="I8" s="28">
        <v>3</v>
      </c>
      <c r="J8" s="28">
        <v>3</v>
      </c>
      <c r="K8" s="28">
        <v>1</v>
      </c>
      <c r="L8" s="28">
        <v>1</v>
      </c>
      <c r="M8" s="29">
        <v>1</v>
      </c>
    </row>
    <row r="9" spans="2:25" hidden="1" x14ac:dyDescent="0.3">
      <c r="B9" s="27"/>
      <c r="C9" s="28">
        <v>800</v>
      </c>
      <c r="D9" s="28">
        <v>6</v>
      </c>
      <c r="E9" s="28">
        <v>3</v>
      </c>
      <c r="F9" s="28">
        <v>3</v>
      </c>
      <c r="G9" s="28">
        <v>3</v>
      </c>
      <c r="H9" s="28">
        <v>3</v>
      </c>
      <c r="I9" s="28">
        <v>3</v>
      </c>
      <c r="J9" s="28">
        <v>3</v>
      </c>
      <c r="K9" s="28">
        <v>1</v>
      </c>
      <c r="L9" s="28">
        <v>1</v>
      </c>
      <c r="M9" s="29">
        <v>1</v>
      </c>
      <c r="N9" s="54"/>
    </row>
    <row r="10" spans="2:25" ht="17.25" hidden="1" thickBot="1" x14ac:dyDescent="0.35">
      <c r="B10" s="30"/>
      <c r="C10" s="31">
        <v>900</v>
      </c>
      <c r="D10" s="31">
        <v>5</v>
      </c>
      <c r="E10" s="31">
        <v>3</v>
      </c>
      <c r="F10" s="31">
        <v>3</v>
      </c>
      <c r="G10" s="31">
        <v>2</v>
      </c>
      <c r="H10" s="31">
        <v>2</v>
      </c>
      <c r="I10" s="31">
        <v>2</v>
      </c>
      <c r="J10" s="31">
        <v>2</v>
      </c>
      <c r="K10" s="31">
        <v>1</v>
      </c>
      <c r="L10" s="31">
        <v>1</v>
      </c>
      <c r="M10" s="32">
        <v>1</v>
      </c>
    </row>
    <row r="11" spans="2:25" ht="17.25" thickBot="1" x14ac:dyDescent="0.35"/>
    <row r="12" spans="2:25" s="54" customFormat="1" ht="18" thickBot="1" x14ac:dyDescent="0.35">
      <c r="B12" s="303" t="s">
        <v>2</v>
      </c>
      <c r="C12" s="300">
        <v>2100</v>
      </c>
      <c r="D12" s="318" t="s">
        <v>14</v>
      </c>
      <c r="E12" s="11">
        <v>1650</v>
      </c>
      <c r="F12" s="1"/>
      <c r="H12" s="327">
        <v>9500</v>
      </c>
      <c r="I12" s="41">
        <v>600</v>
      </c>
      <c r="J12" s="37">
        <v>700</v>
      </c>
      <c r="K12" s="42">
        <v>800</v>
      </c>
      <c r="L12" s="37">
        <v>900</v>
      </c>
      <c r="M12" s="291">
        <v>1200</v>
      </c>
      <c r="N12" s="292">
        <v>1500</v>
      </c>
      <c r="P12" s="329"/>
      <c r="Y12" s="1"/>
    </row>
    <row r="13" spans="2:25" ht="17.25" customHeight="1" x14ac:dyDescent="0.3">
      <c r="B13" s="304" t="s">
        <v>1</v>
      </c>
      <c r="C13" s="301">
        <v>1200</v>
      </c>
      <c r="D13" s="319" t="s">
        <v>10</v>
      </c>
      <c r="E13" s="56">
        <v>2400</v>
      </c>
      <c r="H13" s="39">
        <v>300</v>
      </c>
      <c r="I13" s="50">
        <f>ROUNDUP(H12/D3,-2)</f>
        <v>600</v>
      </c>
      <c r="J13" s="33">
        <f>ROUNDUP(H12/E3,-2)</f>
        <v>800</v>
      </c>
      <c r="K13" s="52">
        <f>ROUNDUP(H12/F3,-2)</f>
        <v>800</v>
      </c>
      <c r="L13" s="33">
        <f>ROUNDUP(H12/G3,-2)</f>
        <v>1000</v>
      </c>
      <c r="M13" s="52">
        <f>ROUNDUP(H12/J3,-2)</f>
        <v>1200</v>
      </c>
      <c r="N13" s="34">
        <f>ROUNDUP(H12/M3,-2)</f>
        <v>2400</v>
      </c>
      <c r="O13" s="1"/>
      <c r="P13" s="328"/>
    </row>
    <row r="14" spans="2:25" ht="17.25" customHeight="1" x14ac:dyDescent="0.3">
      <c r="B14" s="304" t="s">
        <v>135</v>
      </c>
      <c r="C14" s="301">
        <v>700</v>
      </c>
      <c r="D14" s="320" t="s">
        <v>38</v>
      </c>
      <c r="E14" s="58">
        <v>40</v>
      </c>
      <c r="H14" s="59">
        <v>400</v>
      </c>
      <c r="I14" s="60">
        <f>ROUNDUP(H12/D4,-2)</f>
        <v>800</v>
      </c>
      <c r="J14" s="61">
        <f>ROUNDUP(H12/E4,-2)</f>
        <v>1100</v>
      </c>
      <c r="K14" s="61">
        <f>ROUNDUP(H12/F4,-2)</f>
        <v>1100</v>
      </c>
      <c r="L14" s="61">
        <f>ROUNDUP(H12/G4,-2)</f>
        <v>1400</v>
      </c>
      <c r="M14" s="61">
        <f>ROUNDUP(H12/J4,-2)</f>
        <v>1600</v>
      </c>
      <c r="N14" s="62">
        <f>ROUNDUP(H12/M4,-2)</f>
        <v>3200</v>
      </c>
      <c r="O14" s="1"/>
      <c r="P14" s="328"/>
    </row>
    <row r="15" spans="2:25" ht="17.25" customHeight="1" thickBot="1" x14ac:dyDescent="0.35">
      <c r="B15" s="304" t="s">
        <v>136</v>
      </c>
      <c r="C15" s="302">
        <v>4</v>
      </c>
      <c r="D15" s="321" t="s">
        <v>46</v>
      </c>
      <c r="E15" s="57">
        <v>250</v>
      </c>
      <c r="H15" s="40">
        <v>450</v>
      </c>
      <c r="I15" s="51">
        <f>ROUNDUP(H12/D5,-2)</f>
        <v>1000</v>
      </c>
      <c r="J15" s="35">
        <f>ROUNDUP(H12/E5,-2)</f>
        <v>1600</v>
      </c>
      <c r="K15" s="53">
        <f>ROUNDUP(H12/F5,-2)</f>
        <v>1600</v>
      </c>
      <c r="L15" s="35">
        <f>ROUNDUP(H12/G5,-2)</f>
        <v>1900</v>
      </c>
      <c r="M15" s="53">
        <f>ROUNDUP(H12/J5,-2)</f>
        <v>1900</v>
      </c>
      <c r="N15" s="36">
        <f>ROUNDUP(H12/M5,-2)</f>
        <v>4800</v>
      </c>
      <c r="O15" s="1"/>
      <c r="P15" s="328"/>
    </row>
    <row r="16" spans="2:25" ht="17.25" customHeight="1" thickBot="1" x14ac:dyDescent="0.35">
      <c r="B16" s="361">
        <v>3</v>
      </c>
      <c r="C16" s="362">
        <v>1</v>
      </c>
      <c r="H16" s="294">
        <v>600</v>
      </c>
      <c r="I16" s="60">
        <f>ROUNDUP(H12/D7,-2)</f>
        <v>1200</v>
      </c>
      <c r="J16" s="61">
        <f>ROUNDUP(H12/E7,-2)</f>
        <v>1600</v>
      </c>
      <c r="K16" s="61">
        <f>ROUNDUP(H12/F7,-2)</f>
        <v>1600</v>
      </c>
      <c r="L16" s="61">
        <f>ROUNDUP(H12/G7,-2)</f>
        <v>2400</v>
      </c>
      <c r="M16" s="61">
        <f>ROUNDUP(H12/J7,-2)</f>
        <v>2400</v>
      </c>
      <c r="N16" s="62">
        <f>ROUNDUP(H12/M7,-2)</f>
        <v>4800</v>
      </c>
      <c r="O16" s="1"/>
      <c r="P16" s="328"/>
    </row>
    <row r="17" spans="2:18" ht="17.25" customHeight="1" thickBot="1" x14ac:dyDescent="0.35">
      <c r="B17" s="355" t="s">
        <v>133</v>
      </c>
      <c r="C17" s="356">
        <f>C16</f>
        <v>1</v>
      </c>
      <c r="H17" s="295">
        <v>900</v>
      </c>
      <c r="I17" s="298">
        <f>ROUNDUP(H12/D10,-2)</f>
        <v>1900</v>
      </c>
      <c r="J17" s="296">
        <f>ROUNDUP(H12/E10,-2)</f>
        <v>3200</v>
      </c>
      <c r="K17" s="299">
        <f>ROUNDUP(H12/F10,-2)</f>
        <v>3200</v>
      </c>
      <c r="L17" s="296">
        <f>ROUNDUP(H12/G10,-2)</f>
        <v>4800</v>
      </c>
      <c r="M17" s="299">
        <f>ROUNDUP(H12/J10,-2)</f>
        <v>4800</v>
      </c>
      <c r="N17" s="297">
        <f>ROUNDUP(H12/M10,-2)</f>
        <v>9500</v>
      </c>
      <c r="O17" s="1"/>
      <c r="P17" s="328"/>
    </row>
    <row r="18" spans="2:18" ht="17.25" customHeight="1" x14ac:dyDescent="0.3">
      <c r="B18" s="356" t="s">
        <v>134</v>
      </c>
      <c r="C18" s="356">
        <f>(B16-1)*C16</f>
        <v>2</v>
      </c>
      <c r="O18" s="1"/>
      <c r="P18" s="328"/>
    </row>
    <row r="19" spans="2:18" ht="17.25" customHeight="1" thickBot="1" x14ac:dyDescent="0.35">
      <c r="B19" s="20" t="s">
        <v>137</v>
      </c>
      <c r="C19" s="1" t="s">
        <v>155</v>
      </c>
      <c r="E19" s="1" t="s">
        <v>156</v>
      </c>
      <c r="H19" s="20" t="s">
        <v>137</v>
      </c>
      <c r="I19" s="293"/>
      <c r="J19" s="307">
        <f>SUM(J20:J22)</f>
        <v>23.6</v>
      </c>
      <c r="N19" s="330" t="s">
        <v>157</v>
      </c>
      <c r="O19" s="1"/>
    </row>
    <row r="20" spans="2:18" ht="17.25" customHeight="1" x14ac:dyDescent="0.3">
      <c r="B20" s="313">
        <v>1.1000000000000001</v>
      </c>
      <c r="C20" s="314">
        <f t="shared" ref="C20:C29" si="0">ROUNDUP($M$24*B20, -3)</f>
        <v>54000</v>
      </c>
      <c r="D20" s="315">
        <f t="shared" ref="D20:D29" si="1">C20-$L$24</f>
        <v>5300</v>
      </c>
      <c r="E20" s="314">
        <f t="shared" ref="E20:E29" si="2">ROUNDUP($M$23*B20, -3)</f>
        <v>54000</v>
      </c>
      <c r="F20" s="315">
        <f t="shared" ref="F20:F29" si="3">E20-$L$23</f>
        <v>5300</v>
      </c>
      <c r="H20" s="317">
        <f>C12</f>
        <v>2100</v>
      </c>
      <c r="I20" s="322">
        <f>4*C17</f>
        <v>4</v>
      </c>
      <c r="J20" s="316">
        <f>C12*I20/1000</f>
        <v>8.4</v>
      </c>
      <c r="K20" s="2" t="s">
        <v>138</v>
      </c>
      <c r="L20" s="4">
        <f>E12*J19</f>
        <v>38940</v>
      </c>
      <c r="N20" s="331">
        <v>1.1000000000000001</v>
      </c>
      <c r="O20" s="314">
        <f t="shared" ref="O20:O38" si="4">$L$37*N20</f>
        <v>137324</v>
      </c>
      <c r="P20" s="315">
        <f t="shared" ref="P20:P38" si="5">O20-$L$37</f>
        <v>12484</v>
      </c>
      <c r="Q20" s="314">
        <f>ROUNDUP($L$38*N20,-3)</f>
        <v>138000</v>
      </c>
      <c r="R20" s="315">
        <f>Q20-$L$37</f>
        <v>13160</v>
      </c>
    </row>
    <row r="21" spans="2:18" ht="17.25" customHeight="1" x14ac:dyDescent="0.3">
      <c r="B21" s="279">
        <v>1.2</v>
      </c>
      <c r="C21" s="276">
        <f t="shared" si="0"/>
        <v>59000</v>
      </c>
      <c r="D21" s="309">
        <f t="shared" si="1"/>
        <v>10300</v>
      </c>
      <c r="E21" s="276">
        <f t="shared" si="2"/>
        <v>59000</v>
      </c>
      <c r="F21" s="309">
        <f t="shared" si="3"/>
        <v>10300</v>
      </c>
      <c r="H21" s="317">
        <f>C13</f>
        <v>1200</v>
      </c>
      <c r="I21" s="323">
        <f>C15*2*C17</f>
        <v>8</v>
      </c>
      <c r="J21" s="316">
        <f>C13*I21/1000</f>
        <v>9.6</v>
      </c>
      <c r="K21" s="306" t="s">
        <v>95</v>
      </c>
      <c r="L21" s="4">
        <f>I23*E13</f>
        <v>9600</v>
      </c>
      <c r="N21" s="332">
        <v>1.1499999999999999</v>
      </c>
      <c r="O21" s="276">
        <f t="shared" si="4"/>
        <v>143566</v>
      </c>
      <c r="P21" s="309">
        <f t="shared" si="5"/>
        <v>18726</v>
      </c>
      <c r="Q21" s="276">
        <f t="shared" ref="Q21:Q38" si="6">ROUNDUP($L$38*N21,-3)</f>
        <v>144000</v>
      </c>
      <c r="R21" s="309">
        <f t="shared" ref="R21:R38" si="7">Q21-$L$37</f>
        <v>19160</v>
      </c>
    </row>
    <row r="22" spans="2:18" ht="17.25" customHeight="1" x14ac:dyDescent="0.3">
      <c r="B22" s="279">
        <v>1.3</v>
      </c>
      <c r="C22" s="276">
        <f t="shared" si="0"/>
        <v>64000</v>
      </c>
      <c r="D22" s="309">
        <f t="shared" si="1"/>
        <v>15300</v>
      </c>
      <c r="E22" s="276">
        <f t="shared" si="2"/>
        <v>64000</v>
      </c>
      <c r="F22" s="309">
        <f t="shared" si="3"/>
        <v>15300</v>
      </c>
      <c r="H22" s="317">
        <f>C14</f>
        <v>700</v>
      </c>
      <c r="I22" s="323">
        <f>C15*2*C17</f>
        <v>8</v>
      </c>
      <c r="J22" s="316">
        <f>C14*I22/1000</f>
        <v>5.6</v>
      </c>
      <c r="K22" s="306" t="s">
        <v>92</v>
      </c>
      <c r="L22" s="4">
        <f>E14*I24</f>
        <v>160</v>
      </c>
      <c r="N22" s="332">
        <v>1.2</v>
      </c>
      <c r="O22" s="276">
        <f t="shared" si="4"/>
        <v>149808</v>
      </c>
      <c r="P22" s="309">
        <f t="shared" si="5"/>
        <v>24968</v>
      </c>
      <c r="Q22" s="276">
        <f t="shared" si="6"/>
        <v>150000</v>
      </c>
      <c r="R22" s="309">
        <f t="shared" si="7"/>
        <v>25160</v>
      </c>
    </row>
    <row r="23" spans="2:18" x14ac:dyDescent="0.3">
      <c r="B23" s="279">
        <v>1.4</v>
      </c>
      <c r="C23" s="276">
        <f t="shared" si="0"/>
        <v>69000</v>
      </c>
      <c r="D23" s="309">
        <f t="shared" si="1"/>
        <v>20300</v>
      </c>
      <c r="E23" s="276">
        <f t="shared" si="2"/>
        <v>69000</v>
      </c>
      <c r="F23" s="309">
        <f t="shared" si="3"/>
        <v>20300</v>
      </c>
      <c r="H23" s="206" t="s">
        <v>43</v>
      </c>
      <c r="I23" s="324">
        <f>C15*C17</f>
        <v>4</v>
      </c>
      <c r="J23" s="18"/>
      <c r="K23" s="2" t="s">
        <v>141</v>
      </c>
      <c r="L23" s="4">
        <f>SUM(L20:L22)</f>
        <v>48700</v>
      </c>
      <c r="M23" s="4">
        <f>ROUNDUP(L23,-3)</f>
        <v>49000</v>
      </c>
      <c r="N23" s="332">
        <v>1.25</v>
      </c>
      <c r="O23" s="276">
        <f t="shared" si="4"/>
        <v>156050</v>
      </c>
      <c r="P23" s="309">
        <f t="shared" si="5"/>
        <v>31210</v>
      </c>
      <c r="Q23" s="276">
        <f t="shared" si="6"/>
        <v>157000</v>
      </c>
      <c r="R23" s="309">
        <f t="shared" si="7"/>
        <v>32160</v>
      </c>
    </row>
    <row r="24" spans="2:18" ht="15.75" customHeight="1" thickBot="1" x14ac:dyDescent="0.35">
      <c r="B24" s="281">
        <v>1.5</v>
      </c>
      <c r="C24" s="282">
        <f t="shared" si="0"/>
        <v>74000</v>
      </c>
      <c r="D24" s="310">
        <f t="shared" si="1"/>
        <v>25300</v>
      </c>
      <c r="E24" s="282">
        <f t="shared" si="2"/>
        <v>74000</v>
      </c>
      <c r="F24" s="310">
        <f t="shared" si="3"/>
        <v>25300</v>
      </c>
      <c r="H24" s="206" t="s">
        <v>37</v>
      </c>
      <c r="I24" s="325">
        <f>4*C17</f>
        <v>4</v>
      </c>
      <c r="J24" s="18"/>
      <c r="K24" s="2" t="s">
        <v>153</v>
      </c>
      <c r="L24" s="4">
        <f>L23/C17</f>
        <v>48700</v>
      </c>
      <c r="M24" s="4">
        <f>ROUNDUP(L24,-3)</f>
        <v>49000</v>
      </c>
      <c r="N24" s="332">
        <v>1.3</v>
      </c>
      <c r="O24" s="276">
        <f t="shared" si="4"/>
        <v>162292</v>
      </c>
      <c r="P24" s="309">
        <f t="shared" si="5"/>
        <v>37452</v>
      </c>
      <c r="Q24" s="276">
        <f t="shared" si="6"/>
        <v>163000</v>
      </c>
      <c r="R24" s="309">
        <f t="shared" si="7"/>
        <v>38160</v>
      </c>
    </row>
    <row r="25" spans="2:18" ht="15.75" customHeight="1" thickBot="1" x14ac:dyDescent="0.35">
      <c r="B25" s="283">
        <v>1.6</v>
      </c>
      <c r="C25" s="284">
        <f t="shared" si="0"/>
        <v>79000</v>
      </c>
      <c r="D25" s="311">
        <f t="shared" si="1"/>
        <v>30300</v>
      </c>
      <c r="E25" s="284">
        <f t="shared" si="2"/>
        <v>79000</v>
      </c>
      <c r="F25" s="311">
        <f t="shared" si="3"/>
        <v>30300</v>
      </c>
      <c r="N25" s="332">
        <v>1.35</v>
      </c>
      <c r="O25" s="276">
        <f t="shared" si="4"/>
        <v>168534</v>
      </c>
      <c r="P25" s="309">
        <f t="shared" si="5"/>
        <v>43694</v>
      </c>
      <c r="Q25" s="276">
        <f t="shared" si="6"/>
        <v>169000</v>
      </c>
      <c r="R25" s="309">
        <f t="shared" si="7"/>
        <v>44160</v>
      </c>
    </row>
    <row r="26" spans="2:18" ht="17.25" thickBot="1" x14ac:dyDescent="0.35">
      <c r="B26" s="278">
        <v>1.7</v>
      </c>
      <c r="C26" s="275">
        <f t="shared" si="0"/>
        <v>84000</v>
      </c>
      <c r="D26" s="308">
        <f t="shared" si="1"/>
        <v>35300</v>
      </c>
      <c r="E26" s="275">
        <f t="shared" si="2"/>
        <v>84000</v>
      </c>
      <c r="F26" s="308">
        <f t="shared" si="3"/>
        <v>35300</v>
      </c>
      <c r="H26" s="20" t="s">
        <v>143</v>
      </c>
      <c r="I26" s="293"/>
      <c r="J26" s="307">
        <f>SUM(J27:J29)</f>
        <v>33.200000000000003</v>
      </c>
      <c r="N26" s="332">
        <v>1.4</v>
      </c>
      <c r="O26" s="276">
        <f t="shared" si="4"/>
        <v>174776</v>
      </c>
      <c r="P26" s="309">
        <f t="shared" si="5"/>
        <v>49936</v>
      </c>
      <c r="Q26" s="276">
        <f t="shared" si="6"/>
        <v>175000</v>
      </c>
      <c r="R26" s="309">
        <f t="shared" si="7"/>
        <v>50160</v>
      </c>
    </row>
    <row r="27" spans="2:18" x14ac:dyDescent="0.3">
      <c r="B27" s="279">
        <v>1.8</v>
      </c>
      <c r="C27" s="276">
        <f t="shared" si="0"/>
        <v>89000</v>
      </c>
      <c r="D27" s="309">
        <f t="shared" si="1"/>
        <v>40300</v>
      </c>
      <c r="E27" s="276">
        <f t="shared" si="2"/>
        <v>89000</v>
      </c>
      <c r="F27" s="309">
        <f t="shared" si="3"/>
        <v>40300</v>
      </c>
      <c r="H27" s="317">
        <f>C12</f>
        <v>2100</v>
      </c>
      <c r="I27" s="322">
        <f>2*C18</f>
        <v>4</v>
      </c>
      <c r="J27" s="316">
        <f>C12*I27/1000</f>
        <v>8.4</v>
      </c>
      <c r="K27" s="2" t="s">
        <v>144</v>
      </c>
      <c r="L27" s="4">
        <f>(E12*J26)+(I29*E15)</f>
        <v>56780.000000000007</v>
      </c>
      <c r="N27" s="332">
        <v>1.45</v>
      </c>
      <c r="O27" s="276">
        <f t="shared" si="4"/>
        <v>181018</v>
      </c>
      <c r="P27" s="309">
        <f t="shared" si="5"/>
        <v>56178</v>
      </c>
      <c r="Q27" s="276">
        <f t="shared" si="6"/>
        <v>182000</v>
      </c>
      <c r="R27" s="309">
        <f t="shared" si="7"/>
        <v>57160</v>
      </c>
    </row>
    <row r="28" spans="2:18" x14ac:dyDescent="0.3">
      <c r="B28" s="279">
        <v>1.9</v>
      </c>
      <c r="C28" s="276">
        <f t="shared" si="0"/>
        <v>94000</v>
      </c>
      <c r="D28" s="309">
        <f t="shared" si="1"/>
        <v>45300</v>
      </c>
      <c r="E28" s="276">
        <f t="shared" si="2"/>
        <v>94000</v>
      </c>
      <c r="F28" s="309">
        <f t="shared" si="3"/>
        <v>45300</v>
      </c>
      <c r="H28" s="317">
        <f>C13</f>
        <v>1200</v>
      </c>
      <c r="I28" s="323">
        <f>C15*2*C18</f>
        <v>16</v>
      </c>
      <c r="J28" s="316">
        <f>C13*I28/1000</f>
        <v>19.2</v>
      </c>
      <c r="K28" s="306" t="s">
        <v>95</v>
      </c>
      <c r="L28" s="4">
        <f>E13*I30</f>
        <v>19200</v>
      </c>
      <c r="N28" s="332">
        <v>1.5</v>
      </c>
      <c r="O28" s="276">
        <f t="shared" si="4"/>
        <v>187260</v>
      </c>
      <c r="P28" s="309">
        <f t="shared" si="5"/>
        <v>62420</v>
      </c>
      <c r="Q28" s="276">
        <f t="shared" si="6"/>
        <v>188000</v>
      </c>
      <c r="R28" s="309">
        <f t="shared" si="7"/>
        <v>63160</v>
      </c>
    </row>
    <row r="29" spans="2:18" ht="17.25" thickBot="1" x14ac:dyDescent="0.35">
      <c r="B29" s="280">
        <v>2</v>
      </c>
      <c r="C29" s="277">
        <f t="shared" si="0"/>
        <v>98000</v>
      </c>
      <c r="D29" s="312">
        <f t="shared" si="1"/>
        <v>49300</v>
      </c>
      <c r="E29" s="277">
        <f t="shared" si="2"/>
        <v>98000</v>
      </c>
      <c r="F29" s="312">
        <f t="shared" si="3"/>
        <v>49300</v>
      </c>
      <c r="H29" s="326">
        <f>C14</f>
        <v>700</v>
      </c>
      <c r="I29" s="323">
        <f>C15*C18</f>
        <v>8</v>
      </c>
      <c r="J29" s="316">
        <f>C14*I29/1000</f>
        <v>5.6</v>
      </c>
      <c r="K29" s="306" t="s">
        <v>146</v>
      </c>
      <c r="L29" s="4">
        <f>E14*I31</f>
        <v>160</v>
      </c>
      <c r="N29" s="332">
        <v>1.55</v>
      </c>
      <c r="O29" s="276">
        <f t="shared" si="4"/>
        <v>193502</v>
      </c>
      <c r="P29" s="309">
        <f t="shared" si="5"/>
        <v>68662</v>
      </c>
      <c r="Q29" s="276">
        <f t="shared" si="6"/>
        <v>194000</v>
      </c>
      <c r="R29" s="309">
        <f t="shared" si="7"/>
        <v>69160</v>
      </c>
    </row>
    <row r="30" spans="2:18" x14ac:dyDescent="0.3">
      <c r="H30" s="206" t="s">
        <v>142</v>
      </c>
      <c r="I30" s="324">
        <f>C15*C18</f>
        <v>8</v>
      </c>
      <c r="J30" s="18"/>
      <c r="K30" s="2" t="s">
        <v>147</v>
      </c>
      <c r="L30" s="4">
        <f>SUM(L27:L29)</f>
        <v>76140</v>
      </c>
      <c r="M30" s="4">
        <f>ROUNDUP(L30,-3)</f>
        <v>77000</v>
      </c>
      <c r="N30" s="336">
        <v>1.6</v>
      </c>
      <c r="O30" s="335">
        <f t="shared" si="4"/>
        <v>199744</v>
      </c>
      <c r="P30" s="334">
        <f t="shared" si="5"/>
        <v>74904</v>
      </c>
      <c r="Q30" s="335">
        <f t="shared" si="6"/>
        <v>200000</v>
      </c>
      <c r="R30" s="334">
        <f t="shared" si="7"/>
        <v>75160</v>
      </c>
    </row>
    <row r="31" spans="2:18" ht="17.25" thickBot="1" x14ac:dyDescent="0.35">
      <c r="B31" s="20" t="s">
        <v>143</v>
      </c>
      <c r="C31" s="1" t="s">
        <v>155</v>
      </c>
      <c r="E31" s="1" t="s">
        <v>156</v>
      </c>
      <c r="H31" s="206" t="s">
        <v>92</v>
      </c>
      <c r="I31" s="325">
        <f>2*C18</f>
        <v>4</v>
      </c>
      <c r="J31" s="18"/>
      <c r="K31" s="2" t="s">
        <v>154</v>
      </c>
      <c r="L31" s="4">
        <f>L30/C18</f>
        <v>38070</v>
      </c>
      <c r="M31" s="4">
        <f>ROUNDUP(L31,-3)</f>
        <v>39000</v>
      </c>
      <c r="N31" s="332">
        <v>1.65</v>
      </c>
      <c r="O31" s="276">
        <f t="shared" si="4"/>
        <v>205986</v>
      </c>
      <c r="P31" s="309">
        <f t="shared" si="5"/>
        <v>81146</v>
      </c>
      <c r="Q31" s="276">
        <f t="shared" si="6"/>
        <v>207000</v>
      </c>
      <c r="R31" s="309">
        <f t="shared" si="7"/>
        <v>82160</v>
      </c>
    </row>
    <row r="32" spans="2:18" x14ac:dyDescent="0.3">
      <c r="B32" s="313">
        <v>1.1000000000000001</v>
      </c>
      <c r="C32" s="314">
        <f t="shared" ref="C32:C41" si="8">ROUNDUP($M$31*B32, -3)</f>
        <v>43000</v>
      </c>
      <c r="D32" s="315">
        <f t="shared" ref="D32:D41" si="9">C32-L$31</f>
        <v>4930</v>
      </c>
      <c r="E32" s="314">
        <f t="shared" ref="E32:E41" si="10">ROUNDUP($M$30*B32, -3)</f>
        <v>85000</v>
      </c>
      <c r="F32" s="315">
        <f>E32-$L$30</f>
        <v>8860</v>
      </c>
      <c r="N32" s="332">
        <v>1.7</v>
      </c>
      <c r="O32" s="276">
        <f t="shared" si="4"/>
        <v>212228</v>
      </c>
      <c r="P32" s="309">
        <f t="shared" si="5"/>
        <v>87388</v>
      </c>
      <c r="Q32" s="276">
        <f t="shared" si="6"/>
        <v>213000</v>
      </c>
      <c r="R32" s="309">
        <f t="shared" si="7"/>
        <v>88160</v>
      </c>
    </row>
    <row r="33" spans="2:18" ht="17.25" thickBot="1" x14ac:dyDescent="0.35">
      <c r="B33" s="279">
        <v>1.2</v>
      </c>
      <c r="C33" s="276">
        <f t="shared" si="8"/>
        <v>47000</v>
      </c>
      <c r="D33" s="309">
        <f t="shared" si="9"/>
        <v>8930</v>
      </c>
      <c r="E33" s="276">
        <f t="shared" si="10"/>
        <v>93000</v>
      </c>
      <c r="F33" s="309">
        <f t="shared" ref="F33:F41" si="11">E33-$L$30</f>
        <v>16860</v>
      </c>
      <c r="H33" s="20" t="s">
        <v>36</v>
      </c>
      <c r="I33" s="293"/>
      <c r="J33" s="307">
        <f>SUM(J19,J26)</f>
        <v>56.800000000000004</v>
      </c>
      <c r="N33" s="332">
        <v>1.75</v>
      </c>
      <c r="O33" s="276">
        <f t="shared" si="4"/>
        <v>218470</v>
      </c>
      <c r="P33" s="309">
        <f t="shared" si="5"/>
        <v>93630</v>
      </c>
      <c r="Q33" s="276">
        <f t="shared" si="6"/>
        <v>219000</v>
      </c>
      <c r="R33" s="309">
        <f t="shared" si="7"/>
        <v>94160</v>
      </c>
    </row>
    <row r="34" spans="2:18" x14ac:dyDescent="0.3">
      <c r="B34" s="279">
        <v>1.3</v>
      </c>
      <c r="C34" s="276">
        <f t="shared" si="8"/>
        <v>51000</v>
      </c>
      <c r="D34" s="309">
        <f t="shared" si="9"/>
        <v>12930</v>
      </c>
      <c r="E34" s="276">
        <f t="shared" si="10"/>
        <v>101000</v>
      </c>
      <c r="F34" s="309">
        <f t="shared" si="11"/>
        <v>24860</v>
      </c>
      <c r="H34" s="317">
        <f>C12</f>
        <v>2100</v>
      </c>
      <c r="I34" s="322">
        <f>SUM(I20,I27)</f>
        <v>8</v>
      </c>
      <c r="J34" s="316">
        <f>SUM(J20,J27)</f>
        <v>16.8</v>
      </c>
      <c r="K34" s="2" t="s">
        <v>138</v>
      </c>
      <c r="L34" s="4">
        <f>SUM(L20,L27)</f>
        <v>95720</v>
      </c>
      <c r="N34" s="332">
        <v>1.8</v>
      </c>
      <c r="O34" s="276">
        <f t="shared" si="4"/>
        <v>224712</v>
      </c>
      <c r="P34" s="309">
        <f t="shared" si="5"/>
        <v>99872</v>
      </c>
      <c r="Q34" s="276">
        <f t="shared" si="6"/>
        <v>225000</v>
      </c>
      <c r="R34" s="309">
        <f t="shared" si="7"/>
        <v>100160</v>
      </c>
    </row>
    <row r="35" spans="2:18" x14ac:dyDescent="0.3">
      <c r="B35" s="279">
        <v>1.4</v>
      </c>
      <c r="C35" s="276">
        <f t="shared" si="8"/>
        <v>55000</v>
      </c>
      <c r="D35" s="309">
        <f t="shared" si="9"/>
        <v>16930</v>
      </c>
      <c r="E35" s="276">
        <f t="shared" si="10"/>
        <v>108000</v>
      </c>
      <c r="F35" s="309">
        <f t="shared" si="11"/>
        <v>31860</v>
      </c>
      <c r="H35" s="317">
        <f>C13</f>
        <v>1200</v>
      </c>
      <c r="I35" s="323">
        <f>SUM(I21,I28)</f>
        <v>24</v>
      </c>
      <c r="J35" s="316">
        <f>SUM(J21,J28)</f>
        <v>28.799999999999997</v>
      </c>
      <c r="K35" s="306" t="s">
        <v>149</v>
      </c>
      <c r="L35" s="4">
        <f>SUM(L21,L28)</f>
        <v>28800</v>
      </c>
      <c r="N35" s="332">
        <v>1.85</v>
      </c>
      <c r="O35" s="276">
        <f t="shared" si="4"/>
        <v>230954</v>
      </c>
      <c r="P35" s="309">
        <f t="shared" si="5"/>
        <v>106114</v>
      </c>
      <c r="Q35" s="276">
        <f t="shared" si="6"/>
        <v>232000</v>
      </c>
      <c r="R35" s="309">
        <f t="shared" si="7"/>
        <v>107160</v>
      </c>
    </row>
    <row r="36" spans="2:18" ht="17.25" thickBot="1" x14ac:dyDescent="0.35">
      <c r="B36" s="281">
        <v>1.5</v>
      </c>
      <c r="C36" s="282">
        <f t="shared" si="8"/>
        <v>59000</v>
      </c>
      <c r="D36" s="310">
        <f t="shared" si="9"/>
        <v>20930</v>
      </c>
      <c r="E36" s="282">
        <f t="shared" si="10"/>
        <v>116000</v>
      </c>
      <c r="F36" s="310">
        <f t="shared" si="11"/>
        <v>39860</v>
      </c>
      <c r="H36" s="317">
        <f>C14</f>
        <v>700</v>
      </c>
      <c r="I36" s="323">
        <f>I22</f>
        <v>8</v>
      </c>
      <c r="J36" s="316">
        <f>C14*I36/1000</f>
        <v>5.6</v>
      </c>
      <c r="K36" s="306" t="s">
        <v>150</v>
      </c>
      <c r="L36" s="4">
        <f>SUM(L22,L29)</f>
        <v>320</v>
      </c>
      <c r="N36" s="332">
        <v>1.9</v>
      </c>
      <c r="O36" s="276">
        <f t="shared" si="4"/>
        <v>237196</v>
      </c>
      <c r="P36" s="309">
        <f t="shared" si="5"/>
        <v>112356</v>
      </c>
      <c r="Q36" s="276">
        <f t="shared" si="6"/>
        <v>238000</v>
      </c>
      <c r="R36" s="309">
        <f t="shared" si="7"/>
        <v>113160</v>
      </c>
    </row>
    <row r="37" spans="2:18" ht="17.25" thickBot="1" x14ac:dyDescent="0.35">
      <c r="B37" s="283">
        <v>1.6</v>
      </c>
      <c r="C37" s="284">
        <f t="shared" si="8"/>
        <v>63000</v>
      </c>
      <c r="D37" s="311">
        <f t="shared" si="9"/>
        <v>24930</v>
      </c>
      <c r="E37" s="284">
        <f t="shared" si="10"/>
        <v>124000</v>
      </c>
      <c r="F37" s="311">
        <f t="shared" si="11"/>
        <v>47860</v>
      </c>
      <c r="H37" s="326">
        <f>C14</f>
        <v>700</v>
      </c>
      <c r="I37" s="323">
        <f>I29</f>
        <v>8</v>
      </c>
      <c r="J37" s="316">
        <f>C14*I37/1000</f>
        <v>5.6</v>
      </c>
      <c r="K37" s="2" t="s">
        <v>141</v>
      </c>
      <c r="L37" s="4">
        <f>SUM(L23,L30)</f>
        <v>124840</v>
      </c>
      <c r="N37" s="332">
        <v>1.95</v>
      </c>
      <c r="O37" s="276">
        <f t="shared" si="4"/>
        <v>243438</v>
      </c>
      <c r="P37" s="309">
        <f t="shared" si="5"/>
        <v>118598</v>
      </c>
      <c r="Q37" s="276">
        <f t="shared" si="6"/>
        <v>244000</v>
      </c>
      <c r="R37" s="309">
        <f t="shared" si="7"/>
        <v>119160</v>
      </c>
    </row>
    <row r="38" spans="2:18" ht="17.25" thickBot="1" x14ac:dyDescent="0.35">
      <c r="B38" s="278">
        <v>1.7</v>
      </c>
      <c r="C38" s="275">
        <f t="shared" si="8"/>
        <v>67000</v>
      </c>
      <c r="D38" s="308">
        <f t="shared" si="9"/>
        <v>28930</v>
      </c>
      <c r="E38" s="275">
        <f t="shared" si="10"/>
        <v>131000</v>
      </c>
      <c r="F38" s="308">
        <f t="shared" si="11"/>
        <v>54860</v>
      </c>
      <c r="H38" s="206" t="s">
        <v>95</v>
      </c>
      <c r="I38" s="324">
        <f>SUM(I23,I30)</f>
        <v>12</v>
      </c>
      <c r="J38" s="18"/>
      <c r="K38" s="2"/>
      <c r="L38" s="4">
        <f>ROUNDUP(L37,-3)</f>
        <v>125000</v>
      </c>
      <c r="N38" s="333">
        <v>2</v>
      </c>
      <c r="O38" s="277">
        <f t="shared" si="4"/>
        <v>249680</v>
      </c>
      <c r="P38" s="312">
        <f t="shared" si="5"/>
        <v>124840</v>
      </c>
      <c r="Q38" s="277">
        <f t="shared" si="6"/>
        <v>250000</v>
      </c>
      <c r="R38" s="312">
        <f t="shared" si="7"/>
        <v>125160</v>
      </c>
    </row>
    <row r="39" spans="2:18" ht="17.25" thickBot="1" x14ac:dyDescent="0.35">
      <c r="B39" s="279">
        <v>1.8</v>
      </c>
      <c r="C39" s="276">
        <f t="shared" si="8"/>
        <v>71000</v>
      </c>
      <c r="D39" s="309">
        <f t="shared" si="9"/>
        <v>32930</v>
      </c>
      <c r="E39" s="276">
        <f t="shared" si="10"/>
        <v>139000</v>
      </c>
      <c r="F39" s="309">
        <f t="shared" si="11"/>
        <v>62860</v>
      </c>
      <c r="H39" s="206" t="s">
        <v>152</v>
      </c>
      <c r="I39" s="325">
        <f>SUM(I24,I31)</f>
        <v>8</v>
      </c>
      <c r="J39" s="18"/>
      <c r="K39" s="2"/>
      <c r="L39" s="4"/>
    </row>
    <row r="40" spans="2:18" x14ac:dyDescent="0.3">
      <c r="B40" s="279">
        <v>1.9</v>
      </c>
      <c r="C40" s="276">
        <f t="shared" si="8"/>
        <v>75000</v>
      </c>
      <c r="D40" s="309">
        <f t="shared" si="9"/>
        <v>36930</v>
      </c>
      <c r="E40" s="276">
        <f t="shared" si="10"/>
        <v>147000</v>
      </c>
      <c r="F40" s="309">
        <f t="shared" si="11"/>
        <v>70860</v>
      </c>
      <c r="O40" s="1"/>
    </row>
    <row r="41" spans="2:18" ht="17.25" thickBot="1" x14ac:dyDescent="0.35">
      <c r="B41" s="280">
        <v>2</v>
      </c>
      <c r="C41" s="277">
        <f t="shared" si="8"/>
        <v>78000</v>
      </c>
      <c r="D41" s="312">
        <f t="shared" si="9"/>
        <v>39930</v>
      </c>
      <c r="E41" s="277">
        <f t="shared" si="10"/>
        <v>154000</v>
      </c>
      <c r="F41" s="312">
        <f t="shared" si="11"/>
        <v>77860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Y47"/>
  <sheetViews>
    <sheetView zoomScale="85" zoomScaleNormal="85" workbookViewId="0">
      <selection activeCell="C18" sqref="C18:C19"/>
    </sheetView>
  </sheetViews>
  <sheetFormatPr defaultColWidth="9" defaultRowHeight="16.5" x14ac:dyDescent="0.3"/>
  <cols>
    <col min="1" max="1" width="3.25" style="1" customWidth="1"/>
    <col min="2" max="2" width="14.25" style="1" bestFit="1" customWidth="1"/>
    <col min="3" max="3" width="11.125" style="1" customWidth="1"/>
    <col min="4" max="4" width="14.25" style="1" customWidth="1"/>
    <col min="5" max="5" width="11.875" style="1" customWidth="1"/>
    <col min="6" max="6" width="13.25" style="1" customWidth="1"/>
    <col min="7" max="7" width="11.625" style="1" customWidth="1"/>
    <col min="8" max="8" width="3.875" style="1" customWidth="1"/>
    <col min="9" max="10" width="11.625" style="1" customWidth="1"/>
    <col min="11" max="11" width="11.5" style="1" customWidth="1"/>
    <col min="12" max="12" width="10.5" style="1" bestFit="1" customWidth="1"/>
    <col min="13" max="13" width="10.875" style="1" bestFit="1" customWidth="1"/>
    <col min="14" max="15" width="12.25" style="1" bestFit="1" customWidth="1"/>
    <col min="16" max="19" width="11.625" style="1" customWidth="1"/>
    <col min="20" max="16384" width="9" style="1"/>
  </cols>
  <sheetData>
    <row r="1" spans="2:15" ht="17.25" thickBot="1" x14ac:dyDescent="0.35"/>
    <row r="2" spans="2:15" ht="17.25" hidden="1" thickBot="1" x14ac:dyDescent="0.35">
      <c r="B2" s="24"/>
      <c r="C2" s="25">
        <v>600</v>
      </c>
      <c r="D2" s="25">
        <v>700</v>
      </c>
      <c r="E2" s="25">
        <v>800</v>
      </c>
      <c r="F2" s="25">
        <v>900</v>
      </c>
      <c r="G2" s="25">
        <v>1000</v>
      </c>
      <c r="H2" s="25">
        <v>1100</v>
      </c>
      <c r="I2" s="25">
        <v>1200</v>
      </c>
      <c r="J2" s="25">
        <v>1300</v>
      </c>
      <c r="K2" s="25">
        <v>1400</v>
      </c>
      <c r="L2" s="26">
        <v>1500</v>
      </c>
    </row>
    <row r="3" spans="2:15" ht="17.25" hidden="1" thickBot="1" x14ac:dyDescent="0.35">
      <c r="B3" s="27">
        <v>300</v>
      </c>
      <c r="C3" s="28">
        <v>16</v>
      </c>
      <c r="D3" s="28">
        <v>13</v>
      </c>
      <c r="E3" s="28">
        <v>12</v>
      </c>
      <c r="F3" s="28">
        <v>10</v>
      </c>
      <c r="G3" s="28">
        <v>8</v>
      </c>
      <c r="H3" s="28">
        <v>8</v>
      </c>
      <c r="I3" s="28">
        <v>8</v>
      </c>
      <c r="J3" s="28">
        <v>4</v>
      </c>
      <c r="K3" s="28">
        <v>4</v>
      </c>
      <c r="L3" s="29">
        <v>4</v>
      </c>
    </row>
    <row r="4" spans="2:15" ht="17.25" hidden="1" thickBot="1" x14ac:dyDescent="0.35">
      <c r="B4" s="27">
        <v>400</v>
      </c>
      <c r="C4" s="289">
        <v>12</v>
      </c>
      <c r="D4" s="28">
        <v>9</v>
      </c>
      <c r="E4" s="28">
        <v>9</v>
      </c>
      <c r="F4" s="28">
        <v>7</v>
      </c>
      <c r="G4" s="28">
        <v>6</v>
      </c>
      <c r="H4" s="28">
        <v>6</v>
      </c>
      <c r="I4" s="28">
        <v>6</v>
      </c>
      <c r="J4" s="28">
        <v>3</v>
      </c>
      <c r="K4" s="28">
        <v>3</v>
      </c>
      <c r="L4" s="29">
        <v>3</v>
      </c>
    </row>
    <row r="5" spans="2:15" ht="17.25" hidden="1" thickBot="1" x14ac:dyDescent="0.35">
      <c r="B5" s="27">
        <v>450</v>
      </c>
      <c r="C5" s="28">
        <v>10</v>
      </c>
      <c r="D5" s="288">
        <v>6</v>
      </c>
      <c r="E5" s="28">
        <v>6</v>
      </c>
      <c r="F5" s="28">
        <v>5</v>
      </c>
      <c r="G5" s="28">
        <v>5</v>
      </c>
      <c r="H5" s="28">
        <v>5</v>
      </c>
      <c r="I5" s="28">
        <v>5</v>
      </c>
      <c r="J5" s="28">
        <v>2</v>
      </c>
      <c r="K5" s="28">
        <v>2</v>
      </c>
      <c r="L5" s="29">
        <v>2</v>
      </c>
    </row>
    <row r="6" spans="2:15" ht="17.25" hidden="1" thickBot="1" x14ac:dyDescent="0.35">
      <c r="B6" s="27">
        <v>500</v>
      </c>
      <c r="C6" s="290">
        <v>8</v>
      </c>
      <c r="D6" s="28">
        <v>6</v>
      </c>
      <c r="E6" s="28">
        <v>6</v>
      </c>
      <c r="F6" s="28">
        <v>4</v>
      </c>
      <c r="G6" s="28">
        <v>4</v>
      </c>
      <c r="H6" s="28">
        <v>4</v>
      </c>
      <c r="I6" s="28">
        <v>4</v>
      </c>
      <c r="J6" s="28">
        <v>2</v>
      </c>
      <c r="K6" s="28">
        <v>2</v>
      </c>
      <c r="L6" s="29">
        <v>2</v>
      </c>
    </row>
    <row r="7" spans="2:15" ht="17.25" hidden="1" thickBot="1" x14ac:dyDescent="0.35">
      <c r="B7" s="27">
        <v>600</v>
      </c>
      <c r="C7" s="28">
        <v>8</v>
      </c>
      <c r="D7" s="28">
        <v>6</v>
      </c>
      <c r="E7" s="28">
        <v>6</v>
      </c>
      <c r="F7" s="28">
        <v>4</v>
      </c>
      <c r="G7" s="28">
        <v>4</v>
      </c>
      <c r="H7" s="28">
        <v>4</v>
      </c>
      <c r="I7" s="28">
        <v>4</v>
      </c>
      <c r="J7" s="28">
        <v>2</v>
      </c>
      <c r="K7" s="28">
        <v>2</v>
      </c>
      <c r="L7" s="29">
        <v>2</v>
      </c>
    </row>
    <row r="8" spans="2:15" ht="17.25" hidden="1" thickBot="1" x14ac:dyDescent="0.35">
      <c r="B8" s="27">
        <v>700</v>
      </c>
      <c r="C8" s="28">
        <v>6</v>
      </c>
      <c r="D8" s="28">
        <v>3</v>
      </c>
      <c r="E8" s="28">
        <v>3</v>
      </c>
      <c r="F8" s="28">
        <v>3</v>
      </c>
      <c r="G8" s="28">
        <v>3</v>
      </c>
      <c r="H8" s="28">
        <v>3</v>
      </c>
      <c r="I8" s="28">
        <v>3</v>
      </c>
      <c r="J8" s="28">
        <v>1</v>
      </c>
      <c r="K8" s="28">
        <v>1</v>
      </c>
      <c r="L8" s="29">
        <v>1</v>
      </c>
    </row>
    <row r="9" spans="2:15" ht="17.25" hidden="1" thickBot="1" x14ac:dyDescent="0.35">
      <c r="B9" s="27">
        <v>800</v>
      </c>
      <c r="C9" s="28">
        <v>6</v>
      </c>
      <c r="D9" s="28">
        <v>3</v>
      </c>
      <c r="E9" s="28">
        <v>3</v>
      </c>
      <c r="F9" s="28">
        <v>3</v>
      </c>
      <c r="G9" s="28">
        <v>3</v>
      </c>
      <c r="H9" s="28">
        <v>3</v>
      </c>
      <c r="I9" s="28">
        <v>3</v>
      </c>
      <c r="J9" s="28">
        <v>1</v>
      </c>
      <c r="K9" s="28">
        <v>1</v>
      </c>
      <c r="L9" s="29">
        <v>1</v>
      </c>
    </row>
    <row r="10" spans="2:15" ht="17.25" hidden="1" thickBot="1" x14ac:dyDescent="0.35">
      <c r="B10" s="30">
        <v>900</v>
      </c>
      <c r="C10" s="31">
        <v>5</v>
      </c>
      <c r="D10" s="31">
        <v>3</v>
      </c>
      <c r="E10" s="31">
        <v>3</v>
      </c>
      <c r="F10" s="31">
        <v>2</v>
      </c>
      <c r="G10" s="31">
        <v>2</v>
      </c>
      <c r="H10" s="31">
        <v>2</v>
      </c>
      <c r="I10" s="31">
        <v>2</v>
      </c>
      <c r="J10" s="31">
        <v>1</v>
      </c>
      <c r="K10" s="31">
        <v>1</v>
      </c>
      <c r="L10" s="32">
        <v>1</v>
      </c>
    </row>
    <row r="11" spans="2:15" ht="18" thickBot="1" x14ac:dyDescent="0.35">
      <c r="B11" s="20" t="s">
        <v>16</v>
      </c>
      <c r="D11" s="20" t="s">
        <v>169</v>
      </c>
      <c r="E11" s="5"/>
      <c r="I11" s="327">
        <v>9500</v>
      </c>
      <c r="J11" s="41">
        <v>600</v>
      </c>
      <c r="K11" s="37">
        <v>700</v>
      </c>
      <c r="L11" s="42">
        <v>800</v>
      </c>
      <c r="M11" s="37">
        <v>900</v>
      </c>
      <c r="N11" s="42">
        <v>1200</v>
      </c>
      <c r="O11" s="38">
        <v>1500</v>
      </c>
    </row>
    <row r="12" spans="2:15" ht="17.25" x14ac:dyDescent="0.3">
      <c r="B12" s="14" t="s">
        <v>2</v>
      </c>
      <c r="C12" s="15">
        <v>2100</v>
      </c>
      <c r="D12" s="346" t="s">
        <v>160</v>
      </c>
      <c r="E12" s="15">
        <v>300</v>
      </c>
      <c r="F12" s="353" t="s">
        <v>14</v>
      </c>
      <c r="G12" s="11">
        <v>800</v>
      </c>
      <c r="I12" s="39">
        <v>300</v>
      </c>
      <c r="J12" s="50">
        <f>ROUNDUP(I11/C3,-2)</f>
        <v>600</v>
      </c>
      <c r="K12" s="33">
        <f>ROUNDUP(I11/D3,-2)</f>
        <v>800</v>
      </c>
      <c r="L12" s="52">
        <f>ROUNDUP(I11/E3,-2)</f>
        <v>800</v>
      </c>
      <c r="M12" s="33">
        <f>ROUNDUP(I11/F3,-2)</f>
        <v>1000</v>
      </c>
      <c r="N12" s="52">
        <f>ROUNDUP(I11/I3,-2)</f>
        <v>1200</v>
      </c>
      <c r="O12" s="34">
        <f>ROUNDUP(I11/L3,-2)</f>
        <v>2400</v>
      </c>
    </row>
    <row r="13" spans="2:15" ht="17.25" x14ac:dyDescent="0.3">
      <c r="B13" s="16" t="s">
        <v>1</v>
      </c>
      <c r="C13" s="351">
        <v>1200</v>
      </c>
      <c r="D13" s="347" t="s">
        <v>161</v>
      </c>
      <c r="E13" s="22">
        <f>C15</f>
        <v>5</v>
      </c>
      <c r="F13" s="12" t="s">
        <v>10</v>
      </c>
      <c r="G13" s="56">
        <v>2400</v>
      </c>
      <c r="I13" s="59">
        <v>400</v>
      </c>
      <c r="J13" s="60">
        <f>ROUNDUP(I11/C4,-2)</f>
        <v>800</v>
      </c>
      <c r="K13" s="61">
        <f>ROUNDUP(I11/D4,-2)</f>
        <v>1100</v>
      </c>
      <c r="L13" s="61">
        <f>ROUNDUP(I11/E4,-2)</f>
        <v>1100</v>
      </c>
      <c r="M13" s="61">
        <f>ROUNDUP(I11/F4,-2)</f>
        <v>1400</v>
      </c>
      <c r="N13" s="61">
        <f>ROUNDUP(I11/I4,-2)</f>
        <v>1600</v>
      </c>
      <c r="O13" s="62">
        <f>ROUNDUP(I11/L4,-2)</f>
        <v>3200</v>
      </c>
    </row>
    <row r="14" spans="2:15" ht="17.25" x14ac:dyDescent="0.3">
      <c r="B14" s="16" t="s">
        <v>9</v>
      </c>
      <c r="C14" s="351">
        <v>500</v>
      </c>
      <c r="D14" s="348" t="s">
        <v>25</v>
      </c>
      <c r="E14" s="22">
        <v>2</v>
      </c>
      <c r="F14" s="12" t="s">
        <v>18</v>
      </c>
      <c r="G14" s="56">
        <v>45</v>
      </c>
      <c r="I14" s="40">
        <v>450</v>
      </c>
      <c r="J14" s="51">
        <f>ROUNDUP(I11/C5,-2)</f>
        <v>1000</v>
      </c>
      <c r="K14" s="35">
        <f>ROUNDUP(I11/D5,-2)</f>
        <v>1600</v>
      </c>
      <c r="L14" s="53">
        <f>ROUNDUP(I11/E5,-2)</f>
        <v>1600</v>
      </c>
      <c r="M14" s="35">
        <f>ROUNDUP(I11/F5,-2)</f>
        <v>1900</v>
      </c>
      <c r="N14" s="53">
        <f>ROUNDUP(I11/I5,-2)</f>
        <v>1900</v>
      </c>
      <c r="O14" s="36">
        <f>ROUNDUP(I11/L5,-2)</f>
        <v>4800</v>
      </c>
    </row>
    <row r="15" spans="2:15" ht="17.25" x14ac:dyDescent="0.3">
      <c r="B15" s="16" t="s">
        <v>0</v>
      </c>
      <c r="C15" s="352">
        <v>5</v>
      </c>
      <c r="D15" s="341"/>
      <c r="E15" s="342"/>
      <c r="F15" s="12" t="s">
        <v>19</v>
      </c>
      <c r="G15" s="56">
        <v>20</v>
      </c>
      <c r="I15" s="40">
        <v>600</v>
      </c>
      <c r="J15" s="51">
        <f>ROUNDUP(I11/C7,-2)</f>
        <v>1200</v>
      </c>
      <c r="K15" s="35">
        <f>ROUNDUP(I11/D7,-2)</f>
        <v>1600</v>
      </c>
      <c r="L15" s="53">
        <f>ROUNDUP(I11/E7,-2)</f>
        <v>1600</v>
      </c>
      <c r="M15" s="35">
        <f>ROUNDUP(I11/F7,-2)</f>
        <v>2400</v>
      </c>
      <c r="N15" s="53">
        <f>ROUNDUP(I11/I7,-2)</f>
        <v>2400</v>
      </c>
      <c r="O15" s="36">
        <f>ROUNDUP(I11/L7,-2)</f>
        <v>4800</v>
      </c>
    </row>
    <row r="16" spans="2:15" ht="18" thickBot="1" x14ac:dyDescent="0.35">
      <c r="B16" s="21" t="s">
        <v>162</v>
      </c>
      <c r="C16" s="343">
        <v>8</v>
      </c>
      <c r="D16" s="349" t="s">
        <v>163</v>
      </c>
      <c r="E16" s="343">
        <v>4</v>
      </c>
      <c r="F16" s="13" t="s">
        <v>41</v>
      </c>
      <c r="G16" s="57">
        <v>40</v>
      </c>
      <c r="I16" s="63">
        <v>900</v>
      </c>
      <c r="J16" s="64">
        <f>ROUNDUP(I11/C10,-2)</f>
        <v>1900</v>
      </c>
      <c r="K16" s="65">
        <f>ROUNDUP(I11/D10,-2)</f>
        <v>3200</v>
      </c>
      <c r="L16" s="65">
        <f>ROUNDUP(I11/E10,-2)</f>
        <v>3200</v>
      </c>
      <c r="M16" s="65">
        <f>ROUNDUP(I11/F10,-2)</f>
        <v>4800</v>
      </c>
      <c r="N16" s="65">
        <f>ROUNDUP(I11/I10,-2)</f>
        <v>4800</v>
      </c>
      <c r="O16" s="66">
        <f>ROUNDUP(I11/L10,-2)</f>
        <v>9500</v>
      </c>
    </row>
    <row r="17" spans="2:24" ht="19.5" customHeight="1" thickBot="1" x14ac:dyDescent="0.35">
      <c r="B17" s="359" t="str">
        <f>"+조당추가볼트"</f>
        <v>+조당추가볼트</v>
      </c>
      <c r="C17" s="360">
        <v>4</v>
      </c>
      <c r="D17" s="350" t="str">
        <f>"+조당추가볼트"</f>
        <v>+조당추가볼트</v>
      </c>
      <c r="E17" s="345">
        <v>0</v>
      </c>
    </row>
    <row r="18" spans="2:24" ht="18" thickBot="1" x14ac:dyDescent="0.35">
      <c r="B18" s="361">
        <v>6</v>
      </c>
      <c r="C18" s="362">
        <v>1</v>
      </c>
    </row>
    <row r="19" spans="2:24" ht="16.5" customHeight="1" x14ac:dyDescent="0.3">
      <c r="B19" s="357" t="s">
        <v>158</v>
      </c>
      <c r="C19" s="358">
        <f>C18</f>
        <v>1</v>
      </c>
      <c r="D19" s="358" t="s">
        <v>159</v>
      </c>
      <c r="E19" s="358">
        <f>(B18-1)*C18</f>
        <v>5</v>
      </c>
    </row>
    <row r="20" spans="2:24" ht="17.25" thickBot="1" x14ac:dyDescent="0.35">
      <c r="B20" s="20" t="s">
        <v>166</v>
      </c>
      <c r="C20" s="1" t="s">
        <v>174</v>
      </c>
      <c r="E20" s="1" t="s">
        <v>105</v>
      </c>
      <c r="I20" s="20" t="s">
        <v>16</v>
      </c>
      <c r="K20" s="307">
        <f>SUM(K21:K23)</f>
        <v>25.4</v>
      </c>
      <c r="O20" s="330" t="s">
        <v>171</v>
      </c>
    </row>
    <row r="21" spans="2:24" ht="18.75" customHeight="1" x14ac:dyDescent="0.3">
      <c r="B21" s="313">
        <v>1.1000000000000001</v>
      </c>
      <c r="C21" s="314">
        <f t="shared" ref="C21:C30" si="0">ROUNDUP($N$27*B21,-3)</f>
        <v>39000</v>
      </c>
      <c r="D21" s="315">
        <f t="shared" ref="D21:D30" si="1">C21-$M$27</f>
        <v>4960</v>
      </c>
      <c r="E21" s="314">
        <f t="shared" ref="E21:E30" si="2">ROUNDUP($N$26*B21,-3)</f>
        <v>39000</v>
      </c>
      <c r="F21" s="315">
        <f t="shared" ref="F21:F30" si="3">E21-M26</f>
        <v>4960</v>
      </c>
      <c r="I21" s="317">
        <f>C12</f>
        <v>2100</v>
      </c>
      <c r="J21" s="322">
        <f>4*C19</f>
        <v>4</v>
      </c>
      <c r="K21" s="316">
        <f>C12*J21/1000</f>
        <v>8.4</v>
      </c>
      <c r="L21" s="339" t="s">
        <v>44</v>
      </c>
      <c r="M21" s="4">
        <f>K20*G12</f>
        <v>20320</v>
      </c>
      <c r="N21" s="3"/>
      <c r="O21" s="331">
        <v>1.1000000000000001</v>
      </c>
      <c r="P21" s="314">
        <f>$M$45*O21</f>
        <v>190564.00000000003</v>
      </c>
      <c r="Q21" s="315">
        <f>P21-$M$45</f>
        <v>17324.000000000029</v>
      </c>
      <c r="R21" s="314">
        <f>ROUNDUP($M$46*O21,-3)</f>
        <v>192000</v>
      </c>
      <c r="S21" s="315">
        <f>R21-$M$45</f>
        <v>18760</v>
      </c>
    </row>
    <row r="22" spans="2:24" x14ac:dyDescent="0.3">
      <c r="B22" s="279">
        <v>1.2</v>
      </c>
      <c r="C22" s="276">
        <f t="shared" si="0"/>
        <v>42000</v>
      </c>
      <c r="D22" s="309">
        <f t="shared" si="1"/>
        <v>7960</v>
      </c>
      <c r="E22" s="276">
        <f t="shared" si="2"/>
        <v>42000</v>
      </c>
      <c r="F22" s="309">
        <f t="shared" si="3"/>
        <v>7960</v>
      </c>
      <c r="I22" s="317">
        <f>C13</f>
        <v>1200</v>
      </c>
      <c r="J22" s="323">
        <f>C15*2*C19</f>
        <v>10</v>
      </c>
      <c r="K22" s="316">
        <f>C13*J22/1000</f>
        <v>12</v>
      </c>
      <c r="L22" s="23" t="s">
        <v>45</v>
      </c>
      <c r="M22" s="4">
        <f>J24*G13</f>
        <v>12000</v>
      </c>
      <c r="N22" s="3"/>
      <c r="O22" s="332">
        <v>1.1499999999999999</v>
      </c>
      <c r="P22" s="276">
        <f t="shared" ref="P22:P39" si="4">$M$45*O22</f>
        <v>199225.99999999997</v>
      </c>
      <c r="Q22" s="309">
        <f t="shared" ref="Q22:Q39" si="5">P22-$M$45</f>
        <v>25985.999999999971</v>
      </c>
      <c r="R22" s="276">
        <f t="shared" ref="R22:R39" si="6">ROUNDUP($M$46*O22,-3)</f>
        <v>201000</v>
      </c>
      <c r="S22" s="309">
        <f t="shared" ref="S22:S39" si="7">R22-$M$45</f>
        <v>27760</v>
      </c>
    </row>
    <row r="23" spans="2:24" x14ac:dyDescent="0.3">
      <c r="B23" s="279">
        <v>1.3</v>
      </c>
      <c r="C23" s="276">
        <f t="shared" si="0"/>
        <v>46000</v>
      </c>
      <c r="D23" s="309">
        <f t="shared" si="1"/>
        <v>11960</v>
      </c>
      <c r="E23" s="276">
        <f t="shared" si="2"/>
        <v>46000</v>
      </c>
      <c r="F23" s="309">
        <f t="shared" si="3"/>
        <v>46000</v>
      </c>
      <c r="I23" s="317">
        <f>C14</f>
        <v>500</v>
      </c>
      <c r="J23" s="323">
        <f>C15*2*C19</f>
        <v>10</v>
      </c>
      <c r="K23" s="316">
        <f>C14*J23/1000</f>
        <v>5</v>
      </c>
      <c r="L23" s="18" t="s">
        <v>11</v>
      </c>
      <c r="M23" s="4">
        <f>G15*J25</f>
        <v>1200</v>
      </c>
      <c r="N23" s="3"/>
      <c r="O23" s="332">
        <v>1.2</v>
      </c>
      <c r="P23" s="276">
        <f t="shared" si="4"/>
        <v>207888</v>
      </c>
      <c r="Q23" s="309">
        <f t="shared" si="5"/>
        <v>34648</v>
      </c>
      <c r="R23" s="276">
        <f t="shared" si="6"/>
        <v>209000</v>
      </c>
      <c r="S23" s="309">
        <f t="shared" si="7"/>
        <v>35760</v>
      </c>
    </row>
    <row r="24" spans="2:24" x14ac:dyDescent="0.3">
      <c r="B24" s="279">
        <v>1.4</v>
      </c>
      <c r="C24" s="276">
        <f t="shared" si="0"/>
        <v>49000</v>
      </c>
      <c r="D24" s="309">
        <f t="shared" si="1"/>
        <v>14960</v>
      </c>
      <c r="E24" s="276">
        <f t="shared" si="2"/>
        <v>49000</v>
      </c>
      <c r="F24" s="309">
        <f t="shared" si="3"/>
        <v>49000</v>
      </c>
      <c r="I24" s="206" t="s">
        <v>43</v>
      </c>
      <c r="J24" s="324">
        <f>C15*C19</f>
        <v>5</v>
      </c>
      <c r="K24" s="354"/>
      <c r="L24" s="18" t="s">
        <v>12</v>
      </c>
      <c r="M24" s="4">
        <f>G14*J26</f>
        <v>360</v>
      </c>
      <c r="N24" s="3"/>
      <c r="O24" s="332">
        <v>1.25</v>
      </c>
      <c r="P24" s="276">
        <f t="shared" si="4"/>
        <v>216550</v>
      </c>
      <c r="Q24" s="309">
        <f t="shared" si="5"/>
        <v>43310</v>
      </c>
      <c r="R24" s="276">
        <f t="shared" si="6"/>
        <v>218000</v>
      </c>
      <c r="S24" s="309">
        <f t="shared" si="7"/>
        <v>44760</v>
      </c>
    </row>
    <row r="25" spans="2:24" ht="17.25" thickBot="1" x14ac:dyDescent="0.35">
      <c r="B25" s="281">
        <v>1.5</v>
      </c>
      <c r="C25" s="282">
        <f t="shared" si="0"/>
        <v>53000</v>
      </c>
      <c r="D25" s="310">
        <f t="shared" si="1"/>
        <v>18960</v>
      </c>
      <c r="E25" s="282">
        <f t="shared" si="2"/>
        <v>53000</v>
      </c>
      <c r="F25" s="310">
        <f t="shared" si="3"/>
        <v>-21800</v>
      </c>
      <c r="I25" s="206" t="s">
        <v>11</v>
      </c>
      <c r="J25" s="323">
        <f>((J22+J23)*2+(J26*2)+(C17*C19))</f>
        <v>60</v>
      </c>
      <c r="K25" s="354">
        <f>ROUNDUP(J25,-1)</f>
        <v>60</v>
      </c>
      <c r="L25" s="18" t="s">
        <v>41</v>
      </c>
      <c r="M25" s="4">
        <f>G16*J27</f>
        <v>160</v>
      </c>
      <c r="N25" s="3"/>
      <c r="O25" s="332">
        <v>1.3</v>
      </c>
      <c r="P25" s="276">
        <f t="shared" si="4"/>
        <v>225212</v>
      </c>
      <c r="Q25" s="309">
        <f t="shared" si="5"/>
        <v>51972</v>
      </c>
      <c r="R25" s="276">
        <f t="shared" si="6"/>
        <v>227000</v>
      </c>
      <c r="S25" s="309">
        <f t="shared" si="7"/>
        <v>53760</v>
      </c>
    </row>
    <row r="26" spans="2:24" ht="17.25" thickBot="1" x14ac:dyDescent="0.35">
      <c r="B26" s="283">
        <v>1.6</v>
      </c>
      <c r="C26" s="284">
        <f t="shared" si="0"/>
        <v>56000</v>
      </c>
      <c r="D26" s="311">
        <f t="shared" si="1"/>
        <v>21960</v>
      </c>
      <c r="E26" s="284">
        <f t="shared" si="2"/>
        <v>56000</v>
      </c>
      <c r="F26" s="311">
        <f t="shared" si="3"/>
        <v>-4000</v>
      </c>
      <c r="I26" s="206" t="s">
        <v>12</v>
      </c>
      <c r="J26" s="323">
        <f>C16*C19</f>
        <v>8</v>
      </c>
      <c r="K26" s="18"/>
      <c r="L26" s="340" t="s">
        <v>8</v>
      </c>
      <c r="M26" s="4">
        <f>SUM(M21:M25)</f>
        <v>34040</v>
      </c>
      <c r="N26" s="4">
        <f>ROUNDUP(M26,-3)</f>
        <v>35000</v>
      </c>
      <c r="O26" s="332">
        <v>1.35</v>
      </c>
      <c r="P26" s="276">
        <f t="shared" si="4"/>
        <v>233874.00000000003</v>
      </c>
      <c r="Q26" s="309">
        <f t="shared" si="5"/>
        <v>60634.000000000029</v>
      </c>
      <c r="R26" s="276">
        <f t="shared" si="6"/>
        <v>235000</v>
      </c>
      <c r="S26" s="309">
        <f t="shared" si="7"/>
        <v>61760</v>
      </c>
    </row>
    <row r="27" spans="2:24" ht="17.25" thickBot="1" x14ac:dyDescent="0.35">
      <c r="B27" s="278">
        <v>1.7</v>
      </c>
      <c r="C27" s="275">
        <f t="shared" si="0"/>
        <v>60000</v>
      </c>
      <c r="D27" s="308">
        <f t="shared" si="1"/>
        <v>25960</v>
      </c>
      <c r="E27" s="275">
        <f t="shared" si="2"/>
        <v>60000</v>
      </c>
      <c r="F27" s="308">
        <f t="shared" si="3"/>
        <v>56000</v>
      </c>
      <c r="I27" s="206" t="s">
        <v>42</v>
      </c>
      <c r="J27" s="325">
        <f>4*C19</f>
        <v>4</v>
      </c>
      <c r="K27" s="354"/>
      <c r="L27" s="340" t="s">
        <v>175</v>
      </c>
      <c r="M27" s="4">
        <f>M26/C19</f>
        <v>34040</v>
      </c>
      <c r="N27" s="4">
        <f>ROUNDUP(M27,-3)</f>
        <v>35000</v>
      </c>
      <c r="O27" s="332">
        <v>1.4</v>
      </c>
      <c r="P27" s="276">
        <f t="shared" si="4"/>
        <v>242535.99999999997</v>
      </c>
      <c r="Q27" s="309">
        <f t="shared" si="5"/>
        <v>69295.999999999971</v>
      </c>
      <c r="R27" s="276">
        <f t="shared" si="6"/>
        <v>244000</v>
      </c>
      <c r="S27" s="309">
        <f t="shared" si="7"/>
        <v>70760</v>
      </c>
    </row>
    <row r="28" spans="2:24" x14ac:dyDescent="0.3">
      <c r="B28" s="279">
        <v>1.8</v>
      </c>
      <c r="C28" s="276">
        <f t="shared" si="0"/>
        <v>63000</v>
      </c>
      <c r="D28" s="309">
        <f t="shared" si="1"/>
        <v>28960</v>
      </c>
      <c r="E28" s="276">
        <f t="shared" si="2"/>
        <v>63000</v>
      </c>
      <c r="F28" s="309">
        <f t="shared" si="3"/>
        <v>62100</v>
      </c>
      <c r="O28" s="332">
        <v>1.45</v>
      </c>
      <c r="P28" s="276">
        <f t="shared" si="4"/>
        <v>251198</v>
      </c>
      <c r="Q28" s="309">
        <f t="shared" si="5"/>
        <v>77958</v>
      </c>
      <c r="R28" s="276">
        <f t="shared" si="6"/>
        <v>253000</v>
      </c>
      <c r="S28" s="309">
        <f t="shared" si="7"/>
        <v>79760</v>
      </c>
    </row>
    <row r="29" spans="2:24" ht="17.25" thickBot="1" x14ac:dyDescent="0.35">
      <c r="B29" s="279">
        <v>1.9</v>
      </c>
      <c r="C29" s="276">
        <f t="shared" si="0"/>
        <v>67000</v>
      </c>
      <c r="D29" s="309">
        <f t="shared" si="1"/>
        <v>32960</v>
      </c>
      <c r="E29" s="276">
        <f t="shared" si="2"/>
        <v>67000</v>
      </c>
      <c r="F29" s="309">
        <f t="shared" si="3"/>
        <v>66600</v>
      </c>
      <c r="I29" s="20" t="s">
        <v>169</v>
      </c>
      <c r="K29" s="307">
        <f>SUM(K30:K32)</f>
        <v>93.5</v>
      </c>
      <c r="O29" s="332">
        <v>1.5</v>
      </c>
      <c r="P29" s="276">
        <f t="shared" si="4"/>
        <v>259860</v>
      </c>
      <c r="Q29" s="309">
        <f t="shared" si="5"/>
        <v>86620</v>
      </c>
      <c r="R29" s="276">
        <f t="shared" si="6"/>
        <v>261000</v>
      </c>
      <c r="S29" s="309">
        <f t="shared" si="7"/>
        <v>87760</v>
      </c>
    </row>
    <row r="30" spans="2:24" ht="17.25" thickBot="1" x14ac:dyDescent="0.35">
      <c r="B30" s="280">
        <v>2</v>
      </c>
      <c r="C30" s="277">
        <f t="shared" si="0"/>
        <v>70000</v>
      </c>
      <c r="D30" s="312">
        <f t="shared" si="1"/>
        <v>35960</v>
      </c>
      <c r="E30" s="277">
        <f t="shared" si="2"/>
        <v>70000</v>
      </c>
      <c r="F30" s="312">
        <f t="shared" si="3"/>
        <v>-70100</v>
      </c>
      <c r="I30" s="317">
        <f>C12</f>
        <v>2100</v>
      </c>
      <c r="J30" s="322">
        <f>2*E19</f>
        <v>10</v>
      </c>
      <c r="K30" s="316">
        <f>C12*J30/1000</f>
        <v>21</v>
      </c>
      <c r="L30" s="339" t="s">
        <v>167</v>
      </c>
      <c r="M30" s="4">
        <f>K29*G12</f>
        <v>74800</v>
      </c>
      <c r="N30" s="3"/>
      <c r="O30" s="332">
        <v>1.55</v>
      </c>
      <c r="P30" s="276">
        <f t="shared" si="4"/>
        <v>268522</v>
      </c>
      <c r="Q30" s="309">
        <f t="shared" si="5"/>
        <v>95282</v>
      </c>
      <c r="R30" s="276">
        <f t="shared" si="6"/>
        <v>270000</v>
      </c>
      <c r="S30" s="309">
        <f t="shared" si="7"/>
        <v>96760</v>
      </c>
      <c r="X30" s="1" t="s">
        <v>20</v>
      </c>
    </row>
    <row r="31" spans="2:24" x14ac:dyDescent="0.3">
      <c r="I31" s="317">
        <f>C13</f>
        <v>1200</v>
      </c>
      <c r="J31" s="323">
        <f>C15*2*E19</f>
        <v>50</v>
      </c>
      <c r="K31" s="316">
        <f>C13*J31/1000</f>
        <v>60</v>
      </c>
      <c r="L31" s="23" t="s">
        <v>95</v>
      </c>
      <c r="M31" s="4">
        <f>J34*G13</f>
        <v>60000</v>
      </c>
      <c r="N31" s="3"/>
      <c r="O31" s="336">
        <v>1.6</v>
      </c>
      <c r="P31" s="335">
        <f t="shared" si="4"/>
        <v>277184</v>
      </c>
      <c r="Q31" s="334">
        <f t="shared" si="5"/>
        <v>103944</v>
      </c>
      <c r="R31" s="335">
        <f t="shared" si="6"/>
        <v>279000</v>
      </c>
      <c r="S31" s="334">
        <f t="shared" si="7"/>
        <v>105760</v>
      </c>
    </row>
    <row r="32" spans="2:24" ht="17.25" thickBot="1" x14ac:dyDescent="0.35">
      <c r="B32" s="20" t="s">
        <v>169</v>
      </c>
      <c r="C32" s="1" t="s">
        <v>174</v>
      </c>
      <c r="E32" s="1" t="s">
        <v>105</v>
      </c>
      <c r="I32" s="317">
        <f>C14</f>
        <v>500</v>
      </c>
      <c r="J32" s="323">
        <f>C15*E19</f>
        <v>25</v>
      </c>
      <c r="K32" s="316">
        <f>C14*J32/1000</f>
        <v>12.5</v>
      </c>
      <c r="L32" s="18" t="s">
        <v>168</v>
      </c>
      <c r="M32" s="4">
        <f>G15*J35</f>
        <v>4000</v>
      </c>
      <c r="N32" s="3"/>
      <c r="O32" s="332">
        <v>1.65</v>
      </c>
      <c r="P32" s="276">
        <f t="shared" si="4"/>
        <v>285846</v>
      </c>
      <c r="Q32" s="309">
        <f t="shared" si="5"/>
        <v>112606</v>
      </c>
      <c r="R32" s="276">
        <f t="shared" si="6"/>
        <v>288000</v>
      </c>
      <c r="S32" s="309">
        <f t="shared" si="7"/>
        <v>114760</v>
      </c>
      <c r="V32" s="1" t="s">
        <v>188</v>
      </c>
      <c r="W32" s="1" t="s">
        <v>187</v>
      </c>
      <c r="X32" s="1" t="s">
        <v>186</v>
      </c>
    </row>
    <row r="33" spans="2:25" x14ac:dyDescent="0.3">
      <c r="B33" s="313">
        <v>1.1000000000000001</v>
      </c>
      <c r="C33" s="314">
        <f t="shared" ref="C33:C42" si="8">ROUNDUP($N$36*B33,-3)</f>
        <v>32000</v>
      </c>
      <c r="D33" s="315">
        <f t="shared" ref="D33:D42" si="9">C33-$M$36</f>
        <v>3980</v>
      </c>
      <c r="E33" s="314">
        <f t="shared" ref="E33:E42" si="10">ROUNDUP($N$35*B33,-3)</f>
        <v>156000</v>
      </c>
      <c r="F33" s="315">
        <f t="shared" ref="F33:F42" si="11">E33-M35</f>
        <v>15900</v>
      </c>
      <c r="I33" s="317">
        <f>E12</f>
        <v>300</v>
      </c>
      <c r="J33" s="323">
        <f>E13*E19</f>
        <v>25</v>
      </c>
      <c r="K33" s="316">
        <f>E12*J33/1000</f>
        <v>7.5</v>
      </c>
      <c r="L33" s="18" t="s">
        <v>86</v>
      </c>
      <c r="M33" s="4">
        <f>G14*J36</f>
        <v>900</v>
      </c>
      <c r="N33" s="3"/>
      <c r="O33" s="332">
        <v>1.7</v>
      </c>
      <c r="P33" s="276">
        <f t="shared" si="4"/>
        <v>294508</v>
      </c>
      <c r="Q33" s="309">
        <f t="shared" si="5"/>
        <v>121268</v>
      </c>
      <c r="R33" s="276">
        <f t="shared" si="6"/>
        <v>296000</v>
      </c>
      <c r="S33" s="309">
        <f t="shared" si="7"/>
        <v>122760</v>
      </c>
      <c r="U33" s="1">
        <v>2100</v>
      </c>
      <c r="V33" s="1">
        <v>14</v>
      </c>
      <c r="W33" s="1">
        <v>30</v>
      </c>
      <c r="X33" s="1">
        <v>32</v>
      </c>
      <c r="Y33" s="1">
        <f>SUM(V33:X33)</f>
        <v>76</v>
      </c>
    </row>
    <row r="34" spans="2:25" x14ac:dyDescent="0.3">
      <c r="B34" s="279">
        <v>1.2</v>
      </c>
      <c r="C34" s="276">
        <f t="shared" si="8"/>
        <v>35000</v>
      </c>
      <c r="D34" s="309">
        <f t="shared" si="9"/>
        <v>6980</v>
      </c>
      <c r="E34" s="276">
        <f t="shared" si="10"/>
        <v>170000</v>
      </c>
      <c r="F34" s="309">
        <f t="shared" si="11"/>
        <v>141980</v>
      </c>
      <c r="I34" s="206" t="s">
        <v>95</v>
      </c>
      <c r="J34" s="324">
        <f>C15*E19</f>
        <v>25</v>
      </c>
      <c r="K34" s="354"/>
      <c r="L34" s="18" t="s">
        <v>41</v>
      </c>
      <c r="M34" s="4">
        <f>G16*J37</f>
        <v>400</v>
      </c>
      <c r="N34" s="3"/>
      <c r="O34" s="332">
        <v>1.75</v>
      </c>
      <c r="P34" s="276">
        <f t="shared" si="4"/>
        <v>303170</v>
      </c>
      <c r="Q34" s="309">
        <f t="shared" si="5"/>
        <v>129930</v>
      </c>
      <c r="R34" s="276">
        <f t="shared" si="6"/>
        <v>305000</v>
      </c>
      <c r="S34" s="309">
        <f t="shared" si="7"/>
        <v>131760</v>
      </c>
      <c r="U34" s="1">
        <v>1200</v>
      </c>
      <c r="V34" s="1">
        <v>60</v>
      </c>
      <c r="W34" s="1">
        <v>120</v>
      </c>
      <c r="X34" s="1">
        <v>120</v>
      </c>
      <c r="Y34" s="1">
        <f t="shared" ref="Y34:Y37" si="12">SUM(V34:X34)</f>
        <v>300</v>
      </c>
    </row>
    <row r="35" spans="2:25" x14ac:dyDescent="0.3">
      <c r="B35" s="279">
        <v>1.3</v>
      </c>
      <c r="C35" s="276">
        <f t="shared" si="8"/>
        <v>38000</v>
      </c>
      <c r="D35" s="309">
        <f t="shared" si="9"/>
        <v>9980</v>
      </c>
      <c r="E35" s="276">
        <f t="shared" si="10"/>
        <v>184000</v>
      </c>
      <c r="F35" s="309">
        <f t="shared" si="11"/>
        <v>184000</v>
      </c>
      <c r="I35" s="206" t="s">
        <v>170</v>
      </c>
      <c r="J35" s="323">
        <f>((J31+J32)*2)+(J33*E14)+(E17*E19)</f>
        <v>200</v>
      </c>
      <c r="K35" s="354">
        <f>ROUNDUP(J35,-1)</f>
        <v>200</v>
      </c>
      <c r="L35" s="340" t="s">
        <v>165</v>
      </c>
      <c r="M35" s="4">
        <f>SUM(M30:M34)</f>
        <v>140100</v>
      </c>
      <c r="N35" s="4">
        <f>ROUNDUP(M35,-3)</f>
        <v>141000</v>
      </c>
      <c r="O35" s="332">
        <v>1.8</v>
      </c>
      <c r="P35" s="276">
        <f t="shared" si="4"/>
        <v>311832</v>
      </c>
      <c r="Q35" s="309">
        <f t="shared" si="5"/>
        <v>138592</v>
      </c>
      <c r="R35" s="276">
        <f t="shared" si="6"/>
        <v>314000</v>
      </c>
      <c r="S35" s="309">
        <f t="shared" si="7"/>
        <v>140760</v>
      </c>
      <c r="U35" s="1">
        <v>500</v>
      </c>
      <c r="V35" s="1">
        <v>35</v>
      </c>
      <c r="W35" s="1">
        <v>75</v>
      </c>
      <c r="X35" s="1">
        <v>80</v>
      </c>
      <c r="Y35" s="1">
        <f t="shared" si="12"/>
        <v>190</v>
      </c>
    </row>
    <row r="36" spans="2:25" x14ac:dyDescent="0.3">
      <c r="B36" s="279">
        <v>1.4</v>
      </c>
      <c r="C36" s="276">
        <f t="shared" si="8"/>
        <v>41000</v>
      </c>
      <c r="D36" s="309">
        <f t="shared" si="9"/>
        <v>12980</v>
      </c>
      <c r="E36" s="276">
        <f t="shared" si="10"/>
        <v>198000</v>
      </c>
      <c r="F36" s="309">
        <f t="shared" si="11"/>
        <v>198000</v>
      </c>
      <c r="I36" s="206" t="s">
        <v>86</v>
      </c>
      <c r="J36" s="323">
        <f>E16*E19</f>
        <v>20</v>
      </c>
      <c r="K36" s="18"/>
      <c r="L36" s="78" t="s">
        <v>176</v>
      </c>
      <c r="M36" s="4">
        <f>M35/E19</f>
        <v>28020</v>
      </c>
      <c r="N36" s="4">
        <f>ROUNDUP(M36,-3)</f>
        <v>29000</v>
      </c>
      <c r="O36" s="332">
        <v>1.85</v>
      </c>
      <c r="P36" s="276">
        <f t="shared" si="4"/>
        <v>320494</v>
      </c>
      <c r="Q36" s="309">
        <f t="shared" si="5"/>
        <v>147254</v>
      </c>
      <c r="R36" s="276">
        <f t="shared" si="6"/>
        <v>322000</v>
      </c>
      <c r="S36" s="309">
        <f t="shared" si="7"/>
        <v>148760</v>
      </c>
      <c r="U36" s="1" t="s">
        <v>184</v>
      </c>
      <c r="V36" s="1">
        <v>25</v>
      </c>
      <c r="W36" s="1">
        <v>45</v>
      </c>
      <c r="X36" s="1">
        <v>40</v>
      </c>
      <c r="Y36" s="1">
        <f t="shared" si="12"/>
        <v>110</v>
      </c>
    </row>
    <row r="37" spans="2:25" ht="17.25" thickBot="1" x14ac:dyDescent="0.35">
      <c r="B37" s="281">
        <v>1.5</v>
      </c>
      <c r="C37" s="282">
        <f t="shared" si="8"/>
        <v>44000</v>
      </c>
      <c r="D37" s="310">
        <f t="shared" si="9"/>
        <v>15980</v>
      </c>
      <c r="E37" s="282">
        <f t="shared" si="10"/>
        <v>212000</v>
      </c>
      <c r="F37" s="310">
        <f t="shared" si="11"/>
        <v>212000</v>
      </c>
      <c r="I37" s="206" t="s">
        <v>92</v>
      </c>
      <c r="J37" s="325">
        <f>J30</f>
        <v>10</v>
      </c>
      <c r="K37" s="74"/>
      <c r="O37" s="332">
        <v>1.9</v>
      </c>
      <c r="P37" s="276">
        <f t="shared" si="4"/>
        <v>329156</v>
      </c>
      <c r="Q37" s="309">
        <f t="shared" si="5"/>
        <v>155916</v>
      </c>
      <c r="R37" s="276">
        <f t="shared" si="6"/>
        <v>331000</v>
      </c>
      <c r="S37" s="309">
        <f t="shared" si="7"/>
        <v>157760</v>
      </c>
      <c r="U37" s="1" t="s">
        <v>185</v>
      </c>
      <c r="V37" s="1">
        <v>0</v>
      </c>
      <c r="W37" s="1">
        <v>60</v>
      </c>
      <c r="X37" s="1">
        <v>60</v>
      </c>
      <c r="Y37" s="1">
        <f t="shared" si="12"/>
        <v>120</v>
      </c>
    </row>
    <row r="38" spans="2:25" ht="17.25" thickBot="1" x14ac:dyDescent="0.35">
      <c r="B38" s="283">
        <v>1.6</v>
      </c>
      <c r="C38" s="284">
        <f t="shared" si="8"/>
        <v>47000</v>
      </c>
      <c r="D38" s="311">
        <f t="shared" si="9"/>
        <v>18980</v>
      </c>
      <c r="E38" s="284">
        <f t="shared" si="10"/>
        <v>226000</v>
      </c>
      <c r="F38" s="311">
        <f t="shared" si="11"/>
        <v>130880</v>
      </c>
      <c r="O38" s="332">
        <v>1.95</v>
      </c>
      <c r="P38" s="276">
        <f t="shared" si="4"/>
        <v>337818</v>
      </c>
      <c r="Q38" s="309">
        <f t="shared" si="5"/>
        <v>164578</v>
      </c>
      <c r="R38" s="276">
        <f t="shared" si="6"/>
        <v>340000</v>
      </c>
      <c r="S38" s="309">
        <f t="shared" si="7"/>
        <v>166760</v>
      </c>
    </row>
    <row r="39" spans="2:25" ht="17.25" thickBot="1" x14ac:dyDescent="0.35">
      <c r="B39" s="278">
        <v>1.7</v>
      </c>
      <c r="C39" s="275">
        <f t="shared" si="8"/>
        <v>50000</v>
      </c>
      <c r="D39" s="308">
        <f t="shared" si="9"/>
        <v>21980</v>
      </c>
      <c r="E39" s="275">
        <f t="shared" si="10"/>
        <v>240000</v>
      </c>
      <c r="F39" s="308">
        <f t="shared" si="11"/>
        <v>168000</v>
      </c>
      <c r="I39" s="20" t="s">
        <v>171</v>
      </c>
      <c r="K39" s="307">
        <f>SUM(K40:K43)</f>
        <v>126.4</v>
      </c>
      <c r="O39" s="333">
        <v>2</v>
      </c>
      <c r="P39" s="277">
        <f t="shared" si="4"/>
        <v>346480</v>
      </c>
      <c r="Q39" s="312">
        <f t="shared" si="5"/>
        <v>173240</v>
      </c>
      <c r="R39" s="277">
        <f t="shared" si="6"/>
        <v>348000</v>
      </c>
      <c r="S39" s="312">
        <f t="shared" si="7"/>
        <v>174760</v>
      </c>
    </row>
    <row r="40" spans="2:25" x14ac:dyDescent="0.3">
      <c r="B40" s="279">
        <v>1.8</v>
      </c>
      <c r="C40" s="276">
        <f t="shared" si="8"/>
        <v>53000</v>
      </c>
      <c r="D40" s="309">
        <f t="shared" si="9"/>
        <v>24980</v>
      </c>
      <c r="E40" s="276">
        <f t="shared" si="10"/>
        <v>254000</v>
      </c>
      <c r="F40" s="309">
        <f t="shared" si="11"/>
        <v>253640</v>
      </c>
      <c r="I40" s="317">
        <f>C12</f>
        <v>2100</v>
      </c>
      <c r="J40" s="322">
        <f>J21+J30</f>
        <v>14</v>
      </c>
      <c r="K40" s="316">
        <f>C12*J40/1000</f>
        <v>29.4</v>
      </c>
      <c r="L40" s="337" t="s">
        <v>167</v>
      </c>
      <c r="M40" s="4">
        <f>M21+M30</f>
        <v>95120</v>
      </c>
      <c r="N40" s="3"/>
    </row>
    <row r="41" spans="2:25" x14ac:dyDescent="0.3">
      <c r="B41" s="279">
        <v>1.9</v>
      </c>
      <c r="C41" s="276">
        <f t="shared" si="8"/>
        <v>56000</v>
      </c>
      <c r="D41" s="309">
        <f t="shared" si="9"/>
        <v>27980</v>
      </c>
      <c r="E41" s="276">
        <f t="shared" si="10"/>
        <v>268000</v>
      </c>
      <c r="F41" s="309">
        <f t="shared" si="11"/>
        <v>262800</v>
      </c>
      <c r="I41" s="317">
        <f>C13</f>
        <v>1200</v>
      </c>
      <c r="J41" s="323">
        <f>J22+J31</f>
        <v>60</v>
      </c>
      <c r="K41" s="316">
        <f>C13*J41/1000</f>
        <v>72</v>
      </c>
      <c r="L41" s="338" t="s">
        <v>95</v>
      </c>
      <c r="M41" s="4">
        <f>M22+M31</f>
        <v>72000</v>
      </c>
      <c r="N41" s="3"/>
    </row>
    <row r="42" spans="2:25" ht="17.25" thickBot="1" x14ac:dyDescent="0.35">
      <c r="B42" s="280">
        <v>2</v>
      </c>
      <c r="C42" s="277">
        <f t="shared" si="8"/>
        <v>58000</v>
      </c>
      <c r="D42" s="312">
        <f t="shared" si="9"/>
        <v>29980</v>
      </c>
      <c r="E42" s="277">
        <f t="shared" si="10"/>
        <v>282000</v>
      </c>
      <c r="F42" s="312">
        <f t="shared" si="11"/>
        <v>281440</v>
      </c>
      <c r="I42" s="317">
        <f>C14</f>
        <v>500</v>
      </c>
      <c r="J42" s="323">
        <f>J23+J32</f>
        <v>35</v>
      </c>
      <c r="K42" s="316">
        <f>C14*J42/1000</f>
        <v>17.5</v>
      </c>
      <c r="L42" s="2" t="s">
        <v>164</v>
      </c>
      <c r="M42" s="4">
        <f>M24</f>
        <v>360</v>
      </c>
      <c r="N42" s="3"/>
    </row>
    <row r="43" spans="2:25" x14ac:dyDescent="0.3">
      <c r="I43" s="317">
        <f>E12</f>
        <v>300</v>
      </c>
      <c r="J43" s="323">
        <f>J33</f>
        <v>25</v>
      </c>
      <c r="K43" s="316">
        <f>E12*J43/1000</f>
        <v>7.5</v>
      </c>
      <c r="L43" s="2" t="s">
        <v>168</v>
      </c>
      <c r="M43" s="4">
        <f>G15*J45</f>
        <v>5200</v>
      </c>
      <c r="N43" s="3"/>
    </row>
    <row r="44" spans="2:25" x14ac:dyDescent="0.3">
      <c r="I44" s="206" t="s">
        <v>172</v>
      </c>
      <c r="J44" s="324">
        <f>J24+J34</f>
        <v>30</v>
      </c>
      <c r="K44" s="354"/>
      <c r="L44" s="2" t="s">
        <v>41</v>
      </c>
      <c r="M44" s="4">
        <f>G16*J47</f>
        <v>560</v>
      </c>
      <c r="N44" s="3"/>
    </row>
    <row r="45" spans="2:25" x14ac:dyDescent="0.3">
      <c r="I45" s="206" t="s">
        <v>168</v>
      </c>
      <c r="J45" s="323">
        <f>J25+J35</f>
        <v>260</v>
      </c>
      <c r="K45" s="354">
        <f>ROUNDUP(J45,-1)</f>
        <v>260</v>
      </c>
      <c r="L45" s="78" t="s">
        <v>173</v>
      </c>
      <c r="M45" s="4">
        <f>SUM(M40:M44)</f>
        <v>173240</v>
      </c>
    </row>
    <row r="46" spans="2:25" x14ac:dyDescent="0.3">
      <c r="I46" s="206" t="s">
        <v>86</v>
      </c>
      <c r="J46" s="323">
        <f>J26+J36</f>
        <v>28</v>
      </c>
      <c r="K46" s="18"/>
      <c r="L46" s="2"/>
      <c r="M46" s="4">
        <f>ROUNDUP(M45,-3)</f>
        <v>174000</v>
      </c>
    </row>
    <row r="47" spans="2:25" ht="17.25" thickBot="1" x14ac:dyDescent="0.35">
      <c r="I47" s="206" t="s">
        <v>92</v>
      </c>
      <c r="J47" s="325">
        <f>J27+J37</f>
        <v>14</v>
      </c>
      <c r="K47" s="354"/>
      <c r="L47" s="2"/>
      <c r="M4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Y42"/>
  <sheetViews>
    <sheetView topLeftCell="A11" zoomScale="85" zoomScaleNormal="85" workbookViewId="0">
      <selection activeCell="C16" sqref="C16"/>
    </sheetView>
  </sheetViews>
  <sheetFormatPr defaultColWidth="9" defaultRowHeight="16.5" x14ac:dyDescent="0.3"/>
  <cols>
    <col min="1" max="1" width="3.25" style="1" customWidth="1"/>
    <col min="2" max="2" width="14.25" style="1" bestFit="1" customWidth="1"/>
    <col min="3" max="3" width="11.125" style="1" customWidth="1"/>
    <col min="4" max="4" width="12.75" style="1" customWidth="1"/>
    <col min="5" max="5" width="11.875" style="1" customWidth="1"/>
    <col min="6" max="6" width="13.25" style="1" customWidth="1"/>
    <col min="7" max="7" width="4" style="1" customWidth="1"/>
    <col min="8" max="8" width="14.125" style="1" customWidth="1"/>
    <col min="9" max="9" width="12.5" style="1" bestFit="1" customWidth="1"/>
    <col min="10" max="10" width="12.375" style="1" customWidth="1"/>
    <col min="11" max="11" width="12.25" style="1" bestFit="1" customWidth="1"/>
    <col min="12" max="12" width="11.5" style="1" customWidth="1"/>
    <col min="13" max="14" width="12.875" style="1" bestFit="1" customWidth="1"/>
    <col min="15" max="15" width="15.5" style="365" customWidth="1"/>
    <col min="16" max="16" width="11.5" style="1" customWidth="1"/>
    <col min="17" max="18" width="15.5" style="1" bestFit="1" customWidth="1"/>
    <col min="19" max="19" width="11.5" style="1" customWidth="1"/>
    <col min="20" max="26" width="9" style="1" customWidth="1"/>
    <col min="27" max="16384" width="9" style="1"/>
  </cols>
  <sheetData>
    <row r="1" spans="2:25" hidden="1" x14ac:dyDescent="0.3">
      <c r="B1" s="24" t="s">
        <v>28</v>
      </c>
      <c r="C1" s="25"/>
      <c r="D1" s="25" t="s">
        <v>29</v>
      </c>
      <c r="E1" s="25"/>
      <c r="F1" s="25"/>
      <c r="G1" s="25"/>
      <c r="H1" s="25"/>
      <c r="I1" s="25"/>
      <c r="J1" s="25"/>
      <c r="K1" s="25"/>
      <c r="L1" s="25"/>
      <c r="M1" s="26"/>
    </row>
    <row r="2" spans="2:25" hidden="1" x14ac:dyDescent="0.3">
      <c r="B2" s="27"/>
      <c r="C2" s="28"/>
      <c r="D2" s="28">
        <v>600</v>
      </c>
      <c r="E2" s="28">
        <v>700</v>
      </c>
      <c r="F2" s="28">
        <v>800</v>
      </c>
      <c r="G2" s="28">
        <v>900</v>
      </c>
      <c r="H2" s="28">
        <v>1000</v>
      </c>
      <c r="I2" s="28">
        <v>1100</v>
      </c>
      <c r="J2" s="28">
        <v>1200</v>
      </c>
      <c r="K2" s="28">
        <v>1300</v>
      </c>
      <c r="L2" s="28">
        <v>1400</v>
      </c>
      <c r="M2" s="29">
        <v>1500</v>
      </c>
    </row>
    <row r="3" spans="2:25" ht="18" hidden="1" customHeight="1" x14ac:dyDescent="0.3">
      <c r="B3" s="27" t="s">
        <v>30</v>
      </c>
      <c r="C3" s="28">
        <v>300</v>
      </c>
      <c r="D3" s="28">
        <v>16</v>
      </c>
      <c r="E3" s="28">
        <v>13</v>
      </c>
      <c r="F3" s="28">
        <v>12</v>
      </c>
      <c r="G3" s="28">
        <v>10</v>
      </c>
      <c r="H3" s="28">
        <v>8</v>
      </c>
      <c r="I3" s="28">
        <v>8</v>
      </c>
      <c r="J3" s="28">
        <v>8</v>
      </c>
      <c r="K3" s="28">
        <v>4</v>
      </c>
      <c r="L3" s="28">
        <v>4</v>
      </c>
      <c r="M3" s="29">
        <v>4</v>
      </c>
    </row>
    <row r="4" spans="2:25" hidden="1" x14ac:dyDescent="0.3">
      <c r="B4" s="27"/>
      <c r="C4" s="28">
        <v>400</v>
      </c>
      <c r="D4" s="289">
        <v>12</v>
      </c>
      <c r="E4" s="28">
        <v>9</v>
      </c>
      <c r="F4" s="28">
        <v>9</v>
      </c>
      <c r="G4" s="28">
        <v>7</v>
      </c>
      <c r="H4" s="28">
        <v>6</v>
      </c>
      <c r="I4" s="28">
        <v>6</v>
      </c>
      <c r="J4" s="28">
        <v>6</v>
      </c>
      <c r="K4" s="28">
        <v>3</v>
      </c>
      <c r="L4" s="28">
        <v>3</v>
      </c>
      <c r="M4" s="29">
        <v>3</v>
      </c>
    </row>
    <row r="5" spans="2:25" hidden="1" x14ac:dyDescent="0.3">
      <c r="B5" s="27"/>
      <c r="C5" s="287">
        <v>450</v>
      </c>
      <c r="D5" s="28">
        <v>10</v>
      </c>
      <c r="E5" s="288">
        <v>6</v>
      </c>
      <c r="F5" s="28">
        <v>6</v>
      </c>
      <c r="G5" s="28">
        <v>5</v>
      </c>
      <c r="H5" s="28">
        <v>5</v>
      </c>
      <c r="I5" s="28">
        <v>5</v>
      </c>
      <c r="J5" s="28">
        <v>5</v>
      </c>
      <c r="K5" s="28">
        <v>2</v>
      </c>
      <c r="L5" s="28">
        <v>2</v>
      </c>
      <c r="M5" s="29">
        <v>2</v>
      </c>
    </row>
    <row r="6" spans="2:25" hidden="1" x14ac:dyDescent="0.3">
      <c r="B6" s="27"/>
      <c r="C6" s="28">
        <v>500</v>
      </c>
      <c r="D6" s="290">
        <v>8</v>
      </c>
      <c r="E6" s="28">
        <v>6</v>
      </c>
      <c r="F6" s="28">
        <v>6</v>
      </c>
      <c r="G6" s="28">
        <v>4</v>
      </c>
      <c r="H6" s="28">
        <v>4</v>
      </c>
      <c r="I6" s="28">
        <v>4</v>
      </c>
      <c r="J6" s="28">
        <v>4</v>
      </c>
      <c r="K6" s="28">
        <v>2</v>
      </c>
      <c r="L6" s="28">
        <v>2</v>
      </c>
      <c r="M6" s="29">
        <v>2</v>
      </c>
    </row>
    <row r="7" spans="2:25" hidden="1" x14ac:dyDescent="0.3">
      <c r="B7" s="27"/>
      <c r="C7" s="28">
        <v>600</v>
      </c>
      <c r="D7" s="28">
        <v>8</v>
      </c>
      <c r="E7" s="28">
        <v>6</v>
      </c>
      <c r="F7" s="28">
        <v>6</v>
      </c>
      <c r="G7" s="28">
        <v>4</v>
      </c>
      <c r="H7" s="28">
        <v>4</v>
      </c>
      <c r="I7" s="28">
        <v>4</v>
      </c>
      <c r="J7" s="28">
        <v>4</v>
      </c>
      <c r="K7" s="28">
        <v>2</v>
      </c>
      <c r="L7" s="28">
        <v>2</v>
      </c>
      <c r="M7" s="29">
        <v>2</v>
      </c>
    </row>
    <row r="8" spans="2:25" hidden="1" x14ac:dyDescent="0.3">
      <c r="B8" s="27"/>
      <c r="C8" s="28">
        <v>700</v>
      </c>
      <c r="D8" s="28">
        <v>6</v>
      </c>
      <c r="E8" s="28">
        <v>3</v>
      </c>
      <c r="F8" s="28">
        <v>3</v>
      </c>
      <c r="G8" s="28">
        <v>3</v>
      </c>
      <c r="H8" s="28">
        <v>3</v>
      </c>
      <c r="I8" s="28">
        <v>3</v>
      </c>
      <c r="J8" s="28">
        <v>3</v>
      </c>
      <c r="K8" s="28">
        <v>1</v>
      </c>
      <c r="L8" s="28">
        <v>1</v>
      </c>
      <c r="M8" s="29">
        <v>1</v>
      </c>
    </row>
    <row r="9" spans="2:25" hidden="1" x14ac:dyDescent="0.3">
      <c r="B9" s="27"/>
      <c r="C9" s="28">
        <v>800</v>
      </c>
      <c r="D9" s="28">
        <v>6</v>
      </c>
      <c r="E9" s="28">
        <v>3</v>
      </c>
      <c r="F9" s="28">
        <v>3</v>
      </c>
      <c r="G9" s="28">
        <v>3</v>
      </c>
      <c r="H9" s="28">
        <v>3</v>
      </c>
      <c r="I9" s="28">
        <v>3</v>
      </c>
      <c r="J9" s="28">
        <v>3</v>
      </c>
      <c r="K9" s="28">
        <v>1</v>
      </c>
      <c r="L9" s="28">
        <v>1</v>
      </c>
      <c r="M9" s="29">
        <v>1</v>
      </c>
      <c r="N9" s="54"/>
    </row>
    <row r="10" spans="2:25" ht="17.25" hidden="1" thickBot="1" x14ac:dyDescent="0.35">
      <c r="B10" s="30"/>
      <c r="C10" s="31">
        <v>900</v>
      </c>
      <c r="D10" s="31">
        <v>5</v>
      </c>
      <c r="E10" s="31">
        <v>3</v>
      </c>
      <c r="F10" s="31">
        <v>3</v>
      </c>
      <c r="G10" s="31">
        <v>2</v>
      </c>
      <c r="H10" s="31">
        <v>2</v>
      </c>
      <c r="I10" s="31">
        <v>2</v>
      </c>
      <c r="J10" s="31">
        <v>2</v>
      </c>
      <c r="K10" s="31">
        <v>1</v>
      </c>
      <c r="L10" s="31">
        <v>1</v>
      </c>
      <c r="M10" s="32">
        <v>1</v>
      </c>
    </row>
    <row r="11" spans="2:25" ht="17.25" thickBot="1" x14ac:dyDescent="0.35"/>
    <row r="12" spans="2:25" s="54" customFormat="1" ht="18" thickBot="1" x14ac:dyDescent="0.35">
      <c r="B12" s="303" t="s">
        <v>2</v>
      </c>
      <c r="C12" s="300">
        <v>2400</v>
      </c>
      <c r="D12" s="318" t="s">
        <v>14</v>
      </c>
      <c r="E12" s="11">
        <v>1500</v>
      </c>
      <c r="F12" s="1"/>
      <c r="H12" s="327">
        <v>9500</v>
      </c>
      <c r="I12" s="41">
        <v>600</v>
      </c>
      <c r="J12" s="37">
        <v>700</v>
      </c>
      <c r="K12" s="42">
        <v>800</v>
      </c>
      <c r="L12" s="37">
        <v>900</v>
      </c>
      <c r="M12" s="291">
        <v>1200</v>
      </c>
      <c r="N12" s="292">
        <v>1500</v>
      </c>
      <c r="O12" s="366"/>
      <c r="P12" s="329"/>
      <c r="Y12" s="1"/>
    </row>
    <row r="13" spans="2:25" ht="17.25" customHeight="1" x14ac:dyDescent="0.3">
      <c r="B13" s="304" t="s">
        <v>1</v>
      </c>
      <c r="C13" s="301">
        <v>1000</v>
      </c>
      <c r="D13" s="319" t="s">
        <v>10</v>
      </c>
      <c r="E13" s="56">
        <v>4800</v>
      </c>
      <c r="H13" s="39">
        <v>300</v>
      </c>
      <c r="I13" s="50">
        <f>ROUNDUP(H12/D3,-2)</f>
        <v>600</v>
      </c>
      <c r="J13" s="33">
        <f>ROUNDUP(H12/E3,-2)</f>
        <v>800</v>
      </c>
      <c r="K13" s="52">
        <f>ROUNDUP(H12/F3,-2)</f>
        <v>800</v>
      </c>
      <c r="L13" s="33">
        <f>ROUNDUP(H12/G3,-2)</f>
        <v>1000</v>
      </c>
      <c r="M13" s="52">
        <f>ROUNDUP(H12/J3,-2)</f>
        <v>1200</v>
      </c>
      <c r="N13" s="34">
        <f>ROUNDUP(H12/M3,-2)</f>
        <v>2400</v>
      </c>
      <c r="P13" s="328"/>
    </row>
    <row r="14" spans="2:25" ht="17.25" customHeight="1" x14ac:dyDescent="0.3">
      <c r="B14" s="304" t="s">
        <v>30</v>
      </c>
      <c r="C14" s="301">
        <v>800</v>
      </c>
      <c r="D14" s="320" t="s">
        <v>38</v>
      </c>
      <c r="E14" s="58">
        <v>40</v>
      </c>
      <c r="H14" s="59">
        <v>400</v>
      </c>
      <c r="I14" s="60">
        <f>ROUNDUP(H12/D4,-2)</f>
        <v>800</v>
      </c>
      <c r="J14" s="61">
        <f>ROUNDUP(H12/E4,-2)</f>
        <v>1100</v>
      </c>
      <c r="K14" s="61">
        <f>ROUNDUP(H12/F4,-2)</f>
        <v>1100</v>
      </c>
      <c r="L14" s="61">
        <f>ROUNDUP(H12/G4,-2)</f>
        <v>1400</v>
      </c>
      <c r="M14" s="61">
        <f>ROUNDUP(H12/J4,-2)</f>
        <v>1600</v>
      </c>
      <c r="N14" s="62">
        <f>ROUNDUP(H12/M4,-2)</f>
        <v>3200</v>
      </c>
      <c r="P14" s="328"/>
    </row>
    <row r="15" spans="2:25" ht="17.25" customHeight="1" x14ac:dyDescent="0.3">
      <c r="B15" s="304" t="s">
        <v>0</v>
      </c>
      <c r="C15" s="302">
        <v>5</v>
      </c>
      <c r="D15" s="320" t="s">
        <v>46</v>
      </c>
      <c r="E15" s="58">
        <v>250</v>
      </c>
      <c r="H15" s="40">
        <v>450</v>
      </c>
      <c r="I15" s="51">
        <f>ROUNDUP(H12/D5,-2)</f>
        <v>1000</v>
      </c>
      <c r="J15" s="35">
        <f>ROUNDUP(H12/E5,-2)</f>
        <v>1600</v>
      </c>
      <c r="K15" s="53">
        <f>ROUNDUP(H12/F5,-2)</f>
        <v>1600</v>
      </c>
      <c r="L15" s="35">
        <f>ROUNDUP(H12/G5,-2)</f>
        <v>1900</v>
      </c>
      <c r="M15" s="53">
        <f>ROUNDUP(H12/J5,-2)</f>
        <v>1900</v>
      </c>
      <c r="N15" s="36">
        <f>ROUNDUP(H12/M5,-2)</f>
        <v>4800</v>
      </c>
      <c r="P15" s="328"/>
    </row>
    <row r="16" spans="2:25" ht="17.25" customHeight="1" thickBot="1" x14ac:dyDescent="0.35">
      <c r="B16" s="304" t="s">
        <v>133</v>
      </c>
      <c r="C16" s="363">
        <v>3</v>
      </c>
      <c r="D16" s="321" t="s">
        <v>177</v>
      </c>
      <c r="E16" s="57">
        <v>250</v>
      </c>
      <c r="H16" s="294">
        <v>600</v>
      </c>
      <c r="I16" s="60">
        <f>ROUNDUP(H12/D7,-2)</f>
        <v>1200</v>
      </c>
      <c r="J16" s="61">
        <f>ROUNDUP(H12/E7,-2)</f>
        <v>1600</v>
      </c>
      <c r="K16" s="61">
        <f>ROUNDUP(H12/F7,-2)</f>
        <v>1600</v>
      </c>
      <c r="L16" s="61">
        <f>ROUNDUP(H12/G7,-2)</f>
        <v>2400</v>
      </c>
      <c r="M16" s="61">
        <f>ROUNDUP(H12/J7,-2)</f>
        <v>2400</v>
      </c>
      <c r="N16" s="62">
        <f>ROUNDUP(H12/M7,-2)</f>
        <v>4800</v>
      </c>
      <c r="P16" s="328"/>
    </row>
    <row r="17" spans="2:18" ht="17.25" customHeight="1" thickBot="1" x14ac:dyDescent="0.35">
      <c r="B17" s="305" t="s">
        <v>134</v>
      </c>
      <c r="C17" s="364">
        <v>24</v>
      </c>
      <c r="H17" s="295">
        <v>900</v>
      </c>
      <c r="I17" s="298">
        <f>ROUNDUP(H12/D10,-2)</f>
        <v>1900</v>
      </c>
      <c r="J17" s="296">
        <f>ROUNDUP(H12/E10,-2)</f>
        <v>3200</v>
      </c>
      <c r="K17" s="299">
        <f>ROUNDUP(H12/F10,-2)</f>
        <v>3200</v>
      </c>
      <c r="L17" s="296">
        <f>ROUNDUP(H12/G10,-2)</f>
        <v>4800</v>
      </c>
      <c r="M17" s="299">
        <f>ROUNDUP(H12/J10,-2)</f>
        <v>4800</v>
      </c>
      <c r="N17" s="297">
        <f>ROUNDUP(H12/M10,-2)</f>
        <v>9500</v>
      </c>
      <c r="P17" s="328"/>
    </row>
    <row r="18" spans="2:18" ht="17.25" customHeight="1" x14ac:dyDescent="0.3">
      <c r="P18" s="328"/>
    </row>
    <row r="19" spans="2:18" ht="17.25" customHeight="1" thickBot="1" x14ac:dyDescent="0.35">
      <c r="B19" s="20" t="s">
        <v>16</v>
      </c>
      <c r="C19" s="1" t="s">
        <v>155</v>
      </c>
      <c r="E19" s="1" t="s">
        <v>105</v>
      </c>
      <c r="H19" s="20" t="s">
        <v>16</v>
      </c>
      <c r="I19" s="293"/>
      <c r="J19" s="307">
        <f>SUM(J20:J23)</f>
        <v>94.8</v>
      </c>
      <c r="N19" s="330" t="s">
        <v>105</v>
      </c>
    </row>
    <row r="20" spans="2:18" ht="17.25" customHeight="1" x14ac:dyDescent="0.3">
      <c r="B20" s="313">
        <v>1.1000000000000001</v>
      </c>
      <c r="C20" s="314">
        <f t="shared" ref="C20:C29" si="0">ROUNDUP($M$24*B20, -3)</f>
        <v>81000</v>
      </c>
      <c r="D20" s="315">
        <f t="shared" ref="D20:D29" si="1">C20-$L$24</f>
        <v>8190</v>
      </c>
      <c r="E20" s="314">
        <f t="shared" ref="E20:E29" si="2">ROUNDUP($M$23*B20, -3)</f>
        <v>241000</v>
      </c>
      <c r="F20" s="315">
        <f t="shared" ref="F20:F29" si="3">E20-$L$23</f>
        <v>22570</v>
      </c>
      <c r="H20" s="317">
        <f>C12</f>
        <v>2400</v>
      </c>
      <c r="I20" s="322">
        <f>4*C16</f>
        <v>12</v>
      </c>
      <c r="J20" s="316">
        <f>C12*I20/1000</f>
        <v>28.8</v>
      </c>
      <c r="K20" s="2" t="s">
        <v>44</v>
      </c>
      <c r="L20" s="4">
        <f>(E12*J19)+(E16*I23)</f>
        <v>145950</v>
      </c>
      <c r="N20" s="331">
        <v>1.1000000000000001</v>
      </c>
      <c r="O20" s="367">
        <f t="shared" ref="O20:O38" si="4">$L$39*N20</f>
        <v>1844865.0000000002</v>
      </c>
      <c r="P20" s="315">
        <f t="shared" ref="P20:P38" si="5">O20-$L$39</f>
        <v>167715.00000000023</v>
      </c>
      <c r="Q20" s="314">
        <f t="shared" ref="Q20:Q38" si="6">ROUNDUP($L$40*N20,-3)</f>
        <v>1846000</v>
      </c>
      <c r="R20" s="315">
        <f t="shared" ref="R20:R38" si="7">Q20-$L$39</f>
        <v>168850</v>
      </c>
    </row>
    <row r="21" spans="2:18" ht="17.25" customHeight="1" x14ac:dyDescent="0.3">
      <c r="B21" s="279">
        <v>1.2</v>
      </c>
      <c r="C21" s="276">
        <f t="shared" si="0"/>
        <v>88000</v>
      </c>
      <c r="D21" s="309">
        <f t="shared" si="1"/>
        <v>15190</v>
      </c>
      <c r="E21" s="276">
        <f t="shared" si="2"/>
        <v>263000</v>
      </c>
      <c r="F21" s="309">
        <f t="shared" si="3"/>
        <v>44570</v>
      </c>
      <c r="H21" s="317">
        <f>C13</f>
        <v>1000</v>
      </c>
      <c r="I21" s="323">
        <f>C15*2*C16</f>
        <v>30</v>
      </c>
      <c r="J21" s="316">
        <f>C13*I21/1000</f>
        <v>30</v>
      </c>
      <c r="K21" s="306" t="s">
        <v>43</v>
      </c>
      <c r="L21" s="4">
        <f>I24*E13</f>
        <v>72000</v>
      </c>
      <c r="N21" s="332">
        <v>1.1499999999999999</v>
      </c>
      <c r="O21" s="368">
        <f t="shared" si="4"/>
        <v>1928722.4999999998</v>
      </c>
      <c r="P21" s="309">
        <f t="shared" si="5"/>
        <v>251572.49999999977</v>
      </c>
      <c r="Q21" s="276">
        <f t="shared" si="6"/>
        <v>1930000</v>
      </c>
      <c r="R21" s="309">
        <f t="shared" si="7"/>
        <v>252850</v>
      </c>
    </row>
    <row r="22" spans="2:18" ht="17.25" customHeight="1" x14ac:dyDescent="0.3">
      <c r="B22" s="279">
        <v>1.3</v>
      </c>
      <c r="C22" s="276">
        <f t="shared" si="0"/>
        <v>95000</v>
      </c>
      <c r="D22" s="309">
        <f t="shared" si="1"/>
        <v>22190</v>
      </c>
      <c r="E22" s="276">
        <f t="shared" si="2"/>
        <v>285000</v>
      </c>
      <c r="F22" s="309">
        <f t="shared" si="3"/>
        <v>66570</v>
      </c>
      <c r="H22" s="317">
        <f>C14</f>
        <v>800</v>
      </c>
      <c r="I22" s="323">
        <f>C15*2*C16</f>
        <v>30</v>
      </c>
      <c r="J22" s="316">
        <f>C14*I22/1000</f>
        <v>24</v>
      </c>
      <c r="K22" s="306" t="s">
        <v>38</v>
      </c>
      <c r="L22" s="4">
        <f>E14*I25</f>
        <v>480</v>
      </c>
      <c r="N22" s="332">
        <v>1.2</v>
      </c>
      <c r="O22" s="368">
        <f t="shared" si="4"/>
        <v>2012580</v>
      </c>
      <c r="P22" s="309">
        <f t="shared" si="5"/>
        <v>335430</v>
      </c>
      <c r="Q22" s="276">
        <f t="shared" si="6"/>
        <v>2014000</v>
      </c>
      <c r="R22" s="309">
        <f t="shared" si="7"/>
        <v>336850</v>
      </c>
    </row>
    <row r="23" spans="2:18" x14ac:dyDescent="0.3">
      <c r="B23" s="279">
        <v>1.4</v>
      </c>
      <c r="C23" s="276">
        <f t="shared" si="0"/>
        <v>103000</v>
      </c>
      <c r="D23" s="309">
        <f t="shared" si="1"/>
        <v>30190</v>
      </c>
      <c r="E23" s="276">
        <f t="shared" si="2"/>
        <v>307000</v>
      </c>
      <c r="F23" s="309">
        <f t="shared" si="3"/>
        <v>88570</v>
      </c>
      <c r="H23" s="371">
        <f>C14</f>
        <v>800</v>
      </c>
      <c r="I23" s="323">
        <f>C15*C16</f>
        <v>15</v>
      </c>
      <c r="J23" s="316">
        <f>H23*I23/1000</f>
        <v>12</v>
      </c>
      <c r="K23" s="2" t="s">
        <v>105</v>
      </c>
      <c r="L23" s="4">
        <f>SUM(L20:L22)</f>
        <v>218430</v>
      </c>
      <c r="M23" s="4">
        <f>ROUNDUP(L23,-3)</f>
        <v>219000</v>
      </c>
      <c r="N23" s="332">
        <v>1.25</v>
      </c>
      <c r="O23" s="368">
        <f t="shared" si="4"/>
        <v>2096437.5</v>
      </c>
      <c r="P23" s="309">
        <f t="shared" si="5"/>
        <v>419287.5</v>
      </c>
      <c r="Q23" s="276">
        <f t="shared" si="6"/>
        <v>2098000</v>
      </c>
      <c r="R23" s="309">
        <f t="shared" si="7"/>
        <v>420850</v>
      </c>
    </row>
    <row r="24" spans="2:18" ht="15.75" customHeight="1" thickBot="1" x14ac:dyDescent="0.35">
      <c r="B24" s="281">
        <v>1.5</v>
      </c>
      <c r="C24" s="282">
        <f t="shared" si="0"/>
        <v>110000</v>
      </c>
      <c r="D24" s="310">
        <f t="shared" si="1"/>
        <v>37190</v>
      </c>
      <c r="E24" s="282">
        <f t="shared" si="2"/>
        <v>329000</v>
      </c>
      <c r="F24" s="310">
        <f t="shared" si="3"/>
        <v>110570</v>
      </c>
      <c r="H24" s="206" t="s">
        <v>43</v>
      </c>
      <c r="I24" s="324">
        <f>C15*C16</f>
        <v>15</v>
      </c>
      <c r="J24" s="18"/>
      <c r="K24" s="2" t="s">
        <v>153</v>
      </c>
      <c r="L24" s="4">
        <f>L23/C16</f>
        <v>72810</v>
      </c>
      <c r="M24" s="4">
        <f>ROUNDUP(L24,-3)</f>
        <v>73000</v>
      </c>
      <c r="N24" s="332">
        <v>1.3</v>
      </c>
      <c r="O24" s="368">
        <f t="shared" si="4"/>
        <v>2180295</v>
      </c>
      <c r="P24" s="309">
        <f t="shared" si="5"/>
        <v>503145</v>
      </c>
      <c r="Q24" s="276">
        <f t="shared" si="6"/>
        <v>2182000</v>
      </c>
      <c r="R24" s="309">
        <f t="shared" si="7"/>
        <v>504850</v>
      </c>
    </row>
    <row r="25" spans="2:18" ht="15.75" customHeight="1" thickBot="1" x14ac:dyDescent="0.35">
      <c r="B25" s="283">
        <v>1.6</v>
      </c>
      <c r="C25" s="284">
        <f t="shared" si="0"/>
        <v>117000</v>
      </c>
      <c r="D25" s="311">
        <f t="shared" si="1"/>
        <v>44190</v>
      </c>
      <c r="E25" s="284">
        <f t="shared" si="2"/>
        <v>351000</v>
      </c>
      <c r="F25" s="311">
        <f t="shared" si="3"/>
        <v>132570</v>
      </c>
      <c r="H25" s="206" t="s">
        <v>37</v>
      </c>
      <c r="I25" s="325">
        <f>C16*4</f>
        <v>12</v>
      </c>
      <c r="J25" s="18"/>
      <c r="N25" s="332">
        <v>1.35</v>
      </c>
      <c r="O25" s="368">
        <f t="shared" si="4"/>
        <v>2264152.5</v>
      </c>
      <c r="P25" s="309">
        <f t="shared" si="5"/>
        <v>587002.5</v>
      </c>
      <c r="Q25" s="276">
        <f t="shared" si="6"/>
        <v>2266000</v>
      </c>
      <c r="R25" s="309">
        <f t="shared" si="7"/>
        <v>588850</v>
      </c>
    </row>
    <row r="26" spans="2:18" x14ac:dyDescent="0.3">
      <c r="B26" s="278">
        <v>1.7</v>
      </c>
      <c r="C26" s="275">
        <f t="shared" si="0"/>
        <v>125000</v>
      </c>
      <c r="D26" s="308">
        <f t="shared" si="1"/>
        <v>52190</v>
      </c>
      <c r="E26" s="275">
        <f t="shared" si="2"/>
        <v>373000</v>
      </c>
      <c r="F26" s="308">
        <f t="shared" si="3"/>
        <v>154570</v>
      </c>
      <c r="N26" s="332">
        <v>1.4</v>
      </c>
      <c r="O26" s="368">
        <f t="shared" si="4"/>
        <v>2348010</v>
      </c>
      <c r="P26" s="309">
        <f t="shared" si="5"/>
        <v>670860</v>
      </c>
      <c r="Q26" s="276">
        <f t="shared" si="6"/>
        <v>2350000</v>
      </c>
      <c r="R26" s="309">
        <f t="shared" si="7"/>
        <v>672850</v>
      </c>
    </row>
    <row r="27" spans="2:18" ht="17.25" thickBot="1" x14ac:dyDescent="0.35">
      <c r="B27" s="279">
        <v>1.8</v>
      </c>
      <c r="C27" s="276">
        <f t="shared" si="0"/>
        <v>132000</v>
      </c>
      <c r="D27" s="309">
        <f t="shared" si="1"/>
        <v>59190</v>
      </c>
      <c r="E27" s="276">
        <f t="shared" si="2"/>
        <v>395000</v>
      </c>
      <c r="F27" s="309">
        <f t="shared" si="3"/>
        <v>176570</v>
      </c>
      <c r="H27" s="20" t="s">
        <v>17</v>
      </c>
      <c r="I27" s="293"/>
      <c r="J27" s="307">
        <f>SUM(J28:J31)</f>
        <v>547.20000000000005</v>
      </c>
      <c r="N27" s="332">
        <v>1.45</v>
      </c>
      <c r="O27" s="368">
        <f t="shared" si="4"/>
        <v>2431867.5</v>
      </c>
      <c r="P27" s="309">
        <f t="shared" si="5"/>
        <v>754717.5</v>
      </c>
      <c r="Q27" s="276">
        <f t="shared" si="6"/>
        <v>2434000</v>
      </c>
      <c r="R27" s="309">
        <f t="shared" si="7"/>
        <v>756850</v>
      </c>
    </row>
    <row r="28" spans="2:18" x14ac:dyDescent="0.3">
      <c r="B28" s="279">
        <v>1.9</v>
      </c>
      <c r="C28" s="276">
        <f t="shared" si="0"/>
        <v>139000</v>
      </c>
      <c r="D28" s="309">
        <f t="shared" si="1"/>
        <v>66190</v>
      </c>
      <c r="E28" s="276">
        <f t="shared" si="2"/>
        <v>417000</v>
      </c>
      <c r="F28" s="309">
        <f t="shared" si="3"/>
        <v>198570</v>
      </c>
      <c r="H28" s="317">
        <f>C12</f>
        <v>2400</v>
      </c>
      <c r="I28" s="322">
        <f>2*C17</f>
        <v>48</v>
      </c>
      <c r="J28" s="316">
        <f>C12*I28/1000</f>
        <v>115.2</v>
      </c>
      <c r="K28" s="2" t="s">
        <v>44</v>
      </c>
      <c r="L28" s="4">
        <f>(E12*J27)+(I30*E15)+(I31*E16)</f>
        <v>880800.00000000012</v>
      </c>
      <c r="N28" s="332">
        <v>1.5</v>
      </c>
      <c r="O28" s="368">
        <f t="shared" si="4"/>
        <v>2515725</v>
      </c>
      <c r="P28" s="309">
        <f t="shared" si="5"/>
        <v>838575</v>
      </c>
      <c r="Q28" s="276">
        <f t="shared" si="6"/>
        <v>2517000</v>
      </c>
      <c r="R28" s="309">
        <f t="shared" si="7"/>
        <v>839850</v>
      </c>
    </row>
    <row r="29" spans="2:18" ht="17.25" thickBot="1" x14ac:dyDescent="0.35">
      <c r="B29" s="280">
        <v>2</v>
      </c>
      <c r="C29" s="277">
        <f t="shared" si="0"/>
        <v>146000</v>
      </c>
      <c r="D29" s="312">
        <f t="shared" si="1"/>
        <v>73190</v>
      </c>
      <c r="E29" s="277">
        <f t="shared" si="2"/>
        <v>438000</v>
      </c>
      <c r="F29" s="312">
        <f t="shared" si="3"/>
        <v>219570</v>
      </c>
      <c r="H29" s="317">
        <f>C13</f>
        <v>1000</v>
      </c>
      <c r="I29" s="323">
        <f>C15*2*C17</f>
        <v>240</v>
      </c>
      <c r="J29" s="316">
        <f>C13*I29/1000</f>
        <v>240</v>
      </c>
      <c r="K29" s="306" t="s">
        <v>43</v>
      </c>
      <c r="L29" s="4">
        <f>E13*I32</f>
        <v>576000</v>
      </c>
      <c r="N29" s="332">
        <v>1.55</v>
      </c>
      <c r="O29" s="368">
        <f t="shared" si="4"/>
        <v>2599582.5</v>
      </c>
      <c r="P29" s="309">
        <f t="shared" si="5"/>
        <v>922432.5</v>
      </c>
      <c r="Q29" s="276">
        <f t="shared" si="6"/>
        <v>2601000</v>
      </c>
      <c r="R29" s="309">
        <f t="shared" si="7"/>
        <v>923850</v>
      </c>
    </row>
    <row r="30" spans="2:18" x14ac:dyDescent="0.3">
      <c r="H30" s="326">
        <f>C14</f>
        <v>800</v>
      </c>
      <c r="I30" s="323">
        <f>C15*C17</f>
        <v>120</v>
      </c>
      <c r="J30" s="316">
        <f>C14*I30/1000</f>
        <v>96</v>
      </c>
      <c r="K30" s="306" t="s">
        <v>38</v>
      </c>
      <c r="L30" s="4">
        <f>E14*I33</f>
        <v>1920</v>
      </c>
      <c r="N30" s="336">
        <v>1.6</v>
      </c>
      <c r="O30" s="369">
        <f t="shared" si="4"/>
        <v>2683440</v>
      </c>
      <c r="P30" s="334">
        <f t="shared" si="5"/>
        <v>1006290</v>
      </c>
      <c r="Q30" s="335">
        <f t="shared" si="6"/>
        <v>2685000</v>
      </c>
      <c r="R30" s="334">
        <f t="shared" si="7"/>
        <v>1007850</v>
      </c>
    </row>
    <row r="31" spans="2:18" ht="17.25" thickBot="1" x14ac:dyDescent="0.35">
      <c r="B31" s="20" t="s">
        <v>17</v>
      </c>
      <c r="C31" s="1" t="s">
        <v>155</v>
      </c>
      <c r="E31" s="1" t="s">
        <v>105</v>
      </c>
      <c r="H31" s="371">
        <f>C14</f>
        <v>800</v>
      </c>
      <c r="I31" s="323">
        <f>C15*C17</f>
        <v>120</v>
      </c>
      <c r="J31" s="316">
        <f>H31*I31/1000</f>
        <v>96</v>
      </c>
      <c r="K31" s="2" t="s">
        <v>105</v>
      </c>
      <c r="L31" s="4">
        <f>SUM(L28:L30)</f>
        <v>1458720</v>
      </c>
      <c r="M31" s="4">
        <f>ROUNDUP(L31,-3)</f>
        <v>1459000</v>
      </c>
      <c r="N31" s="332">
        <v>1.65</v>
      </c>
      <c r="O31" s="368">
        <f t="shared" si="4"/>
        <v>2767297.5</v>
      </c>
      <c r="P31" s="309">
        <f t="shared" si="5"/>
        <v>1090147.5</v>
      </c>
      <c r="Q31" s="276">
        <f t="shared" si="6"/>
        <v>2769000</v>
      </c>
      <c r="R31" s="309">
        <f t="shared" si="7"/>
        <v>1091850</v>
      </c>
    </row>
    <row r="32" spans="2:18" x14ac:dyDescent="0.3">
      <c r="B32" s="313">
        <v>1.1000000000000001</v>
      </c>
      <c r="C32" s="314">
        <f t="shared" ref="C32:C41" si="8">ROUNDUP($M$32*B32, -3)</f>
        <v>68000</v>
      </c>
      <c r="D32" s="315">
        <f t="shared" ref="D32:D41" si="9">C32-L$32</f>
        <v>7220</v>
      </c>
      <c r="E32" s="314">
        <f t="shared" ref="E32:E41" si="10">ROUNDUP($M$31*B32, -3)</f>
        <v>1605000</v>
      </c>
      <c r="F32" s="315">
        <f t="shared" ref="F32:F41" si="11">E32-$L$31</f>
        <v>146280</v>
      </c>
      <c r="H32" s="206" t="s">
        <v>43</v>
      </c>
      <c r="I32" s="324">
        <f>C15*C17</f>
        <v>120</v>
      </c>
      <c r="K32" s="2" t="s">
        <v>153</v>
      </c>
      <c r="L32" s="4">
        <f>L31/C17</f>
        <v>60780</v>
      </c>
      <c r="M32" s="4">
        <f>ROUNDUP(L32,-3)</f>
        <v>61000</v>
      </c>
      <c r="N32" s="332">
        <v>1.7</v>
      </c>
      <c r="O32" s="368">
        <f t="shared" si="4"/>
        <v>2851155</v>
      </c>
      <c r="P32" s="309">
        <f t="shared" si="5"/>
        <v>1174005</v>
      </c>
      <c r="Q32" s="276">
        <f t="shared" si="6"/>
        <v>2853000</v>
      </c>
      <c r="R32" s="309">
        <f t="shared" si="7"/>
        <v>1175850</v>
      </c>
    </row>
    <row r="33" spans="2:18" ht="17.25" thickBot="1" x14ac:dyDescent="0.35">
      <c r="B33" s="279">
        <v>1.2</v>
      </c>
      <c r="C33" s="276">
        <f t="shared" si="8"/>
        <v>74000</v>
      </c>
      <c r="D33" s="309">
        <f t="shared" si="9"/>
        <v>13220</v>
      </c>
      <c r="E33" s="276">
        <f t="shared" si="10"/>
        <v>1751000</v>
      </c>
      <c r="F33" s="309">
        <f t="shared" si="11"/>
        <v>292280</v>
      </c>
      <c r="H33" s="206" t="s">
        <v>38</v>
      </c>
      <c r="I33" s="325">
        <f>2*C17</f>
        <v>48</v>
      </c>
      <c r="J33" s="18"/>
      <c r="N33" s="332">
        <v>1.75</v>
      </c>
      <c r="O33" s="368">
        <f t="shared" si="4"/>
        <v>2935012.5</v>
      </c>
      <c r="P33" s="309">
        <f t="shared" si="5"/>
        <v>1257862.5</v>
      </c>
      <c r="Q33" s="276">
        <f t="shared" si="6"/>
        <v>2937000</v>
      </c>
      <c r="R33" s="309">
        <f t="shared" si="7"/>
        <v>1259850</v>
      </c>
    </row>
    <row r="34" spans="2:18" x14ac:dyDescent="0.3">
      <c r="B34" s="279">
        <v>1.3</v>
      </c>
      <c r="C34" s="276">
        <f t="shared" si="8"/>
        <v>80000</v>
      </c>
      <c r="D34" s="309">
        <f t="shared" si="9"/>
        <v>19220</v>
      </c>
      <c r="E34" s="276">
        <f t="shared" si="10"/>
        <v>1897000</v>
      </c>
      <c r="F34" s="309">
        <f t="shared" si="11"/>
        <v>438280</v>
      </c>
      <c r="N34" s="332">
        <v>1.8</v>
      </c>
      <c r="O34" s="368">
        <f t="shared" si="4"/>
        <v>3018870</v>
      </c>
      <c r="P34" s="309">
        <f t="shared" si="5"/>
        <v>1341720</v>
      </c>
      <c r="Q34" s="276">
        <f t="shared" si="6"/>
        <v>3021000</v>
      </c>
      <c r="R34" s="309">
        <f t="shared" si="7"/>
        <v>1343850</v>
      </c>
    </row>
    <row r="35" spans="2:18" ht="17.25" thickBot="1" x14ac:dyDescent="0.35">
      <c r="B35" s="279">
        <v>1.4</v>
      </c>
      <c r="C35" s="276">
        <f t="shared" si="8"/>
        <v>86000</v>
      </c>
      <c r="D35" s="309">
        <f t="shared" si="9"/>
        <v>25220</v>
      </c>
      <c r="E35" s="276">
        <f t="shared" si="10"/>
        <v>2043000</v>
      </c>
      <c r="F35" s="309">
        <f t="shared" si="11"/>
        <v>584280</v>
      </c>
      <c r="H35" s="20" t="s">
        <v>36</v>
      </c>
      <c r="I35" s="293"/>
      <c r="J35" s="307">
        <f>SUM(J19,J27)</f>
        <v>642</v>
      </c>
      <c r="N35" s="332">
        <v>1.85</v>
      </c>
      <c r="O35" s="368">
        <f t="shared" si="4"/>
        <v>3102727.5</v>
      </c>
      <c r="P35" s="309">
        <f t="shared" si="5"/>
        <v>1425577.5</v>
      </c>
      <c r="Q35" s="276">
        <f t="shared" si="6"/>
        <v>3105000</v>
      </c>
      <c r="R35" s="309">
        <f t="shared" si="7"/>
        <v>1427850</v>
      </c>
    </row>
    <row r="36" spans="2:18" ht="17.25" thickBot="1" x14ac:dyDescent="0.35">
      <c r="B36" s="281">
        <v>1.5</v>
      </c>
      <c r="C36" s="282">
        <f t="shared" si="8"/>
        <v>92000</v>
      </c>
      <c r="D36" s="310">
        <f t="shared" si="9"/>
        <v>31220</v>
      </c>
      <c r="E36" s="282">
        <f t="shared" si="10"/>
        <v>2189000</v>
      </c>
      <c r="F36" s="310">
        <f t="shared" si="11"/>
        <v>730280</v>
      </c>
      <c r="H36" s="317">
        <f>C12</f>
        <v>2400</v>
      </c>
      <c r="I36" s="322">
        <f>SUM(I20,I28)</f>
        <v>60</v>
      </c>
      <c r="J36" s="316">
        <f>SUM(J20,J28)</f>
        <v>144</v>
      </c>
      <c r="K36" s="2" t="s">
        <v>44</v>
      </c>
      <c r="L36" s="4">
        <f>SUM(L20,L28)</f>
        <v>1026750.0000000001</v>
      </c>
      <c r="N36" s="332">
        <v>1.9</v>
      </c>
      <c r="O36" s="368">
        <f t="shared" si="4"/>
        <v>3186585</v>
      </c>
      <c r="P36" s="309">
        <f t="shared" si="5"/>
        <v>1509435</v>
      </c>
      <c r="Q36" s="276">
        <f t="shared" si="6"/>
        <v>3189000</v>
      </c>
      <c r="R36" s="309">
        <f t="shared" si="7"/>
        <v>1511850</v>
      </c>
    </row>
    <row r="37" spans="2:18" ht="17.25" thickBot="1" x14ac:dyDescent="0.35">
      <c r="B37" s="283">
        <v>1.6</v>
      </c>
      <c r="C37" s="284">
        <f t="shared" si="8"/>
        <v>98000</v>
      </c>
      <c r="D37" s="311">
        <f t="shared" si="9"/>
        <v>37220</v>
      </c>
      <c r="E37" s="284">
        <f t="shared" si="10"/>
        <v>2335000</v>
      </c>
      <c r="F37" s="311">
        <f t="shared" si="11"/>
        <v>876280</v>
      </c>
      <c r="H37" s="317">
        <f>C13</f>
        <v>1000</v>
      </c>
      <c r="I37" s="323">
        <f>SUM(I21,I29)</f>
        <v>270</v>
      </c>
      <c r="J37" s="316">
        <f>SUM(J21,J29)</f>
        <v>270</v>
      </c>
      <c r="K37" s="306" t="s">
        <v>43</v>
      </c>
      <c r="L37" s="4">
        <f>SUM(L21,L29)</f>
        <v>648000</v>
      </c>
      <c r="N37" s="332">
        <v>1.95</v>
      </c>
      <c r="O37" s="368">
        <f t="shared" si="4"/>
        <v>3270442.5</v>
      </c>
      <c r="P37" s="309">
        <f t="shared" si="5"/>
        <v>1593292.5</v>
      </c>
      <c r="Q37" s="276">
        <f t="shared" si="6"/>
        <v>3273000</v>
      </c>
      <c r="R37" s="309">
        <f t="shared" si="7"/>
        <v>1595850</v>
      </c>
    </row>
    <row r="38" spans="2:18" ht="17.25" thickBot="1" x14ac:dyDescent="0.35">
      <c r="B38" s="278">
        <v>1.7</v>
      </c>
      <c r="C38" s="275">
        <f t="shared" si="8"/>
        <v>104000</v>
      </c>
      <c r="D38" s="308">
        <f t="shared" si="9"/>
        <v>43220</v>
      </c>
      <c r="E38" s="275">
        <f t="shared" si="10"/>
        <v>2481000</v>
      </c>
      <c r="F38" s="308">
        <f t="shared" si="11"/>
        <v>1022280</v>
      </c>
      <c r="H38" s="317">
        <f>C14</f>
        <v>800</v>
      </c>
      <c r="I38" s="323">
        <f>I22</f>
        <v>30</v>
      </c>
      <c r="J38" s="316">
        <f>C14*I38/1000</f>
        <v>24</v>
      </c>
      <c r="K38" s="306" t="s">
        <v>38</v>
      </c>
      <c r="L38" s="4">
        <f>SUM(L22,L30)</f>
        <v>2400</v>
      </c>
      <c r="N38" s="333">
        <v>2</v>
      </c>
      <c r="O38" s="370">
        <f t="shared" si="4"/>
        <v>3354300</v>
      </c>
      <c r="P38" s="312">
        <f t="shared" si="5"/>
        <v>1677150</v>
      </c>
      <c r="Q38" s="277">
        <f t="shared" si="6"/>
        <v>3356000</v>
      </c>
      <c r="R38" s="312">
        <f t="shared" si="7"/>
        <v>1678850</v>
      </c>
    </row>
    <row r="39" spans="2:18" x14ac:dyDescent="0.3">
      <c r="B39" s="279">
        <v>1.8</v>
      </c>
      <c r="C39" s="276">
        <f t="shared" si="8"/>
        <v>110000</v>
      </c>
      <c r="D39" s="309">
        <f t="shared" si="9"/>
        <v>49220</v>
      </c>
      <c r="E39" s="276">
        <f t="shared" si="10"/>
        <v>2627000</v>
      </c>
      <c r="F39" s="309">
        <f t="shared" si="11"/>
        <v>1168280</v>
      </c>
      <c r="H39" s="326">
        <f>C14</f>
        <v>800</v>
      </c>
      <c r="I39" s="323">
        <f>I30</f>
        <v>120</v>
      </c>
      <c r="J39" s="316">
        <f>C14*I39/1000</f>
        <v>96</v>
      </c>
      <c r="K39" s="2" t="s">
        <v>105</v>
      </c>
      <c r="L39" s="4">
        <f>SUM(L23,L31)</f>
        <v>1677150</v>
      </c>
    </row>
    <row r="40" spans="2:18" x14ac:dyDescent="0.3">
      <c r="B40" s="279">
        <v>1.9</v>
      </c>
      <c r="C40" s="276">
        <f t="shared" si="8"/>
        <v>116000</v>
      </c>
      <c r="D40" s="309">
        <f t="shared" si="9"/>
        <v>55220</v>
      </c>
      <c r="E40" s="276">
        <f t="shared" si="10"/>
        <v>2773000</v>
      </c>
      <c r="F40" s="309">
        <f t="shared" si="11"/>
        <v>1314280</v>
      </c>
      <c r="H40" s="371">
        <f>C14</f>
        <v>800</v>
      </c>
      <c r="I40" s="323">
        <f>SUM(I23,I31)</f>
        <v>135</v>
      </c>
      <c r="J40" s="316">
        <f>H40*I40/1000</f>
        <v>108</v>
      </c>
      <c r="K40" s="2"/>
      <c r="L40" s="4">
        <f>ROUNDUP(L39,-3)</f>
        <v>1678000</v>
      </c>
    </row>
    <row r="41" spans="2:18" ht="17.25" thickBot="1" x14ac:dyDescent="0.35">
      <c r="B41" s="280">
        <v>2</v>
      </c>
      <c r="C41" s="277">
        <f t="shared" si="8"/>
        <v>122000</v>
      </c>
      <c r="D41" s="312">
        <f t="shared" si="9"/>
        <v>61220</v>
      </c>
      <c r="E41" s="277">
        <f t="shared" si="10"/>
        <v>2918000</v>
      </c>
      <c r="F41" s="312">
        <f t="shared" si="11"/>
        <v>1459280</v>
      </c>
      <c r="H41" s="206" t="s">
        <v>43</v>
      </c>
      <c r="I41" s="324">
        <f>SUM(I24,I32)</f>
        <v>135</v>
      </c>
      <c r="J41" s="18"/>
      <c r="K41" s="2"/>
      <c r="L41" s="4"/>
    </row>
    <row r="42" spans="2:18" ht="17.25" thickBot="1" x14ac:dyDescent="0.35">
      <c r="H42" s="206" t="s">
        <v>38</v>
      </c>
      <c r="I42" s="325">
        <f>SUM(I25,I33)</f>
        <v>60</v>
      </c>
      <c r="J42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43"/>
  <sheetViews>
    <sheetView zoomScale="85" zoomScaleNormal="85" workbookViewId="0">
      <selection activeCell="N25" sqref="N25"/>
    </sheetView>
  </sheetViews>
  <sheetFormatPr defaultRowHeight="16.5" x14ac:dyDescent="0.3"/>
  <cols>
    <col min="2" max="2" width="9.875" customWidth="1"/>
    <col min="3" max="3" width="14.375" style="68" customWidth="1"/>
    <col min="4" max="4" width="13" style="69" hidden="1" customWidth="1"/>
    <col min="5" max="5" width="11.375" style="70" customWidth="1"/>
    <col min="6" max="6" width="12.375" style="68" bestFit="1" customWidth="1"/>
    <col min="7" max="7" width="12.875" customWidth="1"/>
    <col min="8" max="8" width="8" hidden="1" customWidth="1"/>
    <col min="9" max="9" width="9" style="70"/>
    <col min="13" max="13" width="11.75" style="115" bestFit="1" customWidth="1"/>
    <col min="14" max="14" width="13.125" customWidth="1"/>
    <col min="15" max="15" width="18.125" style="115" customWidth="1"/>
  </cols>
  <sheetData>
    <row r="1" spans="1:15" ht="17.25" x14ac:dyDescent="0.3">
      <c r="A1" s="112" t="s">
        <v>75</v>
      </c>
      <c r="B1" s="68"/>
      <c r="C1"/>
      <c r="D1" s="70"/>
      <c r="F1" s="71"/>
      <c r="G1" s="72"/>
      <c r="H1" s="70"/>
    </row>
    <row r="2" spans="1:15" x14ac:dyDescent="0.3">
      <c r="A2" s="105" t="s">
        <v>131</v>
      </c>
      <c r="B2" s="106"/>
      <c r="C2" s="120">
        <f>SUM(D3:D27)</f>
        <v>0</v>
      </c>
      <c r="D2" s="70"/>
      <c r="E2" s="223"/>
      <c r="F2" s="223"/>
      <c r="G2" s="223"/>
      <c r="H2" s="223"/>
      <c r="I2" s="223"/>
      <c r="M2" s="118" t="s">
        <v>60</v>
      </c>
      <c r="N2" s="114" t="s">
        <v>61</v>
      </c>
    </row>
    <row r="3" spans="1:15" ht="17.25" x14ac:dyDescent="0.3">
      <c r="A3" s="28" t="s">
        <v>48</v>
      </c>
      <c r="B3" s="76">
        <v>900</v>
      </c>
      <c r="C3" s="2"/>
      <c r="D3" s="119">
        <f t="shared" ref="D3:D27" si="0">B3*C3/1000</f>
        <v>0</v>
      </c>
      <c r="E3"/>
      <c r="F3" s="115"/>
      <c r="H3" s="224"/>
      <c r="I3" s="224"/>
      <c r="K3" s="375" t="s">
        <v>59</v>
      </c>
      <c r="L3" s="376"/>
      <c r="M3" s="116">
        <v>1650</v>
      </c>
      <c r="N3" s="123">
        <f>C2</f>
        <v>0</v>
      </c>
      <c r="O3" s="115">
        <f>(M3*N3)+(C11*0.5)+(C25*0.5)</f>
        <v>0</v>
      </c>
    </row>
    <row r="4" spans="1:15" ht="17.25" x14ac:dyDescent="0.3">
      <c r="A4" s="28" t="s">
        <v>48</v>
      </c>
      <c r="B4" s="76">
        <v>1200</v>
      </c>
      <c r="C4" s="2"/>
      <c r="D4" s="119">
        <f t="shared" si="0"/>
        <v>0</v>
      </c>
      <c r="E4" s="68"/>
      <c r="F4" s="103" t="s">
        <v>47</v>
      </c>
      <c r="G4" s="121">
        <f>SUM(H5:H8)</f>
        <v>840</v>
      </c>
      <c r="H4" s="70"/>
      <c r="K4" s="376" t="s">
        <v>181</v>
      </c>
      <c r="L4" s="376"/>
      <c r="M4" s="116">
        <v>1950</v>
      </c>
      <c r="N4" s="123">
        <f>C28</f>
        <v>0</v>
      </c>
      <c r="O4" s="115">
        <f t="shared" ref="O4:O9" si="1">M4*N4</f>
        <v>0</v>
      </c>
    </row>
    <row r="5" spans="1:15" ht="17.25" x14ac:dyDescent="0.3">
      <c r="A5" s="28" t="s">
        <v>48</v>
      </c>
      <c r="B5" s="76">
        <v>1500</v>
      </c>
      <c r="C5" s="2"/>
      <c r="D5" s="119">
        <f t="shared" si="0"/>
        <v>0</v>
      </c>
      <c r="E5" s="68"/>
      <c r="F5" s="76">
        <v>1800</v>
      </c>
      <c r="G5" s="2">
        <v>300</v>
      </c>
      <c r="H5" s="70">
        <f>F5*G5/1000</f>
        <v>540</v>
      </c>
      <c r="K5" s="372" t="s">
        <v>47</v>
      </c>
      <c r="L5" s="372"/>
      <c r="M5" s="116">
        <v>1000</v>
      </c>
      <c r="N5" s="123">
        <f>G4</f>
        <v>840</v>
      </c>
      <c r="O5" s="115">
        <f t="shared" si="1"/>
        <v>840000</v>
      </c>
    </row>
    <row r="6" spans="1:15" ht="17.25" x14ac:dyDescent="0.3">
      <c r="A6" s="28" t="s">
        <v>48</v>
      </c>
      <c r="B6" s="76">
        <v>1800</v>
      </c>
      <c r="C6" s="2"/>
      <c r="D6" s="119">
        <f t="shared" si="0"/>
        <v>0</v>
      </c>
      <c r="E6" s="68"/>
      <c r="F6" s="76">
        <v>2100</v>
      </c>
      <c r="G6" s="2"/>
      <c r="H6" s="70">
        <f>F6*G6/1000</f>
        <v>0</v>
      </c>
      <c r="K6" s="373" t="s">
        <v>49</v>
      </c>
      <c r="L6" s="374"/>
      <c r="M6" s="116">
        <v>1400</v>
      </c>
      <c r="N6" s="123">
        <f>G9</f>
        <v>540</v>
      </c>
      <c r="O6" s="115">
        <f t="shared" si="1"/>
        <v>756000</v>
      </c>
    </row>
    <row r="7" spans="1:15" ht="17.25" x14ac:dyDescent="0.3">
      <c r="A7" s="28" t="s">
        <v>48</v>
      </c>
      <c r="B7" s="76">
        <v>2100</v>
      </c>
      <c r="C7" s="2"/>
      <c r="D7" s="119">
        <f t="shared" si="0"/>
        <v>0</v>
      </c>
      <c r="E7" s="68"/>
      <c r="F7" s="77">
        <v>2400</v>
      </c>
      <c r="G7" s="78"/>
      <c r="H7" s="70">
        <f>F7*G7/1000</f>
        <v>0</v>
      </c>
      <c r="K7" s="373" t="s">
        <v>52</v>
      </c>
      <c r="L7" s="374"/>
      <c r="M7" s="116">
        <v>2100</v>
      </c>
      <c r="N7" s="123">
        <f>G15</f>
        <v>360</v>
      </c>
      <c r="O7" s="115">
        <f t="shared" si="1"/>
        <v>756000</v>
      </c>
    </row>
    <row r="8" spans="1:15" ht="17.25" x14ac:dyDescent="0.3">
      <c r="A8" s="28" t="s">
        <v>48</v>
      </c>
      <c r="B8" s="76">
        <v>2400</v>
      </c>
      <c r="C8" s="2"/>
      <c r="D8" s="119">
        <f t="shared" si="0"/>
        <v>0</v>
      </c>
      <c r="E8" s="68"/>
      <c r="F8" s="75">
        <v>3000</v>
      </c>
      <c r="G8" s="2">
        <v>100</v>
      </c>
      <c r="H8" s="70">
        <f>F8*G8/1000</f>
        <v>300</v>
      </c>
      <c r="K8" s="377" t="s">
        <v>53</v>
      </c>
      <c r="L8" s="378"/>
      <c r="M8" s="116">
        <v>1050</v>
      </c>
      <c r="N8" s="123">
        <f>G20</f>
        <v>480</v>
      </c>
      <c r="O8" s="115">
        <f t="shared" si="1"/>
        <v>504000</v>
      </c>
    </row>
    <row r="9" spans="1:15" ht="17.25" x14ac:dyDescent="0.3">
      <c r="A9" s="28" t="s">
        <v>51</v>
      </c>
      <c r="B9" s="79">
        <v>300</v>
      </c>
      <c r="C9" s="2"/>
      <c r="D9" s="119">
        <f t="shared" si="0"/>
        <v>0</v>
      </c>
      <c r="E9" s="68"/>
      <c r="F9" s="103" t="s">
        <v>49</v>
      </c>
      <c r="G9" s="121">
        <f>SUM(H11:H15)</f>
        <v>540</v>
      </c>
      <c r="H9" s="70"/>
      <c r="K9" s="377" t="s">
        <v>55</v>
      </c>
      <c r="L9" s="378"/>
      <c r="M9" s="116">
        <v>1500</v>
      </c>
      <c r="N9" s="123">
        <f>G25</f>
        <v>810</v>
      </c>
      <c r="O9" s="115">
        <f t="shared" si="1"/>
        <v>1215000</v>
      </c>
    </row>
    <row r="10" spans="1:15" x14ac:dyDescent="0.3">
      <c r="A10" s="28" t="s">
        <v>51</v>
      </c>
      <c r="B10" s="80">
        <v>400</v>
      </c>
      <c r="C10" s="81"/>
      <c r="D10" s="119">
        <f t="shared" si="0"/>
        <v>0</v>
      </c>
      <c r="E10" s="68"/>
      <c r="F10" s="76">
        <v>1200</v>
      </c>
      <c r="G10" s="2"/>
      <c r="H10" s="70"/>
      <c r="K10" s="406" t="s">
        <v>54</v>
      </c>
      <c r="L10" s="406"/>
      <c r="M10" s="115">
        <v>250</v>
      </c>
      <c r="N10" s="69">
        <f>SUM(C23:C34)</f>
        <v>0</v>
      </c>
      <c r="O10" s="115">
        <f>N10*M10</f>
        <v>0</v>
      </c>
    </row>
    <row r="11" spans="1:15" x14ac:dyDescent="0.3">
      <c r="A11" s="28" t="s">
        <v>51</v>
      </c>
      <c r="B11" s="75">
        <v>450</v>
      </c>
      <c r="C11" s="2"/>
      <c r="D11" s="119">
        <f t="shared" si="0"/>
        <v>0</v>
      </c>
      <c r="E11" s="68"/>
      <c r="F11" s="76">
        <v>1800</v>
      </c>
      <c r="G11" s="2"/>
      <c r="H11" s="70">
        <f>F10*G10/1000</f>
        <v>0</v>
      </c>
      <c r="K11" s="407" t="s">
        <v>109</v>
      </c>
      <c r="L11" s="407"/>
      <c r="M11" s="115">
        <v>40</v>
      </c>
      <c r="N11" s="69">
        <f>G31</f>
        <v>0</v>
      </c>
      <c r="O11" s="115">
        <f>M11*N11</f>
        <v>0</v>
      </c>
    </row>
    <row r="12" spans="1:15" x14ac:dyDescent="0.3">
      <c r="A12" s="28" t="s">
        <v>51</v>
      </c>
      <c r="B12" s="75">
        <v>500</v>
      </c>
      <c r="C12" s="2"/>
      <c r="D12" s="119">
        <f t="shared" si="0"/>
        <v>0</v>
      </c>
      <c r="E12" s="68"/>
      <c r="F12" s="76">
        <v>2100</v>
      </c>
      <c r="G12" s="2"/>
      <c r="H12" s="70">
        <f>F11*G11/1000</f>
        <v>0</v>
      </c>
      <c r="K12" s="218"/>
      <c r="L12" s="218"/>
      <c r="N12" s="117" t="s">
        <v>36</v>
      </c>
      <c r="O12" s="115">
        <f>SUM(O3:O11)</f>
        <v>4071000</v>
      </c>
    </row>
    <row r="13" spans="1:15" x14ac:dyDescent="0.3">
      <c r="A13" s="28" t="s">
        <v>51</v>
      </c>
      <c r="B13" s="75">
        <v>600</v>
      </c>
      <c r="C13" s="2"/>
      <c r="D13" s="119">
        <f t="shared" si="0"/>
        <v>0</v>
      </c>
      <c r="E13" s="68"/>
      <c r="F13" s="77">
        <v>2400</v>
      </c>
      <c r="G13" s="78">
        <v>100</v>
      </c>
      <c r="H13" s="70">
        <f>F12*G12/1000</f>
        <v>0</v>
      </c>
      <c r="N13" s="117" t="s">
        <v>108</v>
      </c>
      <c r="O13" s="115">
        <f>O12*1.1</f>
        <v>4478100</v>
      </c>
    </row>
    <row r="14" spans="1:15" x14ac:dyDescent="0.3">
      <c r="A14" s="28" t="s">
        <v>51</v>
      </c>
      <c r="B14" s="75">
        <v>700</v>
      </c>
      <c r="C14" s="2"/>
      <c r="D14" s="119">
        <f t="shared" si="0"/>
        <v>0</v>
      </c>
      <c r="E14" s="68"/>
      <c r="F14" s="79">
        <v>3000</v>
      </c>
      <c r="G14" s="2">
        <v>100</v>
      </c>
      <c r="H14" s="70">
        <f>F13*G13/1000</f>
        <v>240</v>
      </c>
    </row>
    <row r="15" spans="1:15" x14ac:dyDescent="0.3">
      <c r="A15" s="28" t="s">
        <v>51</v>
      </c>
      <c r="B15" s="75">
        <v>800</v>
      </c>
      <c r="C15" s="85"/>
      <c r="D15" s="119">
        <f t="shared" si="0"/>
        <v>0</v>
      </c>
      <c r="E15" s="68"/>
      <c r="F15" s="103" t="s">
        <v>52</v>
      </c>
      <c r="G15" s="121">
        <f>SUM(H18:H21)</f>
        <v>360</v>
      </c>
      <c r="H15" s="70">
        <f>F14*G14/1000</f>
        <v>300</v>
      </c>
    </row>
    <row r="16" spans="1:15" x14ac:dyDescent="0.3">
      <c r="A16" s="28" t="s">
        <v>51</v>
      </c>
      <c r="B16" s="244">
        <v>900</v>
      </c>
      <c r="C16" s="2"/>
      <c r="D16" s="119">
        <f t="shared" si="0"/>
        <v>0</v>
      </c>
      <c r="E16" s="68"/>
      <c r="F16" s="76">
        <v>1800</v>
      </c>
      <c r="G16" s="2">
        <v>50</v>
      </c>
      <c r="H16" s="70"/>
      <c r="K16" s="204"/>
    </row>
    <row r="17" spans="1:14" x14ac:dyDescent="0.3">
      <c r="A17" s="28" t="s">
        <v>51</v>
      </c>
      <c r="B17" s="75">
        <v>1000</v>
      </c>
      <c r="C17" s="44"/>
      <c r="D17" s="119">
        <f t="shared" si="0"/>
        <v>0</v>
      </c>
      <c r="E17" s="68"/>
      <c r="F17" s="76">
        <v>2100</v>
      </c>
      <c r="G17" s="2"/>
    </row>
    <row r="18" spans="1:14" x14ac:dyDescent="0.3">
      <c r="A18" s="28" t="s">
        <v>51</v>
      </c>
      <c r="B18" s="75">
        <v>1100</v>
      </c>
      <c r="C18" s="2"/>
      <c r="D18" s="119">
        <f t="shared" si="0"/>
        <v>0</v>
      </c>
      <c r="E18" s="68" t="s">
        <v>130</v>
      </c>
      <c r="F18" s="77">
        <v>2400</v>
      </c>
      <c r="G18" s="78">
        <v>50</v>
      </c>
      <c r="H18" s="70">
        <f>F16*G16/1000</f>
        <v>90</v>
      </c>
    </row>
    <row r="19" spans="1:14" x14ac:dyDescent="0.3">
      <c r="A19" s="28" t="s">
        <v>50</v>
      </c>
      <c r="B19" s="75">
        <v>1200</v>
      </c>
      <c r="C19" s="2"/>
      <c r="D19" s="119">
        <f t="shared" si="0"/>
        <v>0</v>
      </c>
      <c r="E19" s="68"/>
      <c r="F19" s="79">
        <v>3000</v>
      </c>
      <c r="G19" s="2">
        <v>50</v>
      </c>
      <c r="H19" s="70">
        <f>F17*G17/1000</f>
        <v>0</v>
      </c>
    </row>
    <row r="20" spans="1:14" x14ac:dyDescent="0.3">
      <c r="A20" s="28" t="s">
        <v>51</v>
      </c>
      <c r="B20" s="75">
        <v>1300</v>
      </c>
      <c r="C20" s="2"/>
      <c r="D20" s="119">
        <f t="shared" si="0"/>
        <v>0</v>
      </c>
      <c r="E20" s="68"/>
      <c r="F20" s="104" t="s">
        <v>53</v>
      </c>
      <c r="G20" s="122">
        <f>SUM(H24:H27)</f>
        <v>480</v>
      </c>
      <c r="H20" s="70">
        <f>F18*G18/1000</f>
        <v>120</v>
      </c>
    </row>
    <row r="21" spans="1:14" x14ac:dyDescent="0.3">
      <c r="A21" s="28" t="s">
        <v>51</v>
      </c>
      <c r="B21" s="75">
        <v>1400</v>
      </c>
      <c r="C21" s="2"/>
      <c r="D21" s="119">
        <f t="shared" si="0"/>
        <v>0</v>
      </c>
      <c r="E21" s="68"/>
      <c r="F21" s="76">
        <v>1800</v>
      </c>
      <c r="G21" s="2">
        <v>100</v>
      </c>
      <c r="H21" s="70">
        <f>F19*G19/1000</f>
        <v>150</v>
      </c>
    </row>
    <row r="22" spans="1:14" x14ac:dyDescent="0.3">
      <c r="A22" s="28" t="s">
        <v>51</v>
      </c>
      <c r="B22" s="75">
        <v>1500</v>
      </c>
      <c r="C22" s="2"/>
      <c r="D22" s="119">
        <f t="shared" si="0"/>
        <v>0</v>
      </c>
      <c r="E22" s="68"/>
      <c r="F22" s="76">
        <v>2100</v>
      </c>
      <c r="G22" s="2"/>
      <c r="H22" s="70"/>
    </row>
    <row r="23" spans="1:14" x14ac:dyDescent="0.3">
      <c r="A23" s="83" t="s">
        <v>54</v>
      </c>
      <c r="B23" s="84">
        <v>300</v>
      </c>
      <c r="C23" s="2"/>
      <c r="D23" s="119">
        <f t="shared" si="0"/>
        <v>0</v>
      </c>
      <c r="E23" s="68"/>
      <c r="F23" s="76">
        <v>2400</v>
      </c>
      <c r="G23" s="2"/>
    </row>
    <row r="24" spans="1:14" x14ac:dyDescent="0.3">
      <c r="A24" s="83" t="s">
        <v>54</v>
      </c>
      <c r="B24" s="84">
        <v>400</v>
      </c>
      <c r="C24" s="2"/>
      <c r="D24" s="119">
        <f t="shared" si="0"/>
        <v>0</v>
      </c>
      <c r="E24" s="82"/>
      <c r="F24" s="77">
        <v>3000</v>
      </c>
      <c r="G24" s="78">
        <v>100</v>
      </c>
      <c r="H24" s="70">
        <f>F21*G21/1000</f>
        <v>180</v>
      </c>
    </row>
    <row r="25" spans="1:14" x14ac:dyDescent="0.3">
      <c r="A25" s="83" t="s">
        <v>54</v>
      </c>
      <c r="B25" s="84">
        <v>450</v>
      </c>
      <c r="C25" s="2"/>
      <c r="D25" s="119">
        <f t="shared" si="0"/>
        <v>0</v>
      </c>
      <c r="F25" s="104" t="s">
        <v>55</v>
      </c>
      <c r="G25" s="122">
        <f>SUM(H30:H33)</f>
        <v>810</v>
      </c>
      <c r="H25" s="70">
        <f>F22*G22/1000</f>
        <v>0</v>
      </c>
      <c r="N25" s="115"/>
    </row>
    <row r="26" spans="1:14" x14ac:dyDescent="0.3">
      <c r="A26" s="83" t="s">
        <v>17</v>
      </c>
      <c r="B26" s="84">
        <v>500</v>
      </c>
      <c r="C26" s="2"/>
      <c r="D26" s="119">
        <f t="shared" si="0"/>
        <v>0</v>
      </c>
      <c r="F26" s="76">
        <v>1800</v>
      </c>
      <c r="G26" s="2">
        <v>100</v>
      </c>
      <c r="H26" s="70">
        <f>F23*G23/1000</f>
        <v>0</v>
      </c>
    </row>
    <row r="27" spans="1:14" x14ac:dyDescent="0.3">
      <c r="A27" s="83" t="s">
        <v>54</v>
      </c>
      <c r="B27" s="84">
        <v>600</v>
      </c>
      <c r="C27" s="2"/>
      <c r="D27" s="119">
        <f t="shared" si="0"/>
        <v>0</v>
      </c>
      <c r="F27" s="76">
        <v>2100</v>
      </c>
      <c r="G27" s="2"/>
      <c r="H27" s="70">
        <f>F24*G24/1000</f>
        <v>300</v>
      </c>
    </row>
    <row r="28" spans="1:14" x14ac:dyDescent="0.3">
      <c r="A28" s="105" t="s">
        <v>180</v>
      </c>
      <c r="B28" s="106"/>
      <c r="C28" s="120">
        <f>SUM(D29:D34)</f>
        <v>0</v>
      </c>
      <c r="F28" s="76">
        <v>2400</v>
      </c>
      <c r="G28" s="2">
        <v>200</v>
      </c>
      <c r="H28" s="70"/>
    </row>
    <row r="29" spans="1:14" x14ac:dyDescent="0.3">
      <c r="A29" s="113" t="s">
        <v>58</v>
      </c>
      <c r="B29" s="84">
        <v>700</v>
      </c>
      <c r="C29" s="2"/>
      <c r="D29" s="119">
        <f>B29*C29/1000</f>
        <v>0</v>
      </c>
      <c r="F29" s="77">
        <v>3000</v>
      </c>
      <c r="G29" s="78">
        <v>50</v>
      </c>
    </row>
    <row r="30" spans="1:14" x14ac:dyDescent="0.3">
      <c r="A30" s="113" t="s">
        <v>58</v>
      </c>
      <c r="B30" s="86">
        <v>800</v>
      </c>
      <c r="C30" s="87"/>
      <c r="D30" s="119">
        <f t="shared" ref="D30:D34" si="2">B30*C30/1000</f>
        <v>0</v>
      </c>
      <c r="H30" s="70">
        <f>F26*G26/1000</f>
        <v>180</v>
      </c>
      <c r="I30" s="70" t="s">
        <v>114</v>
      </c>
    </row>
    <row r="31" spans="1:14" x14ac:dyDescent="0.3">
      <c r="A31" s="113" t="s">
        <v>179</v>
      </c>
      <c r="B31" s="84">
        <v>900</v>
      </c>
      <c r="C31" s="2"/>
      <c r="D31" s="119">
        <f t="shared" si="2"/>
        <v>0</v>
      </c>
      <c r="E31" s="68"/>
      <c r="F31" s="212" t="s">
        <v>107</v>
      </c>
      <c r="G31" s="211"/>
      <c r="H31" s="70">
        <f>F27*G27/1000</f>
        <v>0</v>
      </c>
      <c r="I31"/>
    </row>
    <row r="32" spans="1:14" x14ac:dyDescent="0.3">
      <c r="A32" s="113" t="s">
        <v>179</v>
      </c>
      <c r="B32" s="84">
        <v>1000</v>
      </c>
      <c r="C32" s="2"/>
      <c r="D32" s="119">
        <f t="shared" si="2"/>
        <v>0</v>
      </c>
      <c r="H32" s="70">
        <f>F28*G28/1000</f>
        <v>480</v>
      </c>
    </row>
    <row r="33" spans="1:9" x14ac:dyDescent="0.3">
      <c r="A33" s="113" t="s">
        <v>179</v>
      </c>
      <c r="B33" s="84">
        <v>1100</v>
      </c>
      <c r="C33" s="2"/>
      <c r="D33" s="119">
        <f t="shared" si="2"/>
        <v>0</v>
      </c>
      <c r="H33" s="70">
        <f>F29*G29/1000</f>
        <v>150</v>
      </c>
    </row>
    <row r="34" spans="1:9" ht="17.25" thickBot="1" x14ac:dyDescent="0.35">
      <c r="A34" s="113" t="s">
        <v>179</v>
      </c>
      <c r="B34" s="84">
        <v>1200</v>
      </c>
      <c r="C34" s="2"/>
      <c r="D34" s="119">
        <f t="shared" si="2"/>
        <v>0</v>
      </c>
    </row>
    <row r="35" spans="1:9" ht="20.25" x14ac:dyDescent="0.3">
      <c r="A35" s="110"/>
      <c r="B35" s="286" t="s">
        <v>62</v>
      </c>
      <c r="C35" s="90"/>
      <c r="D35" s="91"/>
      <c r="E35" s="90"/>
      <c r="F35" s="107"/>
      <c r="G35" s="89"/>
      <c r="H35" s="89"/>
      <c r="I35" s="92"/>
    </row>
    <row r="36" spans="1:9" x14ac:dyDescent="0.3">
      <c r="A36" s="93"/>
      <c r="B36" s="109" t="s">
        <v>132</v>
      </c>
      <c r="C36" s="71"/>
      <c r="D36" s="94"/>
      <c r="E36" s="73"/>
      <c r="F36" s="74"/>
      <c r="G36" s="72"/>
      <c r="H36" s="72"/>
      <c r="I36" s="96"/>
    </row>
    <row r="37" spans="1:9" x14ac:dyDescent="0.3">
      <c r="A37" s="108"/>
      <c r="B37" s="109"/>
      <c r="C37" s="71"/>
      <c r="D37" s="94"/>
      <c r="E37" s="95"/>
      <c r="F37" s="71"/>
      <c r="G37" s="72"/>
      <c r="H37" s="72"/>
      <c r="I37" s="96"/>
    </row>
    <row r="38" spans="1:9" x14ac:dyDescent="0.3">
      <c r="A38" s="93"/>
      <c r="B38" s="72"/>
      <c r="C38" s="71"/>
      <c r="D38" s="94"/>
      <c r="E38" s="95"/>
      <c r="F38" s="71"/>
      <c r="G38" s="72"/>
      <c r="H38" s="72"/>
      <c r="I38" s="96"/>
    </row>
    <row r="39" spans="1:9" x14ac:dyDescent="0.3">
      <c r="A39" s="93"/>
      <c r="B39" s="72"/>
      <c r="C39" s="71"/>
      <c r="D39" s="94"/>
      <c r="E39" s="95"/>
      <c r="F39" s="71"/>
      <c r="G39" s="72"/>
      <c r="H39" s="72"/>
      <c r="I39" s="96"/>
    </row>
    <row r="40" spans="1:9" x14ac:dyDescent="0.3">
      <c r="A40" s="93"/>
      <c r="B40" s="285"/>
      <c r="C40" s="71"/>
      <c r="D40" s="94"/>
      <c r="E40" s="95"/>
      <c r="F40" s="71"/>
      <c r="G40" s="72"/>
      <c r="H40" s="72"/>
      <c r="I40" s="96"/>
    </row>
    <row r="41" spans="1:9" x14ac:dyDescent="0.3">
      <c r="A41" s="93"/>
      <c r="B41" s="109"/>
      <c r="C41" s="71"/>
      <c r="D41" s="94"/>
      <c r="E41" s="95"/>
      <c r="F41" s="71"/>
      <c r="G41" s="72"/>
      <c r="H41" s="72"/>
      <c r="I41" s="96"/>
    </row>
    <row r="42" spans="1:9" ht="17.25" thickBot="1" x14ac:dyDescent="0.35">
      <c r="A42" s="97"/>
      <c r="B42" s="166"/>
      <c r="C42" s="99"/>
      <c r="D42" s="100"/>
      <c r="E42" s="101"/>
      <c r="F42" s="99"/>
      <c r="G42" s="98"/>
      <c r="H42" s="98"/>
      <c r="I42" s="102"/>
    </row>
    <row r="43" spans="1:9" x14ac:dyDescent="0.3">
      <c r="A43" s="72"/>
      <c r="B43" s="72"/>
      <c r="C43" s="71"/>
      <c r="D43" s="94"/>
      <c r="E43" s="95"/>
      <c r="F43" s="71"/>
      <c r="G43" s="72"/>
      <c r="H43" s="72"/>
      <c r="I43" s="95"/>
    </row>
  </sheetData>
  <mergeCells count="2">
    <mergeCell ref="K10:L10"/>
    <mergeCell ref="K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43"/>
  <sheetViews>
    <sheetView topLeftCell="A10" zoomScale="85" zoomScaleNormal="85" workbookViewId="0">
      <selection activeCell="X27" sqref="X27"/>
    </sheetView>
  </sheetViews>
  <sheetFormatPr defaultRowHeight="16.5" x14ac:dyDescent="0.3"/>
  <cols>
    <col min="2" max="2" width="15.125" customWidth="1"/>
    <col min="3" max="3" width="13" style="68" customWidth="1"/>
    <col min="4" max="4" width="15.5" style="69" customWidth="1"/>
    <col min="5" max="5" width="14.125" style="70" customWidth="1"/>
    <col min="6" max="6" width="10.25" style="68" customWidth="1"/>
    <col min="7" max="7" width="8.625" customWidth="1"/>
    <col min="8" max="8" width="10.375" customWidth="1"/>
    <col min="9" max="9" width="13.25" style="70" customWidth="1"/>
    <col min="10" max="10" width="13" customWidth="1"/>
    <col min="11" max="11" width="11.375" customWidth="1"/>
    <col min="12" max="12" width="10" style="170" bestFit="1" customWidth="1"/>
    <col min="13" max="13" width="14.25" customWidth="1"/>
    <col min="14" max="14" width="9.875" bestFit="1" customWidth="1"/>
    <col min="15" max="15" width="9.125" bestFit="1" customWidth="1"/>
    <col min="16" max="16" width="14.25" bestFit="1" customWidth="1"/>
  </cols>
  <sheetData>
    <row r="1" spans="1:16" ht="17.25" x14ac:dyDescent="0.3">
      <c r="A1" s="112"/>
      <c r="B1" s="68"/>
      <c r="C1"/>
      <c r="D1" s="70"/>
      <c r="F1" s="71"/>
      <c r="G1" s="72"/>
      <c r="H1" s="70"/>
    </row>
    <row r="2" spans="1:16" ht="18" thickBot="1" x14ac:dyDescent="0.35">
      <c r="A2" s="111" t="s">
        <v>76</v>
      </c>
      <c r="B2" s="68"/>
      <c r="C2" s="109"/>
      <c r="D2" s="70"/>
      <c r="F2" s="73"/>
      <c r="G2" s="74"/>
      <c r="H2" s="70"/>
      <c r="J2" s="171"/>
    </row>
    <row r="3" spans="1:16" ht="17.25" thickBot="1" x14ac:dyDescent="0.35">
      <c r="A3" s="74"/>
      <c r="B3" s="172"/>
      <c r="C3" s="70"/>
      <c r="D3" s="70"/>
      <c r="E3"/>
      <c r="F3" s="173" t="s">
        <v>77</v>
      </c>
      <c r="G3" s="174" t="s">
        <v>78</v>
      </c>
      <c r="H3" s="175" t="s">
        <v>79</v>
      </c>
      <c r="I3" s="176" t="s">
        <v>80</v>
      </c>
      <c r="L3"/>
    </row>
    <row r="4" spans="1:16" x14ac:dyDescent="0.3">
      <c r="A4" s="103" t="s">
        <v>81</v>
      </c>
      <c r="B4" s="121">
        <f>SUM(C5:C8)</f>
        <v>0</v>
      </c>
      <c r="C4" s="214">
        <v>1000</v>
      </c>
      <c r="F4" s="408" t="s">
        <v>82</v>
      </c>
      <c r="G4" s="409"/>
      <c r="H4" s="410"/>
      <c r="I4" s="178"/>
      <c r="L4"/>
    </row>
    <row r="5" spans="1:16" x14ac:dyDescent="0.3">
      <c r="A5" s="76">
        <v>1800</v>
      </c>
      <c r="B5" s="2"/>
      <c r="C5" s="213">
        <f>A5*B5/1000</f>
        <v>0</v>
      </c>
      <c r="D5" s="179"/>
      <c r="F5" s="27" t="s">
        <v>83</v>
      </c>
      <c r="G5" s="180"/>
      <c r="H5" s="181">
        <v>20</v>
      </c>
      <c r="I5" s="182">
        <f>G5*H5</f>
        <v>0</v>
      </c>
      <c r="L5"/>
    </row>
    <row r="6" spans="1:16" x14ac:dyDescent="0.3">
      <c r="A6" s="76">
        <v>2100</v>
      </c>
      <c r="B6" s="2"/>
      <c r="C6" s="213">
        <f>A6*B6/1000</f>
        <v>0</v>
      </c>
      <c r="D6" s="179"/>
      <c r="F6" s="27" t="s">
        <v>84</v>
      </c>
      <c r="G6" s="180"/>
      <c r="H6" s="181">
        <v>30</v>
      </c>
      <c r="I6" s="182">
        <f>G6*H6</f>
        <v>0</v>
      </c>
      <c r="L6"/>
    </row>
    <row r="7" spans="1:16" x14ac:dyDescent="0.3">
      <c r="A7" s="77">
        <v>2400</v>
      </c>
      <c r="B7" s="78"/>
      <c r="C7" s="213">
        <f>A7*B7/1000</f>
        <v>0</v>
      </c>
      <c r="D7" s="179"/>
      <c r="F7" s="27" t="s">
        <v>85</v>
      </c>
      <c r="G7" s="180"/>
      <c r="H7" s="181">
        <v>30</v>
      </c>
      <c r="I7" s="182">
        <f t="shared" ref="I7:I28" si="0">G7*H7</f>
        <v>0</v>
      </c>
      <c r="L7"/>
    </row>
    <row r="8" spans="1:16" ht="17.25" thickBot="1" x14ac:dyDescent="0.35">
      <c r="A8" s="75">
        <v>3000</v>
      </c>
      <c r="B8" s="2"/>
      <c r="C8" s="213">
        <f>A8*B8/1000</f>
        <v>0</v>
      </c>
      <c r="D8" s="179"/>
      <c r="F8" s="183"/>
      <c r="G8" s="184"/>
      <c r="H8" s="185"/>
      <c r="I8" s="186">
        <f t="shared" si="0"/>
        <v>0</v>
      </c>
      <c r="L8"/>
    </row>
    <row r="9" spans="1:16" x14ac:dyDescent="0.3">
      <c r="C9" s="70"/>
      <c r="D9" s="179"/>
      <c r="F9" s="408" t="s">
        <v>86</v>
      </c>
      <c r="G9" s="409"/>
      <c r="H9" s="410"/>
      <c r="I9" s="178">
        <f t="shared" si="0"/>
        <v>0</v>
      </c>
      <c r="L9"/>
    </row>
    <row r="10" spans="1:16" x14ac:dyDescent="0.3">
      <c r="A10" s="103" t="s">
        <v>87</v>
      </c>
      <c r="B10" s="121">
        <f>SUM(C11:C15)</f>
        <v>0</v>
      </c>
      <c r="C10" s="214">
        <v>1250</v>
      </c>
      <c r="F10" s="187" t="s">
        <v>88</v>
      </c>
      <c r="G10" s="180"/>
      <c r="H10" s="181">
        <v>100</v>
      </c>
      <c r="I10" s="182">
        <f t="shared" si="0"/>
        <v>0</v>
      </c>
      <c r="L10"/>
    </row>
    <row r="11" spans="1:16" x14ac:dyDescent="0.3">
      <c r="A11" s="76">
        <v>1200</v>
      </c>
      <c r="B11" s="2"/>
      <c r="C11" s="213">
        <f>A11*B11/1000</f>
        <v>0</v>
      </c>
      <c r="D11" s="179"/>
      <c r="F11" s="27" t="s">
        <v>89</v>
      </c>
      <c r="G11" s="180"/>
      <c r="H11" s="181">
        <v>70</v>
      </c>
      <c r="I11" s="182">
        <f t="shared" si="0"/>
        <v>0</v>
      </c>
      <c r="L11"/>
    </row>
    <row r="12" spans="1:16" x14ac:dyDescent="0.3">
      <c r="A12" s="76">
        <v>1800</v>
      </c>
      <c r="B12" s="2"/>
      <c r="C12" s="213">
        <f>A12*B12/1000</f>
        <v>0</v>
      </c>
      <c r="D12" s="179"/>
      <c r="F12" s="27" t="s">
        <v>90</v>
      </c>
      <c r="G12" s="180"/>
      <c r="H12" s="181">
        <v>220</v>
      </c>
      <c r="I12" s="182">
        <f t="shared" si="0"/>
        <v>0</v>
      </c>
      <c r="L12"/>
    </row>
    <row r="13" spans="1:16" x14ac:dyDescent="0.3">
      <c r="A13" s="76">
        <v>2100</v>
      </c>
      <c r="B13" s="2"/>
      <c r="C13" s="213">
        <f>A13*B13/1000</f>
        <v>0</v>
      </c>
      <c r="D13" s="179"/>
      <c r="F13" s="27" t="s">
        <v>91</v>
      </c>
      <c r="G13" s="180"/>
      <c r="H13" s="181">
        <v>200</v>
      </c>
      <c r="I13" s="182">
        <f t="shared" si="0"/>
        <v>0</v>
      </c>
      <c r="L13"/>
    </row>
    <row r="14" spans="1:16" ht="17.25" thickBot="1" x14ac:dyDescent="0.35">
      <c r="A14" s="77">
        <v>2400</v>
      </c>
      <c r="B14" s="78"/>
      <c r="C14" s="213">
        <f>A14*B14/1000</f>
        <v>0</v>
      </c>
      <c r="D14" s="179"/>
      <c r="F14" s="30"/>
      <c r="G14" s="188"/>
      <c r="H14" s="189"/>
      <c r="I14" s="190">
        <f t="shared" si="0"/>
        <v>0</v>
      </c>
      <c r="L14"/>
    </row>
    <row r="15" spans="1:16" x14ac:dyDescent="0.3">
      <c r="A15" s="79">
        <v>3000</v>
      </c>
      <c r="B15" s="217"/>
      <c r="C15" s="213">
        <f>A15*B15/1000</f>
        <v>0</v>
      </c>
      <c r="D15" s="179"/>
      <c r="F15" s="408" t="s">
        <v>92</v>
      </c>
      <c r="G15" s="409"/>
      <c r="H15" s="410"/>
      <c r="I15" s="191">
        <f t="shared" si="0"/>
        <v>0</v>
      </c>
      <c r="L15" t="s">
        <v>203</v>
      </c>
      <c r="M15" t="s">
        <v>202</v>
      </c>
      <c r="N15" t="s">
        <v>201</v>
      </c>
      <c r="O15" t="s">
        <v>210</v>
      </c>
      <c r="P15" t="s">
        <v>211</v>
      </c>
    </row>
    <row r="16" spans="1:16" x14ac:dyDescent="0.3">
      <c r="A16" s="103" t="s">
        <v>93</v>
      </c>
      <c r="B16" s="121">
        <f>SUM(C17:C20)</f>
        <v>0</v>
      </c>
      <c r="C16" s="214">
        <v>2000</v>
      </c>
      <c r="F16" s="192">
        <v>420</v>
      </c>
      <c r="G16" s="180"/>
      <c r="H16" s="181">
        <v>50</v>
      </c>
      <c r="I16" s="182">
        <f t="shared" si="0"/>
        <v>0</v>
      </c>
      <c r="L16" s="404">
        <v>44249</v>
      </c>
      <c r="M16" t="s">
        <v>205</v>
      </c>
      <c r="N16">
        <v>2</v>
      </c>
      <c r="O16" s="1">
        <v>22500</v>
      </c>
      <c r="P16" s="1">
        <f>N16*O16</f>
        <v>45000</v>
      </c>
    </row>
    <row r="17" spans="1:16" x14ac:dyDescent="0.3">
      <c r="A17" s="76">
        <v>1800</v>
      </c>
      <c r="B17" s="2"/>
      <c r="C17" s="213">
        <f>A17*B17/1000</f>
        <v>0</v>
      </c>
      <c r="D17" s="179"/>
      <c r="F17" s="192">
        <v>620</v>
      </c>
      <c r="G17" s="180"/>
      <c r="H17" s="181">
        <v>100</v>
      </c>
      <c r="I17" s="182">
        <f t="shared" si="0"/>
        <v>0</v>
      </c>
      <c r="L17" s="404">
        <v>44253</v>
      </c>
      <c r="M17" t="s">
        <v>206</v>
      </c>
      <c r="N17">
        <v>5</v>
      </c>
      <c r="O17" s="1">
        <v>19000</v>
      </c>
      <c r="P17" s="1">
        <f t="shared" ref="P17:P28" si="1">N17*O17</f>
        <v>95000</v>
      </c>
    </row>
    <row r="18" spans="1:16" x14ac:dyDescent="0.3">
      <c r="A18" s="76">
        <v>2100</v>
      </c>
      <c r="B18" s="2"/>
      <c r="C18" s="213">
        <f>A18*B18/1000</f>
        <v>0</v>
      </c>
      <c r="D18" s="179"/>
      <c r="F18" s="192">
        <v>630</v>
      </c>
      <c r="G18" s="180"/>
      <c r="H18" s="181">
        <v>200</v>
      </c>
      <c r="I18" s="182">
        <f t="shared" si="0"/>
        <v>0</v>
      </c>
      <c r="L18" s="404">
        <v>44255</v>
      </c>
      <c r="M18" t="s">
        <v>205</v>
      </c>
      <c r="N18">
        <v>5</v>
      </c>
      <c r="O18" s="1">
        <v>22500</v>
      </c>
      <c r="P18" s="1">
        <f t="shared" si="1"/>
        <v>112500</v>
      </c>
    </row>
    <row r="19" spans="1:16" ht="17.25" thickBot="1" x14ac:dyDescent="0.35">
      <c r="A19" s="77">
        <v>2400</v>
      </c>
      <c r="B19" s="78"/>
      <c r="C19" s="213">
        <f>A19*B19/1000</f>
        <v>0</v>
      </c>
      <c r="D19" s="179"/>
      <c r="F19" s="183" t="s">
        <v>94</v>
      </c>
      <c r="G19" s="184"/>
      <c r="H19" s="185">
        <v>100</v>
      </c>
      <c r="I19" s="186">
        <f t="shared" si="0"/>
        <v>0</v>
      </c>
      <c r="L19" s="404">
        <v>44256</v>
      </c>
      <c r="M19" t="s">
        <v>206</v>
      </c>
      <c r="N19">
        <v>6</v>
      </c>
      <c r="O19" s="1">
        <v>19000</v>
      </c>
      <c r="P19" s="1">
        <f t="shared" si="1"/>
        <v>114000</v>
      </c>
    </row>
    <row r="20" spans="1:16" x14ac:dyDescent="0.3">
      <c r="A20" s="79">
        <v>3000</v>
      </c>
      <c r="B20" s="2"/>
      <c r="C20" s="213">
        <f>A20*B20/1000</f>
        <v>0</v>
      </c>
      <c r="D20" s="179"/>
      <c r="F20" s="408" t="s">
        <v>95</v>
      </c>
      <c r="G20" s="409"/>
      <c r="H20" s="410"/>
      <c r="I20" s="178">
        <f t="shared" si="0"/>
        <v>0</v>
      </c>
      <c r="L20" s="404">
        <v>44257</v>
      </c>
      <c r="M20" t="s">
        <v>204</v>
      </c>
      <c r="N20">
        <v>13</v>
      </c>
      <c r="O20" s="1">
        <v>14500</v>
      </c>
      <c r="P20" s="1">
        <f t="shared" si="1"/>
        <v>188500</v>
      </c>
    </row>
    <row r="21" spans="1:16" x14ac:dyDescent="0.3">
      <c r="A21" s="68"/>
      <c r="C21" s="70"/>
      <c r="D21" s="179"/>
      <c r="F21" s="27" t="s">
        <v>96</v>
      </c>
      <c r="G21" s="180"/>
      <c r="H21" s="181">
        <v>12500</v>
      </c>
      <c r="I21" s="182">
        <f t="shared" si="0"/>
        <v>0</v>
      </c>
      <c r="L21" s="404">
        <v>44258</v>
      </c>
      <c r="M21" t="s">
        <v>205</v>
      </c>
      <c r="N21">
        <v>2</v>
      </c>
      <c r="O21" s="1">
        <v>22500</v>
      </c>
      <c r="P21" s="1">
        <f t="shared" si="1"/>
        <v>45000</v>
      </c>
    </row>
    <row r="22" spans="1:16" x14ac:dyDescent="0.3">
      <c r="A22" s="104" t="s">
        <v>97</v>
      </c>
      <c r="B22" s="122">
        <f>SUM(C23:C26)</f>
        <v>0</v>
      </c>
      <c r="C22" s="215">
        <v>1050</v>
      </c>
      <c r="F22" s="27" t="s">
        <v>98</v>
      </c>
      <c r="G22" s="180">
        <v>2</v>
      </c>
      <c r="H22" s="181">
        <v>14500</v>
      </c>
      <c r="I22" s="182">
        <f t="shared" si="0"/>
        <v>29000</v>
      </c>
      <c r="L22" s="404">
        <v>44258</v>
      </c>
      <c r="M22" t="s">
        <v>204</v>
      </c>
      <c r="N22">
        <v>3</v>
      </c>
      <c r="O22" s="1">
        <v>14500</v>
      </c>
      <c r="P22" s="1">
        <f t="shared" si="1"/>
        <v>43500</v>
      </c>
    </row>
    <row r="23" spans="1:16" x14ac:dyDescent="0.3">
      <c r="A23" s="76">
        <v>1800</v>
      </c>
      <c r="B23" s="2"/>
      <c r="C23" s="213">
        <f>A23*B23/1000</f>
        <v>0</v>
      </c>
      <c r="D23" s="179"/>
      <c r="F23" s="27"/>
      <c r="G23" s="180"/>
      <c r="H23" s="181"/>
      <c r="I23" s="182">
        <f t="shared" si="0"/>
        <v>0</v>
      </c>
      <c r="L23" s="404">
        <v>44259</v>
      </c>
      <c r="M23" t="s">
        <v>205</v>
      </c>
      <c r="N23">
        <v>5</v>
      </c>
      <c r="O23" s="1">
        <v>22500</v>
      </c>
      <c r="P23" s="1">
        <f t="shared" si="1"/>
        <v>112500</v>
      </c>
    </row>
    <row r="24" spans="1:16" x14ac:dyDescent="0.3">
      <c r="A24" s="76">
        <v>2100</v>
      </c>
      <c r="B24" s="2"/>
      <c r="C24" s="213">
        <f>A24*B24/1000</f>
        <v>0</v>
      </c>
      <c r="D24" s="70"/>
      <c r="F24" s="27" t="s">
        <v>99</v>
      </c>
      <c r="G24" s="180"/>
      <c r="H24" s="181">
        <v>15000</v>
      </c>
      <c r="I24" s="182">
        <f t="shared" si="0"/>
        <v>0</v>
      </c>
      <c r="L24" s="404">
        <v>44260</v>
      </c>
      <c r="M24" t="s">
        <v>206</v>
      </c>
      <c r="N24">
        <v>1</v>
      </c>
      <c r="O24" s="1">
        <v>19000</v>
      </c>
      <c r="P24" s="1">
        <f t="shared" si="1"/>
        <v>19000</v>
      </c>
    </row>
    <row r="25" spans="1:16" x14ac:dyDescent="0.3">
      <c r="A25" s="76">
        <v>2400</v>
      </c>
      <c r="B25" s="2"/>
      <c r="C25" s="213">
        <f>A25*B25/1000</f>
        <v>0</v>
      </c>
      <c r="D25" s="179"/>
      <c r="F25" s="27" t="s">
        <v>100</v>
      </c>
      <c r="G25" s="180"/>
      <c r="H25" s="181">
        <v>17000</v>
      </c>
      <c r="I25" s="182">
        <f t="shared" si="0"/>
        <v>0</v>
      </c>
      <c r="L25" s="404">
        <v>44260</v>
      </c>
      <c r="M25" t="s">
        <v>207</v>
      </c>
      <c r="N25">
        <v>4</v>
      </c>
      <c r="O25" s="1">
        <v>17000</v>
      </c>
      <c r="P25" s="1">
        <f t="shared" si="1"/>
        <v>68000</v>
      </c>
    </row>
    <row r="26" spans="1:16" x14ac:dyDescent="0.3">
      <c r="A26" s="77">
        <v>3000</v>
      </c>
      <c r="B26" s="78"/>
      <c r="C26" s="213">
        <f>A26*B26/1000</f>
        <v>0</v>
      </c>
      <c r="D26" s="179"/>
      <c r="F26" s="27"/>
      <c r="G26" s="180"/>
      <c r="H26" s="181"/>
      <c r="I26" s="182">
        <f t="shared" si="0"/>
        <v>0</v>
      </c>
      <c r="L26" s="404">
        <v>44262</v>
      </c>
      <c r="M26" t="s">
        <v>208</v>
      </c>
      <c r="N26">
        <v>2</v>
      </c>
      <c r="O26" s="1">
        <v>21500</v>
      </c>
      <c r="P26" s="1">
        <f t="shared" si="1"/>
        <v>43000</v>
      </c>
    </row>
    <row r="27" spans="1:16" x14ac:dyDescent="0.3">
      <c r="A27" s="68"/>
      <c r="C27" s="70"/>
      <c r="D27" s="179"/>
      <c r="F27" s="27" t="s">
        <v>101</v>
      </c>
      <c r="G27" s="180"/>
      <c r="H27" s="181">
        <v>21000</v>
      </c>
      <c r="I27" s="182">
        <f t="shared" si="0"/>
        <v>0</v>
      </c>
      <c r="L27" s="404">
        <v>44270</v>
      </c>
      <c r="M27" t="s">
        <v>208</v>
      </c>
      <c r="N27">
        <v>9</v>
      </c>
      <c r="O27" s="1">
        <v>21500</v>
      </c>
      <c r="P27" s="1">
        <f t="shared" si="1"/>
        <v>193500</v>
      </c>
    </row>
    <row r="28" spans="1:16" ht="17.25" thickBot="1" x14ac:dyDescent="0.35">
      <c r="A28" s="104" t="s">
        <v>102</v>
      </c>
      <c r="B28" s="122">
        <f>SUM(C29:C32)</f>
        <v>0</v>
      </c>
      <c r="C28" s="215">
        <v>1350</v>
      </c>
      <c r="F28" s="30" t="s">
        <v>103</v>
      </c>
      <c r="G28" s="188"/>
      <c r="H28" s="189">
        <v>25000</v>
      </c>
      <c r="I28" s="190">
        <f t="shared" si="0"/>
        <v>0</v>
      </c>
      <c r="L28" s="404">
        <v>44270</v>
      </c>
      <c r="M28" t="s">
        <v>209</v>
      </c>
      <c r="N28">
        <v>15</v>
      </c>
      <c r="O28" s="1">
        <v>20500</v>
      </c>
      <c r="P28" s="1">
        <f t="shared" si="1"/>
        <v>307500</v>
      </c>
    </row>
    <row r="29" spans="1:16" ht="17.25" thickBot="1" x14ac:dyDescent="0.35">
      <c r="A29" s="76">
        <v>1800</v>
      </c>
      <c r="B29" s="2"/>
      <c r="C29" s="213">
        <f>A29*B29/1000</f>
        <v>0</v>
      </c>
      <c r="D29" s="177"/>
      <c r="E29" s="179"/>
      <c r="F29" s="70"/>
      <c r="H29" s="195" t="s">
        <v>111</v>
      </c>
      <c r="I29" s="196">
        <f>SUM(I4:I28)</f>
        <v>29000</v>
      </c>
      <c r="J29" s="114"/>
      <c r="L29"/>
      <c r="O29" s="1"/>
      <c r="P29" s="1"/>
    </row>
    <row r="30" spans="1:16" x14ac:dyDescent="0.3">
      <c r="A30" s="76">
        <v>2100</v>
      </c>
      <c r="B30" s="2"/>
      <c r="C30" s="213">
        <f>A30*B30/1000</f>
        <v>0</v>
      </c>
      <c r="D30" s="177"/>
      <c r="E30" s="179"/>
      <c r="F30"/>
      <c r="I30"/>
      <c r="L30"/>
      <c r="O30" s="1" t="s">
        <v>212</v>
      </c>
      <c r="P30" s="1">
        <f>SUM(P16:P28)</f>
        <v>1387000</v>
      </c>
    </row>
    <row r="31" spans="1:16" x14ac:dyDescent="0.3">
      <c r="A31" s="76">
        <v>2400</v>
      </c>
      <c r="B31" s="2"/>
      <c r="C31" s="213">
        <f>A31*B31/1000</f>
        <v>0</v>
      </c>
      <c r="D31" s="177"/>
      <c r="E31" s="179"/>
      <c r="F31"/>
      <c r="I31"/>
      <c r="L31"/>
      <c r="O31" t="s">
        <v>213</v>
      </c>
      <c r="P31" s="405">
        <f>P30*1.1</f>
        <v>1525700.0000000002</v>
      </c>
    </row>
    <row r="32" spans="1:16" ht="17.25" thickBot="1" x14ac:dyDescent="0.35">
      <c r="A32" s="193">
        <v>3000</v>
      </c>
      <c r="B32" s="194"/>
      <c r="C32" s="213">
        <f>A32*B32/1000</f>
        <v>0</v>
      </c>
      <c r="D32" s="70"/>
      <c r="E32" s="170"/>
      <c r="F32"/>
      <c r="I32"/>
      <c r="L32"/>
    </row>
    <row r="33" spans="1:12" ht="17.25" thickBot="1" x14ac:dyDescent="0.35">
      <c r="A33" s="195" t="s">
        <v>110</v>
      </c>
      <c r="B33" s="216">
        <f>(B4*C4)+(B10*C10)+(B16*C16)+(B22*C22)+(B28*C28)</f>
        <v>0</v>
      </c>
      <c r="F33"/>
      <c r="H33" s="208" t="s">
        <v>112</v>
      </c>
      <c r="I33" s="209">
        <f>SUM(I29,B33,H36:I43)</f>
        <v>29000</v>
      </c>
      <c r="L33"/>
    </row>
    <row r="34" spans="1:12" ht="17.25" thickBot="1" x14ac:dyDescent="0.35">
      <c r="A34" s="67" t="s">
        <v>104</v>
      </c>
      <c r="H34" s="197" t="s">
        <v>113</v>
      </c>
      <c r="I34" s="198">
        <f>I33*1.1</f>
        <v>31900.000000000004</v>
      </c>
    </row>
    <row r="35" spans="1:12" ht="17.25" thickBot="1" x14ac:dyDescent="0.35">
      <c r="A35" s="411" t="s">
        <v>106</v>
      </c>
      <c r="B35" s="412"/>
      <c r="C35" s="412"/>
      <c r="D35" s="412"/>
      <c r="E35" s="412"/>
      <c r="F35" s="199" t="s">
        <v>78</v>
      </c>
      <c r="G35" s="200" t="s">
        <v>79</v>
      </c>
      <c r="H35" s="413" t="s">
        <v>105</v>
      </c>
      <c r="I35" s="414"/>
      <c r="K35" s="170"/>
      <c r="L35"/>
    </row>
    <row r="36" spans="1:12" x14ac:dyDescent="0.3">
      <c r="A36" s="415"/>
      <c r="B36" s="416"/>
      <c r="C36" s="416"/>
      <c r="D36" s="416"/>
      <c r="E36" s="417"/>
      <c r="F36" s="201"/>
      <c r="G36" s="205"/>
      <c r="H36" s="423">
        <f t="shared" ref="H36:H43" si="2">F36*G36</f>
        <v>0</v>
      </c>
      <c r="I36" s="424"/>
      <c r="K36" s="170"/>
      <c r="L36"/>
    </row>
    <row r="37" spans="1:12" x14ac:dyDescent="0.3">
      <c r="A37" s="418"/>
      <c r="B37" s="419"/>
      <c r="C37" s="419"/>
      <c r="D37" s="419"/>
      <c r="E37" s="420"/>
      <c r="F37" s="202"/>
      <c r="G37" s="206"/>
      <c r="H37" s="421">
        <f t="shared" si="2"/>
        <v>0</v>
      </c>
      <c r="I37" s="422"/>
      <c r="K37" s="170"/>
      <c r="L37"/>
    </row>
    <row r="38" spans="1:12" x14ac:dyDescent="0.3">
      <c r="A38" s="418"/>
      <c r="B38" s="419"/>
      <c r="C38" s="419"/>
      <c r="D38" s="419"/>
      <c r="E38" s="420"/>
      <c r="F38" s="202"/>
      <c r="G38" s="206"/>
      <c r="H38" s="421">
        <f t="shared" si="2"/>
        <v>0</v>
      </c>
      <c r="I38" s="422"/>
      <c r="K38" s="170"/>
      <c r="L38"/>
    </row>
    <row r="39" spans="1:12" x14ac:dyDescent="0.3">
      <c r="A39" s="427"/>
      <c r="B39" s="428"/>
      <c r="C39" s="428"/>
      <c r="D39" s="428"/>
      <c r="E39" s="429"/>
      <c r="F39" s="202"/>
      <c r="G39" s="206"/>
      <c r="H39" s="421">
        <f t="shared" si="2"/>
        <v>0</v>
      </c>
      <c r="I39" s="422"/>
      <c r="K39" s="170"/>
      <c r="L39"/>
    </row>
    <row r="40" spans="1:12" x14ac:dyDescent="0.3">
      <c r="A40" s="427"/>
      <c r="B40" s="428"/>
      <c r="C40" s="428"/>
      <c r="D40" s="428"/>
      <c r="E40" s="429"/>
      <c r="F40" s="202"/>
      <c r="G40" s="206"/>
      <c r="H40" s="421">
        <f t="shared" si="2"/>
        <v>0</v>
      </c>
      <c r="I40" s="422"/>
      <c r="K40" s="170"/>
      <c r="L40"/>
    </row>
    <row r="41" spans="1:12" x14ac:dyDescent="0.3">
      <c r="A41" s="427"/>
      <c r="B41" s="428"/>
      <c r="C41" s="428"/>
      <c r="D41" s="428"/>
      <c r="E41" s="429"/>
      <c r="F41" s="202"/>
      <c r="G41" s="206"/>
      <c r="H41" s="421">
        <f t="shared" si="2"/>
        <v>0</v>
      </c>
      <c r="I41" s="422"/>
      <c r="K41" s="170"/>
      <c r="L41"/>
    </row>
    <row r="42" spans="1:12" x14ac:dyDescent="0.3">
      <c r="A42" s="427"/>
      <c r="B42" s="428"/>
      <c r="C42" s="428"/>
      <c r="D42" s="428"/>
      <c r="E42" s="429"/>
      <c r="F42" s="202"/>
      <c r="G42" s="206"/>
      <c r="H42" s="421">
        <f t="shared" si="2"/>
        <v>0</v>
      </c>
      <c r="I42" s="422"/>
      <c r="K42" s="170"/>
      <c r="L42"/>
    </row>
    <row r="43" spans="1:12" ht="17.25" thickBot="1" x14ac:dyDescent="0.35">
      <c r="A43" s="430"/>
      <c r="B43" s="431"/>
      <c r="C43" s="431"/>
      <c r="D43" s="431"/>
      <c r="E43" s="432"/>
      <c r="F43" s="203"/>
      <c r="G43" s="207"/>
      <c r="H43" s="425">
        <f t="shared" si="2"/>
        <v>0</v>
      </c>
      <c r="I43" s="426"/>
      <c r="K43" s="170"/>
      <c r="L43"/>
    </row>
  </sheetData>
  <autoFilter ref="L15:N28"/>
  <mergeCells count="22">
    <mergeCell ref="A42:E42"/>
    <mergeCell ref="A43:E43"/>
    <mergeCell ref="A39:E39"/>
    <mergeCell ref="A40:E40"/>
    <mergeCell ref="A41:E41"/>
    <mergeCell ref="H43:I43"/>
    <mergeCell ref="H42:I42"/>
    <mergeCell ref="H41:I41"/>
    <mergeCell ref="H40:I40"/>
    <mergeCell ref="H39:I39"/>
    <mergeCell ref="A36:E36"/>
    <mergeCell ref="A37:E37"/>
    <mergeCell ref="A38:E38"/>
    <mergeCell ref="H38:I38"/>
    <mergeCell ref="H37:I37"/>
    <mergeCell ref="H36:I36"/>
    <mergeCell ref="F4:H4"/>
    <mergeCell ref="F9:H9"/>
    <mergeCell ref="F15:H15"/>
    <mergeCell ref="F20:H20"/>
    <mergeCell ref="A35:E35"/>
    <mergeCell ref="H35:I35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43"/>
  <sheetViews>
    <sheetView zoomScale="85" zoomScaleNormal="85" workbookViewId="0">
      <selection activeCell="H21" sqref="H21"/>
    </sheetView>
  </sheetViews>
  <sheetFormatPr defaultRowHeight="16.5" x14ac:dyDescent="0.3"/>
  <cols>
    <col min="2" max="2" width="9.875" customWidth="1"/>
    <col min="3" max="3" width="14.375" style="68" customWidth="1"/>
    <col min="4" max="4" width="10.75" style="69" hidden="1" customWidth="1"/>
    <col min="5" max="5" width="6.125" style="70" customWidth="1"/>
    <col min="6" max="6" width="6.375" style="68" customWidth="1"/>
    <col min="7" max="7" width="13.25" customWidth="1"/>
    <col min="8" max="8" width="12.125" customWidth="1"/>
    <col min="9" max="9" width="9" style="70"/>
    <col min="10" max="10" width="12.375" style="236" hidden="1" customWidth="1"/>
    <col min="12" max="12" width="22.375" customWidth="1"/>
    <col min="13" max="13" width="12.25" style="115" customWidth="1"/>
    <col min="14" max="14" width="22.25" customWidth="1"/>
    <col min="15" max="15" width="13.375" style="115" customWidth="1"/>
    <col min="16" max="16" width="13.625" customWidth="1"/>
    <col min="17" max="17" width="12.125" customWidth="1"/>
    <col min="18" max="18" width="12.875" customWidth="1"/>
  </cols>
  <sheetData>
    <row r="1" spans="1:18" ht="17.25" x14ac:dyDescent="0.3">
      <c r="A1" s="112"/>
      <c r="B1" s="68"/>
      <c r="C1"/>
      <c r="D1" s="70"/>
      <c r="F1" s="71"/>
      <c r="G1" s="72"/>
      <c r="H1" s="70"/>
    </row>
    <row r="2" spans="1:18" ht="18" thickBot="1" x14ac:dyDescent="0.35">
      <c r="A2" s="111" t="s">
        <v>128</v>
      </c>
      <c r="B2" s="68"/>
      <c r="C2" s="168"/>
      <c r="D2" s="70"/>
      <c r="E2" s="223"/>
      <c r="F2" s="223"/>
      <c r="G2" s="223"/>
      <c r="H2" s="223"/>
      <c r="I2" s="223"/>
    </row>
    <row r="3" spans="1:18" ht="18" thickBot="1" x14ac:dyDescent="0.35">
      <c r="A3" s="111"/>
      <c r="B3" s="68"/>
      <c r="C3" s="169"/>
      <c r="D3" s="70"/>
      <c r="E3" s="224"/>
      <c r="F3" s="224"/>
      <c r="G3" s="273" t="s">
        <v>127</v>
      </c>
      <c r="H3" s="274">
        <v>0</v>
      </c>
      <c r="I3" s="224"/>
      <c r="R3" s="115"/>
    </row>
    <row r="4" spans="1:18" ht="17.25" thickBot="1" x14ac:dyDescent="0.35">
      <c r="A4" s="233" t="s">
        <v>57</v>
      </c>
      <c r="B4" s="234"/>
      <c r="C4" s="268">
        <f>SUM(D5:D24)</f>
        <v>108</v>
      </c>
      <c r="D4" s="70"/>
      <c r="E4" s="68"/>
      <c r="G4" s="271" t="s">
        <v>117</v>
      </c>
      <c r="H4" s="272">
        <v>12500</v>
      </c>
      <c r="I4" s="239"/>
      <c r="L4" s="265" t="s">
        <v>125</v>
      </c>
      <c r="M4" s="251" t="s">
        <v>119</v>
      </c>
      <c r="N4" s="252" t="s">
        <v>60</v>
      </c>
      <c r="O4" s="253" t="s">
        <v>61</v>
      </c>
    </row>
    <row r="5" spans="1:18" x14ac:dyDescent="0.3">
      <c r="A5" s="28" t="s">
        <v>48</v>
      </c>
      <c r="B5" s="241">
        <v>900</v>
      </c>
      <c r="C5" s="246"/>
      <c r="D5" s="269">
        <f>B5*C5/1000</f>
        <v>0</v>
      </c>
      <c r="E5" s="232"/>
      <c r="F5" s="433" t="s">
        <v>115</v>
      </c>
      <c r="G5" s="226">
        <v>300</v>
      </c>
      <c r="H5" s="240">
        <f>H4/6</f>
        <v>2083.3333333333335</v>
      </c>
      <c r="I5" s="235"/>
      <c r="J5" s="237">
        <f>H5*I5</f>
        <v>0</v>
      </c>
      <c r="K5" s="225"/>
      <c r="L5" s="254" t="s">
        <v>124</v>
      </c>
      <c r="M5" s="270">
        <f>C4</f>
        <v>108</v>
      </c>
      <c r="N5" s="116">
        <v>1750</v>
      </c>
      <c r="O5" s="255">
        <f>(N5*M5)+(C13*0.5)</f>
        <v>189000</v>
      </c>
    </row>
    <row r="6" spans="1:18" x14ac:dyDescent="0.3">
      <c r="A6" s="28" t="s">
        <v>48</v>
      </c>
      <c r="B6" s="241">
        <v>1200</v>
      </c>
      <c r="C6" s="247"/>
      <c r="D6" s="269">
        <f t="shared" ref="D6:D24" si="0">B6*C6/1000</f>
        <v>0</v>
      </c>
      <c r="E6" s="68"/>
      <c r="F6" s="434"/>
      <c r="G6" s="226">
        <v>400</v>
      </c>
      <c r="H6" s="219">
        <f>H4/6</f>
        <v>2083.3333333333335</v>
      </c>
      <c r="I6" s="235"/>
      <c r="J6" s="237">
        <f t="shared" ref="J6:J26" si="1">H6*I6</f>
        <v>0</v>
      </c>
      <c r="K6" s="218"/>
      <c r="L6" s="254" t="s">
        <v>126</v>
      </c>
      <c r="M6" s="270">
        <f>C26</f>
        <v>0</v>
      </c>
      <c r="N6" s="116">
        <v>1750</v>
      </c>
      <c r="O6" s="255">
        <f>(M6*N6)+(SUM(C27:C31)*300)</f>
        <v>0</v>
      </c>
      <c r="P6" t="s">
        <v>129</v>
      </c>
    </row>
    <row r="7" spans="1:18" x14ac:dyDescent="0.3">
      <c r="A7" s="28" t="s">
        <v>48</v>
      </c>
      <c r="B7" s="241">
        <v>1500</v>
      </c>
      <c r="C7" s="247"/>
      <c r="D7" s="269">
        <f t="shared" si="0"/>
        <v>0</v>
      </c>
      <c r="E7" s="68"/>
      <c r="F7" s="434"/>
      <c r="G7" s="227">
        <v>450</v>
      </c>
      <c r="H7" s="220">
        <f>H4/5</f>
        <v>2500</v>
      </c>
      <c r="I7" s="235"/>
      <c r="J7" s="237">
        <f t="shared" si="1"/>
        <v>0</v>
      </c>
      <c r="K7" s="218"/>
      <c r="L7" s="254" t="s">
        <v>118</v>
      </c>
      <c r="M7" s="231">
        <f>I27</f>
        <v>0</v>
      </c>
      <c r="N7" s="250" t="s">
        <v>123</v>
      </c>
      <c r="O7" s="256">
        <f>J27</f>
        <v>0</v>
      </c>
    </row>
    <row r="8" spans="1:18" ht="17.25" thickBot="1" x14ac:dyDescent="0.35">
      <c r="A8" s="28" t="s">
        <v>48</v>
      </c>
      <c r="B8" s="241">
        <v>1800</v>
      </c>
      <c r="C8" s="247">
        <v>20</v>
      </c>
      <c r="D8" s="269">
        <f>B8*C8/1000</f>
        <v>36</v>
      </c>
      <c r="E8" s="68"/>
      <c r="F8" s="434"/>
      <c r="G8" s="228">
        <v>500</v>
      </c>
      <c r="H8" s="219">
        <f>H4/4</f>
        <v>3125</v>
      </c>
      <c r="I8" s="235"/>
      <c r="J8" s="237">
        <f t="shared" si="1"/>
        <v>0</v>
      </c>
      <c r="L8" s="257" t="s">
        <v>37</v>
      </c>
      <c r="M8" s="258">
        <f>SUM(C5:C10)</f>
        <v>20</v>
      </c>
      <c r="N8" s="259">
        <v>100</v>
      </c>
      <c r="O8" s="260">
        <f>N8*M8</f>
        <v>2000</v>
      </c>
    </row>
    <row r="9" spans="1:18" ht="17.25" thickBot="1" x14ac:dyDescent="0.35">
      <c r="A9" s="28" t="s">
        <v>48</v>
      </c>
      <c r="B9" s="241">
        <v>2100</v>
      </c>
      <c r="C9" s="247"/>
      <c r="D9" s="269">
        <f t="shared" si="0"/>
        <v>0</v>
      </c>
      <c r="E9" s="68"/>
      <c r="F9" s="434"/>
      <c r="G9" s="229">
        <v>600</v>
      </c>
      <c r="H9" s="221">
        <f>H4/4</f>
        <v>3125</v>
      </c>
      <c r="I9" s="235"/>
      <c r="J9" s="237">
        <f t="shared" si="1"/>
        <v>0</v>
      </c>
      <c r="L9" s="123"/>
      <c r="N9" s="266" t="s">
        <v>120</v>
      </c>
      <c r="O9" s="267">
        <f>SUM(O5:O8)</f>
        <v>191000</v>
      </c>
    </row>
    <row r="10" spans="1:18" ht="17.25" thickBot="1" x14ac:dyDescent="0.35">
      <c r="A10" s="28" t="s">
        <v>48</v>
      </c>
      <c r="B10" s="241">
        <v>2400</v>
      </c>
      <c r="C10" s="247"/>
      <c r="D10" s="269">
        <f t="shared" si="0"/>
        <v>0</v>
      </c>
      <c r="E10" s="68"/>
      <c r="F10" s="434"/>
      <c r="G10" s="229">
        <v>700</v>
      </c>
      <c r="H10" s="221">
        <f>H4/3</f>
        <v>4166.666666666667</v>
      </c>
      <c r="I10" s="235"/>
      <c r="J10" s="237">
        <f t="shared" si="1"/>
        <v>0</v>
      </c>
      <c r="L10" s="123"/>
      <c r="N10" s="263" t="s">
        <v>121</v>
      </c>
      <c r="O10" s="264">
        <f>ROUNDDOWN(O9,-2)</f>
        <v>191000</v>
      </c>
    </row>
    <row r="11" spans="1:18" ht="17.25" thickBot="1" x14ac:dyDescent="0.35">
      <c r="A11" s="28" t="s">
        <v>50</v>
      </c>
      <c r="B11" s="242">
        <v>300</v>
      </c>
      <c r="C11" s="247"/>
      <c r="D11" s="269">
        <f t="shared" si="0"/>
        <v>0</v>
      </c>
      <c r="E11" s="68"/>
      <c r="F11" s="434"/>
      <c r="G11" s="229">
        <v>800</v>
      </c>
      <c r="H11" s="221">
        <f>H4/3</f>
        <v>4166.666666666667</v>
      </c>
      <c r="I11" s="235"/>
      <c r="J11" s="237">
        <f t="shared" si="1"/>
        <v>0</v>
      </c>
      <c r="K11" s="204"/>
      <c r="L11" s="123"/>
      <c r="N11" s="261" t="s">
        <v>122</v>
      </c>
      <c r="O11" s="262">
        <f>O10*1.1</f>
        <v>210100.00000000003</v>
      </c>
    </row>
    <row r="12" spans="1:18" x14ac:dyDescent="0.3">
      <c r="A12" s="28" t="s">
        <v>50</v>
      </c>
      <c r="B12" s="243">
        <v>400</v>
      </c>
      <c r="C12" s="248"/>
      <c r="D12" s="269">
        <f t="shared" si="0"/>
        <v>0</v>
      </c>
      <c r="E12" s="68"/>
      <c r="F12" s="434"/>
      <c r="G12" s="229">
        <v>900</v>
      </c>
      <c r="H12" s="221">
        <f>H4/2</f>
        <v>6250</v>
      </c>
      <c r="I12" s="235"/>
      <c r="J12" s="237">
        <f t="shared" si="1"/>
        <v>0</v>
      </c>
    </row>
    <row r="13" spans="1:18" x14ac:dyDescent="0.3">
      <c r="A13" s="28" t="s">
        <v>50</v>
      </c>
      <c r="B13" s="244">
        <v>450</v>
      </c>
      <c r="C13" s="247"/>
      <c r="D13" s="269">
        <f t="shared" si="0"/>
        <v>0</v>
      </c>
      <c r="E13" s="68"/>
      <c r="F13" s="434"/>
      <c r="G13" s="230">
        <v>1000</v>
      </c>
      <c r="H13" s="222">
        <f>H4/2</f>
        <v>6250</v>
      </c>
      <c r="I13" s="235"/>
      <c r="J13" s="237">
        <f t="shared" si="1"/>
        <v>0</v>
      </c>
    </row>
    <row r="14" spans="1:18" x14ac:dyDescent="0.3">
      <c r="A14" s="28" t="s">
        <v>50</v>
      </c>
      <c r="B14" s="244">
        <v>500</v>
      </c>
      <c r="C14" s="247"/>
      <c r="D14" s="269">
        <f t="shared" si="0"/>
        <v>0</v>
      </c>
      <c r="E14" s="68"/>
      <c r="F14" s="434"/>
      <c r="G14" s="229">
        <v>1100</v>
      </c>
      <c r="H14" s="221">
        <f>H4/2</f>
        <v>6250</v>
      </c>
      <c r="I14" s="235"/>
      <c r="J14" s="237">
        <f t="shared" si="1"/>
        <v>0</v>
      </c>
    </row>
    <row r="15" spans="1:18" x14ac:dyDescent="0.3">
      <c r="A15" s="28" t="s">
        <v>50</v>
      </c>
      <c r="B15" s="244">
        <v>600</v>
      </c>
      <c r="C15" s="247">
        <v>40</v>
      </c>
      <c r="D15" s="269">
        <f>B15*C15/1000</f>
        <v>24</v>
      </c>
      <c r="E15" s="68"/>
      <c r="F15" s="434"/>
      <c r="G15" s="229">
        <v>1200</v>
      </c>
      <c r="H15" s="221">
        <f>H4/2</f>
        <v>6250</v>
      </c>
      <c r="I15" s="235"/>
      <c r="J15" s="237">
        <f t="shared" si="1"/>
        <v>0</v>
      </c>
    </row>
    <row r="16" spans="1:18" x14ac:dyDescent="0.3">
      <c r="A16" s="28" t="s">
        <v>50</v>
      </c>
      <c r="B16" s="244">
        <v>700</v>
      </c>
      <c r="C16" s="247"/>
      <c r="D16" s="269">
        <f t="shared" si="0"/>
        <v>0</v>
      </c>
      <c r="E16" s="68"/>
      <c r="F16" s="433" t="s">
        <v>116</v>
      </c>
      <c r="G16" s="229">
        <v>300</v>
      </c>
      <c r="H16" s="221">
        <f>H4/3</f>
        <v>4166.666666666667</v>
      </c>
      <c r="I16" s="235"/>
      <c r="J16" s="237">
        <f t="shared" si="1"/>
        <v>0</v>
      </c>
      <c r="K16" s="115"/>
      <c r="O16"/>
    </row>
    <row r="17" spans="1:15" x14ac:dyDescent="0.3">
      <c r="A17" s="28" t="s">
        <v>50</v>
      </c>
      <c r="B17" s="244">
        <v>800</v>
      </c>
      <c r="C17" s="247"/>
      <c r="D17" s="269">
        <f t="shared" si="0"/>
        <v>0</v>
      </c>
      <c r="E17" s="68"/>
      <c r="F17" s="434"/>
      <c r="G17" s="230">
        <v>400</v>
      </c>
      <c r="H17" s="222">
        <f>H4/3</f>
        <v>4166.666666666667</v>
      </c>
      <c r="I17" s="235"/>
      <c r="J17" s="237">
        <f t="shared" si="1"/>
        <v>0</v>
      </c>
    </row>
    <row r="18" spans="1:15" x14ac:dyDescent="0.3">
      <c r="A18" s="28" t="s">
        <v>50</v>
      </c>
      <c r="B18" s="244">
        <v>900</v>
      </c>
      <c r="C18" s="247"/>
      <c r="D18" s="269">
        <f t="shared" si="0"/>
        <v>0</v>
      </c>
      <c r="E18" s="68"/>
      <c r="F18" s="434"/>
      <c r="G18" s="229">
        <v>450</v>
      </c>
      <c r="H18" s="221">
        <f>H4/2</f>
        <v>6250</v>
      </c>
      <c r="I18" s="235"/>
      <c r="J18" s="237">
        <f t="shared" si="1"/>
        <v>0</v>
      </c>
    </row>
    <row r="19" spans="1:15" x14ac:dyDescent="0.3">
      <c r="A19" s="28" t="s">
        <v>50</v>
      </c>
      <c r="B19" s="244">
        <v>1000</v>
      </c>
      <c r="C19" s="247"/>
      <c r="D19" s="269">
        <f t="shared" si="0"/>
        <v>0</v>
      </c>
      <c r="E19" s="68"/>
      <c r="F19" s="434"/>
      <c r="G19" s="229">
        <v>500</v>
      </c>
      <c r="H19" s="221">
        <f>H4/2</f>
        <v>6250</v>
      </c>
      <c r="I19" s="235"/>
      <c r="J19" s="237">
        <f t="shared" si="1"/>
        <v>0</v>
      </c>
    </row>
    <row r="20" spans="1:15" x14ac:dyDescent="0.3">
      <c r="A20" s="28" t="s">
        <v>50</v>
      </c>
      <c r="B20" s="244">
        <v>1100</v>
      </c>
      <c r="C20" s="247"/>
      <c r="D20" s="269">
        <f t="shared" si="0"/>
        <v>0</v>
      </c>
      <c r="E20" s="68"/>
      <c r="F20" s="434"/>
      <c r="G20" s="229">
        <v>600</v>
      </c>
      <c r="H20" s="221">
        <f>H4/2</f>
        <v>6250</v>
      </c>
      <c r="I20" s="235"/>
      <c r="J20" s="237">
        <f t="shared" si="1"/>
        <v>0</v>
      </c>
    </row>
    <row r="21" spans="1:15" x14ac:dyDescent="0.3">
      <c r="A21" s="28" t="s">
        <v>50</v>
      </c>
      <c r="B21" s="244">
        <v>1200</v>
      </c>
      <c r="C21" s="247">
        <v>40</v>
      </c>
      <c r="D21" s="269">
        <f t="shared" si="0"/>
        <v>48</v>
      </c>
      <c r="E21" s="68"/>
      <c r="F21" s="434"/>
      <c r="G21" s="229">
        <v>700</v>
      </c>
      <c r="H21" s="221">
        <f>H4</f>
        <v>12500</v>
      </c>
      <c r="I21" s="235"/>
      <c r="J21" s="237">
        <f t="shared" si="1"/>
        <v>0</v>
      </c>
    </row>
    <row r="22" spans="1:15" x14ac:dyDescent="0.3">
      <c r="A22" s="28" t="s">
        <v>50</v>
      </c>
      <c r="B22" s="244">
        <v>1300</v>
      </c>
      <c r="C22" s="247"/>
      <c r="D22" s="269">
        <f t="shared" si="0"/>
        <v>0</v>
      </c>
      <c r="E22" s="68"/>
      <c r="F22" s="434"/>
      <c r="G22" s="229">
        <v>800</v>
      </c>
      <c r="H22" s="221">
        <f>H4</f>
        <v>12500</v>
      </c>
      <c r="I22" s="235"/>
      <c r="J22" s="237">
        <f t="shared" si="1"/>
        <v>0</v>
      </c>
    </row>
    <row r="23" spans="1:15" x14ac:dyDescent="0.3">
      <c r="A23" s="28" t="s">
        <v>50</v>
      </c>
      <c r="B23" s="244">
        <v>1400</v>
      </c>
      <c r="C23" s="247"/>
      <c r="D23" s="269">
        <f t="shared" si="0"/>
        <v>0</v>
      </c>
      <c r="E23" s="68"/>
      <c r="F23" s="434"/>
      <c r="G23" s="230">
        <v>900</v>
      </c>
      <c r="H23" s="222">
        <f>H4</f>
        <v>12500</v>
      </c>
      <c r="I23" s="235"/>
      <c r="J23" s="237">
        <f t="shared" si="1"/>
        <v>0</v>
      </c>
    </row>
    <row r="24" spans="1:15" ht="17.25" thickBot="1" x14ac:dyDescent="0.35">
      <c r="A24" s="28" t="s">
        <v>50</v>
      </c>
      <c r="B24" s="244">
        <v>1500</v>
      </c>
      <c r="C24" s="249"/>
      <c r="D24" s="269">
        <f t="shared" si="0"/>
        <v>0</v>
      </c>
      <c r="E24" s="82"/>
      <c r="F24" s="434"/>
      <c r="G24" s="229">
        <v>1000</v>
      </c>
      <c r="H24" s="221">
        <f>H4</f>
        <v>12500</v>
      </c>
      <c r="I24" s="235"/>
      <c r="J24" s="237">
        <f t="shared" si="1"/>
        <v>0</v>
      </c>
    </row>
    <row r="25" spans="1:15" x14ac:dyDescent="0.3">
      <c r="F25" s="434"/>
      <c r="G25" s="229">
        <v>1100</v>
      </c>
      <c r="H25" s="221">
        <f>H4</f>
        <v>12500</v>
      </c>
      <c r="I25" s="235"/>
      <c r="J25" s="237">
        <f t="shared" si="1"/>
        <v>0</v>
      </c>
    </row>
    <row r="26" spans="1:15" ht="17.25" thickBot="1" x14ac:dyDescent="0.35">
      <c r="C26" s="268">
        <f>SUM(D27:D31)</f>
        <v>0</v>
      </c>
      <c r="D26" s="269"/>
      <c r="F26" s="434"/>
      <c r="G26" s="229">
        <v>1200</v>
      </c>
      <c r="H26" s="221">
        <f>H4</f>
        <v>12500</v>
      </c>
      <c r="I26" s="235"/>
      <c r="J26" s="237">
        <f t="shared" si="1"/>
        <v>0</v>
      </c>
    </row>
    <row r="27" spans="1:15" x14ac:dyDescent="0.3">
      <c r="A27" s="83" t="s">
        <v>17</v>
      </c>
      <c r="B27" s="245">
        <v>300</v>
      </c>
      <c r="C27" s="246"/>
      <c r="D27" s="269">
        <f>B27*C27/1000</f>
        <v>0</v>
      </c>
      <c r="G27" s="68"/>
      <c r="I27" s="231">
        <f>SUM(I5:I26)</f>
        <v>0</v>
      </c>
      <c r="J27" s="238">
        <f>SUM(J5:J26)</f>
        <v>0</v>
      </c>
    </row>
    <row r="28" spans="1:15" x14ac:dyDescent="0.3">
      <c r="A28" s="83" t="s">
        <v>17</v>
      </c>
      <c r="B28" s="245">
        <v>400</v>
      </c>
      <c r="C28" s="247"/>
      <c r="D28" s="269">
        <f>B28*C28/1000</f>
        <v>0</v>
      </c>
      <c r="I28"/>
      <c r="L28" s="115"/>
      <c r="M28"/>
      <c r="O28"/>
    </row>
    <row r="29" spans="1:15" x14ac:dyDescent="0.3">
      <c r="A29" s="83" t="s">
        <v>17</v>
      </c>
      <c r="B29" s="245">
        <v>450</v>
      </c>
      <c r="C29" s="247"/>
      <c r="D29" s="269">
        <f>B29*C29/1000</f>
        <v>0</v>
      </c>
      <c r="I29"/>
      <c r="K29" s="115"/>
      <c r="O29"/>
    </row>
    <row r="30" spans="1:15" x14ac:dyDescent="0.3">
      <c r="A30" s="83" t="s">
        <v>17</v>
      </c>
      <c r="B30" s="245">
        <v>500</v>
      </c>
      <c r="C30" s="247"/>
      <c r="D30" s="269">
        <f>B30*C30/1000</f>
        <v>0</v>
      </c>
      <c r="E30"/>
      <c r="F30" s="70"/>
      <c r="G30" s="236" t="s">
        <v>114</v>
      </c>
      <c r="I30"/>
      <c r="J30" s="115"/>
      <c r="L30" s="115"/>
      <c r="M30"/>
      <c r="O30"/>
    </row>
    <row r="31" spans="1:15" ht="17.25" thickBot="1" x14ac:dyDescent="0.35">
      <c r="A31" s="83" t="s">
        <v>17</v>
      </c>
      <c r="B31" s="245">
        <v>600</v>
      </c>
      <c r="C31" s="249"/>
      <c r="D31" s="269">
        <f>B31*C31/1000</f>
        <v>0</v>
      </c>
      <c r="F31"/>
      <c r="G31" s="236"/>
      <c r="I31" s="115"/>
      <c r="J31"/>
      <c r="K31" s="115"/>
      <c r="M31"/>
      <c r="O31"/>
    </row>
    <row r="32" spans="1:15" x14ac:dyDescent="0.3">
      <c r="A32" s="119"/>
      <c r="B32" s="70"/>
      <c r="D32"/>
      <c r="F32" s="70"/>
      <c r="G32" s="236"/>
      <c r="I32"/>
      <c r="J32" s="115"/>
      <c r="L32" s="115"/>
      <c r="M32"/>
      <c r="O32"/>
    </row>
    <row r="33" spans="1:15" x14ac:dyDescent="0.3">
      <c r="A33" s="119"/>
      <c r="B33" s="70"/>
      <c r="D33"/>
      <c r="F33" s="70"/>
      <c r="G33" s="236"/>
      <c r="I33"/>
      <c r="J33" s="115"/>
      <c r="L33" s="115"/>
      <c r="M33"/>
      <c r="O33"/>
    </row>
    <row r="34" spans="1:15" ht="17.25" thickBot="1" x14ac:dyDescent="0.35">
      <c r="A34" s="67"/>
    </row>
    <row r="35" spans="1:15" x14ac:dyDescent="0.3">
      <c r="A35" s="110" t="s">
        <v>56</v>
      </c>
      <c r="B35" s="167"/>
      <c r="C35" s="90"/>
      <c r="D35" s="91"/>
      <c r="E35" s="90"/>
      <c r="F35" s="107"/>
      <c r="G35" s="89"/>
      <c r="H35" s="89"/>
      <c r="I35" s="92"/>
    </row>
    <row r="36" spans="1:15" x14ac:dyDescent="0.3">
      <c r="A36" s="93"/>
      <c r="B36" s="109"/>
      <c r="C36" s="71"/>
      <c r="D36" s="94"/>
      <c r="E36" s="73"/>
      <c r="F36" s="74"/>
      <c r="G36" s="72"/>
      <c r="H36" s="72"/>
      <c r="I36" s="96"/>
    </row>
    <row r="37" spans="1:15" x14ac:dyDescent="0.3">
      <c r="A37" s="108"/>
      <c r="B37" s="210"/>
      <c r="C37" s="71"/>
      <c r="D37" s="94"/>
      <c r="E37" s="95"/>
      <c r="F37" s="71"/>
      <c r="G37" s="72"/>
      <c r="H37" s="72"/>
      <c r="I37" s="96"/>
    </row>
    <row r="38" spans="1:15" x14ac:dyDescent="0.3">
      <c r="A38" s="93"/>
      <c r="C38" s="71"/>
      <c r="D38" s="94"/>
      <c r="E38" s="95"/>
      <c r="F38" s="71"/>
      <c r="G38" s="72"/>
      <c r="H38" s="72"/>
      <c r="I38" s="96"/>
    </row>
    <row r="39" spans="1:15" x14ac:dyDescent="0.3">
      <c r="A39" s="93"/>
      <c r="B39" s="72"/>
      <c r="C39" s="71"/>
      <c r="D39" s="94"/>
      <c r="E39" s="95"/>
      <c r="F39" s="71"/>
      <c r="G39" s="72"/>
      <c r="H39" s="72"/>
      <c r="I39" s="96"/>
    </row>
    <row r="40" spans="1:15" x14ac:dyDescent="0.3">
      <c r="A40" s="93"/>
      <c r="B40" s="72"/>
      <c r="C40" s="71"/>
      <c r="D40" s="94"/>
      <c r="E40" s="95"/>
      <c r="F40" s="71"/>
      <c r="G40" s="72"/>
      <c r="H40" s="72"/>
      <c r="I40" s="96"/>
    </row>
    <row r="41" spans="1:15" x14ac:dyDescent="0.3">
      <c r="A41" s="93"/>
      <c r="B41" s="109"/>
      <c r="C41" s="71"/>
      <c r="D41" s="94"/>
      <c r="E41" s="95"/>
      <c r="F41" s="71"/>
      <c r="G41" s="72"/>
      <c r="H41" s="72"/>
      <c r="I41" s="96"/>
    </row>
    <row r="42" spans="1:15" ht="17.25" thickBot="1" x14ac:dyDescent="0.35">
      <c r="A42" s="97"/>
      <c r="B42" s="166"/>
      <c r="C42" s="99"/>
      <c r="D42" s="100"/>
      <c r="E42" s="101"/>
      <c r="F42" s="99"/>
      <c r="G42" s="98"/>
      <c r="H42" s="98"/>
      <c r="I42" s="102"/>
    </row>
    <row r="43" spans="1:15" x14ac:dyDescent="0.3">
      <c r="A43" s="72"/>
      <c r="B43" s="72"/>
      <c r="C43" s="71"/>
      <c r="D43" s="94"/>
      <c r="E43" s="95"/>
      <c r="F43" s="71"/>
      <c r="G43" s="72"/>
      <c r="H43" s="72"/>
      <c r="I43" s="95"/>
    </row>
  </sheetData>
  <mergeCells count="2">
    <mergeCell ref="F5:F15"/>
    <mergeCell ref="F16:F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420</vt:lpstr>
      <vt:lpstr>620</vt:lpstr>
      <vt:lpstr>무볼트</vt:lpstr>
      <vt:lpstr>무볼트 연결</vt:lpstr>
      <vt:lpstr>4,620연결</vt:lpstr>
      <vt:lpstr>무볼트 보강</vt:lpstr>
      <vt:lpstr>한국앵글 발주서</vt:lpstr>
      <vt:lpstr>아라상사</vt:lpstr>
      <vt:lpstr>아라상사 무볼트</vt:lpstr>
      <vt:lpstr>앵글단가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Windows 사용자</cp:lastModifiedBy>
  <cp:lastPrinted>2021-03-31T06:33:28Z</cp:lastPrinted>
  <dcterms:created xsi:type="dcterms:W3CDTF">2016-02-24T07:42:20Z</dcterms:created>
  <dcterms:modified xsi:type="dcterms:W3CDTF">2021-04-19T09:13:59Z</dcterms:modified>
</cp:coreProperties>
</file>