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Yli_GEMs/data/fujing_dataset/"/>
    </mc:Choice>
  </mc:AlternateContent>
  <xr:revisionPtr revIDLastSave="0" documentId="13_ncr:1_{6EE34D49-BB3B-3543-AF02-31AFDEDAE446}" xr6:coauthVersionLast="47" xr6:coauthVersionMax="47" xr10:uidLastSave="{00000000-0000-0000-0000-000000000000}"/>
  <bookViews>
    <workbookView xWindow="36200" yWindow="9640" windowWidth="34140" windowHeight="17820" xr2:uid="{B9F56D9D-CEEC-E54C-A0C7-3282913CF77D}"/>
  </bookViews>
  <sheets>
    <sheet name="for_calculation" sheetId="8" r:id="rId1"/>
    <sheet name="Sheet1" sheetId="9" r:id="rId2"/>
    <sheet name="fba" sheetId="7" r:id="rId3"/>
    <sheet name="Raw data" sheetId="1" r:id="rId4"/>
    <sheet name="Calculation" sheetId="3" r:id="rId5"/>
    <sheet name="Final(to be updated)" sheetId="4" r:id="rId6"/>
    <sheet name="Lipid 4 genes" sheetId="5" r:id="rId7"/>
    <sheet name="For IA project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2" i="9"/>
  <c r="BA19" i="7"/>
  <c r="AZ19" i="7"/>
  <c r="AO19" i="7"/>
  <c r="AF19" i="7" s="1"/>
  <c r="Q19" i="7"/>
  <c r="V19" i="7" s="1"/>
  <c r="L19" i="7"/>
  <c r="X19" i="7" s="1"/>
  <c r="BA18" i="7"/>
  <c r="AZ18" i="7"/>
  <c r="AO18" i="7"/>
  <c r="Q18" i="7"/>
  <c r="V18" i="7" s="1"/>
  <c r="L18" i="7"/>
  <c r="X18" i="7" s="1"/>
  <c r="BA16" i="7"/>
  <c r="AZ16" i="7"/>
  <c r="AO16" i="7"/>
  <c r="AF16" i="7" s="1"/>
  <c r="T16" i="7"/>
  <c r="U16" i="7" s="1"/>
  <c r="Q16" i="7"/>
  <c r="V16" i="7" s="1"/>
  <c r="L16" i="7"/>
  <c r="AW16" i="7" s="1"/>
  <c r="BA15" i="7"/>
  <c r="AZ15" i="7"/>
  <c r="AO15" i="7"/>
  <c r="T15" i="7"/>
  <c r="U15" i="7" s="1"/>
  <c r="Q15" i="7"/>
  <c r="V15" i="7" s="1"/>
  <c r="L15" i="7"/>
  <c r="AT15" i="7" s="1"/>
  <c r="BA14" i="7"/>
  <c r="AZ14" i="7"/>
  <c r="AO14" i="7"/>
  <c r="W14" i="7" s="1"/>
  <c r="T14" i="7"/>
  <c r="U14" i="7" s="1"/>
  <c r="Q14" i="7"/>
  <c r="V14" i="7" s="1"/>
  <c r="L14" i="7"/>
  <c r="AS14" i="7" s="1"/>
  <c r="BA13" i="7"/>
  <c r="AZ13" i="7"/>
  <c r="AV13" i="7"/>
  <c r="AR13" i="7"/>
  <c r="AQ13" i="7"/>
  <c r="AO13" i="7"/>
  <c r="AF13" i="7" s="1"/>
  <c r="T13" i="7"/>
  <c r="U13" i="7" s="1"/>
  <c r="Q13" i="7"/>
  <c r="V13" i="7" s="1"/>
  <c r="L13" i="7"/>
  <c r="AU13" i="7" s="1"/>
  <c r="BA12" i="7"/>
  <c r="AZ12" i="7"/>
  <c r="AT12" i="7"/>
  <c r="AO12" i="7"/>
  <c r="AF12" i="7" s="1"/>
  <c r="W12" i="7"/>
  <c r="V12" i="7"/>
  <c r="U12" i="7"/>
  <c r="T12" i="7"/>
  <c r="Q12" i="7"/>
  <c r="L12" i="7"/>
  <c r="AU12" i="7" s="1"/>
  <c r="BA11" i="7"/>
  <c r="AZ11" i="7"/>
  <c r="AO11" i="7"/>
  <c r="T11" i="7"/>
  <c r="U11" i="7" s="1"/>
  <c r="Q11" i="7"/>
  <c r="V11" i="7" s="1"/>
  <c r="L11" i="7"/>
  <c r="AV11" i="7" s="1"/>
  <c r="BA10" i="7"/>
  <c r="AZ10" i="7"/>
  <c r="AO10" i="7"/>
  <c r="T10" i="7"/>
  <c r="U10" i="7" s="1"/>
  <c r="Q10" i="7"/>
  <c r="V10" i="7" s="1"/>
  <c r="M10" i="7"/>
  <c r="L10" i="7"/>
  <c r="AS10" i="7" s="1"/>
  <c r="BA9" i="7"/>
  <c r="AZ9" i="7"/>
  <c r="AW9" i="7"/>
  <c r="AO9" i="7"/>
  <c r="W9" i="7" s="1"/>
  <c r="Q9" i="7"/>
  <c r="V9" i="7" s="1"/>
  <c r="M9" i="7"/>
  <c r="L9" i="7"/>
  <c r="AV9" i="7" s="1"/>
  <c r="BA8" i="7"/>
  <c r="AZ8" i="7"/>
  <c r="AU8" i="7"/>
  <c r="AT8" i="7"/>
  <c r="AS8" i="7"/>
  <c r="AO8" i="7"/>
  <c r="AY8" i="7" s="1"/>
  <c r="AF8" i="7"/>
  <c r="X8" i="7"/>
  <c r="T8" i="7"/>
  <c r="U8" i="7" s="1"/>
  <c r="Q8" i="7"/>
  <c r="V8" i="7" s="1"/>
  <c r="M8" i="7"/>
  <c r="L8" i="7"/>
  <c r="AR8" i="7" s="1"/>
  <c r="BA7" i="7"/>
  <c r="AZ7" i="7"/>
  <c r="AO7" i="7"/>
  <c r="AF7" i="7"/>
  <c r="T7" i="7"/>
  <c r="U7" i="7" s="1"/>
  <c r="Q7" i="7"/>
  <c r="V7" i="7" s="1"/>
  <c r="M7" i="7"/>
  <c r="L7" i="7"/>
  <c r="AT7" i="7" s="1"/>
  <c r="BA6" i="7"/>
  <c r="AZ6" i="7"/>
  <c r="AO6" i="7"/>
  <c r="AF6" i="7"/>
  <c r="T6" i="7"/>
  <c r="U6" i="7" s="1"/>
  <c r="Q6" i="7"/>
  <c r="V6" i="7" s="1"/>
  <c r="M6" i="7"/>
  <c r="L6" i="7"/>
  <c r="AR6" i="7" s="1"/>
  <c r="BA5" i="7"/>
  <c r="AZ5" i="7"/>
  <c r="AO5" i="7"/>
  <c r="AF5" i="7"/>
  <c r="T5" i="7"/>
  <c r="U5" i="7" s="1"/>
  <c r="Q5" i="7"/>
  <c r="V5" i="7" s="1"/>
  <c r="M5" i="7"/>
  <c r="L5" i="7"/>
  <c r="AQ5" i="7" s="1"/>
  <c r="BA4" i="7"/>
  <c r="AZ4" i="7"/>
  <c r="AO4" i="7"/>
  <c r="AF4" i="7"/>
  <c r="T4" i="7"/>
  <c r="U4" i="7" s="1"/>
  <c r="Q4" i="7"/>
  <c r="V4" i="7" s="1"/>
  <c r="M4" i="7"/>
  <c r="L4" i="7"/>
  <c r="AV4" i="7" s="1"/>
  <c r="BA3" i="7"/>
  <c r="AZ3" i="7"/>
  <c r="AO3" i="7"/>
  <c r="AF3" i="7" s="1"/>
  <c r="T3" i="7"/>
  <c r="U3" i="7" s="1"/>
  <c r="Q3" i="7"/>
  <c r="V3" i="7" s="1"/>
  <c r="M3" i="7"/>
  <c r="L3" i="7"/>
  <c r="AT3" i="7" s="1"/>
  <c r="BA2" i="7"/>
  <c r="AZ2" i="7"/>
  <c r="AV2" i="7"/>
  <c r="AO2" i="7"/>
  <c r="AF2" i="7"/>
  <c r="T2" i="7"/>
  <c r="U2" i="7" s="1"/>
  <c r="Q2" i="7"/>
  <c r="V2" i="7" s="1"/>
  <c r="M2" i="7"/>
  <c r="L2" i="7"/>
  <c r="AR2" i="7" s="1"/>
  <c r="AY2" i="6"/>
  <c r="AZ2" i="6"/>
  <c r="BA2" i="6"/>
  <c r="AY3" i="6"/>
  <c r="AZ3" i="6"/>
  <c r="BA3" i="6"/>
  <c r="AY4" i="6"/>
  <c r="AZ4" i="6"/>
  <c r="BA4" i="6"/>
  <c r="AY5" i="6"/>
  <c r="AZ5" i="6"/>
  <c r="BA5" i="6"/>
  <c r="AY6" i="6"/>
  <c r="AZ6" i="6"/>
  <c r="BA6" i="6"/>
  <c r="AY7" i="6"/>
  <c r="AZ7" i="6"/>
  <c r="BA7" i="6"/>
  <c r="AY8" i="6"/>
  <c r="AZ8" i="6"/>
  <c r="BA8" i="6"/>
  <c r="AY9" i="6"/>
  <c r="AZ9" i="6"/>
  <c r="BA9" i="6"/>
  <c r="AY10" i="6"/>
  <c r="AZ10" i="6"/>
  <c r="BA10" i="6"/>
  <c r="AY11" i="6"/>
  <c r="AZ11" i="6"/>
  <c r="BA11" i="6"/>
  <c r="AY12" i="6"/>
  <c r="AZ12" i="6"/>
  <c r="BA12" i="6"/>
  <c r="AY13" i="6"/>
  <c r="AZ13" i="6"/>
  <c r="BA13" i="6"/>
  <c r="AY14" i="6"/>
  <c r="AZ14" i="6"/>
  <c r="BA14" i="6"/>
  <c r="AY15" i="6"/>
  <c r="AZ15" i="6"/>
  <c r="BA15" i="6"/>
  <c r="AY16" i="6"/>
  <c r="AZ16" i="6"/>
  <c r="BA16" i="6"/>
  <c r="AZ18" i="6"/>
  <c r="X5" i="7" l="1"/>
  <c r="AW7" i="7"/>
  <c r="AQ15" i="7"/>
  <c r="AR15" i="7"/>
  <c r="X4" i="7"/>
  <c r="W5" i="7"/>
  <c r="AQ11" i="7"/>
  <c r="AR5" i="7"/>
  <c r="AT6" i="7"/>
  <c r="AR11" i="7"/>
  <c r="AU6" i="7"/>
  <c r="AQ6" i="7"/>
  <c r="W3" i="7"/>
  <c r="AY3" i="7"/>
  <c r="AW4" i="7"/>
  <c r="X3" i="7"/>
  <c r="Y3" i="7" s="1"/>
  <c r="AS6" i="7"/>
  <c r="AQ4" i="7"/>
  <c r="AS5" i="7"/>
  <c r="W2" i="7"/>
  <c r="W10" i="7"/>
  <c r="AY12" i="7"/>
  <c r="AQ10" i="7"/>
  <c r="W8" i="7"/>
  <c r="X9" i="7"/>
  <c r="Y9" i="7" s="1"/>
  <c r="AF9" i="7"/>
  <c r="AT16" i="7"/>
  <c r="AV8" i="7"/>
  <c r="AS11" i="7"/>
  <c r="X12" i="7"/>
  <c r="Y12" i="7" s="1"/>
  <c r="AQ2" i="7"/>
  <c r="AS2" i="7"/>
  <c r="AW8" i="7"/>
  <c r="AQ9" i="7"/>
  <c r="AT11" i="7"/>
  <c r="AT2" i="7"/>
  <c r="AR9" i="7"/>
  <c r="AR10" i="7"/>
  <c r="AU11" i="7"/>
  <c r="X13" i="7"/>
  <c r="X14" i="7"/>
  <c r="Y14" i="7" s="1"/>
  <c r="W16" i="7"/>
  <c r="AU2" i="7"/>
  <c r="AS9" i="7"/>
  <c r="AS12" i="7"/>
  <c r="AF14" i="7"/>
  <c r="AS16" i="7"/>
  <c r="AW2" i="7"/>
  <c r="AQ3" i="7"/>
  <c r="AW13" i="7"/>
  <c r="AR14" i="7"/>
  <c r="AU15" i="7"/>
  <c r="AY9" i="7"/>
  <c r="AY2" i="7"/>
  <c r="AQ14" i="7"/>
  <c r="AU3" i="7"/>
  <c r="AV3" i="7"/>
  <c r="W4" i="7"/>
  <c r="Y4" i="7" s="1"/>
  <c r="AV7" i="7"/>
  <c r="AQ8" i="7"/>
  <c r="AY13" i="7"/>
  <c r="AY19" i="7"/>
  <c r="X2" i="7"/>
  <c r="AW3" i="7"/>
  <c r="Y8" i="7"/>
  <c r="Y2" i="7"/>
  <c r="AY18" i="7"/>
  <c r="AF18" i="7"/>
  <c r="AW10" i="7"/>
  <c r="AV10" i="7"/>
  <c r="AU10" i="7"/>
  <c r="AT10" i="7"/>
  <c r="AY4" i="7"/>
  <c r="AQ7" i="7"/>
  <c r="W13" i="7"/>
  <c r="Y13" i="7" s="1"/>
  <c r="AV16" i="7"/>
  <c r="AU16" i="7"/>
  <c r="AR16" i="7"/>
  <c r="AQ16" i="7"/>
  <c r="AY16" i="7"/>
  <c r="X16" i="7"/>
  <c r="AX16" i="7" s="1"/>
  <c r="AY6" i="7"/>
  <c r="W6" i="7"/>
  <c r="AY10" i="7"/>
  <c r="AY14" i="7"/>
  <c r="AR7" i="7"/>
  <c r="AR12" i="7"/>
  <c r="AQ12" i="7"/>
  <c r="AW14" i="7"/>
  <c r="AV14" i="7"/>
  <c r="AU14" i="7"/>
  <c r="AT14" i="7"/>
  <c r="AX14" i="7" s="1"/>
  <c r="AW12" i="7"/>
  <c r="AS15" i="7"/>
  <c r="X15" i="7"/>
  <c r="AW15" i="7"/>
  <c r="AV15" i="7"/>
  <c r="AY5" i="7"/>
  <c r="X11" i="7"/>
  <c r="Y11" i="7" s="1"/>
  <c r="AW11" i="7"/>
  <c r="AW5" i="7"/>
  <c r="AV5" i="7"/>
  <c r="AU5" i="7"/>
  <c r="AT5" i="7"/>
  <c r="AV12" i="7"/>
  <c r="AS7" i="7"/>
  <c r="X10" i="7"/>
  <c r="X6" i="7"/>
  <c r="AW6" i="7"/>
  <c r="AV6" i="7"/>
  <c r="AF15" i="7"/>
  <c r="AY15" i="7"/>
  <c r="W15" i="7"/>
  <c r="AY7" i="7"/>
  <c r="X7" i="7"/>
  <c r="W7" i="7"/>
  <c r="AU7" i="7"/>
  <c r="AF10" i="7"/>
  <c r="AF11" i="7"/>
  <c r="AY11" i="7"/>
  <c r="W11" i="7"/>
  <c r="W18" i="7"/>
  <c r="Y18" i="7" s="1"/>
  <c r="AR4" i="7"/>
  <c r="AS4" i="7"/>
  <c r="AR3" i="7"/>
  <c r="AT4" i="7"/>
  <c r="AT9" i="7"/>
  <c r="AS13" i="7"/>
  <c r="AS3" i="7"/>
  <c r="AU4" i="7"/>
  <c r="AU9" i="7"/>
  <c r="AT13" i="7"/>
  <c r="W19" i="7"/>
  <c r="Y19" i="7" s="1"/>
  <c r="BA19" i="6"/>
  <c r="AZ19" i="6"/>
  <c r="AO19" i="6"/>
  <c r="AF19" i="6" s="1"/>
  <c r="Q19" i="6"/>
  <c r="V19" i="6" s="1"/>
  <c r="L19" i="6"/>
  <c r="BA18" i="6"/>
  <c r="AO18" i="6"/>
  <c r="AF18" i="6" s="1"/>
  <c r="Q18" i="6"/>
  <c r="V18" i="6" s="1"/>
  <c r="L18" i="6"/>
  <c r="X18" i="6" s="1"/>
  <c r="Y7" i="7" l="1"/>
  <c r="AX8" i="7"/>
  <c r="AX2" i="7"/>
  <c r="Y5" i="7"/>
  <c r="Y10" i="7"/>
  <c r="AX13" i="7"/>
  <c r="AX9" i="7"/>
  <c r="AX3" i="7"/>
  <c r="AX4" i="7"/>
  <c r="AX12" i="7"/>
  <c r="AX6" i="7"/>
  <c r="AX7" i="7"/>
  <c r="Y15" i="7"/>
  <c r="AX5" i="7"/>
  <c r="Y6" i="7"/>
  <c r="Y16" i="7"/>
  <c r="AX11" i="7"/>
  <c r="AX10" i="7"/>
  <c r="AX15" i="7"/>
  <c r="AY19" i="6"/>
  <c r="X19" i="6"/>
  <c r="W19" i="6"/>
  <c r="AY18" i="6"/>
  <c r="W18" i="6"/>
  <c r="Y18" i="6" s="1"/>
  <c r="Y19" i="6" l="1"/>
  <c r="T2" i="6" l="1"/>
  <c r="U2" i="6" s="1"/>
  <c r="T3" i="6"/>
  <c r="U3" i="6" s="1"/>
  <c r="T4" i="6"/>
  <c r="U4" i="6" s="1"/>
  <c r="T5" i="6"/>
  <c r="U5" i="6" s="1"/>
  <c r="T6" i="6"/>
  <c r="U6" i="6" s="1"/>
  <c r="T7" i="6"/>
  <c r="U7" i="6" s="1"/>
  <c r="T8" i="6"/>
  <c r="U8" i="6" s="1"/>
  <c r="T10" i="6"/>
  <c r="U10" i="6" s="1"/>
  <c r="AO16" i="6" l="1"/>
  <c r="AF16" i="6" s="1"/>
  <c r="T16" i="6"/>
  <c r="U16" i="6" s="1"/>
  <c r="Q16" i="6"/>
  <c r="V16" i="6" s="1"/>
  <c r="L16" i="6"/>
  <c r="AW16" i="6" s="1"/>
  <c r="AO15" i="6"/>
  <c r="AF15" i="6" s="1"/>
  <c r="T15" i="6"/>
  <c r="U15" i="6" s="1"/>
  <c r="Q15" i="6"/>
  <c r="V15" i="6" s="1"/>
  <c r="L15" i="6"/>
  <c r="AQ15" i="6" s="1"/>
  <c r="AO14" i="6"/>
  <c r="AF14" i="6" s="1"/>
  <c r="T14" i="6"/>
  <c r="U14" i="6" s="1"/>
  <c r="Q14" i="6"/>
  <c r="V14" i="6" s="1"/>
  <c r="L14" i="6"/>
  <c r="AR14" i="6" s="1"/>
  <c r="AO13" i="6"/>
  <c r="AF13" i="6" s="1"/>
  <c r="T13" i="6"/>
  <c r="U13" i="6" s="1"/>
  <c r="Q13" i="6"/>
  <c r="V13" i="6" s="1"/>
  <c r="L13" i="6"/>
  <c r="AW13" i="6" s="1"/>
  <c r="AO12" i="6"/>
  <c r="AF12" i="6" s="1"/>
  <c r="T12" i="6"/>
  <c r="U12" i="6" s="1"/>
  <c r="Q12" i="6"/>
  <c r="V12" i="6" s="1"/>
  <c r="L12" i="6"/>
  <c r="AW12" i="6" s="1"/>
  <c r="AO11" i="6"/>
  <c r="AF11" i="6" s="1"/>
  <c r="T11" i="6"/>
  <c r="U11" i="6" s="1"/>
  <c r="Q11" i="6"/>
  <c r="V11" i="6" s="1"/>
  <c r="L11" i="6"/>
  <c r="AW11" i="6" s="1"/>
  <c r="AO10" i="6"/>
  <c r="AF10" i="6" s="1"/>
  <c r="Q10" i="6"/>
  <c r="V10" i="6" s="1"/>
  <c r="M10" i="6"/>
  <c r="L10" i="6"/>
  <c r="AO9" i="6"/>
  <c r="AF9" i="6" s="1"/>
  <c r="Q9" i="6"/>
  <c r="V9" i="6" s="1"/>
  <c r="M9" i="6"/>
  <c r="L9" i="6"/>
  <c r="AO8" i="6"/>
  <c r="AF8" i="6" s="1"/>
  <c r="Q8" i="6"/>
  <c r="V8" i="6" s="1"/>
  <c r="M8" i="6"/>
  <c r="L8" i="6"/>
  <c r="AO7" i="6"/>
  <c r="AF7" i="6" s="1"/>
  <c r="Q7" i="6"/>
  <c r="V7" i="6" s="1"/>
  <c r="M7" i="6"/>
  <c r="L7" i="6"/>
  <c r="AO6" i="6"/>
  <c r="AF6" i="6" s="1"/>
  <c r="Q6" i="6"/>
  <c r="V6" i="6" s="1"/>
  <c r="M6" i="6"/>
  <c r="L6" i="6"/>
  <c r="AO5" i="6"/>
  <c r="AF5" i="6" s="1"/>
  <c r="Q5" i="6"/>
  <c r="V5" i="6" s="1"/>
  <c r="M5" i="6"/>
  <c r="L5" i="6"/>
  <c r="AO4" i="6"/>
  <c r="AF4" i="6" s="1"/>
  <c r="Q4" i="6"/>
  <c r="V4" i="6" s="1"/>
  <c r="M4" i="6"/>
  <c r="L4" i="6"/>
  <c r="AO3" i="6"/>
  <c r="AF3" i="6" s="1"/>
  <c r="Q3" i="6"/>
  <c r="V3" i="6" s="1"/>
  <c r="M3" i="6"/>
  <c r="L3" i="6"/>
  <c r="AO2" i="6"/>
  <c r="AF2" i="6" s="1"/>
  <c r="Q2" i="6"/>
  <c r="V2" i="6" s="1"/>
  <c r="M2" i="6"/>
  <c r="L2" i="6"/>
  <c r="L2" i="1"/>
  <c r="Y2" i="1" s="1"/>
  <c r="M2" i="1"/>
  <c r="R2" i="1"/>
  <c r="W2" i="1" s="1"/>
  <c r="Z2" i="1" s="1"/>
  <c r="AO2" i="1"/>
  <c r="X2" i="1" s="1"/>
  <c r="L3" i="1"/>
  <c r="Y3" i="1" s="1"/>
  <c r="M3" i="1"/>
  <c r="Q3" i="1"/>
  <c r="R3" i="1" s="1"/>
  <c r="W3" i="1" s="1"/>
  <c r="AO3" i="1"/>
  <c r="X3" i="1" s="1"/>
  <c r="L4" i="1"/>
  <c r="M4" i="1"/>
  <c r="R4" i="1"/>
  <c r="W4" i="1"/>
  <c r="Y4" i="1"/>
  <c r="AO4" i="1"/>
  <c r="X4" i="1" s="1"/>
  <c r="Z4" i="1" s="1"/>
  <c r="L5" i="1"/>
  <c r="M5" i="1"/>
  <c r="R5" i="1"/>
  <c r="W5" i="1"/>
  <c r="Y5" i="1"/>
  <c r="AO5" i="1"/>
  <c r="X5" i="1" s="1"/>
  <c r="Z5" i="1" s="1"/>
  <c r="L6" i="1"/>
  <c r="M6" i="1"/>
  <c r="R6" i="1"/>
  <c r="W6" i="1"/>
  <c r="Y6" i="1"/>
  <c r="AO6" i="1"/>
  <c r="X6" i="1" s="1"/>
  <c r="Z6" i="1" s="1"/>
  <c r="L7" i="1"/>
  <c r="M7" i="1"/>
  <c r="R7" i="1"/>
  <c r="W7" i="1"/>
  <c r="Y7" i="1"/>
  <c r="AO7" i="1"/>
  <c r="X7" i="1" s="1"/>
  <c r="Z7" i="1" s="1"/>
  <c r="L8" i="1"/>
  <c r="M8" i="1"/>
  <c r="R8" i="1"/>
  <c r="W8" i="1"/>
  <c r="Y8" i="1"/>
  <c r="AO8" i="1"/>
  <c r="X8" i="1" s="1"/>
  <c r="Z8" i="1" s="1"/>
  <c r="L9" i="1"/>
  <c r="M9" i="1"/>
  <c r="R9" i="1"/>
  <c r="W9" i="1"/>
  <c r="Y9" i="1"/>
  <c r="AO9" i="1"/>
  <c r="X9" i="1" s="1"/>
  <c r="Z9" i="1" s="1"/>
  <c r="L10" i="1"/>
  <c r="M10" i="1"/>
  <c r="R10" i="1"/>
  <c r="W10" i="1"/>
  <c r="Y10" i="1"/>
  <c r="AO10" i="1"/>
  <c r="X10" i="1" s="1"/>
  <c r="Z10" i="1" s="1"/>
  <c r="L11" i="1"/>
  <c r="M11" i="1"/>
  <c r="R11" i="1"/>
  <c r="W11" i="1"/>
  <c r="Y11" i="1"/>
  <c r="AO11" i="1"/>
  <c r="X11" i="1" s="1"/>
  <c r="Z11" i="1" s="1"/>
  <c r="L12" i="1"/>
  <c r="M12" i="1"/>
  <c r="R12" i="1"/>
  <c r="W12" i="1"/>
  <c r="Y12" i="1"/>
  <c r="AO12" i="1"/>
  <c r="X12" i="1" s="1"/>
  <c r="Z12" i="1" s="1"/>
  <c r="L13" i="1"/>
  <c r="M13" i="1"/>
  <c r="R13" i="1"/>
  <c r="W13" i="1"/>
  <c r="Y13" i="1"/>
  <c r="AO13" i="1"/>
  <c r="X13" i="1" s="1"/>
  <c r="Z13" i="1" s="1"/>
  <c r="L14" i="1"/>
  <c r="M14" i="1"/>
  <c r="R14" i="1"/>
  <c r="W14" i="1"/>
  <c r="Y14" i="1"/>
  <c r="AO14" i="1"/>
  <c r="X14" i="1" s="1"/>
  <c r="Z14" i="1" s="1"/>
  <c r="L15" i="1"/>
  <c r="M15" i="1"/>
  <c r="R15" i="1"/>
  <c r="W15" i="1"/>
  <c r="Y15" i="1"/>
  <c r="AO15" i="1"/>
  <c r="X15" i="1" s="1"/>
  <c r="Z15" i="1" s="1"/>
  <c r="L16" i="1"/>
  <c r="M16" i="1"/>
  <c r="R16" i="1"/>
  <c r="W16" i="1"/>
  <c r="Y16" i="1"/>
  <c r="AO16" i="1"/>
  <c r="X16" i="1" s="1"/>
  <c r="Z16" i="1" s="1"/>
  <c r="L17" i="1"/>
  <c r="M17" i="1"/>
  <c r="R17" i="1"/>
  <c r="W17" i="1"/>
  <c r="Y17" i="1"/>
  <c r="AO17" i="1"/>
  <c r="X17" i="1" s="1"/>
  <c r="Z17" i="1" s="1"/>
  <c r="L37" i="1"/>
  <c r="AO37" i="1"/>
  <c r="L38" i="1"/>
  <c r="AO38" i="1"/>
  <c r="L39" i="1"/>
  <c r="AO39" i="1"/>
  <c r="L40" i="1"/>
  <c r="M40" i="1"/>
  <c r="AO40" i="1"/>
  <c r="L41" i="1"/>
  <c r="M41" i="1"/>
  <c r="AO41" i="1"/>
  <c r="L42" i="1"/>
  <c r="M42" i="1"/>
  <c r="AO42" i="1"/>
  <c r="L43" i="1"/>
  <c r="AO43" i="1"/>
  <c r="L44" i="1"/>
  <c r="AO44" i="1"/>
  <c r="L45" i="1"/>
  <c r="AO45" i="1"/>
  <c r="L46" i="1"/>
  <c r="M46" i="1"/>
  <c r="AO46" i="1"/>
  <c r="L47" i="1"/>
  <c r="M47" i="1"/>
  <c r="AO47" i="1"/>
  <c r="L48" i="1"/>
  <c r="M48" i="1"/>
  <c r="AO48" i="1"/>
  <c r="L49" i="1"/>
  <c r="Y49" i="1" s="1"/>
  <c r="R49" i="1"/>
  <c r="W49" i="1" s="1"/>
  <c r="AO49" i="1"/>
  <c r="X49" i="1" s="1"/>
  <c r="L50" i="1"/>
  <c r="R50" i="1"/>
  <c r="W50" i="1"/>
  <c r="X50" i="1"/>
  <c r="Y50" i="1"/>
  <c r="Z50" i="1" s="1"/>
  <c r="AO50" i="1"/>
  <c r="L51" i="1"/>
  <c r="Y51" i="1" s="1"/>
  <c r="R51" i="1"/>
  <c r="W51" i="1" s="1"/>
  <c r="AO51" i="1"/>
  <c r="L52" i="1"/>
  <c r="Y52" i="1" s="1"/>
  <c r="R52" i="1"/>
  <c r="W52" i="1"/>
  <c r="AO52" i="1"/>
  <c r="X52" i="1" s="1"/>
  <c r="L53" i="1"/>
  <c r="Y53" i="1" s="1"/>
  <c r="R53" i="1"/>
  <c r="W53" i="1" s="1"/>
  <c r="AO53" i="1"/>
  <c r="X53" i="1" s="1"/>
  <c r="L54" i="1"/>
  <c r="Y54" i="1" s="1"/>
  <c r="R54" i="1"/>
  <c r="W54" i="1" s="1"/>
  <c r="AO54" i="1"/>
  <c r="X54" i="1" s="1"/>
  <c r="L55" i="1"/>
  <c r="Y55" i="1" s="1"/>
  <c r="R55" i="1"/>
  <c r="W55" i="1" s="1"/>
  <c r="AO55" i="1"/>
  <c r="X55" i="1" s="1"/>
  <c r="L56" i="1"/>
  <c r="Y56" i="1" s="1"/>
  <c r="R56" i="1"/>
  <c r="W56" i="1"/>
  <c r="X56" i="1"/>
  <c r="AO56" i="1"/>
  <c r="L22" i="1"/>
  <c r="Y22" i="1" s="1"/>
  <c r="M22" i="1"/>
  <c r="R22" i="1"/>
  <c r="W22" i="1" s="1"/>
  <c r="AO22" i="1"/>
  <c r="L23" i="1"/>
  <c r="Y23" i="1" s="1"/>
  <c r="M23" i="1"/>
  <c r="R23" i="1"/>
  <c r="W23" i="1" s="1"/>
  <c r="AO23" i="1"/>
  <c r="L24" i="1"/>
  <c r="Y24" i="1" s="1"/>
  <c r="M24" i="1"/>
  <c r="R24" i="1"/>
  <c r="W24" i="1" s="1"/>
  <c r="AO24" i="1"/>
  <c r="L25" i="1"/>
  <c r="Y25" i="1" s="1"/>
  <c r="M25" i="1"/>
  <c r="R25" i="1"/>
  <c r="W25" i="1" s="1"/>
  <c r="AO25" i="1"/>
  <c r="L26" i="1"/>
  <c r="Y26" i="1" s="1"/>
  <c r="M26" i="1"/>
  <c r="R26" i="1"/>
  <c r="W26" i="1" s="1"/>
  <c r="AO26" i="1"/>
  <c r="L27" i="1"/>
  <c r="M27" i="1"/>
  <c r="R27" i="1"/>
  <c r="W27" i="1" s="1"/>
  <c r="Y27" i="1"/>
  <c r="AO27" i="1"/>
  <c r="L28" i="1"/>
  <c r="Y28" i="1" s="1"/>
  <c r="M28" i="1"/>
  <c r="R28" i="1"/>
  <c r="W28" i="1" s="1"/>
  <c r="AO28" i="1"/>
  <c r="X28" i="1" s="1"/>
  <c r="L29" i="1"/>
  <c r="Y29" i="1" s="1"/>
  <c r="M29" i="1"/>
  <c r="R29" i="1"/>
  <c r="W29" i="1" s="1"/>
  <c r="AO29" i="1"/>
  <c r="L19" i="1"/>
  <c r="Y19" i="1" s="1"/>
  <c r="M19" i="1"/>
  <c r="R19" i="1"/>
  <c r="W19" i="1" s="1"/>
  <c r="AO19" i="1"/>
  <c r="L58" i="1"/>
  <c r="AS58" i="1" s="1"/>
  <c r="R58" i="1"/>
  <c r="W58" i="1" s="1"/>
  <c r="U58" i="1"/>
  <c r="V58" i="1" s="1"/>
  <c r="AO58" i="1"/>
  <c r="L59" i="1"/>
  <c r="AW59" i="1" s="1"/>
  <c r="R59" i="1"/>
  <c r="W59" i="1" s="1"/>
  <c r="U59" i="1"/>
  <c r="V59" i="1" s="1"/>
  <c r="AO59" i="1"/>
  <c r="L60" i="1"/>
  <c r="Y60" i="1" s="1"/>
  <c r="R60" i="1"/>
  <c r="W60" i="1" s="1"/>
  <c r="U60" i="1"/>
  <c r="V60" i="1" s="1"/>
  <c r="AO60" i="1"/>
  <c r="X60" i="1" s="1"/>
  <c r="L61" i="1"/>
  <c r="AU61" i="1" s="1"/>
  <c r="R61" i="1"/>
  <c r="W61" i="1" s="1"/>
  <c r="U61" i="1"/>
  <c r="V61" i="1" s="1"/>
  <c r="AO61" i="1"/>
  <c r="L70" i="1"/>
  <c r="AQ70" i="1" s="1"/>
  <c r="R70" i="1"/>
  <c r="W70" i="1" s="1"/>
  <c r="U70" i="1"/>
  <c r="V70" i="1" s="1"/>
  <c r="AO70" i="1"/>
  <c r="AW70" i="1"/>
  <c r="L71" i="1"/>
  <c r="AT71" i="1" s="1"/>
  <c r="R71" i="1"/>
  <c r="W71" i="1" s="1"/>
  <c r="U71" i="1"/>
  <c r="V71" i="1" s="1"/>
  <c r="AO71" i="1"/>
  <c r="L72" i="1"/>
  <c r="AW72" i="1" s="1"/>
  <c r="R72" i="1"/>
  <c r="W72" i="1" s="1"/>
  <c r="U72" i="1"/>
  <c r="V72" i="1" s="1"/>
  <c r="AO72" i="1"/>
  <c r="L73" i="1"/>
  <c r="AT73" i="1" s="1"/>
  <c r="R73" i="1"/>
  <c r="W73" i="1" s="1"/>
  <c r="U73" i="1"/>
  <c r="V73" i="1" s="1"/>
  <c r="AO73" i="1"/>
  <c r="L74" i="1"/>
  <c r="AT74" i="1" s="1"/>
  <c r="R74" i="1"/>
  <c r="W74" i="1" s="1"/>
  <c r="U74" i="1"/>
  <c r="V74" i="1" s="1"/>
  <c r="AO74" i="1"/>
  <c r="L75" i="1"/>
  <c r="AS75" i="1" s="1"/>
  <c r="R75" i="1"/>
  <c r="W75" i="1" s="1"/>
  <c r="U75" i="1"/>
  <c r="V75" i="1" s="1"/>
  <c r="AO75" i="1"/>
  <c r="L76" i="1"/>
  <c r="AR76" i="1" s="1"/>
  <c r="R76" i="1"/>
  <c r="W76" i="1" s="1"/>
  <c r="U76" i="1"/>
  <c r="V76" i="1" s="1"/>
  <c r="AO76" i="1"/>
  <c r="L77" i="1"/>
  <c r="AQ77" i="1" s="1"/>
  <c r="R77" i="1"/>
  <c r="W77" i="1" s="1"/>
  <c r="U77" i="1"/>
  <c r="V77" i="1" s="1"/>
  <c r="AO77" i="1"/>
  <c r="L34" i="1"/>
  <c r="Y34" i="1" s="1"/>
  <c r="M34" i="1"/>
  <c r="R34" i="1"/>
  <c r="W34" i="1" s="1"/>
  <c r="AO34" i="1"/>
  <c r="L68" i="1"/>
  <c r="AS68" i="1" s="1"/>
  <c r="O68" i="1"/>
  <c r="R68" i="1"/>
  <c r="W68" i="1" s="1"/>
  <c r="U68" i="1"/>
  <c r="V68" i="1" s="1"/>
  <c r="AO68" i="1"/>
  <c r="L62" i="1"/>
  <c r="AQ62" i="1" s="1"/>
  <c r="O62" i="1"/>
  <c r="R62" i="1"/>
  <c r="W62" i="1" s="1"/>
  <c r="U62" i="1"/>
  <c r="V62" i="1" s="1"/>
  <c r="AO62" i="1"/>
  <c r="L63" i="1"/>
  <c r="Y63" i="1" s="1"/>
  <c r="O63" i="1"/>
  <c r="R63" i="1"/>
  <c r="W63" i="1" s="1"/>
  <c r="U63" i="1"/>
  <c r="V63" i="1" s="1"/>
  <c r="AO63" i="1"/>
  <c r="L64" i="1"/>
  <c r="AQ64" i="1" s="1"/>
  <c r="O64" i="1"/>
  <c r="R64" i="1"/>
  <c r="W64" i="1" s="1"/>
  <c r="U64" i="1"/>
  <c r="V64" i="1" s="1"/>
  <c r="AO64" i="1"/>
  <c r="L65" i="1"/>
  <c r="AQ65" i="1" s="1"/>
  <c r="O65" i="1"/>
  <c r="R65" i="1"/>
  <c r="W65" i="1" s="1"/>
  <c r="U65" i="1"/>
  <c r="V65" i="1" s="1"/>
  <c r="AO65" i="1"/>
  <c r="X9" i="6" l="1"/>
  <c r="AQ9" i="6"/>
  <c r="AX9" i="6" s="1"/>
  <c r="AR9" i="6"/>
  <c r="AU9" i="6"/>
  <c r="AS9" i="6"/>
  <c r="AT9" i="6"/>
  <c r="AV9" i="6"/>
  <c r="AW9" i="6"/>
  <c r="X7" i="6"/>
  <c r="AW7" i="6"/>
  <c r="AQ7" i="6"/>
  <c r="AR7" i="6"/>
  <c r="AS7" i="6"/>
  <c r="AT7" i="6"/>
  <c r="AU7" i="6"/>
  <c r="AV7" i="6"/>
  <c r="X4" i="6"/>
  <c r="AT4" i="6"/>
  <c r="AU4" i="6"/>
  <c r="AV4" i="6"/>
  <c r="AW4" i="6"/>
  <c r="AQ4" i="6"/>
  <c r="AR4" i="6"/>
  <c r="AS4" i="6"/>
  <c r="X6" i="6"/>
  <c r="AV6" i="6"/>
  <c r="AW6" i="6"/>
  <c r="AQ6" i="6"/>
  <c r="AR6" i="6"/>
  <c r="AS6" i="6"/>
  <c r="AT6" i="6"/>
  <c r="AU6" i="6"/>
  <c r="X2" i="6"/>
  <c r="AR2" i="6"/>
  <c r="AX2" i="6" s="1"/>
  <c r="AS2" i="6"/>
  <c r="AT2" i="6"/>
  <c r="AU2" i="6"/>
  <c r="AV2" i="6"/>
  <c r="AW2" i="6"/>
  <c r="AQ2" i="6"/>
  <c r="X3" i="6"/>
  <c r="AX3" i="6" s="1"/>
  <c r="AS3" i="6"/>
  <c r="AT3" i="6"/>
  <c r="AW3" i="6"/>
  <c r="AU3" i="6"/>
  <c r="AV3" i="6"/>
  <c r="AQ3" i="6"/>
  <c r="AR3" i="6"/>
  <c r="X8" i="6"/>
  <c r="AQ8" i="6"/>
  <c r="AT8" i="6"/>
  <c r="AR8" i="6"/>
  <c r="AS8" i="6"/>
  <c r="AU8" i="6"/>
  <c r="AV8" i="6"/>
  <c r="AW8" i="6"/>
  <c r="AX10" i="6"/>
  <c r="X5" i="6"/>
  <c r="AU5" i="6"/>
  <c r="AV5" i="6"/>
  <c r="AQ5" i="6"/>
  <c r="AW5" i="6"/>
  <c r="AR5" i="6"/>
  <c r="AS5" i="6"/>
  <c r="AT5" i="6"/>
  <c r="X10" i="6"/>
  <c r="AR10" i="6"/>
  <c r="AS10" i="6"/>
  <c r="AT10" i="6"/>
  <c r="AU10" i="6"/>
  <c r="AV10" i="6"/>
  <c r="AQ10" i="6"/>
  <c r="AW10" i="6"/>
  <c r="W6" i="6"/>
  <c r="Y6" i="6" s="1"/>
  <c r="W10" i="6"/>
  <c r="Y10" i="6" s="1"/>
  <c r="W15" i="6"/>
  <c r="AU13" i="6"/>
  <c r="X13" i="6"/>
  <c r="W9" i="6"/>
  <c r="Y9" i="6" s="1"/>
  <c r="W14" i="6"/>
  <c r="W13" i="6"/>
  <c r="AR15" i="6"/>
  <c r="W7" i="6"/>
  <c r="Y7" i="6" s="1"/>
  <c r="W3" i="6"/>
  <c r="Y3" i="6" s="1"/>
  <c r="AQ14" i="6"/>
  <c r="AT11" i="6"/>
  <c r="AV13" i="6"/>
  <c r="AQ13" i="6"/>
  <c r="AS14" i="6"/>
  <c r="W2" i="6"/>
  <c r="Y2" i="6" s="1"/>
  <c r="W5" i="6"/>
  <c r="Y5" i="6" s="1"/>
  <c r="W11" i="6"/>
  <c r="W12" i="6"/>
  <c r="AR13" i="6"/>
  <c r="AQ11" i="6"/>
  <c r="AR12" i="6"/>
  <c r="AS13" i="6"/>
  <c r="W16" i="6"/>
  <c r="W4" i="6"/>
  <c r="Y4" i="6" s="1"/>
  <c r="W8" i="6"/>
  <c r="Y8" i="6" s="1"/>
  <c r="AR11" i="6"/>
  <c r="AT13" i="6"/>
  <c r="AQ16" i="6"/>
  <c r="AS11" i="6"/>
  <c r="AQ12" i="6"/>
  <c r="AT14" i="6"/>
  <c r="AS15" i="6"/>
  <c r="AR16" i="6"/>
  <c r="AU14" i="6"/>
  <c r="AT15" i="6"/>
  <c r="AS16" i="6"/>
  <c r="AU11" i="6"/>
  <c r="AS12" i="6"/>
  <c r="X14" i="6"/>
  <c r="AV14" i="6"/>
  <c r="AU15" i="6"/>
  <c r="AT16" i="6"/>
  <c r="X11" i="6"/>
  <c r="AV11" i="6"/>
  <c r="AT12" i="6"/>
  <c r="AW14" i="6"/>
  <c r="X15" i="6"/>
  <c r="AV15" i="6"/>
  <c r="AU16" i="6"/>
  <c r="AU12" i="6"/>
  <c r="AW15" i="6"/>
  <c r="X16" i="6"/>
  <c r="AV16" i="6"/>
  <c r="X12" i="6"/>
  <c r="AV12" i="6"/>
  <c r="Z3" i="1"/>
  <c r="X22" i="1"/>
  <c r="Z22" i="1" s="1"/>
  <c r="X51" i="1"/>
  <c r="Z51" i="1" s="1"/>
  <c r="Z56" i="1"/>
  <c r="X25" i="1"/>
  <c r="Z54" i="1"/>
  <c r="X23" i="1"/>
  <c r="X34" i="1"/>
  <c r="Z34" i="1" s="1"/>
  <c r="AV72" i="1"/>
  <c r="Z49" i="1"/>
  <c r="Z52" i="1"/>
  <c r="Z53" i="1"/>
  <c r="Z55" i="1"/>
  <c r="AV61" i="1"/>
  <c r="Z25" i="1"/>
  <c r="AV73" i="1"/>
  <c r="AV70" i="1"/>
  <c r="AS61" i="1"/>
  <c r="AR58" i="1"/>
  <c r="Z28" i="1"/>
  <c r="X26" i="1"/>
  <c r="X29" i="1"/>
  <c r="Z29" i="1" s="1"/>
  <c r="AS73" i="1"/>
  <c r="X70" i="1"/>
  <c r="X61" i="1"/>
  <c r="X24" i="1"/>
  <c r="Z24" i="1" s="1"/>
  <c r="AT70" i="1"/>
  <c r="AR61" i="1"/>
  <c r="X71" i="1"/>
  <c r="X27" i="1"/>
  <c r="Z23" i="1"/>
  <c r="Z26" i="1"/>
  <c r="Z27" i="1"/>
  <c r="AQ61" i="1"/>
  <c r="AU72" i="1"/>
  <c r="Y61" i="1"/>
  <c r="AW58" i="1"/>
  <c r="X19" i="1"/>
  <c r="X72" i="1"/>
  <c r="AW61" i="1"/>
  <c r="AU58" i="1"/>
  <c r="AT61" i="1"/>
  <c r="AQ59" i="1"/>
  <c r="AQ58" i="1"/>
  <c r="X59" i="1"/>
  <c r="X58" i="1"/>
  <c r="Z19" i="1"/>
  <c r="AR73" i="1"/>
  <c r="X77" i="1"/>
  <c r="AQ73" i="1"/>
  <c r="AS71" i="1"/>
  <c r="X73" i="1"/>
  <c r="AT72" i="1"/>
  <c r="AR71" i="1"/>
  <c r="AU70" i="1"/>
  <c r="AW73" i="1"/>
  <c r="Y73" i="1"/>
  <c r="AS72" i="1"/>
  <c r="AQ71" i="1"/>
  <c r="AU73" i="1"/>
  <c r="Y70" i="1"/>
  <c r="Z70" i="1" s="1"/>
  <c r="Z60" i="1"/>
  <c r="AW60" i="1"/>
  <c r="AR75" i="1"/>
  <c r="AU60" i="1"/>
  <c r="AV59" i="1"/>
  <c r="Y59" i="1"/>
  <c r="AW68" i="1"/>
  <c r="AQ75" i="1"/>
  <c r="X74" i="1"/>
  <c r="AR72" i="1"/>
  <c r="AW71" i="1"/>
  <c r="Y71" i="1"/>
  <c r="Z71" i="1" s="1"/>
  <c r="AT60" i="1"/>
  <c r="AU59" i="1"/>
  <c r="AV58" i="1"/>
  <c r="Y58" i="1"/>
  <c r="AS74" i="1"/>
  <c r="AT59" i="1"/>
  <c r="AQ74" i="1"/>
  <c r="AU68" i="1"/>
  <c r="X75" i="1"/>
  <c r="AS60" i="1"/>
  <c r="AR68" i="1"/>
  <c r="X76" i="1"/>
  <c r="Y72" i="1"/>
  <c r="AU71" i="1"/>
  <c r="AR60" i="1"/>
  <c r="AS59" i="1"/>
  <c r="AT58" i="1"/>
  <c r="AQ76" i="1"/>
  <c r="AV71" i="1"/>
  <c r="AQ60" i="1"/>
  <c r="AR59" i="1"/>
  <c r="AW75" i="1"/>
  <c r="AR74" i="1"/>
  <c r="AV60" i="1"/>
  <c r="AW77" i="1"/>
  <c r="AV77" i="1"/>
  <c r="Y77" i="1"/>
  <c r="AW76" i="1"/>
  <c r="AU77" i="1"/>
  <c r="AV76" i="1"/>
  <c r="Y76" i="1"/>
  <c r="AQ68" i="1"/>
  <c r="AT77" i="1"/>
  <c r="AU76" i="1"/>
  <c r="AV75" i="1"/>
  <c r="Y75" i="1"/>
  <c r="AW74" i="1"/>
  <c r="AQ72" i="1"/>
  <c r="AS70" i="1"/>
  <c r="X68" i="1"/>
  <c r="AS77" i="1"/>
  <c r="AT76" i="1"/>
  <c r="AU75" i="1"/>
  <c r="AV74" i="1"/>
  <c r="Y74" i="1"/>
  <c r="AR70" i="1"/>
  <c r="Y68" i="1"/>
  <c r="AR77" i="1"/>
  <c r="AS76" i="1"/>
  <c r="AT75" i="1"/>
  <c r="AU74" i="1"/>
  <c r="AV68" i="1"/>
  <c r="AT68" i="1"/>
  <c r="AT65" i="1"/>
  <c r="AU65" i="1"/>
  <c r="AV63" i="1"/>
  <c r="X63" i="1"/>
  <c r="Z63" i="1" s="1"/>
  <c r="AT63" i="1"/>
  <c r="X64" i="1"/>
  <c r="AS65" i="1"/>
  <c r="AR65" i="1"/>
  <c r="X65" i="1"/>
  <c r="AW65" i="1"/>
  <c r="AR63" i="1"/>
  <c r="AV65" i="1"/>
  <c r="Y64" i="1"/>
  <c r="AT64" i="1"/>
  <c r="AR64" i="1"/>
  <c r="AV64" i="1"/>
  <c r="AU64" i="1"/>
  <c r="AT62" i="1"/>
  <c r="AR62" i="1"/>
  <c r="AW64" i="1"/>
  <c r="AU63" i="1"/>
  <c r="AS64" i="1"/>
  <c r="AW63" i="1"/>
  <c r="AV62" i="1"/>
  <c r="AS63" i="1"/>
  <c r="AQ63" i="1"/>
  <c r="X62" i="1"/>
  <c r="AW62" i="1"/>
  <c r="AU62" i="1"/>
  <c r="AS62" i="1"/>
  <c r="Y62" i="1"/>
  <c r="Y65" i="1"/>
  <c r="AX4" i="6" l="1"/>
  <c r="AX8" i="6"/>
  <c r="AX6" i="6"/>
  <c r="AX7" i="6"/>
  <c r="AX5" i="6"/>
  <c r="Y13" i="6"/>
  <c r="Y12" i="6"/>
  <c r="AX13" i="6"/>
  <c r="AX11" i="6"/>
  <c r="AX12" i="6"/>
  <c r="AX15" i="6"/>
  <c r="AX14" i="6"/>
  <c r="AX16" i="6"/>
  <c r="Y11" i="6"/>
  <c r="Y14" i="6"/>
  <c r="Y15" i="6"/>
  <c r="Y16" i="6"/>
  <c r="Z58" i="1"/>
  <c r="Z76" i="1"/>
  <c r="Z72" i="1"/>
  <c r="Z77" i="1"/>
  <c r="Z73" i="1"/>
  <c r="AX61" i="1"/>
  <c r="AX58" i="1"/>
  <c r="AX73" i="1"/>
  <c r="Z75" i="1"/>
  <c r="AX72" i="1"/>
  <c r="Z61" i="1"/>
  <c r="AX59" i="1"/>
  <c r="AX70" i="1"/>
  <c r="AX75" i="1"/>
  <c r="AX76" i="1"/>
  <c r="AX60" i="1"/>
  <c r="Z59" i="1"/>
  <c r="AX71" i="1"/>
  <c r="AX74" i="1"/>
  <c r="Z74" i="1"/>
  <c r="AX68" i="1"/>
  <c r="Z68" i="1"/>
  <c r="AX77" i="1"/>
  <c r="AX65" i="1"/>
  <c r="Z65" i="1"/>
  <c r="Z64" i="1"/>
  <c r="AX63" i="1"/>
  <c r="AX62" i="1"/>
  <c r="AX64" i="1"/>
  <c r="Z62" i="1"/>
  <c r="AZ15" i="3" l="1"/>
  <c r="AZ16" i="3"/>
  <c r="AZ10" i="3"/>
  <c r="AZ11" i="3"/>
  <c r="AZ5" i="3"/>
  <c r="AZ6" i="3"/>
  <c r="AZ3" i="3"/>
  <c r="AZ4" i="3"/>
  <c r="AZ7" i="3"/>
  <c r="AZ8" i="3"/>
  <c r="AZ9" i="3"/>
  <c r="AZ12" i="3"/>
  <c r="AZ13" i="3"/>
  <c r="AZ14" i="3"/>
  <c r="AZ17" i="3"/>
  <c r="AZ18" i="3"/>
  <c r="AZ19" i="3"/>
  <c r="AZ20" i="3"/>
  <c r="AZ21" i="3"/>
  <c r="AZ22" i="3"/>
  <c r="AZ23" i="3"/>
  <c r="AZ24" i="3"/>
  <c r="AZ25" i="3"/>
  <c r="AZ26" i="3"/>
  <c r="AZ2" i="3"/>
  <c r="AY25" i="3"/>
  <c r="AY26" i="3"/>
  <c r="AY20" i="3"/>
  <c r="AY21" i="3"/>
  <c r="AY15" i="3"/>
  <c r="AY16" i="3"/>
  <c r="AY10" i="3"/>
  <c r="AY11" i="3"/>
  <c r="AY5" i="3"/>
  <c r="AY6" i="3"/>
  <c r="N33" i="3" l="1"/>
  <c r="N53" i="3"/>
  <c r="AV54" i="3"/>
  <c r="AU54" i="3"/>
  <c r="AT54" i="3"/>
  <c r="AS54" i="3"/>
  <c r="AR54" i="3"/>
  <c r="AQ54" i="3"/>
  <c r="AP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S54" i="3"/>
  <c r="R54" i="3"/>
  <c r="P54" i="3"/>
  <c r="O54" i="3"/>
  <c r="M54" i="3"/>
  <c r="AV53" i="3"/>
  <c r="AU53" i="3"/>
  <c r="AT53" i="3"/>
  <c r="AS53" i="3"/>
  <c r="AR53" i="3"/>
  <c r="AQ53" i="3"/>
  <c r="AP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S53" i="3"/>
  <c r="R53" i="3"/>
  <c r="P53" i="3"/>
  <c r="O53" i="3"/>
  <c r="M53" i="3"/>
  <c r="AO52" i="3"/>
  <c r="T52" i="3"/>
  <c r="Q52" i="3"/>
  <c r="L52" i="3"/>
  <c r="AO51" i="3"/>
  <c r="Q51" i="3"/>
  <c r="V51" i="3" s="1"/>
  <c r="L51" i="3"/>
  <c r="AO50" i="3"/>
  <c r="T50" i="3"/>
  <c r="Q50" i="3"/>
  <c r="L50" i="3"/>
  <c r="X50" i="3" s="1"/>
  <c r="AV49" i="3"/>
  <c r="AU49" i="3"/>
  <c r="AT49" i="3"/>
  <c r="AS49" i="3"/>
  <c r="AR49" i="3"/>
  <c r="AQ49" i="3"/>
  <c r="AP49" i="3"/>
  <c r="AN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S49" i="3"/>
  <c r="R49" i="3"/>
  <c r="P49" i="3"/>
  <c r="O49" i="3"/>
  <c r="N49" i="3"/>
  <c r="M49" i="3"/>
  <c r="AV48" i="3"/>
  <c r="AU48" i="3"/>
  <c r="AT48" i="3"/>
  <c r="AS48" i="3"/>
  <c r="AR48" i="3"/>
  <c r="AQ48" i="3"/>
  <c r="AP48" i="3"/>
  <c r="AN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S48" i="3"/>
  <c r="R48" i="3"/>
  <c r="P48" i="3"/>
  <c r="O48" i="3"/>
  <c r="N48" i="3"/>
  <c r="M48" i="3"/>
  <c r="AO47" i="3"/>
  <c r="T47" i="3"/>
  <c r="U47" i="3" s="1"/>
  <c r="Q47" i="3"/>
  <c r="V47" i="3" s="1"/>
  <c r="L47" i="3"/>
  <c r="X47" i="3" s="1"/>
  <c r="AO46" i="3"/>
  <c r="T46" i="3"/>
  <c r="U46" i="3" s="1"/>
  <c r="Q46" i="3"/>
  <c r="V46" i="3" s="1"/>
  <c r="L46" i="3"/>
  <c r="X46" i="3" s="1"/>
  <c r="AO45" i="3"/>
  <c r="T45" i="3"/>
  <c r="Q45" i="3"/>
  <c r="V45" i="3" s="1"/>
  <c r="L45" i="3"/>
  <c r="AV44" i="3"/>
  <c r="AU44" i="3"/>
  <c r="AT44" i="3"/>
  <c r="AS44" i="3"/>
  <c r="AR44" i="3"/>
  <c r="AQ44" i="3"/>
  <c r="AP44" i="3"/>
  <c r="AN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S44" i="3"/>
  <c r="R44" i="3"/>
  <c r="P44" i="3"/>
  <c r="O44" i="3"/>
  <c r="N44" i="3"/>
  <c r="M44" i="3"/>
  <c r="AV43" i="3"/>
  <c r="AU43" i="3"/>
  <c r="AT43" i="3"/>
  <c r="AS43" i="3"/>
  <c r="AR43" i="3"/>
  <c r="AQ43" i="3"/>
  <c r="AP43" i="3"/>
  <c r="AN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S43" i="3"/>
  <c r="R43" i="3"/>
  <c r="P43" i="3"/>
  <c r="O43" i="3"/>
  <c r="N43" i="3"/>
  <c r="M43" i="3"/>
  <c r="AO42" i="3"/>
  <c r="T42" i="3"/>
  <c r="U42" i="3" s="1"/>
  <c r="Q42" i="3"/>
  <c r="V42" i="3" s="1"/>
  <c r="L42" i="3"/>
  <c r="X42" i="3" s="1"/>
  <c r="AO41" i="3"/>
  <c r="T41" i="3"/>
  <c r="U41" i="3" s="1"/>
  <c r="Q41" i="3"/>
  <c r="V41" i="3" s="1"/>
  <c r="L41" i="3"/>
  <c r="X41" i="3" s="1"/>
  <c r="AO40" i="3"/>
  <c r="T40" i="3"/>
  <c r="Q40" i="3"/>
  <c r="V40" i="3" s="1"/>
  <c r="L40" i="3"/>
  <c r="AV39" i="3"/>
  <c r="AU39" i="3"/>
  <c r="AT39" i="3"/>
  <c r="AS39" i="3"/>
  <c r="AR39" i="3"/>
  <c r="AQ39" i="3"/>
  <c r="AP39" i="3"/>
  <c r="AN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S39" i="3"/>
  <c r="R39" i="3"/>
  <c r="P39" i="3"/>
  <c r="O39" i="3"/>
  <c r="N39" i="3"/>
  <c r="M39" i="3"/>
  <c r="AV38" i="3"/>
  <c r="AU38" i="3"/>
  <c r="AT38" i="3"/>
  <c r="AS38" i="3"/>
  <c r="AR38" i="3"/>
  <c r="AQ38" i="3"/>
  <c r="AP38" i="3"/>
  <c r="AN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S38" i="3"/>
  <c r="R38" i="3"/>
  <c r="P38" i="3"/>
  <c r="O38" i="3"/>
  <c r="N38" i="3"/>
  <c r="M38" i="3"/>
  <c r="AO37" i="3"/>
  <c r="T37" i="3"/>
  <c r="U37" i="3" s="1"/>
  <c r="Q37" i="3"/>
  <c r="V37" i="3" s="1"/>
  <c r="L37" i="3"/>
  <c r="X37" i="3" s="1"/>
  <c r="AO36" i="3"/>
  <c r="T36" i="3"/>
  <c r="U36" i="3" s="1"/>
  <c r="Q36" i="3"/>
  <c r="V36" i="3" s="1"/>
  <c r="L36" i="3"/>
  <c r="X36" i="3" s="1"/>
  <c r="AO35" i="3"/>
  <c r="T35" i="3"/>
  <c r="Q35" i="3"/>
  <c r="V35" i="3" s="1"/>
  <c r="L35" i="3"/>
  <c r="AV34" i="3"/>
  <c r="AU34" i="3"/>
  <c r="AT34" i="3"/>
  <c r="AS34" i="3"/>
  <c r="AR34" i="3"/>
  <c r="AQ34" i="3"/>
  <c r="AP34" i="3"/>
  <c r="AN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S34" i="3"/>
  <c r="R34" i="3"/>
  <c r="P34" i="3"/>
  <c r="O34" i="3"/>
  <c r="M34" i="3"/>
  <c r="AV33" i="3"/>
  <c r="AU33" i="3"/>
  <c r="AT33" i="3"/>
  <c r="AS33" i="3"/>
  <c r="AR33" i="3"/>
  <c r="AQ33" i="3"/>
  <c r="AP33" i="3"/>
  <c r="AN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S33" i="3"/>
  <c r="R33" i="3"/>
  <c r="P33" i="3"/>
  <c r="O33" i="3"/>
  <c r="M33" i="3"/>
  <c r="AO32" i="3"/>
  <c r="T32" i="3"/>
  <c r="Q32" i="3"/>
  <c r="L32" i="3"/>
  <c r="X32" i="3" s="1"/>
  <c r="AO31" i="3"/>
  <c r="T31" i="3"/>
  <c r="Q31" i="3"/>
  <c r="L31" i="3"/>
  <c r="X31" i="3" s="1"/>
  <c r="AO30" i="3"/>
  <c r="T30" i="3"/>
  <c r="Q30" i="3"/>
  <c r="L30" i="3"/>
  <c r="O67" i="1"/>
  <c r="O69" i="1"/>
  <c r="O66" i="1"/>
  <c r="AO49" i="3" l="1"/>
  <c r="AO44" i="3"/>
  <c r="W47" i="3"/>
  <c r="W30" i="3"/>
  <c r="Q34" i="3"/>
  <c r="T53" i="3"/>
  <c r="T33" i="3"/>
  <c r="N54" i="3"/>
  <c r="AO39" i="3"/>
  <c r="AO34" i="3"/>
  <c r="AW47" i="3"/>
  <c r="W51" i="3"/>
  <c r="W37" i="3"/>
  <c r="AW37" i="3" s="1"/>
  <c r="W42" i="3"/>
  <c r="AW42" i="3" s="1"/>
  <c r="L33" i="3"/>
  <c r="L38" i="3"/>
  <c r="Q39" i="3"/>
  <c r="L43" i="3"/>
  <c r="Q44" i="3"/>
  <c r="L48" i="3"/>
  <c r="Q54" i="3"/>
  <c r="W36" i="3"/>
  <c r="AW36" i="3" s="1"/>
  <c r="W41" i="3"/>
  <c r="AW41" i="3" s="1"/>
  <c r="W46" i="3"/>
  <c r="Y46" i="3" s="1"/>
  <c r="T38" i="3"/>
  <c r="T43" i="3"/>
  <c r="T48" i="3"/>
  <c r="AO54" i="3"/>
  <c r="X52" i="3"/>
  <c r="U32" i="3"/>
  <c r="V31" i="3"/>
  <c r="V32" i="3"/>
  <c r="W32" i="3"/>
  <c r="U31" i="3"/>
  <c r="W31" i="3"/>
  <c r="N34" i="3"/>
  <c r="V30" i="3"/>
  <c r="V52" i="3"/>
  <c r="U52" i="3"/>
  <c r="X51" i="3"/>
  <c r="W52" i="3"/>
  <c r="V39" i="3"/>
  <c r="V38" i="3"/>
  <c r="V44" i="3"/>
  <c r="V43" i="3"/>
  <c r="V49" i="3"/>
  <c r="V48" i="3"/>
  <c r="T54" i="3"/>
  <c r="Q53" i="3"/>
  <c r="AO48" i="3"/>
  <c r="Q33" i="3"/>
  <c r="L34" i="3"/>
  <c r="T34" i="3"/>
  <c r="U35" i="3"/>
  <c r="Q38" i="3"/>
  <c r="Q49" i="3"/>
  <c r="AO53" i="3"/>
  <c r="AO38" i="3"/>
  <c r="AO43" i="3"/>
  <c r="L54" i="3"/>
  <c r="U30" i="3"/>
  <c r="Y37" i="3"/>
  <c r="L39" i="3"/>
  <c r="T39" i="3"/>
  <c r="U40" i="3"/>
  <c r="Q43" i="3"/>
  <c r="L44" i="3"/>
  <c r="T44" i="3"/>
  <c r="U45" i="3"/>
  <c r="Y47" i="3"/>
  <c r="Q48" i="3"/>
  <c r="L49" i="3"/>
  <c r="T49" i="3"/>
  <c r="U50" i="3"/>
  <c r="V50" i="3"/>
  <c r="L53" i="3"/>
  <c r="AO33" i="3"/>
  <c r="W35" i="3"/>
  <c r="W40" i="3"/>
  <c r="W45" i="3"/>
  <c r="W50" i="3"/>
  <c r="X30" i="3"/>
  <c r="X35" i="3"/>
  <c r="X40" i="3"/>
  <c r="X45" i="3"/>
  <c r="X53" i="3" l="1"/>
  <c r="X54" i="3"/>
  <c r="AW46" i="3"/>
  <c r="V33" i="3"/>
  <c r="Y40" i="3"/>
  <c r="AW31" i="3"/>
  <c r="AW52" i="3"/>
  <c r="Y52" i="3"/>
  <c r="Y41" i="3"/>
  <c r="Y36" i="3"/>
  <c r="Y42" i="3"/>
  <c r="Y30" i="3"/>
  <c r="AW32" i="3"/>
  <c r="Y32" i="3"/>
  <c r="Y31" i="3"/>
  <c r="V34" i="3"/>
  <c r="AW51" i="3"/>
  <c r="Y51" i="3"/>
  <c r="X49" i="3"/>
  <c r="X48" i="3"/>
  <c r="W34" i="3"/>
  <c r="W33" i="3"/>
  <c r="AW30" i="3"/>
  <c r="AW40" i="3"/>
  <c r="W39" i="3"/>
  <c r="W38" i="3"/>
  <c r="U33" i="3"/>
  <c r="U34" i="3"/>
  <c r="U38" i="3"/>
  <c r="U39" i="3"/>
  <c r="U48" i="3"/>
  <c r="U49" i="3"/>
  <c r="X39" i="3"/>
  <c r="X38" i="3"/>
  <c r="X34" i="3"/>
  <c r="X33" i="3"/>
  <c r="Y50" i="3"/>
  <c r="V53" i="3"/>
  <c r="V54" i="3"/>
  <c r="AW50" i="3"/>
  <c r="X44" i="3"/>
  <c r="X43" i="3"/>
  <c r="AW45" i="3"/>
  <c r="AW35" i="3"/>
  <c r="W53" i="3"/>
  <c r="W54" i="3"/>
  <c r="W49" i="3"/>
  <c r="W48" i="3"/>
  <c r="U43" i="3"/>
  <c r="U44" i="3"/>
  <c r="U53" i="3"/>
  <c r="U54" i="3"/>
  <c r="W44" i="3"/>
  <c r="W43" i="3"/>
  <c r="Y45" i="3"/>
  <c r="Y35" i="3"/>
  <c r="Y43" i="3" l="1"/>
  <c r="Y44" i="3"/>
  <c r="Y34" i="3"/>
  <c r="Y33" i="3"/>
  <c r="AW39" i="3"/>
  <c r="AW38" i="3"/>
  <c r="Y38" i="3"/>
  <c r="Y39" i="3"/>
  <c r="AW54" i="3"/>
  <c r="AW53" i="3"/>
  <c r="AW44" i="3"/>
  <c r="AW43" i="3"/>
  <c r="Y54" i="3"/>
  <c r="Y53" i="3"/>
  <c r="AW49" i="3"/>
  <c r="AW48" i="3"/>
  <c r="Y48" i="3"/>
  <c r="Y49" i="3"/>
  <c r="AW34" i="3"/>
  <c r="AW33" i="3"/>
  <c r="T22" i="3" l="1"/>
  <c r="U22" i="3" s="1"/>
  <c r="T24" i="3"/>
  <c r="T17" i="3"/>
  <c r="U17" i="3" s="1"/>
  <c r="T18" i="3"/>
  <c r="U18" i="3" s="1"/>
  <c r="T19" i="3"/>
  <c r="U19" i="3" s="1"/>
  <c r="T12" i="3"/>
  <c r="T13" i="3"/>
  <c r="U13" i="3" s="1"/>
  <c r="T14" i="3"/>
  <c r="U14" i="3" s="1"/>
  <c r="T7" i="3"/>
  <c r="U7" i="3" s="1"/>
  <c r="T8" i="3"/>
  <c r="U8" i="3" s="1"/>
  <c r="T9" i="3"/>
  <c r="U9" i="3" s="1"/>
  <c r="T3" i="3"/>
  <c r="U3" i="3" s="1"/>
  <c r="T4" i="3"/>
  <c r="U4" i="3" s="1"/>
  <c r="T2" i="3"/>
  <c r="U2" i="3" s="1"/>
  <c r="T25" i="3" l="1"/>
  <c r="T15" i="3"/>
  <c r="U21" i="3"/>
  <c r="T20" i="3"/>
  <c r="T21" i="3"/>
  <c r="U5" i="3"/>
  <c r="U6" i="3"/>
  <c r="U10" i="3"/>
  <c r="T11" i="3"/>
  <c r="T10" i="3"/>
  <c r="U20" i="3"/>
  <c r="T6" i="3"/>
  <c r="U12" i="3"/>
  <c r="U11" i="3"/>
  <c r="T5" i="3"/>
  <c r="U24" i="3"/>
  <c r="U25" i="3" s="1"/>
  <c r="T26" i="3"/>
  <c r="T16" i="3"/>
  <c r="U26" i="3" l="1"/>
  <c r="U15" i="3"/>
  <c r="U16" i="3"/>
  <c r="R25" i="3" l="1"/>
  <c r="S25" i="3"/>
  <c r="R26" i="3"/>
  <c r="S26" i="3"/>
  <c r="R20" i="3"/>
  <c r="S20" i="3"/>
  <c r="R21" i="3"/>
  <c r="S21" i="3"/>
  <c r="R15" i="3"/>
  <c r="S15" i="3"/>
  <c r="R16" i="3"/>
  <c r="S16" i="3"/>
  <c r="R10" i="3"/>
  <c r="S10" i="3"/>
  <c r="R11" i="3"/>
  <c r="S11" i="3"/>
  <c r="R5" i="3"/>
  <c r="S5" i="3"/>
  <c r="R6" i="3"/>
  <c r="S6" i="3"/>
  <c r="U66" i="1"/>
  <c r="V66" i="1" s="1"/>
  <c r="U67" i="1"/>
  <c r="V67" i="1" s="1"/>
  <c r="U69" i="1"/>
  <c r="V69" i="1" s="1"/>
  <c r="U79" i="1"/>
  <c r="V79" i="1" s="1"/>
  <c r="U80" i="1"/>
  <c r="V80" i="1" s="1"/>
  <c r="U81" i="1"/>
  <c r="V81" i="1" s="1"/>
  <c r="AM25" i="3" l="1"/>
  <c r="AM26" i="3"/>
  <c r="AP25" i="3"/>
  <c r="AQ25" i="3"/>
  <c r="AR25" i="3"/>
  <c r="AS25" i="3"/>
  <c r="AT25" i="3"/>
  <c r="AU25" i="3"/>
  <c r="AV25" i="3"/>
  <c r="AP26" i="3"/>
  <c r="AQ26" i="3"/>
  <c r="AR26" i="3"/>
  <c r="AS26" i="3"/>
  <c r="AT26" i="3"/>
  <c r="AU26" i="3"/>
  <c r="AV26" i="3"/>
  <c r="AP20" i="3"/>
  <c r="AQ20" i="3"/>
  <c r="AR20" i="3"/>
  <c r="AS20" i="3"/>
  <c r="AT20" i="3"/>
  <c r="AU20" i="3"/>
  <c r="AV20" i="3"/>
  <c r="AP21" i="3"/>
  <c r="AQ21" i="3"/>
  <c r="AR21" i="3"/>
  <c r="AS21" i="3"/>
  <c r="AT21" i="3"/>
  <c r="AU21" i="3"/>
  <c r="AV21" i="3"/>
  <c r="AP15" i="3"/>
  <c r="AQ15" i="3"/>
  <c r="AR15" i="3"/>
  <c r="AS15" i="3"/>
  <c r="AT15" i="3"/>
  <c r="AU15" i="3"/>
  <c r="AV15" i="3"/>
  <c r="AP16" i="3"/>
  <c r="AQ16" i="3"/>
  <c r="AR16" i="3"/>
  <c r="AS16" i="3"/>
  <c r="AT16" i="3"/>
  <c r="AU16" i="3"/>
  <c r="AV16" i="3"/>
  <c r="AP10" i="3"/>
  <c r="AQ10" i="3"/>
  <c r="AR10" i="3"/>
  <c r="AS10" i="3"/>
  <c r="AT10" i="3"/>
  <c r="AU10" i="3"/>
  <c r="AV10" i="3"/>
  <c r="AP11" i="3"/>
  <c r="AQ11" i="3"/>
  <c r="AR11" i="3"/>
  <c r="AS11" i="3"/>
  <c r="AT11" i="3"/>
  <c r="AU11" i="3"/>
  <c r="AV11" i="3"/>
  <c r="AP5" i="3"/>
  <c r="AQ5" i="3"/>
  <c r="AR5" i="3"/>
  <c r="AS5" i="3"/>
  <c r="AT5" i="3"/>
  <c r="AU5" i="3"/>
  <c r="AV5" i="3"/>
  <c r="AP6" i="3"/>
  <c r="AQ6" i="3"/>
  <c r="AR6" i="3"/>
  <c r="AS6" i="3"/>
  <c r="AT6" i="3"/>
  <c r="AU6" i="3"/>
  <c r="AV6" i="3"/>
  <c r="M5" i="3" l="1"/>
  <c r="N5" i="3"/>
  <c r="O5" i="3"/>
  <c r="P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N5" i="3"/>
  <c r="M6" i="3"/>
  <c r="N6" i="3"/>
  <c r="O6" i="3"/>
  <c r="P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N6" i="3"/>
  <c r="AN10" i="3"/>
  <c r="AN11" i="3"/>
  <c r="M10" i="3"/>
  <c r="N10" i="3"/>
  <c r="O10" i="3"/>
  <c r="P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M11" i="3"/>
  <c r="N11" i="3"/>
  <c r="O11" i="3"/>
  <c r="P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M15" i="3"/>
  <c r="N15" i="3"/>
  <c r="O15" i="3"/>
  <c r="P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N15" i="3"/>
  <c r="M16" i="3"/>
  <c r="N16" i="3"/>
  <c r="O16" i="3"/>
  <c r="P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N16" i="3"/>
  <c r="N20" i="3"/>
  <c r="O20" i="3"/>
  <c r="P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N20" i="3"/>
  <c r="N21" i="3"/>
  <c r="O21" i="3"/>
  <c r="P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N21" i="3"/>
  <c r="M21" i="3"/>
  <c r="M20" i="3"/>
  <c r="AN25" i="3"/>
  <c r="M26" i="3"/>
  <c r="N26" i="3"/>
  <c r="O26" i="3"/>
  <c r="P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N26" i="3"/>
  <c r="M25" i="3"/>
  <c r="N25" i="3"/>
  <c r="O25" i="3"/>
  <c r="P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O24" i="3"/>
  <c r="Q24" i="3"/>
  <c r="V24" i="3" s="1"/>
  <c r="L24" i="3"/>
  <c r="X24" i="3" s="1"/>
  <c r="AO23" i="3"/>
  <c r="Q23" i="3"/>
  <c r="V23" i="3" s="1"/>
  <c r="L23" i="3"/>
  <c r="X23" i="3" s="1"/>
  <c r="AO22" i="3"/>
  <c r="Q22" i="3"/>
  <c r="V22" i="3" s="1"/>
  <c r="L22" i="3"/>
  <c r="X22" i="3" s="1"/>
  <c r="AO19" i="3"/>
  <c r="Q19" i="3"/>
  <c r="V19" i="3" s="1"/>
  <c r="L19" i="3"/>
  <c r="X19" i="3" s="1"/>
  <c r="AO18" i="3"/>
  <c r="Q18" i="3"/>
  <c r="V18" i="3" s="1"/>
  <c r="L18" i="3"/>
  <c r="X18" i="3" s="1"/>
  <c r="AO17" i="3"/>
  <c r="Q17" i="3"/>
  <c r="V17" i="3" s="1"/>
  <c r="L17" i="3"/>
  <c r="X17" i="3" s="1"/>
  <c r="AO14" i="3"/>
  <c r="Q14" i="3"/>
  <c r="V14" i="3" s="1"/>
  <c r="L14" i="3"/>
  <c r="X14" i="3" s="1"/>
  <c r="AO13" i="3"/>
  <c r="Q13" i="3"/>
  <c r="V13" i="3" s="1"/>
  <c r="L13" i="3"/>
  <c r="X13" i="3" s="1"/>
  <c r="AO12" i="3"/>
  <c r="Q12" i="3"/>
  <c r="V12" i="3" s="1"/>
  <c r="L12" i="3"/>
  <c r="X12" i="3" s="1"/>
  <c r="AO9" i="3"/>
  <c r="Q9" i="3"/>
  <c r="V9" i="3" s="1"/>
  <c r="L9" i="3"/>
  <c r="X9" i="3" s="1"/>
  <c r="AO8" i="3"/>
  <c r="Q8" i="3"/>
  <c r="V8" i="3" s="1"/>
  <c r="L8" i="3"/>
  <c r="X8" i="3" s="1"/>
  <c r="AO7" i="3"/>
  <c r="Q7" i="3"/>
  <c r="V7" i="3" s="1"/>
  <c r="L7" i="3"/>
  <c r="X7" i="3" s="1"/>
  <c r="X11" i="3" s="1"/>
  <c r="AO4" i="3"/>
  <c r="Q4" i="3"/>
  <c r="V4" i="3" s="1"/>
  <c r="L4" i="3"/>
  <c r="X4" i="3" s="1"/>
  <c r="AO3" i="3"/>
  <c r="Q3" i="3"/>
  <c r="V3" i="3" s="1"/>
  <c r="L3" i="3"/>
  <c r="X3" i="3" s="1"/>
  <c r="AO2" i="3"/>
  <c r="Q2" i="3"/>
  <c r="V2" i="3" s="1"/>
  <c r="L2" i="3"/>
  <c r="X2" i="3" s="1"/>
  <c r="AO15" i="3" l="1"/>
  <c r="AO6" i="3"/>
  <c r="X16" i="3"/>
  <c r="AO20" i="3"/>
  <c r="V5" i="3"/>
  <c r="AO10" i="3"/>
  <c r="V15" i="3"/>
  <c r="X20" i="3"/>
  <c r="V26" i="3"/>
  <c r="X5" i="3"/>
  <c r="AO16" i="3"/>
  <c r="L15" i="3"/>
  <c r="X26" i="3"/>
  <c r="AO21" i="3"/>
  <c r="X21" i="3"/>
  <c r="L21" i="3"/>
  <c r="X10" i="3"/>
  <c r="AO11" i="3"/>
  <c r="Q6" i="3"/>
  <c r="Q5" i="3"/>
  <c r="V20" i="3"/>
  <c r="V16" i="3"/>
  <c r="L20" i="3"/>
  <c r="X15" i="3"/>
  <c r="V21" i="3"/>
  <c r="Q20" i="3"/>
  <c r="Q16" i="3"/>
  <c r="Q15" i="3"/>
  <c r="L10" i="3"/>
  <c r="V10" i="3"/>
  <c r="L16" i="3"/>
  <c r="Q21" i="3"/>
  <c r="L11" i="3"/>
  <c r="Q10" i="3"/>
  <c r="V6" i="3"/>
  <c r="V11" i="3"/>
  <c r="AO5" i="3"/>
  <c r="Q11" i="3"/>
  <c r="X6" i="3"/>
  <c r="L6" i="3"/>
  <c r="L5" i="3"/>
  <c r="Q26" i="3"/>
  <c r="L25" i="3"/>
  <c r="W22" i="3"/>
  <c r="AW22" i="3" s="1"/>
  <c r="L26" i="3"/>
  <c r="AO26" i="3"/>
  <c r="AO25" i="3"/>
  <c r="X25" i="3"/>
  <c r="V25" i="3"/>
  <c r="Q25" i="3"/>
  <c r="W4" i="3"/>
  <c r="Y4" i="3" s="1"/>
  <c r="W9" i="3"/>
  <c r="Y9" i="3" s="1"/>
  <c r="W18" i="3"/>
  <c r="Y18" i="3" s="1"/>
  <c r="W14" i="3"/>
  <c r="Y14" i="3" s="1"/>
  <c r="W23" i="3"/>
  <c r="AW23" i="3" s="1"/>
  <c r="W19" i="3"/>
  <c r="Y19" i="3" s="1"/>
  <c r="W3" i="3"/>
  <c r="Y3" i="3" s="1"/>
  <c r="W12" i="3"/>
  <c r="AW12" i="3" s="1"/>
  <c r="W24" i="3"/>
  <c r="Y24" i="3" s="1"/>
  <c r="W2" i="3"/>
  <c r="AW2" i="3" s="1"/>
  <c r="W13" i="3"/>
  <c r="Y13" i="3" s="1"/>
  <c r="W7" i="3"/>
  <c r="AW7" i="3" s="1"/>
  <c r="W8" i="3"/>
  <c r="Y8" i="3" s="1"/>
  <c r="W17" i="3"/>
  <c r="AW17" i="3" s="1"/>
  <c r="AO79" i="1"/>
  <c r="AO80" i="1"/>
  <c r="AO81" i="1"/>
  <c r="AW8" i="3" l="1"/>
  <c r="AW18" i="3"/>
  <c r="AW3" i="3"/>
  <c r="AW4" i="3"/>
  <c r="AW5" i="3" s="1"/>
  <c r="AW24" i="3"/>
  <c r="AW26" i="3" s="1"/>
  <c r="AW14" i="3"/>
  <c r="Y22" i="3"/>
  <c r="AW13" i="3"/>
  <c r="AW9" i="3"/>
  <c r="AW19" i="3"/>
  <c r="Y12" i="3"/>
  <c r="W15" i="3"/>
  <c r="W16" i="3"/>
  <c r="Y17" i="3"/>
  <c r="W21" i="3"/>
  <c r="W20" i="3"/>
  <c r="Y7" i="3"/>
  <c r="W11" i="3"/>
  <c r="W10" i="3"/>
  <c r="Y2" i="3"/>
  <c r="W6" i="3"/>
  <c r="W5" i="3"/>
  <c r="W26" i="3"/>
  <c r="Y23" i="3"/>
  <c r="W25" i="3"/>
  <c r="R66" i="1"/>
  <c r="W66" i="1" s="1"/>
  <c r="R67" i="1"/>
  <c r="W67" i="1" s="1"/>
  <c r="R69" i="1"/>
  <c r="W69" i="1" s="1"/>
  <c r="R79" i="1"/>
  <c r="W79" i="1" s="1"/>
  <c r="R80" i="1"/>
  <c r="W80" i="1" s="1"/>
  <c r="R81" i="1"/>
  <c r="W81" i="1" s="1"/>
  <c r="AO69" i="1"/>
  <c r="AO67" i="1"/>
  <c r="AO66" i="1"/>
  <c r="L66" i="1"/>
  <c r="L67" i="1"/>
  <c r="L69" i="1"/>
  <c r="L79" i="1"/>
  <c r="L80" i="1"/>
  <c r="L81" i="1"/>
  <c r="AW20" i="3" l="1"/>
  <c r="AW10" i="3"/>
  <c r="AW11" i="3"/>
  <c r="AW21" i="3"/>
  <c r="Y25" i="3"/>
  <c r="AW15" i="3"/>
  <c r="AW25" i="3"/>
  <c r="AW16" i="3"/>
  <c r="AW6" i="3"/>
  <c r="Y16" i="3"/>
  <c r="Y15" i="3"/>
  <c r="Y5" i="3"/>
  <c r="Y6" i="3"/>
  <c r="Y21" i="3"/>
  <c r="Y20" i="3"/>
  <c r="Y10" i="3"/>
  <c r="Y11" i="3"/>
  <c r="X80" i="1"/>
  <c r="AW80" i="1"/>
  <c r="AQ80" i="1"/>
  <c r="AW67" i="1"/>
  <c r="AQ67" i="1"/>
  <c r="AQ66" i="1"/>
  <c r="AW66" i="1"/>
  <c r="AQ69" i="1"/>
  <c r="AW69" i="1"/>
  <c r="AW81" i="1"/>
  <c r="AQ81" i="1"/>
  <c r="AQ79" i="1"/>
  <c r="AW79" i="1"/>
  <c r="AV79" i="1"/>
  <c r="AS79" i="1"/>
  <c r="AT79" i="1"/>
  <c r="AU79" i="1"/>
  <c r="AR79" i="1"/>
  <c r="AR66" i="1"/>
  <c r="AS66" i="1"/>
  <c r="AT66" i="1"/>
  <c r="AU66" i="1"/>
  <c r="AV66" i="1"/>
  <c r="AR67" i="1"/>
  <c r="AS67" i="1"/>
  <c r="AT67" i="1"/>
  <c r="AU67" i="1"/>
  <c r="AV67" i="1"/>
  <c r="AV80" i="1"/>
  <c r="AS80" i="1"/>
  <c r="AU80" i="1"/>
  <c r="AR80" i="1"/>
  <c r="AT80" i="1"/>
  <c r="AS69" i="1"/>
  <c r="AV69" i="1"/>
  <c r="AR69" i="1"/>
  <c r="AT69" i="1"/>
  <c r="AU69" i="1"/>
  <c r="AS81" i="1"/>
  <c r="AT81" i="1"/>
  <c r="AR81" i="1"/>
  <c r="AU81" i="1"/>
  <c r="AV81" i="1"/>
  <c r="X67" i="1"/>
  <c r="Y80" i="1"/>
  <c r="Y79" i="1"/>
  <c r="Y67" i="1"/>
  <c r="X79" i="1"/>
  <c r="X66" i="1"/>
  <c r="Y81" i="1"/>
  <c r="Y66" i="1"/>
  <c r="X81" i="1"/>
  <c r="Y69" i="1"/>
  <c r="X69" i="1"/>
  <c r="Y26" i="3"/>
  <c r="Z80" i="1" l="1"/>
  <c r="AX79" i="1"/>
  <c r="Z66" i="1"/>
  <c r="AX81" i="1"/>
  <c r="AX69" i="1"/>
  <c r="AX67" i="1"/>
  <c r="Z79" i="1"/>
  <c r="AX80" i="1"/>
  <c r="AX66" i="1"/>
  <c r="Z69" i="1"/>
  <c r="Z67" i="1"/>
  <c r="Z81" i="1"/>
  <c r="R18" i="1" l="1"/>
  <c r="W18" i="1" s="1"/>
  <c r="R20" i="1"/>
  <c r="W20" i="1" s="1"/>
  <c r="R21" i="1"/>
  <c r="W21" i="1" s="1"/>
  <c r="R30" i="1"/>
  <c r="W30" i="1" s="1"/>
  <c r="R31" i="1"/>
  <c r="W31" i="1" s="1"/>
  <c r="R32" i="1"/>
  <c r="W32" i="1" s="1"/>
  <c r="R33" i="1"/>
  <c r="W33" i="1" s="1"/>
  <c r="R35" i="1"/>
  <c r="W35" i="1" s="1"/>
  <c r="R36" i="1"/>
  <c r="W36" i="1" s="1"/>
  <c r="AO18" i="1" l="1"/>
  <c r="AO20" i="1"/>
  <c r="AO21" i="1"/>
  <c r="AO30" i="1"/>
  <c r="AO31" i="1"/>
  <c r="AO32" i="1"/>
  <c r="AO33" i="1"/>
  <c r="AO35" i="1"/>
  <c r="AO36" i="1"/>
  <c r="L30" i="1" l="1"/>
  <c r="L31" i="1"/>
  <c r="L32" i="1"/>
  <c r="L33" i="1"/>
  <c r="L35" i="1"/>
  <c r="L36" i="1"/>
  <c r="M36" i="1"/>
  <c r="M35" i="1"/>
  <c r="M33" i="1"/>
  <c r="M32" i="1"/>
  <c r="M31" i="1"/>
  <c r="M30" i="1"/>
  <c r="M21" i="1"/>
  <c r="M20" i="1"/>
  <c r="M18" i="1"/>
  <c r="Y33" i="1" l="1"/>
  <c r="X33" i="1"/>
  <c r="Y35" i="1"/>
  <c r="X35" i="1"/>
  <c r="Y31" i="1"/>
  <c r="X31" i="1"/>
  <c r="Y36" i="1"/>
  <c r="X36" i="1"/>
  <c r="Y32" i="1"/>
  <c r="X32" i="1"/>
  <c r="Y30" i="1"/>
  <c r="X30" i="1"/>
  <c r="L18" i="1"/>
  <c r="L20" i="1"/>
  <c r="L21" i="1"/>
  <c r="Z30" i="1" l="1"/>
  <c r="Z36" i="1"/>
  <c r="Z31" i="1"/>
  <c r="Y21" i="1"/>
  <c r="X21" i="1"/>
  <c r="Y20" i="1"/>
  <c r="X20" i="1"/>
  <c r="Z35" i="1"/>
  <c r="Z32" i="1"/>
  <c r="Y18" i="1"/>
  <c r="X18" i="1"/>
  <c r="Z33" i="1"/>
  <c r="Z18" i="1" l="1"/>
  <c r="Z20" i="1"/>
  <c r="Z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tc={6A613CF1-6CDD-4936-803A-6BCB22F257CC}</author>
    <author>tc={DB9C73F5-924A-4A5A-BAEB-10FB466A2AF9}</author>
    <author>tc={313CE530-58EE-4040-9C88-42BF8B02A9B0}</author>
  </authors>
  <commentList>
    <comment ref="G9" authorId="0" shapeId="0" xr:uid="{0DF682CD-5E21-C140-B03E-4A2A38596A8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O2 sensor of reactor 7 broken</t>
        </r>
      </text>
    </comment>
    <comment ref="O11" authorId="1" shapeId="0" xr:uid="{E16DC568-DA6E-BB4F-AC43-F6795A48A0D7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  <comment ref="G15" authorId="2" shapeId="0" xr:uid="{EC78C8A8-64C4-A84A-AE81-485271B38367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O2 sensor of reactor 7 broken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tc={F3933FC5-98FC-4A04-9C5A-1C3D66604DE4}</author>
    <author>tc={5A11CE94-3BAC-4162-93DA-BB241E37AE0E}</author>
    <author>tc={1CA42D1F-F73D-417E-8649-444A98441A69}</author>
    <author>tc={F73D485E-E904-4CC3-97B6-04C4631D0AE5}</author>
    <author>tc={B24B00D1-8F18-40C1-99DC-010B5F975AA9}</author>
    <author>tc={8C61CAF1-6E5D-4346-A2EB-E59FC2203039}</author>
    <author>tc={5C454BD9-5F5F-4E1E-BB55-C27256F3D5C2}</author>
  </authors>
  <commentList>
    <comment ref="H49" authorId="0" shapeId="0" xr:uid="{F3933FC5-98FC-4A04-9C5A-1C3D66604DE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green: send for proteomics</t>
        </r>
      </text>
    </comment>
    <comment ref="P49" authorId="1" shapeId="0" xr:uid="{5A11CE94-3BAC-4162-93DA-BB241E37AE0E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  <comment ref="N51" authorId="2" shapeId="0" xr:uid="{1CA42D1F-F73D-417E-8649-444A98441A6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CDW may be wrong based on OD</t>
        </r>
      </text>
    </comment>
    <comment ref="P53" authorId="3" shapeId="0" xr:uid="{F73D485E-E904-4CC3-97B6-04C4631D0AE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85h</t>
        </r>
      </text>
    </comment>
    <comment ref="P58" authorId="4" shapeId="0" xr:uid="{B24B00D1-8F18-40C1-99DC-010B5F975AA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85h</t>
        </r>
      </text>
    </comment>
    <comment ref="P62" authorId="5" shapeId="0" xr:uid="{8C61CAF1-6E5D-4346-A2EB-E59FC220303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100h
AZ11996</t>
        </r>
      </text>
    </comment>
    <comment ref="P66" authorId="6" shapeId="0" xr:uid="{5C454BD9-5F5F-4E1E-BB55-C27256F3D5C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tc={27D889AB-021C-474A-B676-68443A41E775}</author>
    <author>tc={8FB80135-06F9-4233-A8DD-48111AF20B5A}</author>
    <author>tc={9D229672-C551-4E44-A75A-B6A7EAADF4B1}</author>
    <author>tc={51F53E53-BC86-4D4A-AB63-9B157E6D8810}</author>
  </authors>
  <commentList>
    <comment ref="O2" authorId="0" shapeId="0" xr:uid="{27D889AB-021C-474A-B676-68443A41E77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85h</t>
        </r>
      </text>
    </comment>
    <comment ref="O7" authorId="1" shapeId="0" xr:uid="{8FB80135-06F9-4233-A8DD-48111AF20B5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  <comment ref="O30" authorId="2" shapeId="0" xr:uid="{9D229672-C551-4E44-A75A-B6A7EAADF4B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85h</t>
        </r>
      </text>
    </comment>
    <comment ref="O35" authorId="3" shapeId="0" xr:uid="{51F53E53-BC86-4D4A-AB63-9B157E6D881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tc={6A613CF1-6CDD-4936-803A-6BCB22F257CC}</author>
    <author>tc={DB9C73F5-924A-4A5A-BAEB-10FB466A2AF9}</author>
    <author>tc={313CE530-58EE-4040-9C88-42BF8B02A9B0}</author>
  </authors>
  <commentList>
    <comment ref="G9" authorId="0" shapeId="0" xr:uid="{6A613CF1-6CDD-4936-803A-6BCB22F257CC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O2 sensor of reactor 7 broken</t>
        </r>
      </text>
    </comment>
    <comment ref="O11" authorId="1" shapeId="0" xr:uid="{DB9C73F5-924A-4A5A-BAEB-10FB466A2AF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from 125h</t>
        </r>
      </text>
    </comment>
    <comment ref="G15" authorId="2" shapeId="0" xr:uid="{313CE530-58EE-4040-9C88-42BF8B02A9B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O2 sensor of reactor 7 broken</t>
        </r>
      </text>
    </comment>
  </commentList>
</comments>
</file>

<file path=xl/sharedStrings.xml><?xml version="1.0" encoding="utf-8"?>
<sst xmlns="http://schemas.openxmlformats.org/spreadsheetml/2006/main" count="970" uniqueCount="162">
  <si>
    <t>Sample number</t>
  </si>
  <si>
    <t>Strain</t>
  </si>
  <si>
    <t>Nitrogen source</t>
  </si>
  <si>
    <t>C/N ratio</t>
  </si>
  <si>
    <t>Sampling date</t>
  </si>
  <si>
    <t>System</t>
  </si>
  <si>
    <t>Reactor</t>
  </si>
  <si>
    <t>Replicate</t>
  </si>
  <si>
    <t>Vessel volume (ml)</t>
  </si>
  <si>
    <t>C pump (ml/h)</t>
  </si>
  <si>
    <t>aimed DR</t>
  </si>
  <si>
    <t>Dilution Rate</t>
  </si>
  <si>
    <t>OD</t>
  </si>
  <si>
    <t>CDW (g/l) before wash</t>
  </si>
  <si>
    <t>CDW (g/l) after wash</t>
  </si>
  <si>
    <t>CO2 out (%)</t>
  </si>
  <si>
    <t>CO2 in (%)</t>
  </si>
  <si>
    <t>CER</t>
  </si>
  <si>
    <t>O2 in (%)</t>
  </si>
  <si>
    <t>O2 out (%)</t>
  </si>
  <si>
    <t>OER</t>
  </si>
  <si>
    <t>qO2 mmol gCDW-1 h-1</t>
  </si>
  <si>
    <t>qCO2 mmol gCDW-1 h-1</t>
  </si>
  <si>
    <t>qglu mmol gCDW-1 h-1</t>
  </si>
  <si>
    <t>qbiomass mmol gCDW-1 h-1</t>
  </si>
  <si>
    <t>C balance</t>
  </si>
  <si>
    <t>lipid content</t>
  </si>
  <si>
    <t>C16:0</t>
  </si>
  <si>
    <t>C16:1</t>
  </si>
  <si>
    <t>C18:0</t>
  </si>
  <si>
    <t>C18:1</t>
  </si>
  <si>
    <t>C18:2</t>
  </si>
  <si>
    <t>Citrate (g/l)</t>
  </si>
  <si>
    <t>Glucose (g/l)</t>
  </si>
  <si>
    <t>Pyruvate (g/l)</t>
  </si>
  <si>
    <t>Acetate (g/l)</t>
  </si>
  <si>
    <t>Ethanol (g/l)</t>
  </si>
  <si>
    <t>Glycerol (g/l)</t>
  </si>
  <si>
    <t>Succinate (g/l)</t>
  </si>
  <si>
    <t>Glucose in medium (g/l)</t>
  </si>
  <si>
    <t>Glucose consumed</t>
  </si>
  <si>
    <t>Itaconicate (g/l)</t>
  </si>
  <si>
    <t>qCitrate mmol gCDW-1 h-1</t>
  </si>
  <si>
    <t>qPyruvate mmol gCDW-1 h-1</t>
  </si>
  <si>
    <t>qAcetate mmol gCDW-1 h-1</t>
  </si>
  <si>
    <t>qEthanol mmol gCDW-1 h-1</t>
  </si>
  <si>
    <t>qGlycerol mmol gCDW-1 h-1</t>
  </si>
  <si>
    <t>qSuccinate mmol gCDW-1 h-1</t>
  </si>
  <si>
    <t>Itaconicate mmol gCDW-1 h-1</t>
  </si>
  <si>
    <t xml:space="preserve">Comments </t>
  </si>
  <si>
    <t>OKYL029</t>
  </si>
  <si>
    <t>Urea</t>
  </si>
  <si>
    <t>No RNA extraction</t>
  </si>
  <si>
    <t>OKYL049</t>
  </si>
  <si>
    <t>Ammonium Sulphate</t>
  </si>
  <si>
    <t>Q4</t>
  </si>
  <si>
    <t>From Naghme's run</t>
  </si>
  <si>
    <t>From Naghme's run: C7 had fluctuations</t>
  </si>
  <si>
    <t>NA</t>
  </si>
  <si>
    <t xml:space="preserve">FAME analysis will be performed between 4-5-6 march </t>
  </si>
  <si>
    <t>From Jing's run, FAME needs re-run</t>
  </si>
  <si>
    <t>send for proteomics</t>
  </si>
  <si>
    <t>From Jing's run</t>
  </si>
  <si>
    <t>JFYL07</t>
  </si>
  <si>
    <t>JFYL18</t>
  </si>
  <si>
    <t>ST6512</t>
  </si>
  <si>
    <t>JFYL07C3</t>
  </si>
  <si>
    <t>.</t>
  </si>
  <si>
    <t xml:space="preserve">C balance without Extracellular metabolites </t>
  </si>
  <si>
    <t>BCA protein content</t>
  </si>
  <si>
    <t>Total lipid</t>
  </si>
  <si>
    <t>Batch</t>
  </si>
  <si>
    <t>chemostat</t>
  </si>
  <si>
    <t>μmax</t>
  </si>
  <si>
    <t>CDW (g/l)</t>
  </si>
  <si>
    <t>lipid content g/g CDW</t>
  </si>
  <si>
    <t>C16:0 
μg/g CDW</t>
  </si>
  <si>
    <t>Glucose consumed (g/l)</t>
  </si>
  <si>
    <t>BCA protein content /µg protein per mg DW</t>
  </si>
  <si>
    <t>W29∆ku70::cas9</t>
  </si>
  <si>
    <t>Mean</t>
  </si>
  <si>
    <t>STD</t>
  </si>
  <si>
    <t>W29∆ku70::cas9∆mhy1</t>
  </si>
  <si>
    <t>W29∆ku70::cas9∆mhy1∆ARE1∆LRO1∆DGA1∆DGA2</t>
  </si>
  <si>
    <t>W29∆ku70::cas9∆mhy1∆ARE1∆LRO1∆DGA1∆DGA2∆ICL1∆ICL2</t>
  </si>
  <si>
    <t>W29∆ku70::cas9∆mhy1∆ARE1∆LRO1∆DGA1∆DGA2, lntC3: Tefp-AtCAD-Pex20t, GPDp-AtMTT-lip2t</t>
  </si>
  <si>
    <t>Related to</t>
  </si>
  <si>
    <t>Gene name</t>
  </si>
  <si>
    <t>YALI0</t>
  </si>
  <si>
    <t>protein</t>
  </si>
  <si>
    <t>Enzyme</t>
  </si>
  <si>
    <t>YALI11</t>
  </si>
  <si>
    <t>ARE1</t>
  </si>
  <si>
    <t>YALI0F06578g</t>
  </si>
  <si>
    <t>EC 2.3.1.26</t>
  </si>
  <si>
    <t>Acyl-CoA:sterol acyltransferase</t>
  </si>
  <si>
    <t>YALI1_F09747g</t>
  </si>
  <si>
    <t>LRO1</t>
  </si>
  <si>
    <t>YALI0E16797g</t>
  </si>
  <si>
    <t>EC 2.3.1.158</t>
  </si>
  <si>
    <t>Phospholipid:diacylglycerol acyltransferase</t>
  </si>
  <si>
    <t>YALI1_E20049g</t>
  </si>
  <si>
    <t>DGA1</t>
  </si>
  <si>
    <t>YALI0E32769g</t>
  </si>
  <si>
    <t>EC 2.3.1.20</t>
  </si>
  <si>
    <t>Diacylglycerol acyltransferase (DGAT2)</t>
  </si>
  <si>
    <t>YALI1_E38810g</t>
  </si>
  <si>
    <t>DGA2</t>
  </si>
  <si>
    <t>YALI0D07986g</t>
  </si>
  <si>
    <t>Diacylglycerol acyltransferase (DGAT1)</t>
  </si>
  <si>
    <t>YALI1_D10264g</t>
  </si>
  <si>
    <t>JFYL007</t>
  </si>
  <si>
    <t>JFYL07C3(JFYL066)</t>
  </si>
  <si>
    <t>JFYL066</t>
  </si>
  <si>
    <t>target</t>
  </si>
  <si>
    <t>cis-aconitate</t>
  </si>
  <si>
    <t>itaconid acid</t>
  </si>
  <si>
    <t>condition</t>
  </si>
  <si>
    <t>Urea(C/N3, C/N 116)+AS(C/N3, C/N 116)</t>
  </si>
  <si>
    <t>AS C/N 116</t>
  </si>
  <si>
    <t>background</t>
  </si>
  <si>
    <t>lipid yield (g lipid / g consumed glucose)</t>
  </si>
  <si>
    <t>lipid content (% DCW)</t>
  </si>
  <si>
    <t>人</t>
  </si>
  <si>
    <t>Aimed DR</t>
  </si>
  <si>
    <t>Actual Dilution Rate</t>
  </si>
  <si>
    <t>r glu g gCDW-1 h-1</t>
  </si>
  <si>
    <t>Saturation</t>
  </si>
  <si>
    <t>C16/C18</t>
  </si>
  <si>
    <t>gene name</t>
  </si>
  <si>
    <t>Related to YALI0</t>
  </si>
  <si>
    <t>YALI1</t>
  </si>
  <si>
    <t>Av TPM</t>
  </si>
  <si>
    <t>AtMTT</t>
  </si>
  <si>
    <t>AtCAD</t>
  </si>
  <si>
    <t>We run JFYL007 twice, with sample number 9,10,12 and 75, 76, respectively. The lipid content was quite different, while the other parameters are similar</t>
  </si>
  <si>
    <t>Aspergillus terreus isolate SFI-1081 cis-aconitate decarboxylase (cadA)</t>
  </si>
  <si>
    <t>Aspergillus terreus isolate SFI-1081 mitochondrial tricarboxylate transporter</t>
  </si>
  <si>
    <t>qItaconicate mmol gCDW-1 h-1</t>
  </si>
  <si>
    <t>note</t>
  </si>
  <si>
    <t>original_lipid content (% DCW)</t>
  </si>
  <si>
    <t>updated based on Q4</t>
  </si>
  <si>
    <t>update qo2 based on average value</t>
  </si>
  <si>
    <t>rxns</t>
  </si>
  <si>
    <t>cis-aconitate[m] =&gt; cis-aconitate[c]</t>
  </si>
  <si>
    <t>cis-aconitate[c] + H[c]=&gt;  itaconate[c] + CO2[c]</t>
  </si>
  <si>
    <t>s</t>
  </si>
  <si>
    <t>s25</t>
  </si>
  <si>
    <t>s27</t>
  </si>
  <si>
    <t>s28</t>
  </si>
  <si>
    <t>s37</t>
  </si>
  <si>
    <t>s38</t>
  </si>
  <si>
    <t>s40</t>
  </si>
  <si>
    <t>s41</t>
  </si>
  <si>
    <t>s43</t>
  </si>
  <si>
    <t>s44</t>
  </si>
  <si>
    <t>s9</t>
  </si>
  <si>
    <t>s10</t>
  </si>
  <si>
    <t>s12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</si>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</sst>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0.000"/>
    <numFmt numFmtId="166" formatCode="0.0000"/>
    <numFmt numFmtId="167" formatCode="0.000000"/>
    <numFmt numFmtId="168" formatCode="0.00000"/>
    <numFmt numFmtId="169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2" fontId="0" fillId="5" borderId="0" xfId="0" applyNumberFormat="1" applyFill="1"/>
    <xf numFmtId="0" fontId="2" fillId="4" borderId="0" xfId="0" applyFont="1" applyFill="1"/>
    <xf numFmtId="0" fontId="0" fillId="6" borderId="0" xfId="0" applyFill="1"/>
    <xf numFmtId="164" fontId="0" fillId="6" borderId="0" xfId="0" applyNumberFormat="1" applyFill="1"/>
    <xf numFmtId="0" fontId="3" fillId="0" borderId="0" xfId="0" applyFont="1"/>
    <xf numFmtId="0" fontId="0" fillId="7" borderId="0" xfId="0" applyFill="1"/>
    <xf numFmtId="2" fontId="0" fillId="8" borderId="0" xfId="0" applyNumberFormat="1" applyFill="1"/>
    <xf numFmtId="10" fontId="4" fillId="0" borderId="0" xfId="0" applyNumberFormat="1" applyFont="1"/>
    <xf numFmtId="2" fontId="4" fillId="0" borderId="0" xfId="0" applyNumberFormat="1" applyFont="1"/>
    <xf numFmtId="10" fontId="0" fillId="0" borderId="0" xfId="0" applyNumberFormat="1"/>
    <xf numFmtId="0" fontId="0" fillId="9" borderId="0" xfId="0" applyFill="1"/>
    <xf numFmtId="164" fontId="0" fillId="9" borderId="0" xfId="0" applyNumberFormat="1" applyFill="1"/>
    <xf numFmtId="2" fontId="0" fillId="9" borderId="0" xfId="0" applyNumberFormat="1" applyFill="1"/>
    <xf numFmtId="10" fontId="0" fillId="9" borderId="0" xfId="0" applyNumberFormat="1" applyFill="1"/>
    <xf numFmtId="166" fontId="0" fillId="0" borderId="0" xfId="0" applyNumberFormat="1"/>
    <xf numFmtId="166" fontId="0" fillId="9" borderId="0" xfId="0" applyNumberFormat="1" applyFill="1"/>
    <xf numFmtId="0" fontId="0" fillId="10" borderId="0" xfId="0" applyFill="1"/>
    <xf numFmtId="14" fontId="0" fillId="10" borderId="0" xfId="0" applyNumberFormat="1" applyFill="1"/>
    <xf numFmtId="164" fontId="0" fillId="10" borderId="0" xfId="0" applyNumberFormat="1" applyFill="1"/>
    <xf numFmtId="2" fontId="0" fillId="10" borderId="0" xfId="0" applyNumberFormat="1" applyFill="1"/>
    <xf numFmtId="10" fontId="4" fillId="10" borderId="0" xfId="0" applyNumberFormat="1" applyFont="1" applyFill="1"/>
    <xf numFmtId="2" fontId="4" fillId="10" borderId="0" xfId="0" applyNumberFormat="1" applyFont="1" applyFill="1"/>
    <xf numFmtId="10" fontId="0" fillId="10" borderId="0" xfId="0" applyNumberFormat="1" applyFill="1"/>
    <xf numFmtId="166" fontId="0" fillId="10" borderId="0" xfId="0" applyNumberFormat="1" applyFill="1"/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6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67" fontId="0" fillId="10" borderId="0" xfId="0" applyNumberFormat="1" applyFill="1"/>
    <xf numFmtId="168" fontId="7" fillId="0" borderId="0" xfId="0" applyNumberFormat="1" applyFont="1" applyAlignment="1">
      <alignment horizontal="center"/>
    </xf>
    <xf numFmtId="0" fontId="0" fillId="12" borderId="0" xfId="0" applyFill="1"/>
    <xf numFmtId="14" fontId="0" fillId="12" borderId="0" xfId="0" applyNumberFormat="1" applyFill="1"/>
    <xf numFmtId="164" fontId="0" fillId="12" borderId="0" xfId="0" applyNumberFormat="1" applyFill="1"/>
    <xf numFmtId="2" fontId="0" fillId="12" borderId="0" xfId="0" applyNumberFormat="1" applyFill="1"/>
    <xf numFmtId="10" fontId="0" fillId="12" borderId="0" xfId="0" applyNumberFormat="1" applyFill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10" borderId="0" xfId="0" applyFont="1" applyFill="1"/>
    <xf numFmtId="2" fontId="2" fillId="10" borderId="0" xfId="0" applyNumberFormat="1" applyFont="1" applyFill="1"/>
    <xf numFmtId="0" fontId="0" fillId="0" borderId="1" xfId="0" applyBorder="1"/>
    <xf numFmtId="0" fontId="0" fillId="13" borderId="0" xfId="0" applyFill="1"/>
    <xf numFmtId="2" fontId="0" fillId="3" borderId="0" xfId="0" applyNumberFormat="1" applyFill="1"/>
    <xf numFmtId="2" fontId="0" fillId="11" borderId="0" xfId="0" applyNumberFormat="1" applyFill="1"/>
    <xf numFmtId="164" fontId="0" fillId="14" borderId="0" xfId="0" applyNumberFormat="1" applyFill="1"/>
    <xf numFmtId="2" fontId="0" fillId="14" borderId="0" xfId="0" applyNumberFormat="1" applyFill="1"/>
    <xf numFmtId="0" fontId="0" fillId="8" borderId="0" xfId="0" applyFill="1"/>
    <xf numFmtId="14" fontId="0" fillId="8" borderId="0" xfId="0" applyNumberFormat="1" applyFill="1"/>
    <xf numFmtId="164" fontId="0" fillId="8" borderId="0" xfId="0" applyNumberFormat="1" applyFill="1"/>
    <xf numFmtId="1" fontId="0" fillId="8" borderId="0" xfId="0" applyNumberFormat="1" applyFill="1"/>
    <xf numFmtId="169" fontId="0" fillId="8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16" borderId="0" xfId="0" applyFill="1" applyAlignment="1">
      <alignment horizontal="center" wrapText="1"/>
    </xf>
    <xf numFmtId="0" fontId="0" fillId="11" borderId="0" xfId="0" applyFill="1"/>
    <xf numFmtId="14" fontId="0" fillId="11" borderId="0" xfId="0" applyNumberFormat="1" applyFill="1"/>
    <xf numFmtId="164" fontId="0" fillId="11" borderId="0" xfId="0" applyNumberFormat="1" applyFill="1"/>
    <xf numFmtId="0" fontId="0" fillId="17" borderId="0" xfId="0" applyFill="1"/>
    <xf numFmtId="14" fontId="0" fillId="17" borderId="0" xfId="0" applyNumberFormat="1" applyFill="1"/>
    <xf numFmtId="164" fontId="0" fillId="17" borderId="0" xfId="0" applyNumberFormat="1" applyFill="1"/>
    <xf numFmtId="2" fontId="0" fillId="17" borderId="0" xfId="0" applyNumberFormat="1" applyFill="1"/>
    <xf numFmtId="0" fontId="0" fillId="0" borderId="0" xfId="0" applyAlignment="1">
      <alignment horizontal="left"/>
    </xf>
    <xf numFmtId="0" fontId="0" fillId="1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19" borderId="0" xfId="0" applyFill="1"/>
    <xf numFmtId="10" fontId="0" fillId="19" borderId="0" xfId="0" applyNumberFormat="1" applyFill="1"/>
    <xf numFmtId="0" fontId="0" fillId="3" borderId="0" xfId="0" applyFill="1" applyAlignment="1">
      <alignment horizontal="center" vertical="center" wrapText="1"/>
    </xf>
    <xf numFmtId="0" fontId="7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ng Fu" id="{49C0DF72-31D7-40A3-B94B-E7B285845689}" userId="S::jingf@chalmers.se::948a42be-f5de-490c-be6e-3f11a9867c13" providerId="AD"/>
  <person displayName="Jing Fu" id="{7E49911E-3F73-4A48-B9B9-EE41392FAC7B}" userId="S::jingf@net.chalmers.se::aa026e82-f045-4203-a007-b065a015b1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9" dT="2021-02-26T15:16:45.21" personId="{7E49911E-3F73-4A48-B9B9-EE41392FAC7B}" id="{F3933FC5-98FC-4A04-9C5A-1C3D66604DE4}">
    <text>green: send for proteomics</text>
  </threadedComment>
  <threadedComment ref="P49" dT="2021-02-26T14:51:33.66" personId="{7E49911E-3F73-4A48-B9B9-EE41392FAC7B}" id="{5A11CE94-3BAC-4162-93DA-BB241E37AE0E}">
    <text>from 125h</text>
  </threadedComment>
  <threadedComment ref="N51" dT="2021-02-26T15:01:30.94" personId="{7E49911E-3F73-4A48-B9B9-EE41392FAC7B}" id="{1CA42D1F-F73D-417E-8649-444A98441A69}">
    <text>This CDW may be wrong based on OD</text>
  </threadedComment>
  <threadedComment ref="P53" dT="2021-02-26T14:51:46.53" personId="{7E49911E-3F73-4A48-B9B9-EE41392FAC7B}" id="{F73D485E-E904-4CC3-97B6-04C4631D0AE5}">
    <text>from 85h</text>
  </threadedComment>
  <threadedComment ref="P58" dT="2021-02-26T14:51:46.53" personId="{7E49911E-3F73-4A48-B9B9-EE41392FAC7B}" id="{B24B00D1-8F18-40C1-99DC-010B5F975AA9}">
    <text>from 85h</text>
  </threadedComment>
  <threadedComment ref="P62" dT="2021-02-27T14:55:18.94" personId="{7E49911E-3F73-4A48-B9B9-EE41392FAC7B}" id="{8C61CAF1-6E5D-4346-A2EB-E59FC2203039}">
    <text>100h
AZ11996</text>
  </threadedComment>
  <threadedComment ref="P66" dT="2021-02-26T14:51:33.66" personId="{7E49911E-3F73-4A48-B9B9-EE41392FAC7B}" id="{5C454BD9-5F5F-4E1E-BB55-C27256F3D5C2}">
    <text>from 125h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2" dT="2021-02-26T14:51:46.53" personId="{7E49911E-3F73-4A48-B9B9-EE41392FAC7B}" id="{27D889AB-021C-474A-B676-68443A41E775}">
    <text>from 85h</text>
  </threadedComment>
  <threadedComment ref="O7" dT="2021-02-26T14:51:33.66" personId="{7E49911E-3F73-4A48-B9B9-EE41392FAC7B}" id="{8FB80135-06F9-4233-A8DD-48111AF20B5A}">
    <text>from 125h</text>
  </threadedComment>
  <threadedComment ref="O30" dT="2021-02-26T14:51:46.53" personId="{7E49911E-3F73-4A48-B9B9-EE41392FAC7B}" id="{9D229672-C551-4E44-A75A-B6A7EAADF4B1}">
    <text>from 85h</text>
  </threadedComment>
  <threadedComment ref="O35" dT="2021-02-26T14:51:33.66" personId="{7E49911E-3F73-4A48-B9B9-EE41392FAC7B}" id="{51F53E53-BC86-4D4A-AB63-9B157E6D8810}">
    <text>from 125h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9" dT="2022-10-11T12:15:30.05" personId="{49C0DF72-31D7-40A3-B94B-E7B285845689}" id="{6A613CF1-6CDD-4936-803A-6BCB22F257CC}">
    <text>O2 sensor of reactor 7 broken</text>
  </threadedComment>
  <threadedComment ref="O11" dT="2021-02-26T14:51:33.66" personId="{7E49911E-3F73-4A48-B9B9-EE41392FAC7B}" id="{DB9C73F5-924A-4A5A-BAEB-10FB466A2AF9}">
    <text>from 125h</text>
  </threadedComment>
  <threadedComment ref="G15" dT="2022-10-11T12:15:20.71" personId="{49C0DF72-31D7-40A3-B94B-E7B285845689}" id="{313CE530-58EE-4040-9C88-42BF8B02A9B0}">
    <text>O2 sensor of reactor 7 broken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C0E1-0E4A-C245-8209-65DEC7D5CACA}">
  <dimension ref="A1:AC18"/>
  <sheetViews>
    <sheetView tabSelected="1" workbookViewId="0">
      <selection activeCell="B22" sqref="B22"/>
    </sheetView>
  </sheetViews>
  <sheetFormatPr baseColWidth="10" defaultRowHeight="16" x14ac:dyDescent="0.2"/>
  <cols>
    <col min="1" max="1" width="15.83203125" customWidth="1"/>
    <col min="2" max="2" width="21.83203125" customWidth="1"/>
    <col min="3" max="3" width="23.1640625" customWidth="1"/>
    <col min="4" max="4" width="22.33203125" style="90" customWidth="1"/>
    <col min="5" max="5" width="23.6640625" customWidth="1"/>
    <col min="6" max="6" width="24.5" customWidth="1"/>
    <col min="7" max="7" width="28.1640625" customWidth="1"/>
    <col min="8" max="8" width="26.83203125" customWidth="1"/>
    <col min="9" max="9" width="27.33203125" customWidth="1"/>
    <col min="10" max="10" width="14.83203125" customWidth="1"/>
    <col min="11" max="11" width="19.83203125" style="85" customWidth="1"/>
    <col min="13" max="13" width="29" customWidth="1"/>
    <col min="14" max="14" width="37.6640625" customWidth="1"/>
  </cols>
  <sheetData>
    <row r="1" spans="1:29" s="85" customFormat="1" x14ac:dyDescent="0.2">
      <c r="A1" s="85" t="s">
        <v>0</v>
      </c>
      <c r="B1" s="85" t="s">
        <v>23</v>
      </c>
      <c r="C1" s="85" t="s">
        <v>22</v>
      </c>
      <c r="D1" s="89" t="s">
        <v>21</v>
      </c>
      <c r="E1" s="85" t="s">
        <v>42</v>
      </c>
      <c r="F1" s="85" t="s">
        <v>43</v>
      </c>
      <c r="G1" s="85" t="s">
        <v>45</v>
      </c>
      <c r="H1" s="85" t="s">
        <v>47</v>
      </c>
      <c r="I1" s="85" t="s">
        <v>138</v>
      </c>
      <c r="J1" s="85" t="s">
        <v>25</v>
      </c>
      <c r="K1" s="85" t="s">
        <v>122</v>
      </c>
      <c r="L1" s="85" t="s">
        <v>139</v>
      </c>
      <c r="M1" s="85" t="s">
        <v>140</v>
      </c>
      <c r="N1" s="85" t="s">
        <v>1</v>
      </c>
      <c r="O1" s="85" t="s">
        <v>2</v>
      </c>
      <c r="P1" s="85" t="s">
        <v>3</v>
      </c>
      <c r="Q1" s="85" t="s">
        <v>11</v>
      </c>
    </row>
    <row r="2" spans="1:29" s="87" customFormat="1" x14ac:dyDescent="0.2">
      <c r="A2" s="87" t="s">
        <v>147</v>
      </c>
      <c r="B2" s="87">
        <v>1.2131361978753767</v>
      </c>
      <c r="C2" s="87">
        <v>2.4052478134110786</v>
      </c>
      <c r="D2" s="89">
        <v>2.8425655976676425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>
        <v>92.77707801474368</v>
      </c>
      <c r="K2" s="87">
        <v>2.33614421652213</v>
      </c>
      <c r="L2" s="85"/>
      <c r="M2" s="87">
        <v>2.33614421652213</v>
      </c>
      <c r="N2" s="87" t="s">
        <v>111</v>
      </c>
      <c r="O2" s="87" t="s">
        <v>54</v>
      </c>
      <c r="P2" s="87">
        <v>3</v>
      </c>
      <c r="Q2" s="87">
        <v>0.1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3" spans="1:29" s="87" customFormat="1" x14ac:dyDescent="0.2">
      <c r="A3" s="87" t="s">
        <v>148</v>
      </c>
      <c r="B3" s="87">
        <v>1.2045323950535656</v>
      </c>
      <c r="C3" s="87">
        <v>2.1710811984368217</v>
      </c>
      <c r="D3" s="89">
        <v>2.1710811984368266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94.039647354221643</v>
      </c>
      <c r="K3" s="87">
        <v>2.3093917440502301</v>
      </c>
      <c r="L3" s="85"/>
      <c r="M3" s="87">
        <v>2.3093917440502301</v>
      </c>
      <c r="N3" s="87" t="s">
        <v>111</v>
      </c>
      <c r="O3" s="87" t="s">
        <v>54</v>
      </c>
      <c r="P3" s="87">
        <v>3</v>
      </c>
      <c r="Q3" s="87">
        <v>0.10638297872340426</v>
      </c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</row>
    <row r="4" spans="1:29" s="87" customFormat="1" x14ac:dyDescent="0.2">
      <c r="A4" s="87" t="s">
        <v>149</v>
      </c>
      <c r="B4" s="87">
        <v>1.1794379701566162</v>
      </c>
      <c r="C4" s="87">
        <v>2.1967120181405897</v>
      </c>
      <c r="D4" s="89">
        <v>3.40136054421769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95.040995451049014</v>
      </c>
      <c r="K4" s="87">
        <v>2.8536994415010399</v>
      </c>
      <c r="L4" s="85"/>
      <c r="M4" s="87">
        <v>2.8536994415010399</v>
      </c>
      <c r="N4" s="87" t="s">
        <v>111</v>
      </c>
      <c r="O4" s="87" t="s">
        <v>54</v>
      </c>
      <c r="P4" s="87">
        <v>3</v>
      </c>
      <c r="Q4" s="87">
        <v>0.10416666666666667</v>
      </c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</row>
    <row r="5" spans="1:29" s="85" customFormat="1" x14ac:dyDescent="0.2">
      <c r="A5" s="85" t="s">
        <v>150</v>
      </c>
      <c r="B5" s="85">
        <v>1.1943090177774007</v>
      </c>
      <c r="C5" s="85">
        <v>2.7758138828653993</v>
      </c>
      <c r="D5" s="89">
        <v>2.2064161633032824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104.68691787198898</v>
      </c>
      <c r="K5" s="85">
        <v>2.1057028876435901</v>
      </c>
      <c r="M5" s="85">
        <v>2.1057028876435901</v>
      </c>
      <c r="N5" s="85" t="s">
        <v>111</v>
      </c>
      <c r="O5" s="85" t="s">
        <v>51</v>
      </c>
      <c r="P5" s="85">
        <v>3</v>
      </c>
      <c r="Q5" s="85">
        <v>0.10869565217391304</v>
      </c>
    </row>
    <row r="6" spans="1:29" s="85" customFormat="1" x14ac:dyDescent="0.2">
      <c r="A6" s="85" t="s">
        <v>151</v>
      </c>
      <c r="B6" s="85">
        <v>1.1089643966883851</v>
      </c>
      <c r="C6" s="85">
        <v>2.4452786295865496</v>
      </c>
      <c r="D6" s="89">
        <v>1.7843925134820737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104.8164719814215</v>
      </c>
      <c r="K6" s="85">
        <v>2.1484616148578102</v>
      </c>
      <c r="M6" s="85">
        <v>2.1484616148578102</v>
      </c>
      <c r="N6" s="85" t="s">
        <v>111</v>
      </c>
      <c r="O6" s="85" t="s">
        <v>51</v>
      </c>
      <c r="P6" s="85">
        <v>3</v>
      </c>
      <c r="Q6" s="85">
        <v>0.10416666666666667</v>
      </c>
    </row>
    <row r="7" spans="1:29" s="85" customFormat="1" x14ac:dyDescent="0.2">
      <c r="A7" s="85" t="s">
        <v>152</v>
      </c>
      <c r="B7" s="85">
        <v>1.0929198054171489</v>
      </c>
      <c r="C7" s="85">
        <v>2.5401650021710811</v>
      </c>
      <c r="D7" s="89">
        <v>2.0842379504993507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105.03959294766638</v>
      </c>
      <c r="K7" s="85">
        <v>2.2122171728752802</v>
      </c>
      <c r="M7" s="85">
        <v>2.2122171728752802</v>
      </c>
      <c r="N7" s="85" t="s">
        <v>111</v>
      </c>
      <c r="O7" s="85" t="s">
        <v>51</v>
      </c>
      <c r="P7" s="85">
        <v>3</v>
      </c>
      <c r="Q7" s="85">
        <v>0.1</v>
      </c>
    </row>
    <row r="8" spans="1:29" s="88" customFormat="1" x14ac:dyDescent="0.2">
      <c r="A8" s="88" t="s">
        <v>153</v>
      </c>
      <c r="B8" s="88">
        <v>1.5781890752580612</v>
      </c>
      <c r="C8" s="88">
        <v>3.9522851394078766</v>
      </c>
      <c r="D8" s="89">
        <v>5.0301810865191365</v>
      </c>
      <c r="E8" s="88">
        <v>0</v>
      </c>
      <c r="F8" s="88">
        <v>2.5407479322143781E-2</v>
      </c>
      <c r="G8" s="88">
        <v>0</v>
      </c>
      <c r="H8" s="88">
        <v>0</v>
      </c>
      <c r="I8" s="88">
        <v>0</v>
      </c>
      <c r="J8" s="88">
        <v>89.567538512112051</v>
      </c>
      <c r="K8" s="88">
        <v>8.6478806128069099</v>
      </c>
      <c r="L8" s="85"/>
      <c r="M8" s="88">
        <v>8.6478806128069099</v>
      </c>
      <c r="N8" s="88" t="s">
        <v>111</v>
      </c>
      <c r="O8" s="88" t="s">
        <v>51</v>
      </c>
      <c r="P8" s="88">
        <v>116</v>
      </c>
      <c r="Q8" s="88">
        <v>0.10416666666666667</v>
      </c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</row>
    <row r="9" spans="1:29" s="88" customFormat="1" x14ac:dyDescent="0.2">
      <c r="A9" s="88" t="s">
        <v>154</v>
      </c>
      <c r="B9" s="88">
        <v>1.3638658909010692</v>
      </c>
      <c r="C9" s="88">
        <v>3.1689694511344917</v>
      </c>
      <c r="D9" s="89">
        <v>4.6900000000000004</v>
      </c>
      <c r="E9" s="88">
        <v>0</v>
      </c>
      <c r="F9" s="88">
        <v>2.7772566135737482E-2</v>
      </c>
      <c r="G9" s="88">
        <v>0</v>
      </c>
      <c r="H9" s="88">
        <v>0</v>
      </c>
      <c r="I9" s="88">
        <v>0</v>
      </c>
      <c r="J9" s="88">
        <v>96.476584494235979</v>
      </c>
      <c r="K9" s="88">
        <v>6.9697409396905003</v>
      </c>
      <c r="L9" s="85" t="s">
        <v>142</v>
      </c>
      <c r="M9" s="88">
        <v>6.9697409396905003</v>
      </c>
      <c r="N9" s="88" t="s">
        <v>111</v>
      </c>
      <c r="O9" s="88" t="s">
        <v>51</v>
      </c>
      <c r="P9" s="88">
        <v>116</v>
      </c>
      <c r="Q9" s="88">
        <v>0.10869565217391304</v>
      </c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</row>
    <row r="10" spans="1:29" s="88" customFormat="1" ht="17" customHeight="1" x14ac:dyDescent="0.2">
      <c r="A10" s="88" t="s">
        <v>155</v>
      </c>
      <c r="B10" s="88">
        <v>1.3543607941016831</v>
      </c>
      <c r="C10" s="88">
        <v>3.0107936953980019</v>
      </c>
      <c r="D10" s="89">
        <v>4.3656508583270899</v>
      </c>
      <c r="E10" s="88">
        <v>0</v>
      </c>
      <c r="F10" s="88">
        <v>1.9475622970032781E-2</v>
      </c>
      <c r="G10" s="88">
        <v>0</v>
      </c>
      <c r="H10" s="88">
        <v>0</v>
      </c>
      <c r="I10" s="88">
        <v>0</v>
      </c>
      <c r="J10" s="88">
        <v>91.646565664283813</v>
      </c>
      <c r="K10" s="88">
        <v>9.4622460337255205</v>
      </c>
      <c r="L10" s="85"/>
      <c r="M10" s="88">
        <v>9.4622460337255205</v>
      </c>
      <c r="N10" s="88" t="s">
        <v>111</v>
      </c>
      <c r="O10" s="88" t="s">
        <v>51</v>
      </c>
      <c r="P10" s="88">
        <v>116</v>
      </c>
      <c r="Q10" s="88">
        <v>0.10204081632653061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</row>
    <row r="11" spans="1:29" s="86" customFormat="1" x14ac:dyDescent="0.2">
      <c r="A11" s="86" t="s">
        <v>156</v>
      </c>
      <c r="B11" s="86">
        <v>1.4279785501174362</v>
      </c>
      <c r="C11" s="86">
        <v>3.0974474165280972</v>
      </c>
      <c r="D11" s="89">
        <v>6.1948948330561837</v>
      </c>
      <c r="E11" s="86">
        <v>5.3031346399046607E-3</v>
      </c>
      <c r="F11" s="86">
        <v>1.3325516803278812E-2</v>
      </c>
      <c r="G11" s="86">
        <v>1.7844891870418187E-2</v>
      </c>
      <c r="H11" s="86">
        <v>1.7850665148271648E-4</v>
      </c>
      <c r="I11" s="86">
        <v>0</v>
      </c>
      <c r="J11" s="86">
        <v>90.136675102840954</v>
      </c>
      <c r="K11" s="86">
        <v>5.89</v>
      </c>
      <c r="L11" s="85" t="s">
        <v>141</v>
      </c>
      <c r="M11" s="86">
        <v>1.92961533939351</v>
      </c>
      <c r="N11" s="86" t="s">
        <v>111</v>
      </c>
      <c r="O11" s="86" t="s">
        <v>54</v>
      </c>
      <c r="P11" s="86">
        <v>116</v>
      </c>
      <c r="Q11" s="86">
        <v>0.10638297872340426</v>
      </c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</row>
    <row r="12" spans="1:29" s="86" customFormat="1" x14ac:dyDescent="0.2">
      <c r="A12" s="86" t="s">
        <v>157</v>
      </c>
      <c r="B12" s="86">
        <v>1.5596744237691138</v>
      </c>
      <c r="C12" s="86">
        <v>3.1555590986394533</v>
      </c>
      <c r="D12" s="89">
        <v>5.6467899659863878</v>
      </c>
      <c r="E12" s="86">
        <v>4.4829062039504538E-3</v>
      </c>
      <c r="F12" s="86">
        <v>1.4401259518447007E-2</v>
      </c>
      <c r="G12" s="86">
        <v>4.4161172310252473E-3</v>
      </c>
      <c r="H12" s="86">
        <v>3.4456858469528862E-4</v>
      </c>
      <c r="I12" s="86">
        <v>0</v>
      </c>
      <c r="J12" s="86">
        <v>82.116973568061908</v>
      </c>
      <c r="K12" s="86">
        <v>5.89</v>
      </c>
      <c r="L12" s="85" t="s">
        <v>141</v>
      </c>
      <c r="M12" s="86">
        <v>1.1999722722122548</v>
      </c>
      <c r="N12" s="86" t="s">
        <v>111</v>
      </c>
      <c r="O12" s="86" t="s">
        <v>54</v>
      </c>
      <c r="P12" s="86">
        <v>116</v>
      </c>
      <c r="Q12" s="86">
        <v>0.10416666666666667</v>
      </c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</row>
    <row r="13" spans="1:29" s="86" customFormat="1" x14ac:dyDescent="0.2">
      <c r="A13" s="86" t="s">
        <v>158</v>
      </c>
      <c r="B13" s="86">
        <v>1.5160957433010103</v>
      </c>
      <c r="C13" s="86">
        <v>3.1512720897608379</v>
      </c>
      <c r="D13" s="89">
        <v>4.726908134641266</v>
      </c>
      <c r="E13" s="86">
        <v>5.7599348104402058E-3</v>
      </c>
      <c r="F13" s="86">
        <v>1.2931989001105185E-2</v>
      </c>
      <c r="G13" s="86">
        <v>2.2763557431553255E-2</v>
      </c>
      <c r="H13" s="86">
        <v>3.2689544499593746E-4</v>
      </c>
      <c r="I13" s="86">
        <v>0</v>
      </c>
      <c r="J13" s="86">
        <v>83.414139628896052</v>
      </c>
      <c r="K13" s="86">
        <v>5.89</v>
      </c>
      <c r="L13" s="85" t="s">
        <v>141</v>
      </c>
      <c r="M13" s="86">
        <v>2.1743847341948555</v>
      </c>
      <c r="N13" s="86" t="s">
        <v>111</v>
      </c>
      <c r="O13" s="86" t="s">
        <v>54</v>
      </c>
      <c r="P13" s="86">
        <v>116</v>
      </c>
      <c r="Q13" s="86">
        <v>0.10204081632653061</v>
      </c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</row>
    <row r="14" spans="1:29" s="85" customFormat="1" x14ac:dyDescent="0.2">
      <c r="A14" s="85" t="s">
        <v>159</v>
      </c>
      <c r="B14" s="85">
        <v>1.0511296278127642</v>
      </c>
      <c r="C14" s="85">
        <v>2.8188070808433898</v>
      </c>
      <c r="D14" s="89">
        <v>6.1661404893449392</v>
      </c>
      <c r="E14" s="85">
        <v>4.8676790729805328E-3</v>
      </c>
      <c r="F14" s="85">
        <v>8.7410841595112043E-3</v>
      </c>
      <c r="G14" s="85">
        <v>2.4671700243164296E-2</v>
      </c>
      <c r="H14" s="85">
        <v>1.2122722360992273E-2</v>
      </c>
      <c r="I14" s="85">
        <v>0.12725812568900932</v>
      </c>
      <c r="J14" s="85">
        <v>116.50628672347752</v>
      </c>
      <c r="K14" s="85">
        <v>1.7796980578099666</v>
      </c>
      <c r="M14" s="85">
        <v>1.7796980578099666</v>
      </c>
      <c r="N14" s="85" t="s">
        <v>112</v>
      </c>
      <c r="O14" s="85" t="s">
        <v>54</v>
      </c>
      <c r="P14" s="85">
        <v>116</v>
      </c>
      <c r="Q14" s="85">
        <v>0.10416666666666667</v>
      </c>
    </row>
    <row r="15" spans="1:29" s="85" customFormat="1" x14ac:dyDescent="0.2">
      <c r="A15" s="85" t="s">
        <v>160</v>
      </c>
      <c r="B15" s="85">
        <v>1.2451360160255045</v>
      </c>
      <c r="C15" s="85">
        <v>3.2037932912568508</v>
      </c>
      <c r="D15" s="89">
        <v>6.34</v>
      </c>
      <c r="E15" s="85">
        <v>1.8536224319988981E-3</v>
      </c>
      <c r="F15" s="85">
        <v>9.7389052971285917E-3</v>
      </c>
      <c r="G15" s="85">
        <v>3.6284107108008638E-3</v>
      </c>
      <c r="H15" s="85">
        <v>1.3109112706272266E-2</v>
      </c>
      <c r="I15" s="85">
        <v>0.12352107606332596</v>
      </c>
      <c r="J15" s="85">
        <v>102.26928925180489</v>
      </c>
      <c r="K15" s="85">
        <v>1.8299122164079413</v>
      </c>
      <c r="L15" s="85" t="s">
        <v>142</v>
      </c>
      <c r="M15" s="85">
        <v>1.8299122164079413</v>
      </c>
      <c r="N15" s="85" t="s">
        <v>112</v>
      </c>
      <c r="O15" s="85" t="s">
        <v>54</v>
      </c>
      <c r="P15" s="85">
        <v>116</v>
      </c>
      <c r="Q15" s="85">
        <v>0.10204081632653061</v>
      </c>
    </row>
    <row r="16" spans="1:29" s="85" customFormat="1" ht="15" customHeight="1" x14ac:dyDescent="0.2">
      <c r="A16" s="85" t="s">
        <v>161</v>
      </c>
      <c r="B16" s="85">
        <v>1.1430653522369452</v>
      </c>
      <c r="C16" s="85">
        <v>2.7750661934906726</v>
      </c>
      <c r="D16" s="89">
        <v>6.5295675140956773</v>
      </c>
      <c r="E16" s="85">
        <v>2.6367638242415911E-3</v>
      </c>
      <c r="F16" s="85">
        <v>7.5693847043372259E-3</v>
      </c>
      <c r="G16" s="85">
        <v>1.5047154715573987E-2</v>
      </c>
      <c r="H16" s="85">
        <v>9.3134391409560036E-3</v>
      </c>
      <c r="I16" s="85">
        <v>0.10233494037911052</v>
      </c>
      <c r="J16" s="85">
        <v>107.90303284097536</v>
      </c>
      <c r="K16" s="85">
        <v>1.6694023251189356</v>
      </c>
      <c r="M16" s="85">
        <v>1.6694023251189356</v>
      </c>
      <c r="N16" s="85" t="s">
        <v>112</v>
      </c>
      <c r="O16" s="85" t="s">
        <v>54</v>
      </c>
      <c r="P16" s="85">
        <v>116</v>
      </c>
      <c r="Q16" s="85">
        <v>0.10638297872340426</v>
      </c>
    </row>
    <row r="17" spans="4:4" s="85" customFormat="1" x14ac:dyDescent="0.2">
      <c r="D17" s="89"/>
    </row>
    <row r="18" spans="4:4" s="85" customFormat="1" x14ac:dyDescent="0.2">
      <c r="D18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BB4-0F6F-644B-93A5-C7AA385369D7}">
  <dimension ref="A1:C18"/>
  <sheetViews>
    <sheetView workbookViewId="0">
      <selection activeCell="C2" sqref="C2:C16"/>
    </sheetView>
  </sheetViews>
  <sheetFormatPr baseColWidth="10" defaultRowHeight="16" x14ac:dyDescent="0.2"/>
  <cols>
    <col min="2" max="2" width="14" customWidth="1"/>
  </cols>
  <sheetData>
    <row r="1" spans="1:3" x14ac:dyDescent="0.2">
      <c r="B1" s="85" t="s">
        <v>0</v>
      </c>
      <c r="C1" s="85" t="s">
        <v>0</v>
      </c>
    </row>
    <row r="2" spans="1:3" x14ac:dyDescent="0.2">
      <c r="A2" t="s">
        <v>146</v>
      </c>
      <c r="B2" s="87">
        <v>25</v>
      </c>
      <c r="C2" t="str">
        <f>A2&amp;B2</f>
        <v>s25</v>
      </c>
    </row>
    <row r="3" spans="1:3" x14ac:dyDescent="0.2">
      <c r="A3" t="s">
        <v>146</v>
      </c>
      <c r="B3" s="87">
        <v>27</v>
      </c>
      <c r="C3" t="str">
        <f t="shared" ref="C3:C16" si="0">A3&amp;B3</f>
        <v>s27</v>
      </c>
    </row>
    <row r="4" spans="1:3" x14ac:dyDescent="0.2">
      <c r="A4" t="s">
        <v>146</v>
      </c>
      <c r="B4" s="87">
        <v>28</v>
      </c>
      <c r="C4" t="str">
        <f t="shared" si="0"/>
        <v>s28</v>
      </c>
    </row>
    <row r="5" spans="1:3" x14ac:dyDescent="0.2">
      <c r="A5" t="s">
        <v>146</v>
      </c>
      <c r="B5" s="85">
        <v>37</v>
      </c>
      <c r="C5" t="str">
        <f t="shared" si="0"/>
        <v>s37</v>
      </c>
    </row>
    <row r="6" spans="1:3" x14ac:dyDescent="0.2">
      <c r="A6" t="s">
        <v>146</v>
      </c>
      <c r="B6" s="85">
        <v>38</v>
      </c>
      <c r="C6" t="str">
        <f t="shared" si="0"/>
        <v>s38</v>
      </c>
    </row>
    <row r="7" spans="1:3" x14ac:dyDescent="0.2">
      <c r="A7" t="s">
        <v>146</v>
      </c>
      <c r="B7" s="85">
        <v>40</v>
      </c>
      <c r="C7" t="str">
        <f t="shared" si="0"/>
        <v>s40</v>
      </c>
    </row>
    <row r="8" spans="1:3" x14ac:dyDescent="0.2">
      <c r="A8" t="s">
        <v>146</v>
      </c>
      <c r="B8" s="88">
        <v>41</v>
      </c>
      <c r="C8" t="str">
        <f t="shared" si="0"/>
        <v>s41</v>
      </c>
    </row>
    <row r="9" spans="1:3" x14ac:dyDescent="0.2">
      <c r="A9" t="s">
        <v>146</v>
      </c>
      <c r="B9" s="88">
        <v>43</v>
      </c>
      <c r="C9" t="str">
        <f t="shared" si="0"/>
        <v>s43</v>
      </c>
    </row>
    <row r="10" spans="1:3" x14ac:dyDescent="0.2">
      <c r="A10" t="s">
        <v>146</v>
      </c>
      <c r="B10" s="88">
        <v>44</v>
      </c>
      <c r="C10" t="str">
        <f t="shared" si="0"/>
        <v>s44</v>
      </c>
    </row>
    <row r="11" spans="1:3" x14ac:dyDescent="0.2">
      <c r="A11" t="s">
        <v>146</v>
      </c>
      <c r="B11" s="86">
        <v>9</v>
      </c>
      <c r="C11" t="str">
        <f t="shared" si="0"/>
        <v>s9</v>
      </c>
    </row>
    <row r="12" spans="1:3" x14ac:dyDescent="0.2">
      <c r="A12" t="s">
        <v>146</v>
      </c>
      <c r="B12" s="86">
        <v>10</v>
      </c>
      <c r="C12" t="str">
        <f t="shared" si="0"/>
        <v>s10</v>
      </c>
    </row>
    <row r="13" spans="1:3" x14ac:dyDescent="0.2">
      <c r="A13" t="s">
        <v>146</v>
      </c>
      <c r="B13" s="86">
        <v>12</v>
      </c>
      <c r="C13" t="str">
        <f t="shared" si="0"/>
        <v>s12</v>
      </c>
    </row>
    <row r="14" spans="1:3" x14ac:dyDescent="0.2">
      <c r="A14" t="s">
        <v>146</v>
      </c>
      <c r="B14" s="85">
        <v>22</v>
      </c>
      <c r="C14" t="str">
        <f t="shared" si="0"/>
        <v>s22</v>
      </c>
    </row>
    <row r="15" spans="1:3" x14ac:dyDescent="0.2">
      <c r="A15" t="s">
        <v>146</v>
      </c>
      <c r="B15" s="85">
        <v>23</v>
      </c>
      <c r="C15" t="str">
        <f t="shared" si="0"/>
        <v>s23</v>
      </c>
    </row>
    <row r="16" spans="1:3" x14ac:dyDescent="0.2">
      <c r="A16" t="s">
        <v>146</v>
      </c>
      <c r="B16" s="85">
        <v>24</v>
      </c>
      <c r="C16" t="str">
        <f t="shared" si="0"/>
        <v>s24</v>
      </c>
    </row>
    <row r="17" spans="2:2" x14ac:dyDescent="0.2">
      <c r="B17" s="85"/>
    </row>
    <row r="18" spans="2:2" x14ac:dyDescent="0.2">
      <c r="B18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0357-0510-864B-9E68-3C4A719F0CB3}">
  <dimension ref="A1:BC32"/>
  <sheetViews>
    <sheetView workbookViewId="0">
      <selection activeCell="B26" sqref="B26"/>
    </sheetView>
  </sheetViews>
  <sheetFormatPr baseColWidth="10" defaultColWidth="11" defaultRowHeight="16" x14ac:dyDescent="0.2"/>
  <cols>
    <col min="1" max="1" width="14.1640625" customWidth="1"/>
    <col min="2" max="2" width="21" customWidth="1"/>
    <col min="3" max="3" width="42" customWidth="1"/>
    <col min="4" max="4" width="17" customWidth="1"/>
    <col min="5" max="5" width="14.1640625" customWidth="1"/>
    <col min="9" max="9" width="17.33203125" customWidth="1"/>
    <col min="10" max="10" width="14" customWidth="1"/>
    <col min="11" max="11" width="16.5" customWidth="1"/>
    <col min="12" max="12" width="13" customWidth="1"/>
    <col min="14" max="14" width="19.5" customWidth="1"/>
    <col min="22" max="22" width="22.5" customWidth="1"/>
    <col min="23" max="25" width="23" customWidth="1"/>
    <col min="26" max="26" width="11.33203125" customWidth="1"/>
    <col min="27" max="31" width="18.33203125" bestFit="1" customWidth="1"/>
    <col min="32" max="32" width="18.33203125" customWidth="1"/>
    <col min="40" max="40" width="16.6640625" customWidth="1"/>
    <col min="41" max="54" width="15.1640625" customWidth="1"/>
    <col min="55" max="55" width="31.1640625" customWidth="1"/>
    <col min="56" max="56" width="26.1640625" customWidth="1"/>
  </cols>
  <sheetData>
    <row r="1" spans="1:55" s="46" customFormat="1" ht="34" x14ac:dyDescent="0.2">
      <c r="A1" s="46" t="s">
        <v>0</v>
      </c>
      <c r="B1" s="47" t="s">
        <v>1</v>
      </c>
      <c r="C1" s="47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7" t="s">
        <v>9</v>
      </c>
      <c r="K1" s="47" t="s">
        <v>10</v>
      </c>
      <c r="L1" s="74" t="s">
        <v>11</v>
      </c>
      <c r="M1" s="47" t="s">
        <v>12</v>
      </c>
      <c r="N1" s="47" t="s">
        <v>13</v>
      </c>
      <c r="O1" s="47" t="s">
        <v>15</v>
      </c>
      <c r="P1" s="47" t="s">
        <v>16</v>
      </c>
      <c r="Q1" s="47" t="s">
        <v>17</v>
      </c>
      <c r="R1" s="47" t="s">
        <v>18</v>
      </c>
      <c r="S1" s="47" t="s">
        <v>19</v>
      </c>
      <c r="T1" s="47" t="s">
        <v>20</v>
      </c>
      <c r="U1" s="75" t="s">
        <v>21</v>
      </c>
      <c r="V1" s="76" t="s">
        <v>22</v>
      </c>
      <c r="W1" s="77" t="s">
        <v>23</v>
      </c>
      <c r="X1" s="48" t="s">
        <v>24</v>
      </c>
      <c r="Y1" s="48" t="s">
        <v>25</v>
      </c>
      <c r="Z1" s="46" t="s">
        <v>122</v>
      </c>
      <c r="AA1" s="46" t="s">
        <v>27</v>
      </c>
      <c r="AB1" s="46" t="s">
        <v>28</v>
      </c>
      <c r="AC1" s="46" t="s">
        <v>29</v>
      </c>
      <c r="AD1" s="46" t="s">
        <v>30</v>
      </c>
      <c r="AE1" s="46" t="s">
        <v>31</v>
      </c>
      <c r="AF1" s="46" t="s">
        <v>121</v>
      </c>
      <c r="AG1" s="60" t="s">
        <v>32</v>
      </c>
      <c r="AH1" s="60" t="s">
        <v>33</v>
      </c>
      <c r="AI1" s="60" t="s">
        <v>34</v>
      </c>
      <c r="AJ1" s="60" t="s">
        <v>35</v>
      </c>
      <c r="AK1" s="60" t="s">
        <v>36</v>
      </c>
      <c r="AL1" s="60" t="s">
        <v>37</v>
      </c>
      <c r="AM1" s="60" t="s">
        <v>38</v>
      </c>
      <c r="AN1" s="60" t="s">
        <v>39</v>
      </c>
      <c r="AO1" s="60" t="s">
        <v>40</v>
      </c>
      <c r="AP1" s="60" t="s">
        <v>41</v>
      </c>
      <c r="AQ1" s="60" t="s">
        <v>42</v>
      </c>
      <c r="AR1" s="60" t="s">
        <v>43</v>
      </c>
      <c r="AS1" s="60" t="s">
        <v>44</v>
      </c>
      <c r="AT1" s="60" t="s">
        <v>45</v>
      </c>
      <c r="AU1" s="60" t="s">
        <v>46</v>
      </c>
      <c r="AV1" s="60" t="s">
        <v>47</v>
      </c>
      <c r="AW1" s="60" t="s">
        <v>48</v>
      </c>
      <c r="AX1" s="60" t="s">
        <v>25</v>
      </c>
      <c r="AY1" t="s">
        <v>126</v>
      </c>
      <c r="AZ1" t="s">
        <v>127</v>
      </c>
      <c r="BA1" t="s">
        <v>128</v>
      </c>
      <c r="BC1" s="47" t="s">
        <v>49</v>
      </c>
    </row>
    <row r="2" spans="1:55" s="81" customFormat="1" x14ac:dyDescent="0.2">
      <c r="A2" s="81">
        <v>25</v>
      </c>
      <c r="B2" s="81" t="s">
        <v>111</v>
      </c>
      <c r="C2" s="81" t="s">
        <v>54</v>
      </c>
      <c r="D2" s="81">
        <v>3</v>
      </c>
      <c r="E2" s="82">
        <v>44234</v>
      </c>
      <c r="F2" s="81">
        <v>2</v>
      </c>
      <c r="G2" s="81">
        <v>1</v>
      </c>
      <c r="H2" s="81">
        <v>1</v>
      </c>
      <c r="I2" s="81">
        <v>500</v>
      </c>
      <c r="J2" s="81">
        <v>50</v>
      </c>
      <c r="K2" s="81">
        <v>0.1</v>
      </c>
      <c r="L2" s="83">
        <f t="shared" ref="L2:L16" si="0">J2/I2</f>
        <v>0.1</v>
      </c>
      <c r="M2" s="81">
        <f>0.122*1000/20</f>
        <v>6.1</v>
      </c>
      <c r="N2" s="84">
        <v>3.3600000000000003</v>
      </c>
      <c r="O2" s="84">
        <v>0.37</v>
      </c>
      <c r="P2" s="84">
        <v>0.04</v>
      </c>
      <c r="Q2" s="84">
        <f t="shared" ref="Q2:Q16" si="1">(30/24.5)*(O2-P2)*0.01*1000</f>
        <v>4.0408163265306127</v>
      </c>
      <c r="R2" s="84">
        <v>21.12</v>
      </c>
      <c r="S2" s="84">
        <v>20.73</v>
      </c>
      <c r="T2" s="84">
        <f t="shared" ref="T2:T16" si="2">(30/24.5)*(R2-S2)*0.01*1000</f>
        <v>4.7755102040816402</v>
      </c>
      <c r="U2" s="84">
        <f t="shared" ref="U2:U8" si="3">T2/(N2*I2)*1000</f>
        <v>2.8425655976676425</v>
      </c>
      <c r="V2" s="84">
        <f t="shared" ref="V2:V16" si="4">Q2/(N2*I2)*1000</f>
        <v>2.4052478134110786</v>
      </c>
      <c r="W2" s="84">
        <f t="shared" ref="W2:W16" si="5">(AO2*1000/180.2)*L2/N2</f>
        <v>1.2131361978753767</v>
      </c>
      <c r="X2" s="84">
        <f t="shared" ref="X2:X16" si="6">N2/23*1000*L2/N2</f>
        <v>4.3478260869565224</v>
      </c>
      <c r="Y2" s="84">
        <f t="shared" ref="Y2:Y16" si="7">100*((V2+X2)/(6*W2))</f>
        <v>92.77707801474368</v>
      </c>
      <c r="Z2" s="84">
        <v>2.33614421652213</v>
      </c>
      <c r="AA2" s="84">
        <v>8.68</v>
      </c>
      <c r="AB2" s="84">
        <v>10.43</v>
      </c>
      <c r="AC2" s="84">
        <v>0.42</v>
      </c>
      <c r="AD2" s="84">
        <v>44.2</v>
      </c>
      <c r="AE2" s="84">
        <v>36.28</v>
      </c>
      <c r="AF2" s="84">
        <f t="shared" ref="AF2:AF16" si="8">Z2*N2/AO2</f>
        <v>1.0686495354128351</v>
      </c>
      <c r="AG2" s="84">
        <v>0</v>
      </c>
      <c r="AH2" s="84">
        <v>0</v>
      </c>
      <c r="AI2" s="84">
        <v>0</v>
      </c>
      <c r="AJ2" s="84">
        <v>0</v>
      </c>
      <c r="AK2" s="84">
        <v>0</v>
      </c>
      <c r="AL2" s="84">
        <v>0</v>
      </c>
      <c r="AM2" s="84">
        <v>0</v>
      </c>
      <c r="AN2" s="84">
        <v>7.3452000000000002</v>
      </c>
      <c r="AO2" s="84">
        <f t="shared" ref="AO2:AO16" si="9">AN2-AH2</f>
        <v>7.3452000000000002</v>
      </c>
      <c r="AP2" s="84"/>
      <c r="AQ2" s="84">
        <f t="shared" ref="AQ2:AQ16" si="10">(AG2*1000/192.124)*$L2/$N2</f>
        <v>0</v>
      </c>
      <c r="AR2" s="84">
        <f t="shared" ref="AR2:AR13" si="11">(AI2*1000/88.06)*$L2/$N2</f>
        <v>0</v>
      </c>
      <c r="AS2" s="84">
        <f t="shared" ref="AS2:AS13" si="12">(AJ2*1000/60.052)*$L2/$N2</f>
        <v>0</v>
      </c>
      <c r="AT2" s="84">
        <f t="shared" ref="AT2:AT13" si="13">(AK2*1000/46.07)*$L2/$N2</f>
        <v>0</v>
      </c>
      <c r="AU2" s="84">
        <f t="shared" ref="AU2:AU13" si="14">(AL2*1000/92.09)*$L2/$N2</f>
        <v>0</v>
      </c>
      <c r="AV2" s="84">
        <f t="shared" ref="AV2:AV13" si="15">(AM2*1000/118.09)*$L2/$N2</f>
        <v>0</v>
      </c>
      <c r="AW2" s="84">
        <f t="shared" ref="AW2:AW13" si="16">(AP2*1000/118.09)*$L2/$N2</f>
        <v>0</v>
      </c>
      <c r="AX2" s="84">
        <f t="shared" ref="AX2:AX16" si="17">100*((V2+X2+AQ2*6+AR2*3+AS2*2+AT2*2+AU2*3+AV2*4+AW2*5)/(6*W2))</f>
        <v>92.77707801474368</v>
      </c>
      <c r="AY2" s="84">
        <f t="shared" ref="AY2:AY16" si="18">AO2*L2/N2</f>
        <v>0.21860714285714286</v>
      </c>
      <c r="AZ2" s="83">
        <f t="shared" ref="AZ2:AZ16" si="19">(AA2+AC2)/(AB2+AD2+AE2)</f>
        <v>0.1000989990100099</v>
      </c>
      <c r="BA2" s="83">
        <f t="shared" ref="BA2:BA16" si="20">(AA2+AB2)/(AC2+AD2+AE2)</f>
        <v>0.23621755253399257</v>
      </c>
    </row>
    <row r="3" spans="1:55" s="81" customFormat="1" x14ac:dyDescent="0.2">
      <c r="A3" s="81">
        <v>27</v>
      </c>
      <c r="B3" s="81" t="s">
        <v>111</v>
      </c>
      <c r="C3" s="81" t="s">
        <v>54</v>
      </c>
      <c r="D3" s="81">
        <v>3</v>
      </c>
      <c r="E3" s="82">
        <v>44234</v>
      </c>
      <c r="F3" s="81">
        <v>2</v>
      </c>
      <c r="G3" s="81">
        <v>3</v>
      </c>
      <c r="H3" s="81">
        <v>3</v>
      </c>
      <c r="I3" s="81">
        <v>470</v>
      </c>
      <c r="J3" s="81">
        <v>50</v>
      </c>
      <c r="K3" s="81">
        <v>0.1</v>
      </c>
      <c r="L3" s="83">
        <f t="shared" si="0"/>
        <v>0.10638297872340426</v>
      </c>
      <c r="M3" s="81">
        <f>0.12*1000/20</f>
        <v>6</v>
      </c>
      <c r="N3" s="84">
        <v>3.6</v>
      </c>
      <c r="O3" s="84">
        <v>0.34</v>
      </c>
      <c r="P3" s="84">
        <v>0.04</v>
      </c>
      <c r="Q3" s="84">
        <f t="shared" si="1"/>
        <v>3.6734693877551026</v>
      </c>
      <c r="R3" s="84">
        <v>21.04</v>
      </c>
      <c r="S3" s="84">
        <v>20.74</v>
      </c>
      <c r="T3" s="84">
        <f t="shared" si="2"/>
        <v>3.6734693877551106</v>
      </c>
      <c r="U3" s="84">
        <f t="shared" si="3"/>
        <v>2.1710811984368266</v>
      </c>
      <c r="V3" s="84">
        <f t="shared" si="4"/>
        <v>2.1710811984368217</v>
      </c>
      <c r="W3" s="84">
        <f t="shared" si="5"/>
        <v>1.2045323950535656</v>
      </c>
      <c r="X3" s="84">
        <f t="shared" si="6"/>
        <v>4.6253469010175765</v>
      </c>
      <c r="Y3" s="84">
        <f t="shared" si="7"/>
        <v>94.039647354221643</v>
      </c>
      <c r="Z3" s="84">
        <v>2.3093917440502301</v>
      </c>
      <c r="AA3" s="84">
        <v>8.25</v>
      </c>
      <c r="AB3" s="84">
        <v>11.43</v>
      </c>
      <c r="AC3" s="84">
        <v>0.3</v>
      </c>
      <c r="AD3" s="84">
        <v>42.4</v>
      </c>
      <c r="AE3" s="84">
        <v>37.619999999999997</v>
      </c>
      <c r="AF3" s="84">
        <f t="shared" si="8"/>
        <v>1.1318698304444845</v>
      </c>
      <c r="AG3" s="84">
        <v>0</v>
      </c>
      <c r="AH3" s="84">
        <v>0</v>
      </c>
      <c r="AI3" s="84">
        <v>0</v>
      </c>
      <c r="AJ3" s="84">
        <v>0</v>
      </c>
      <c r="AK3" s="84">
        <v>0</v>
      </c>
      <c r="AL3" s="84">
        <v>0</v>
      </c>
      <c r="AM3" s="84">
        <v>0</v>
      </c>
      <c r="AN3" s="84">
        <v>7.3452000000000002</v>
      </c>
      <c r="AO3" s="84">
        <f t="shared" si="9"/>
        <v>7.3452000000000002</v>
      </c>
      <c r="AP3" s="84"/>
      <c r="AQ3" s="84">
        <f t="shared" si="10"/>
        <v>0</v>
      </c>
      <c r="AR3" s="84">
        <f t="shared" si="11"/>
        <v>0</v>
      </c>
      <c r="AS3" s="84">
        <f t="shared" si="12"/>
        <v>0</v>
      </c>
      <c r="AT3" s="84">
        <f t="shared" si="13"/>
        <v>0</v>
      </c>
      <c r="AU3" s="84">
        <f t="shared" si="14"/>
        <v>0</v>
      </c>
      <c r="AV3" s="84">
        <f t="shared" si="15"/>
        <v>0</v>
      </c>
      <c r="AW3" s="84">
        <f t="shared" si="16"/>
        <v>0</v>
      </c>
      <c r="AX3" s="84">
        <f t="shared" si="17"/>
        <v>94.039647354221643</v>
      </c>
      <c r="AY3" s="84">
        <f t="shared" si="18"/>
        <v>0.21705673758865246</v>
      </c>
      <c r="AZ3" s="83">
        <f t="shared" si="19"/>
        <v>9.3493712411153659E-2</v>
      </c>
      <c r="BA3" s="83">
        <f t="shared" si="20"/>
        <v>0.2450199203187251</v>
      </c>
    </row>
    <row r="4" spans="1:55" s="81" customFormat="1" x14ac:dyDescent="0.2">
      <c r="A4" s="81">
        <v>28</v>
      </c>
      <c r="B4" s="81" t="s">
        <v>111</v>
      </c>
      <c r="C4" s="81" t="s">
        <v>54</v>
      </c>
      <c r="D4" s="81">
        <v>3</v>
      </c>
      <c r="E4" s="82">
        <v>44234</v>
      </c>
      <c r="F4" s="81">
        <v>2</v>
      </c>
      <c r="G4" s="81">
        <v>4</v>
      </c>
      <c r="H4" s="81">
        <v>4</v>
      </c>
      <c r="I4" s="81">
        <v>480</v>
      </c>
      <c r="J4" s="81">
        <v>50</v>
      </c>
      <c r="K4" s="81">
        <v>0.1</v>
      </c>
      <c r="L4" s="83">
        <f t="shared" si="0"/>
        <v>0.10416666666666667</v>
      </c>
      <c r="M4" s="81">
        <f>0.122*1000/20</f>
        <v>6.1</v>
      </c>
      <c r="N4" s="84">
        <v>3.6</v>
      </c>
      <c r="O4" s="84">
        <v>0.35</v>
      </c>
      <c r="P4" s="84">
        <v>0.04</v>
      </c>
      <c r="Q4" s="84">
        <f t="shared" si="1"/>
        <v>3.795918367346939</v>
      </c>
      <c r="R4" s="84">
        <v>21.13</v>
      </c>
      <c r="S4" s="84">
        <v>20.65</v>
      </c>
      <c r="T4" s="84">
        <f t="shared" si="2"/>
        <v>5.877551020408168</v>
      </c>
      <c r="U4" s="84">
        <f t="shared" si="3"/>
        <v>3.40136054421769</v>
      </c>
      <c r="V4" s="84">
        <f t="shared" si="4"/>
        <v>2.1967120181405897</v>
      </c>
      <c r="W4" s="84">
        <f t="shared" si="5"/>
        <v>1.1794379701566162</v>
      </c>
      <c r="X4" s="84">
        <f t="shared" si="6"/>
        <v>4.5289855072463769</v>
      </c>
      <c r="Y4" s="84">
        <f t="shared" si="7"/>
        <v>95.040995451049014</v>
      </c>
      <c r="Z4" s="84">
        <v>2.8536994415010399</v>
      </c>
      <c r="AA4" s="84">
        <v>8.1300000000000008</v>
      </c>
      <c r="AB4" s="84">
        <v>11.36</v>
      </c>
      <c r="AC4" s="84">
        <v>0.3</v>
      </c>
      <c r="AD4" s="84">
        <v>42.34</v>
      </c>
      <c r="AE4" s="84">
        <v>37.869999999999997</v>
      </c>
      <c r="AF4" s="84">
        <f t="shared" si="8"/>
        <v>1.3986437386869988</v>
      </c>
      <c r="AG4" s="84">
        <v>0</v>
      </c>
      <c r="AH4" s="84">
        <v>0</v>
      </c>
      <c r="AI4" s="84">
        <v>0</v>
      </c>
      <c r="AJ4" s="84">
        <v>0</v>
      </c>
      <c r="AK4" s="84">
        <v>0</v>
      </c>
      <c r="AL4" s="84">
        <v>0</v>
      </c>
      <c r="AM4" s="84">
        <v>0</v>
      </c>
      <c r="AN4" s="84">
        <v>7.3452000000000002</v>
      </c>
      <c r="AO4" s="84">
        <f t="shared" si="9"/>
        <v>7.3452000000000002</v>
      </c>
      <c r="AP4" s="84"/>
      <c r="AQ4" s="84">
        <f t="shared" si="10"/>
        <v>0</v>
      </c>
      <c r="AR4" s="84">
        <f t="shared" si="11"/>
        <v>0</v>
      </c>
      <c r="AS4" s="84">
        <f t="shared" si="12"/>
        <v>0</v>
      </c>
      <c r="AT4" s="84">
        <f t="shared" si="13"/>
        <v>0</v>
      </c>
      <c r="AU4" s="84">
        <f t="shared" si="14"/>
        <v>0</v>
      </c>
      <c r="AV4" s="84">
        <f t="shared" si="15"/>
        <v>0</v>
      </c>
      <c r="AW4" s="84">
        <f t="shared" si="16"/>
        <v>0</v>
      </c>
      <c r="AX4" s="84">
        <f t="shared" si="17"/>
        <v>95.040995451049014</v>
      </c>
      <c r="AY4" s="84">
        <f t="shared" si="18"/>
        <v>0.21253472222222222</v>
      </c>
      <c r="AZ4" s="83">
        <f t="shared" si="19"/>
        <v>9.2060718575952841E-2</v>
      </c>
      <c r="BA4" s="83">
        <f t="shared" si="20"/>
        <v>0.24208172897776678</v>
      </c>
    </row>
    <row r="5" spans="1:55" x14ac:dyDescent="0.2">
      <c r="A5">
        <v>37</v>
      </c>
      <c r="B5" t="s">
        <v>111</v>
      </c>
      <c r="C5" t="s">
        <v>51</v>
      </c>
      <c r="D5">
        <v>3</v>
      </c>
      <c r="E5" s="1">
        <v>44241</v>
      </c>
      <c r="F5">
        <v>2</v>
      </c>
      <c r="G5">
        <v>1</v>
      </c>
      <c r="H5">
        <v>1</v>
      </c>
      <c r="I5">
        <v>460</v>
      </c>
      <c r="J5">
        <v>50</v>
      </c>
      <c r="K5">
        <v>0.1</v>
      </c>
      <c r="L5" s="2">
        <f t="shared" si="0"/>
        <v>0.10869565217391304</v>
      </c>
      <c r="M5">
        <f>0.118*1000/20</f>
        <v>5.9</v>
      </c>
      <c r="N5" s="4">
        <v>3.7399999999999998</v>
      </c>
      <c r="O5" s="66">
        <v>0.42</v>
      </c>
      <c r="P5" s="66">
        <v>0.03</v>
      </c>
      <c r="Q5" s="66">
        <f t="shared" si="1"/>
        <v>4.7755102040816331</v>
      </c>
      <c r="R5" s="66">
        <v>21.03</v>
      </c>
      <c r="S5" s="66">
        <v>20.72</v>
      </c>
      <c r="T5" s="4">
        <f t="shared" si="2"/>
        <v>3.795918367346967</v>
      </c>
      <c r="U5" s="4">
        <f t="shared" si="3"/>
        <v>2.2064161633032824</v>
      </c>
      <c r="V5" s="4">
        <f t="shared" si="4"/>
        <v>2.7758138828653993</v>
      </c>
      <c r="W5" s="4">
        <f t="shared" si="5"/>
        <v>1.1943090177774007</v>
      </c>
      <c r="X5" s="4">
        <f t="shared" si="6"/>
        <v>4.7258979206049148</v>
      </c>
      <c r="Y5" s="4">
        <f t="shared" si="7"/>
        <v>104.68691787198898</v>
      </c>
      <c r="Z5" s="4">
        <v>2.1057028876435901</v>
      </c>
      <c r="AA5" s="4">
        <v>8.4600000000000009</v>
      </c>
      <c r="AB5" s="4">
        <v>12.24</v>
      </c>
      <c r="AC5" s="4">
        <v>0.18</v>
      </c>
      <c r="AD5" s="4">
        <v>40.78</v>
      </c>
      <c r="AE5" s="4">
        <v>38.33</v>
      </c>
      <c r="AF5" s="4">
        <f t="shared" si="8"/>
        <v>1.0635006684294643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7.4051</v>
      </c>
      <c r="AO5" s="4">
        <f t="shared" si="9"/>
        <v>7.4051</v>
      </c>
      <c r="AP5" s="4"/>
      <c r="AQ5" s="4">
        <f t="shared" si="10"/>
        <v>0</v>
      </c>
      <c r="AR5" s="4">
        <f t="shared" si="11"/>
        <v>0</v>
      </c>
      <c r="AS5" s="4">
        <f t="shared" si="12"/>
        <v>0</v>
      </c>
      <c r="AT5" s="4">
        <f t="shared" si="13"/>
        <v>0</v>
      </c>
      <c r="AU5" s="4">
        <f t="shared" si="14"/>
        <v>0</v>
      </c>
      <c r="AV5" s="4">
        <f t="shared" si="15"/>
        <v>0</v>
      </c>
      <c r="AW5" s="4">
        <f t="shared" si="16"/>
        <v>0</v>
      </c>
      <c r="AX5" s="4">
        <f t="shared" si="17"/>
        <v>104.68691787198898</v>
      </c>
      <c r="AY5" s="68">
        <f t="shared" si="18"/>
        <v>0.21521448500348755</v>
      </c>
      <c r="AZ5" s="67">
        <f t="shared" si="19"/>
        <v>9.4581280788177347E-2</v>
      </c>
      <c r="BA5" s="67">
        <f t="shared" si="20"/>
        <v>0.26106696935300799</v>
      </c>
    </row>
    <row r="6" spans="1:55" x14ac:dyDescent="0.2">
      <c r="A6">
        <v>38</v>
      </c>
      <c r="B6" t="s">
        <v>111</v>
      </c>
      <c r="C6" t="s">
        <v>51</v>
      </c>
      <c r="D6">
        <v>3</v>
      </c>
      <c r="E6" s="1">
        <v>44241</v>
      </c>
      <c r="F6">
        <v>2</v>
      </c>
      <c r="G6">
        <v>2</v>
      </c>
      <c r="H6">
        <v>2</v>
      </c>
      <c r="I6">
        <v>480</v>
      </c>
      <c r="J6">
        <v>50</v>
      </c>
      <c r="K6">
        <v>0.1</v>
      </c>
      <c r="L6" s="2">
        <f t="shared" si="0"/>
        <v>0.10416666666666667</v>
      </c>
      <c r="M6">
        <f>0.123*1000/20</f>
        <v>6.15</v>
      </c>
      <c r="N6" s="4">
        <v>3.8600000000000003</v>
      </c>
      <c r="O6" s="66">
        <v>0.4</v>
      </c>
      <c r="P6" s="66">
        <v>0.03</v>
      </c>
      <c r="Q6" s="66">
        <f t="shared" si="1"/>
        <v>4.5306122448979593</v>
      </c>
      <c r="R6" s="66">
        <v>21.02</v>
      </c>
      <c r="S6" s="66">
        <v>20.75</v>
      </c>
      <c r="T6" s="4">
        <f t="shared" si="2"/>
        <v>3.3061224489795866</v>
      </c>
      <c r="U6" s="4">
        <f t="shared" si="3"/>
        <v>1.7843925134820737</v>
      </c>
      <c r="V6" s="4">
        <f t="shared" si="4"/>
        <v>2.4452786295865496</v>
      </c>
      <c r="W6" s="4">
        <f t="shared" si="5"/>
        <v>1.1089643966883851</v>
      </c>
      <c r="X6" s="4">
        <f t="shared" si="6"/>
        <v>4.5289855072463778</v>
      </c>
      <c r="Y6" s="4">
        <f t="shared" si="7"/>
        <v>104.8164719814215</v>
      </c>
      <c r="Z6" s="4">
        <v>2.1484616148578102</v>
      </c>
      <c r="AA6" s="4">
        <v>8.09</v>
      </c>
      <c r="AB6" s="4">
        <v>12.56</v>
      </c>
      <c r="AC6" s="4">
        <v>0.22</v>
      </c>
      <c r="AD6" s="4">
        <v>40.299999999999997</v>
      </c>
      <c r="AE6" s="4">
        <v>38.840000000000003</v>
      </c>
      <c r="AF6" s="4">
        <f t="shared" si="8"/>
        <v>1.1199122001527526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7.4051</v>
      </c>
      <c r="AO6" s="4">
        <f t="shared" si="9"/>
        <v>7.4051</v>
      </c>
      <c r="AP6" s="4"/>
      <c r="AQ6" s="4">
        <f t="shared" si="10"/>
        <v>0</v>
      </c>
      <c r="AR6" s="4">
        <f t="shared" si="11"/>
        <v>0</v>
      </c>
      <c r="AS6" s="4">
        <f t="shared" si="12"/>
        <v>0</v>
      </c>
      <c r="AT6" s="4">
        <f t="shared" si="13"/>
        <v>0</v>
      </c>
      <c r="AU6" s="4">
        <f t="shared" si="14"/>
        <v>0</v>
      </c>
      <c r="AV6" s="4">
        <f t="shared" si="15"/>
        <v>0</v>
      </c>
      <c r="AW6" s="4">
        <f t="shared" si="16"/>
        <v>0</v>
      </c>
      <c r="AX6" s="4">
        <f t="shared" si="17"/>
        <v>104.8164719814215</v>
      </c>
      <c r="AY6" s="68">
        <f t="shared" si="18"/>
        <v>0.19983538428324696</v>
      </c>
      <c r="AZ6" s="67">
        <f t="shared" si="19"/>
        <v>9.0621592148309713E-2</v>
      </c>
      <c r="BA6" s="67">
        <f t="shared" si="20"/>
        <v>0.26020665322580644</v>
      </c>
    </row>
    <row r="7" spans="1:55" x14ac:dyDescent="0.2">
      <c r="A7">
        <v>40</v>
      </c>
      <c r="B7" t="s">
        <v>111</v>
      </c>
      <c r="C7" t="s">
        <v>51</v>
      </c>
      <c r="D7">
        <v>3</v>
      </c>
      <c r="E7" s="1">
        <v>44241</v>
      </c>
      <c r="F7">
        <v>2</v>
      </c>
      <c r="G7">
        <v>4</v>
      </c>
      <c r="H7">
        <v>4</v>
      </c>
      <c r="I7">
        <v>500</v>
      </c>
      <c r="J7">
        <v>50</v>
      </c>
      <c r="K7">
        <v>0.1</v>
      </c>
      <c r="L7" s="2">
        <f t="shared" si="0"/>
        <v>0.1</v>
      </c>
      <c r="M7">
        <f>0.119*1000/20</f>
        <v>5.95</v>
      </c>
      <c r="N7" s="4">
        <v>3.7600000000000002</v>
      </c>
      <c r="O7" s="66">
        <v>0.43</v>
      </c>
      <c r="P7" s="66">
        <v>0.04</v>
      </c>
      <c r="Q7" s="66">
        <f t="shared" si="1"/>
        <v>4.7755102040816331</v>
      </c>
      <c r="R7" s="66">
        <v>21</v>
      </c>
      <c r="S7" s="66">
        <v>20.68</v>
      </c>
      <c r="T7" s="4">
        <f t="shared" si="2"/>
        <v>3.9183673469387799</v>
      </c>
      <c r="U7" s="4">
        <f t="shared" si="3"/>
        <v>2.0842379504993507</v>
      </c>
      <c r="V7" s="4">
        <f t="shared" si="4"/>
        <v>2.5401650021710811</v>
      </c>
      <c r="W7" s="4">
        <f t="shared" si="5"/>
        <v>1.0929198054171489</v>
      </c>
      <c r="X7" s="4">
        <f t="shared" si="6"/>
        <v>4.3478260869565224</v>
      </c>
      <c r="Y7" s="4">
        <f t="shared" si="7"/>
        <v>105.03959294766638</v>
      </c>
      <c r="Z7" s="4">
        <v>2.2122171728752802</v>
      </c>
      <c r="AA7" s="4">
        <v>8.2799999999999994</v>
      </c>
      <c r="AB7" s="4">
        <v>12.35</v>
      </c>
      <c r="AC7" s="4">
        <v>0.24</v>
      </c>
      <c r="AD7" s="4">
        <v>40.67</v>
      </c>
      <c r="AE7" s="4">
        <v>38.46</v>
      </c>
      <c r="AF7" s="4">
        <f t="shared" si="8"/>
        <v>1.1232713359726478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7.4051</v>
      </c>
      <c r="AO7" s="4">
        <f t="shared" si="9"/>
        <v>7.4051</v>
      </c>
      <c r="AP7" s="4"/>
      <c r="AQ7" s="4">
        <f t="shared" si="10"/>
        <v>0</v>
      </c>
      <c r="AR7" s="4">
        <f t="shared" si="11"/>
        <v>0</v>
      </c>
      <c r="AS7" s="4">
        <f t="shared" si="12"/>
        <v>0</v>
      </c>
      <c r="AT7" s="4">
        <f t="shared" si="13"/>
        <v>0</v>
      </c>
      <c r="AU7" s="4">
        <f t="shared" si="14"/>
        <v>0</v>
      </c>
      <c r="AV7" s="4">
        <f t="shared" si="15"/>
        <v>0</v>
      </c>
      <c r="AW7" s="4">
        <f t="shared" si="16"/>
        <v>0</v>
      </c>
      <c r="AX7" s="4">
        <f t="shared" si="17"/>
        <v>105.03959294766638</v>
      </c>
      <c r="AY7" s="68">
        <f t="shared" si="18"/>
        <v>0.19694414893617021</v>
      </c>
      <c r="AZ7" s="67">
        <f t="shared" si="19"/>
        <v>9.3135111499781362E-2</v>
      </c>
      <c r="BA7" s="67">
        <f t="shared" si="20"/>
        <v>0.25992188484313972</v>
      </c>
    </row>
    <row r="8" spans="1:55" s="78" customFormat="1" x14ac:dyDescent="0.2">
      <c r="A8" s="78">
        <v>41</v>
      </c>
      <c r="B8" s="78" t="s">
        <v>111</v>
      </c>
      <c r="C8" s="78" t="s">
        <v>51</v>
      </c>
      <c r="D8" s="78">
        <v>116</v>
      </c>
      <c r="E8" s="79">
        <v>44241</v>
      </c>
      <c r="F8" s="78">
        <v>2</v>
      </c>
      <c r="G8" s="78">
        <v>5</v>
      </c>
      <c r="H8" s="78">
        <v>1</v>
      </c>
      <c r="I8" s="78">
        <v>480</v>
      </c>
      <c r="J8" s="78">
        <v>50</v>
      </c>
      <c r="K8" s="78">
        <v>0.1</v>
      </c>
      <c r="L8" s="80">
        <f t="shared" si="0"/>
        <v>0.10416666666666667</v>
      </c>
      <c r="M8" s="78">
        <f>0.081*1000/50</f>
        <v>1.62</v>
      </c>
      <c r="N8" s="66">
        <v>1.42</v>
      </c>
      <c r="O8" s="66">
        <v>0.25</v>
      </c>
      <c r="P8" s="66">
        <v>0.03</v>
      </c>
      <c r="Q8" s="66">
        <f t="shared" si="1"/>
        <v>2.6938775510204085</v>
      </c>
      <c r="R8" s="66">
        <v>20.96</v>
      </c>
      <c r="S8" s="66">
        <v>20.68</v>
      </c>
      <c r="T8" s="66">
        <f t="shared" si="2"/>
        <v>3.4285714285714426</v>
      </c>
      <c r="U8" s="66">
        <f t="shared" si="3"/>
        <v>5.0301810865191365</v>
      </c>
      <c r="V8" s="66">
        <f t="shared" si="4"/>
        <v>3.9522851394078766</v>
      </c>
      <c r="W8" s="66">
        <f t="shared" si="5"/>
        <v>1.5781890752580612</v>
      </c>
      <c r="X8" s="66">
        <f t="shared" si="6"/>
        <v>4.5289855072463769</v>
      </c>
      <c r="Y8" s="66">
        <f t="shared" si="7"/>
        <v>89.567538512112051</v>
      </c>
      <c r="Z8" s="66">
        <v>8.6478806128069099</v>
      </c>
      <c r="AA8" s="66">
        <v>18.059999999999999</v>
      </c>
      <c r="AB8" s="66">
        <v>10.6</v>
      </c>
      <c r="AC8" s="66">
        <v>2.25</v>
      </c>
      <c r="AD8" s="66">
        <v>16.02</v>
      </c>
      <c r="AE8" s="66">
        <v>53.07</v>
      </c>
      <c r="AF8" s="66">
        <f t="shared" si="8"/>
        <v>3.1675584167833786</v>
      </c>
      <c r="AG8" s="66">
        <v>0</v>
      </c>
      <c r="AH8" s="66">
        <v>20.826899999999998</v>
      </c>
      <c r="AI8" s="66">
        <v>3.0499999999999999E-2</v>
      </c>
      <c r="AJ8" s="66">
        <v>0</v>
      </c>
      <c r="AK8" s="66">
        <v>0</v>
      </c>
      <c r="AL8" s="66">
        <v>0</v>
      </c>
      <c r="AM8" s="66">
        <v>0</v>
      </c>
      <c r="AN8" s="66">
        <v>24.703700000000001</v>
      </c>
      <c r="AO8" s="66">
        <f t="shared" si="9"/>
        <v>3.8768000000000029</v>
      </c>
      <c r="AP8" s="66"/>
      <c r="AQ8" s="66">
        <f t="shared" si="10"/>
        <v>0</v>
      </c>
      <c r="AR8" s="66">
        <f t="shared" si="11"/>
        <v>2.5407479322143781E-2</v>
      </c>
      <c r="AS8" s="66">
        <f t="shared" si="12"/>
        <v>0</v>
      </c>
      <c r="AT8" s="66">
        <f t="shared" si="13"/>
        <v>0</v>
      </c>
      <c r="AU8" s="66">
        <f t="shared" si="14"/>
        <v>0</v>
      </c>
      <c r="AV8" s="66">
        <f t="shared" si="15"/>
        <v>0</v>
      </c>
      <c r="AW8" s="66">
        <f t="shared" si="16"/>
        <v>0</v>
      </c>
      <c r="AX8" s="66">
        <f t="shared" si="17"/>
        <v>90.37249527301185</v>
      </c>
      <c r="AY8" s="66">
        <f t="shared" si="18"/>
        <v>0.28438967136150256</v>
      </c>
      <c r="AZ8" s="80">
        <f t="shared" si="19"/>
        <v>0.25486259254611621</v>
      </c>
      <c r="BA8" s="80">
        <f t="shared" si="20"/>
        <v>0.40173815531258755</v>
      </c>
    </row>
    <row r="9" spans="1:55" s="78" customFormat="1" x14ac:dyDescent="0.2">
      <c r="A9" s="78">
        <v>43</v>
      </c>
      <c r="B9" s="78" t="s">
        <v>111</v>
      </c>
      <c r="C9" s="78" t="s">
        <v>51</v>
      </c>
      <c r="D9" s="78">
        <v>116</v>
      </c>
      <c r="E9" s="79">
        <v>44241</v>
      </c>
      <c r="F9" s="78">
        <v>2</v>
      </c>
      <c r="G9" s="78">
        <v>7</v>
      </c>
      <c r="H9" s="78">
        <v>3</v>
      </c>
      <c r="I9" s="78">
        <v>460</v>
      </c>
      <c r="J9" s="78">
        <v>50</v>
      </c>
      <c r="K9" s="78">
        <v>0.1</v>
      </c>
      <c r="L9" s="80">
        <f t="shared" si="0"/>
        <v>0.10869565217391304</v>
      </c>
      <c r="M9" s="78">
        <f>0.095*1000/50</f>
        <v>1.9</v>
      </c>
      <c r="N9" s="66">
        <v>1.6800000000000002</v>
      </c>
      <c r="O9" s="66">
        <v>0.23</v>
      </c>
      <c r="P9" s="66">
        <v>0.03</v>
      </c>
      <c r="Q9" s="66">
        <f t="shared" si="1"/>
        <v>2.4489795918367352</v>
      </c>
      <c r="R9" s="66"/>
      <c r="S9" s="66"/>
      <c r="T9" s="66"/>
      <c r="U9" s="66"/>
      <c r="V9" s="66">
        <f t="shared" si="4"/>
        <v>3.1689694511344917</v>
      </c>
      <c r="W9" s="66">
        <f t="shared" si="5"/>
        <v>1.3638658909010692</v>
      </c>
      <c r="X9" s="66">
        <f t="shared" si="6"/>
        <v>4.7258979206049148</v>
      </c>
      <c r="Y9" s="66">
        <f t="shared" si="7"/>
        <v>96.476584494235979</v>
      </c>
      <c r="Z9" s="66">
        <v>6.9697409396905003</v>
      </c>
      <c r="AA9" s="66">
        <v>18.53</v>
      </c>
      <c r="AB9" s="66">
        <v>10.31</v>
      </c>
      <c r="AC9" s="66">
        <v>2.29</v>
      </c>
      <c r="AD9" s="66">
        <v>16.399999999999999</v>
      </c>
      <c r="AE9" s="66">
        <v>52.47</v>
      </c>
      <c r="AF9" s="66">
        <f t="shared" si="8"/>
        <v>3.082494808266214</v>
      </c>
      <c r="AG9" s="66">
        <v>0</v>
      </c>
      <c r="AH9" s="66">
        <v>20.905100000000001</v>
      </c>
      <c r="AI9" s="66">
        <v>3.78E-2</v>
      </c>
      <c r="AJ9" s="66">
        <v>0</v>
      </c>
      <c r="AK9" s="66">
        <v>0</v>
      </c>
      <c r="AL9" s="66">
        <v>0</v>
      </c>
      <c r="AM9" s="66">
        <v>0</v>
      </c>
      <c r="AN9" s="66">
        <v>24.703700000000001</v>
      </c>
      <c r="AO9" s="66">
        <f t="shared" si="9"/>
        <v>3.7986000000000004</v>
      </c>
      <c r="AP9" s="66"/>
      <c r="AQ9" s="66">
        <f t="shared" si="10"/>
        <v>0</v>
      </c>
      <c r="AR9" s="66">
        <f t="shared" si="11"/>
        <v>2.7772566135737482E-2</v>
      </c>
      <c r="AS9" s="66">
        <f t="shared" si="12"/>
        <v>0</v>
      </c>
      <c r="AT9" s="66">
        <f t="shared" si="13"/>
        <v>0</v>
      </c>
      <c r="AU9" s="66">
        <f t="shared" si="14"/>
        <v>0</v>
      </c>
      <c r="AV9" s="66">
        <f t="shared" si="15"/>
        <v>0</v>
      </c>
      <c r="AW9" s="66">
        <f t="shared" si="16"/>
        <v>0</v>
      </c>
      <c r="AX9" s="66">
        <f t="shared" si="17"/>
        <v>97.494740543192847</v>
      </c>
      <c r="AY9" s="66">
        <f t="shared" si="18"/>
        <v>0.24576863354037268</v>
      </c>
      <c r="AZ9" s="80">
        <f t="shared" si="19"/>
        <v>0.262945188178833</v>
      </c>
      <c r="BA9" s="80">
        <f t="shared" si="20"/>
        <v>0.40528386734120297</v>
      </c>
    </row>
    <row r="10" spans="1:55" s="78" customFormat="1" x14ac:dyDescent="0.2">
      <c r="A10" s="78">
        <v>44</v>
      </c>
      <c r="B10" s="78" t="s">
        <v>111</v>
      </c>
      <c r="C10" s="78" t="s">
        <v>51</v>
      </c>
      <c r="D10" s="78">
        <v>116</v>
      </c>
      <c r="E10" s="79">
        <v>44241</v>
      </c>
      <c r="F10" s="78">
        <v>2</v>
      </c>
      <c r="G10" s="78">
        <v>8</v>
      </c>
      <c r="H10" s="78">
        <v>4</v>
      </c>
      <c r="I10" s="78">
        <v>490</v>
      </c>
      <c r="J10" s="78">
        <v>50</v>
      </c>
      <c r="K10" s="78">
        <v>0.1</v>
      </c>
      <c r="L10" s="80">
        <f t="shared" si="0"/>
        <v>0.10204081632653061</v>
      </c>
      <c r="M10" s="78">
        <f>0.096*1000/50</f>
        <v>1.92</v>
      </c>
      <c r="N10" s="66">
        <v>1.6600000000000001</v>
      </c>
      <c r="O10" s="66">
        <v>0.23</v>
      </c>
      <c r="P10" s="66">
        <v>0.03</v>
      </c>
      <c r="Q10" s="66">
        <f t="shared" si="1"/>
        <v>2.4489795918367352</v>
      </c>
      <c r="R10" s="66">
        <v>20.96</v>
      </c>
      <c r="S10" s="66">
        <v>20.67</v>
      </c>
      <c r="T10" s="66">
        <f t="shared" si="2"/>
        <v>3.551020408163255</v>
      </c>
      <c r="U10" s="66">
        <f t="shared" ref="U10:U16" si="21">T10/(N10*I10)*1000</f>
        <v>4.3656508583270899</v>
      </c>
      <c r="V10" s="66">
        <f t="shared" si="4"/>
        <v>3.0107936953980019</v>
      </c>
      <c r="W10" s="66">
        <f t="shared" si="5"/>
        <v>1.3543607941016831</v>
      </c>
      <c r="X10" s="66">
        <f t="shared" si="6"/>
        <v>4.4365572315882869</v>
      </c>
      <c r="Y10" s="66">
        <f t="shared" si="7"/>
        <v>91.646565664283813</v>
      </c>
      <c r="Z10" s="66">
        <v>9.4622460337255205</v>
      </c>
      <c r="AA10" s="66">
        <v>17.54</v>
      </c>
      <c r="AB10" s="66">
        <v>10.73</v>
      </c>
      <c r="AC10" s="66">
        <v>2.1800000000000002</v>
      </c>
      <c r="AD10" s="66">
        <v>16.27</v>
      </c>
      <c r="AE10" s="66">
        <v>53.29</v>
      </c>
      <c r="AF10" s="66">
        <f t="shared" si="8"/>
        <v>3.9562069405295213</v>
      </c>
      <c r="AG10" s="66">
        <v>0</v>
      </c>
      <c r="AH10" s="66">
        <v>20.7334</v>
      </c>
      <c r="AI10" s="66">
        <v>2.7900000000000001E-2</v>
      </c>
      <c r="AJ10" s="66">
        <v>0</v>
      </c>
      <c r="AK10" s="66">
        <v>0</v>
      </c>
      <c r="AL10" s="66">
        <v>0</v>
      </c>
      <c r="AM10" s="66">
        <v>0</v>
      </c>
      <c r="AN10" s="66">
        <v>24.703700000000001</v>
      </c>
      <c r="AO10" s="66">
        <f t="shared" si="9"/>
        <v>3.9703000000000017</v>
      </c>
      <c r="AP10" s="66"/>
      <c r="AQ10" s="66">
        <f t="shared" si="10"/>
        <v>0</v>
      </c>
      <c r="AR10" s="66">
        <f t="shared" si="11"/>
        <v>1.9475622970032781E-2</v>
      </c>
      <c r="AS10" s="66">
        <f t="shared" si="12"/>
        <v>0</v>
      </c>
      <c r="AT10" s="66">
        <f t="shared" si="13"/>
        <v>0</v>
      </c>
      <c r="AU10" s="66">
        <f t="shared" si="14"/>
        <v>0</v>
      </c>
      <c r="AV10" s="66">
        <f t="shared" si="15"/>
        <v>0</v>
      </c>
      <c r="AW10" s="66">
        <f t="shared" si="16"/>
        <v>0</v>
      </c>
      <c r="AX10" s="66">
        <f t="shared" si="17"/>
        <v>92.365562517074082</v>
      </c>
      <c r="AY10" s="66">
        <f t="shared" si="18"/>
        <v>0.24405581509712329</v>
      </c>
      <c r="AZ10" s="80">
        <f t="shared" si="19"/>
        <v>0.24560966496450368</v>
      </c>
      <c r="BA10" s="80">
        <f t="shared" si="20"/>
        <v>0.39406189015890719</v>
      </c>
    </row>
    <row r="11" spans="1:55" s="69" customFormat="1" x14ac:dyDescent="0.2">
      <c r="A11" s="69">
        <v>9</v>
      </c>
      <c r="B11" s="69" t="s">
        <v>111</v>
      </c>
      <c r="C11" s="69" t="s">
        <v>54</v>
      </c>
      <c r="D11" s="69">
        <v>116</v>
      </c>
      <c r="E11" s="70">
        <v>44173</v>
      </c>
      <c r="F11" s="69">
        <v>1</v>
      </c>
      <c r="G11" s="69">
        <v>1</v>
      </c>
      <c r="H11" s="69">
        <v>1</v>
      </c>
      <c r="I11" s="69">
        <v>470</v>
      </c>
      <c r="J11" s="69">
        <v>50</v>
      </c>
      <c r="K11" s="69">
        <v>0.1</v>
      </c>
      <c r="L11" s="71">
        <f t="shared" si="0"/>
        <v>0.10638297872340426</v>
      </c>
      <c r="M11" s="69">
        <v>1.58</v>
      </c>
      <c r="N11" s="22">
        <v>1.5139999999999987</v>
      </c>
      <c r="O11" s="22">
        <v>0.21</v>
      </c>
      <c r="P11" s="22">
        <v>0.03</v>
      </c>
      <c r="Q11" s="22">
        <f t="shared" si="1"/>
        <v>2.2040816326530615</v>
      </c>
      <c r="R11" s="22">
        <v>20.93</v>
      </c>
      <c r="S11" s="22">
        <v>20.57</v>
      </c>
      <c r="T11" s="22">
        <f t="shared" si="2"/>
        <v>4.4081632653061149</v>
      </c>
      <c r="U11" s="22">
        <f t="shared" si="21"/>
        <v>6.1948948330561837</v>
      </c>
      <c r="V11" s="22">
        <f t="shared" si="4"/>
        <v>3.0974474165280972</v>
      </c>
      <c r="W11" s="22">
        <f t="shared" si="5"/>
        <v>1.4279785501174362</v>
      </c>
      <c r="X11" s="22">
        <f t="shared" si="6"/>
        <v>4.6253469010175774</v>
      </c>
      <c r="Y11" s="22">
        <f t="shared" si="7"/>
        <v>90.136675102840954</v>
      </c>
      <c r="Z11" s="22">
        <v>1.92961533939351</v>
      </c>
      <c r="AA11" s="22">
        <v>11.393282346079287</v>
      </c>
      <c r="AB11" s="22">
        <v>4.129640786377939</v>
      </c>
      <c r="AC11" s="22">
        <v>1.5629885974836262</v>
      </c>
      <c r="AD11" s="22">
        <v>9.4665270235053587</v>
      </c>
      <c r="AE11" s="22">
        <v>31.876313723389103</v>
      </c>
      <c r="AF11" s="22">
        <f t="shared" si="8"/>
        <v>0.79774927605520596</v>
      </c>
      <c r="AG11" s="22">
        <v>1.4500000000000001E-2</v>
      </c>
      <c r="AH11" s="22">
        <v>21.852399999999999</v>
      </c>
      <c r="AI11" s="22">
        <v>1.67E-2</v>
      </c>
      <c r="AJ11" s="22">
        <v>0</v>
      </c>
      <c r="AK11" s="22">
        <v>1.17E-2</v>
      </c>
      <c r="AL11" s="22">
        <v>0</v>
      </c>
      <c r="AM11" s="22">
        <v>2.9999999999999997E-4</v>
      </c>
      <c r="AN11" s="22">
        <v>25.514500000000002</v>
      </c>
      <c r="AO11" s="22">
        <f t="shared" si="9"/>
        <v>3.6621000000000024</v>
      </c>
      <c r="AP11" s="22">
        <v>0</v>
      </c>
      <c r="AQ11" s="22">
        <f t="shared" si="10"/>
        <v>5.3031346399046607E-3</v>
      </c>
      <c r="AR11" s="22">
        <f t="shared" si="11"/>
        <v>1.3325516803278812E-2</v>
      </c>
      <c r="AS11" s="22">
        <f t="shared" si="12"/>
        <v>0</v>
      </c>
      <c r="AT11" s="22">
        <f t="shared" si="13"/>
        <v>1.7844891870418187E-2</v>
      </c>
      <c r="AU11" s="22">
        <f t="shared" si="14"/>
        <v>0</v>
      </c>
      <c r="AV11" s="22">
        <f t="shared" si="15"/>
        <v>1.7850665148271648E-4</v>
      </c>
      <c r="AW11" s="22">
        <f t="shared" si="16"/>
        <v>0</v>
      </c>
      <c r="AX11" s="22">
        <f t="shared" si="17"/>
        <v>91.399522837109942</v>
      </c>
      <c r="AY11" s="22">
        <f t="shared" si="18"/>
        <v>0.25732173473116204</v>
      </c>
      <c r="AZ11" s="71">
        <f t="shared" si="19"/>
        <v>0.28492553092979445</v>
      </c>
      <c r="BA11" s="71">
        <f t="shared" si="20"/>
        <v>0.36179053917975784</v>
      </c>
    </row>
    <row r="12" spans="1:55" s="69" customFormat="1" x14ac:dyDescent="0.2">
      <c r="A12" s="69">
        <v>10</v>
      </c>
      <c r="B12" s="69" t="s">
        <v>111</v>
      </c>
      <c r="C12" s="69" t="s">
        <v>54</v>
      </c>
      <c r="D12" s="69">
        <v>116</v>
      </c>
      <c r="E12" s="70">
        <v>44173</v>
      </c>
      <c r="F12" s="69">
        <v>1</v>
      </c>
      <c r="G12" s="69">
        <v>2</v>
      </c>
      <c r="H12" s="69">
        <v>2</v>
      </c>
      <c r="I12" s="69">
        <v>480</v>
      </c>
      <c r="J12" s="69">
        <v>50</v>
      </c>
      <c r="K12" s="69">
        <v>0.1</v>
      </c>
      <c r="L12" s="71">
        <f t="shared" si="0"/>
        <v>0.10416666666666667</v>
      </c>
      <c r="M12" s="69">
        <v>1.6</v>
      </c>
      <c r="N12" s="22">
        <v>1.5360000000000014</v>
      </c>
      <c r="O12" s="22">
        <v>0.22</v>
      </c>
      <c r="P12" s="22">
        <v>0.03</v>
      </c>
      <c r="Q12" s="22">
        <f t="shared" si="1"/>
        <v>2.3265306122448983</v>
      </c>
      <c r="R12" s="22">
        <v>20.93</v>
      </c>
      <c r="S12" s="22">
        <v>20.59</v>
      </c>
      <c r="T12" s="22">
        <f t="shared" si="2"/>
        <v>4.1632653061224474</v>
      </c>
      <c r="U12" s="22">
        <f t="shared" si="21"/>
        <v>5.6467899659863878</v>
      </c>
      <c r="V12" s="22">
        <f t="shared" si="4"/>
        <v>3.1555590986394533</v>
      </c>
      <c r="W12" s="22">
        <f t="shared" si="5"/>
        <v>1.5596744237691138</v>
      </c>
      <c r="X12" s="22">
        <f t="shared" si="6"/>
        <v>4.5289855072463778</v>
      </c>
      <c r="Y12" s="22">
        <f t="shared" si="7"/>
        <v>82.116973568061908</v>
      </c>
      <c r="Z12" s="22">
        <v>1.1999722722122548</v>
      </c>
      <c r="AA12" s="22">
        <v>7.5924479327848493</v>
      </c>
      <c r="AB12" s="22">
        <v>2.3553373026955171</v>
      </c>
      <c r="AC12" s="22">
        <v>0.38986125811136813</v>
      </c>
      <c r="AD12" s="22">
        <v>7.6882901847279186</v>
      </c>
      <c r="AE12" s="22">
        <v>18.837211524040846</v>
      </c>
      <c r="AF12" s="22">
        <f t="shared" si="8"/>
        <v>0.44474517050358914</v>
      </c>
      <c r="AG12" s="22">
        <v>1.2699999999999999E-2</v>
      </c>
      <c r="AH12" s="22">
        <v>21.370200000000001</v>
      </c>
      <c r="AI12" s="22">
        <v>1.8700000000000001E-2</v>
      </c>
      <c r="AJ12" s="22">
        <v>0</v>
      </c>
      <c r="AK12" s="22">
        <v>3.0000000000000001E-3</v>
      </c>
      <c r="AL12" s="22">
        <v>0</v>
      </c>
      <c r="AM12" s="22">
        <v>5.9999999999999995E-4</v>
      </c>
      <c r="AN12" s="22">
        <v>25.514500000000002</v>
      </c>
      <c r="AO12" s="22">
        <f t="shared" si="9"/>
        <v>4.1443000000000012</v>
      </c>
      <c r="AP12" s="22">
        <v>0</v>
      </c>
      <c r="AQ12" s="22">
        <f t="shared" si="10"/>
        <v>4.4829062039504538E-3</v>
      </c>
      <c r="AR12" s="22">
        <f t="shared" si="11"/>
        <v>1.4401259518447007E-2</v>
      </c>
      <c r="AS12" s="22">
        <f t="shared" si="12"/>
        <v>0</v>
      </c>
      <c r="AT12" s="22">
        <f t="shared" si="13"/>
        <v>4.4161172310252473E-3</v>
      </c>
      <c r="AU12" s="22">
        <f t="shared" si="14"/>
        <v>0</v>
      </c>
      <c r="AV12" s="22">
        <f t="shared" si="15"/>
        <v>3.4456858469528862E-4</v>
      </c>
      <c r="AW12" s="22">
        <f t="shared" si="16"/>
        <v>0</v>
      </c>
      <c r="AX12" s="22">
        <f t="shared" si="17"/>
        <v>82.975183924402316</v>
      </c>
      <c r="AY12" s="22">
        <f t="shared" si="18"/>
        <v>0.28105333116319425</v>
      </c>
      <c r="AZ12" s="71">
        <f t="shared" si="19"/>
        <v>0.27638771808975604</v>
      </c>
      <c r="BA12" s="71">
        <f t="shared" si="20"/>
        <v>0.36959506166501666</v>
      </c>
    </row>
    <row r="13" spans="1:55" s="69" customFormat="1" x14ac:dyDescent="0.2">
      <c r="A13" s="69">
        <v>12</v>
      </c>
      <c r="B13" s="69" t="s">
        <v>111</v>
      </c>
      <c r="C13" s="69" t="s">
        <v>54</v>
      </c>
      <c r="D13" s="69">
        <v>116</v>
      </c>
      <c r="E13" s="70">
        <v>44173</v>
      </c>
      <c r="F13" s="69">
        <v>1</v>
      </c>
      <c r="G13" s="69">
        <v>4</v>
      </c>
      <c r="H13" s="69">
        <v>4</v>
      </c>
      <c r="I13" s="69">
        <v>490</v>
      </c>
      <c r="J13" s="69">
        <v>50</v>
      </c>
      <c r="K13" s="69">
        <v>0.1</v>
      </c>
      <c r="L13" s="71">
        <f t="shared" si="0"/>
        <v>0.10204081632653061</v>
      </c>
      <c r="M13" s="69">
        <v>1.6600000000000001</v>
      </c>
      <c r="N13" s="22">
        <v>1.5859999999999985</v>
      </c>
      <c r="O13" s="22">
        <v>0.23</v>
      </c>
      <c r="P13" s="22">
        <v>0.03</v>
      </c>
      <c r="Q13" s="22">
        <f t="shared" si="1"/>
        <v>2.4489795918367352</v>
      </c>
      <c r="R13" s="22">
        <v>20.87</v>
      </c>
      <c r="S13" s="22">
        <v>20.57</v>
      </c>
      <c r="T13" s="22">
        <f t="shared" si="2"/>
        <v>3.6734693877551106</v>
      </c>
      <c r="U13" s="22">
        <f t="shared" si="21"/>
        <v>4.726908134641266</v>
      </c>
      <c r="V13" s="22">
        <f t="shared" si="4"/>
        <v>3.1512720897608379</v>
      </c>
      <c r="W13" s="22">
        <f t="shared" si="5"/>
        <v>1.5160957433010103</v>
      </c>
      <c r="X13" s="22">
        <f t="shared" si="6"/>
        <v>4.4365572315882877</v>
      </c>
      <c r="Y13" s="22">
        <f t="shared" si="7"/>
        <v>83.414139628896052</v>
      </c>
      <c r="Z13" s="22">
        <v>2.1743847341948555</v>
      </c>
      <c r="AA13" s="22">
        <v>16.330885878169877</v>
      </c>
      <c r="AB13" s="22">
        <v>4.6394083665782517</v>
      </c>
      <c r="AC13" s="22">
        <v>3.6074392463589335</v>
      </c>
      <c r="AD13" s="22">
        <v>11.768378292430993</v>
      </c>
      <c r="AE13" s="22">
        <v>32.625371985122683</v>
      </c>
      <c r="AF13" s="22">
        <f t="shared" si="8"/>
        <v>0.81213625707864168</v>
      </c>
      <c r="AG13" s="22">
        <v>1.72E-2</v>
      </c>
      <c r="AH13" s="22">
        <v>21.2682</v>
      </c>
      <c r="AI13" s="22">
        <v>1.77E-2</v>
      </c>
      <c r="AJ13" s="22">
        <v>0</v>
      </c>
      <c r="AK13" s="22">
        <v>1.6299999999999999E-2</v>
      </c>
      <c r="AL13" s="22">
        <v>0</v>
      </c>
      <c r="AM13" s="22">
        <v>5.9999999999999995E-4</v>
      </c>
      <c r="AN13" s="22">
        <v>25.514500000000002</v>
      </c>
      <c r="AO13" s="22">
        <f t="shared" si="9"/>
        <v>4.2463000000000015</v>
      </c>
      <c r="AP13" s="22">
        <v>0</v>
      </c>
      <c r="AQ13" s="22">
        <f t="shared" si="10"/>
        <v>5.7599348104402058E-3</v>
      </c>
      <c r="AR13" s="22">
        <f t="shared" si="11"/>
        <v>1.2931989001105185E-2</v>
      </c>
      <c r="AS13" s="22">
        <f t="shared" si="12"/>
        <v>0</v>
      </c>
      <c r="AT13" s="22">
        <f t="shared" si="13"/>
        <v>2.2763557431553255E-2</v>
      </c>
      <c r="AU13" s="22">
        <f t="shared" si="14"/>
        <v>0</v>
      </c>
      <c r="AV13" s="22">
        <f t="shared" si="15"/>
        <v>3.2689544499593746E-4</v>
      </c>
      <c r="AW13" s="22">
        <f t="shared" si="16"/>
        <v>0</v>
      </c>
      <c r="AX13" s="22">
        <f t="shared" si="17"/>
        <v>84.735409223732205</v>
      </c>
      <c r="AY13" s="22">
        <f t="shared" si="18"/>
        <v>0.27320045294284206</v>
      </c>
      <c r="AZ13" s="71">
        <f t="shared" si="19"/>
        <v>0.40662942539017805</v>
      </c>
      <c r="BA13" s="71">
        <f t="shared" si="20"/>
        <v>0.43687030368906621</v>
      </c>
    </row>
    <row r="14" spans="1:55" x14ac:dyDescent="0.2">
      <c r="A14">
        <v>22</v>
      </c>
      <c r="B14" t="s">
        <v>112</v>
      </c>
      <c r="C14" t="s">
        <v>54</v>
      </c>
      <c r="D14">
        <v>116</v>
      </c>
      <c r="E14" s="1">
        <v>44181</v>
      </c>
      <c r="F14">
        <v>1</v>
      </c>
      <c r="G14">
        <v>6</v>
      </c>
      <c r="H14">
        <v>1</v>
      </c>
      <c r="I14">
        <v>480</v>
      </c>
      <c r="J14">
        <v>50</v>
      </c>
      <c r="K14">
        <v>0.1</v>
      </c>
      <c r="L14" s="2">
        <f t="shared" si="0"/>
        <v>0.10416666666666667</v>
      </c>
      <c r="M14">
        <v>1.28</v>
      </c>
      <c r="N14" s="4">
        <v>1.4479999999999991</v>
      </c>
      <c r="O14" s="66">
        <v>0.2</v>
      </c>
      <c r="P14" s="66">
        <v>0.04</v>
      </c>
      <c r="Q14" s="66">
        <f t="shared" si="1"/>
        <v>1.9591836734693882</v>
      </c>
      <c r="R14" s="66">
        <v>20.89</v>
      </c>
      <c r="S14" s="66">
        <v>20.54</v>
      </c>
      <c r="T14" s="4">
        <f t="shared" si="2"/>
        <v>4.2857142857143034</v>
      </c>
      <c r="U14" s="4">
        <f t="shared" si="21"/>
        <v>6.1661404893449392</v>
      </c>
      <c r="V14" s="4">
        <f t="shared" si="4"/>
        <v>2.8188070808433898</v>
      </c>
      <c r="W14" s="4">
        <f t="shared" si="5"/>
        <v>1.0511296278127642</v>
      </c>
      <c r="X14" s="4">
        <f t="shared" si="6"/>
        <v>4.5289855072463769</v>
      </c>
      <c r="Y14" s="4">
        <f t="shared" si="7"/>
        <v>116.50628672347752</v>
      </c>
      <c r="Z14" s="4">
        <v>1.7796980578099666</v>
      </c>
      <c r="AA14" s="4">
        <v>9.3928992997141982</v>
      </c>
      <c r="AB14" s="4">
        <v>1.9216176837310417</v>
      </c>
      <c r="AC14" s="4">
        <v>2.0542991814184957</v>
      </c>
      <c r="AD14" s="4">
        <v>8.4663136141972952</v>
      </c>
      <c r="AE14" s="4">
        <v>29.704925975115572</v>
      </c>
      <c r="AF14" s="4">
        <f t="shared" si="8"/>
        <v>0.9787325437557276</v>
      </c>
      <c r="AG14" s="4">
        <v>1.2999999999999999E-2</v>
      </c>
      <c r="AH14" s="4">
        <v>22.7319</v>
      </c>
      <c r="AI14" s="4">
        <v>1.0699999999999999E-2</v>
      </c>
      <c r="AJ14" s="4">
        <v>0</v>
      </c>
      <c r="AK14" s="4">
        <v>1.5800000000000002E-2</v>
      </c>
      <c r="AL14" s="4">
        <v>0</v>
      </c>
      <c r="AM14" s="4">
        <v>1.9900000000000001E-2</v>
      </c>
      <c r="AN14" s="4">
        <v>25.364899999999999</v>
      </c>
      <c r="AO14" s="4">
        <f t="shared" si="9"/>
        <v>2.6329999999999991</v>
      </c>
      <c r="AP14" s="4">
        <v>0.2089</v>
      </c>
      <c r="AQ14" s="4">
        <f t="shared" si="10"/>
        <v>4.8676790729805328E-3</v>
      </c>
      <c r="AR14" s="4">
        <f>(AI14*1000/88.06)*$L14/$N14</f>
        <v>8.7410841595112043E-3</v>
      </c>
      <c r="AS14" s="4">
        <f>(AJ14*1000/60.052)*$L14/$N14</f>
        <v>0</v>
      </c>
      <c r="AT14" s="4">
        <f>(AK14*1000/46.07)*$L14/$N14</f>
        <v>2.4671700243164296E-2</v>
      </c>
      <c r="AU14" s="4">
        <f>(AL14*1000/92.09)*$L14/$N14</f>
        <v>0</v>
      </c>
      <c r="AV14" s="4">
        <f>(AM14*1000/118.09)*$L14/$N14</f>
        <v>1.2122722360992273E-2</v>
      </c>
      <c r="AW14" s="4">
        <f>(AP14*1000/118.09)*$L14/$N14</f>
        <v>0.12725812568900932</v>
      </c>
      <c r="AX14" s="4">
        <f t="shared" si="17"/>
        <v>129.02542525153103</v>
      </c>
      <c r="AY14" s="68">
        <f t="shared" si="18"/>
        <v>0.1894135589318601</v>
      </c>
      <c r="AZ14" s="67">
        <f t="shared" si="19"/>
        <v>0.285517153421468</v>
      </c>
      <c r="BA14" s="67">
        <f t="shared" si="20"/>
        <v>0.28127695313003076</v>
      </c>
    </row>
    <row r="15" spans="1:55" x14ac:dyDescent="0.2">
      <c r="A15">
        <v>23</v>
      </c>
      <c r="B15" t="s">
        <v>112</v>
      </c>
      <c r="C15" t="s">
        <v>54</v>
      </c>
      <c r="D15">
        <v>116</v>
      </c>
      <c r="E15" s="1">
        <v>44181</v>
      </c>
      <c r="F15">
        <v>1</v>
      </c>
      <c r="G15" s="6">
        <v>7</v>
      </c>
      <c r="H15">
        <v>2</v>
      </c>
      <c r="I15">
        <v>490</v>
      </c>
      <c r="J15">
        <v>50</v>
      </c>
      <c r="K15">
        <v>0.1</v>
      </c>
      <c r="L15" s="2">
        <f t="shared" si="0"/>
        <v>0.10204081632653061</v>
      </c>
      <c r="M15">
        <v>1.36</v>
      </c>
      <c r="N15" s="4">
        <v>1.4039999999999992</v>
      </c>
      <c r="O15" s="66">
        <v>0.21</v>
      </c>
      <c r="P15" s="66">
        <v>0.03</v>
      </c>
      <c r="Q15" s="66">
        <f t="shared" si="1"/>
        <v>2.2040816326530615</v>
      </c>
      <c r="R15" s="65">
        <v>20.89</v>
      </c>
      <c r="S15" s="65">
        <v>21.76</v>
      </c>
      <c r="T15" s="65">
        <f t="shared" si="2"/>
        <v>-10.653061224489809</v>
      </c>
      <c r="U15" s="65">
        <f t="shared" si="21"/>
        <v>-15.48500090774146</v>
      </c>
      <c r="V15" s="4">
        <f t="shared" si="4"/>
        <v>3.2037932912568508</v>
      </c>
      <c r="W15" s="4">
        <f t="shared" si="5"/>
        <v>1.2451360160255045</v>
      </c>
      <c r="X15" s="4">
        <f t="shared" si="6"/>
        <v>4.4365572315882877</v>
      </c>
      <c r="Y15" s="4">
        <f t="shared" si="7"/>
        <v>102.26928925180489</v>
      </c>
      <c r="Z15" s="4">
        <v>1.8299122164079413</v>
      </c>
      <c r="AA15" s="4">
        <v>11.819828177496907</v>
      </c>
      <c r="AB15" s="4">
        <v>2.3274955479170401</v>
      </c>
      <c r="AC15" s="4">
        <v>1.979853201450166</v>
      </c>
      <c r="AD15" s="4">
        <v>7.7261858630569096</v>
      </c>
      <c r="AE15" s="4">
        <v>27.530572246813939</v>
      </c>
      <c r="AF15" s="4">
        <f t="shared" si="8"/>
        <v>0.83220936506761756</v>
      </c>
      <c r="AG15" s="4">
        <v>4.8999999999999998E-3</v>
      </c>
      <c r="AH15" s="4">
        <v>22.277699999999999</v>
      </c>
      <c r="AI15" s="4">
        <v>1.18E-2</v>
      </c>
      <c r="AJ15" s="4">
        <v>0</v>
      </c>
      <c r="AK15" s="4">
        <v>2.3E-3</v>
      </c>
      <c r="AL15" s="4">
        <v>0</v>
      </c>
      <c r="AM15" s="4">
        <v>2.1299999999999999E-2</v>
      </c>
      <c r="AN15" s="4">
        <v>25.364899999999999</v>
      </c>
      <c r="AO15" s="4">
        <f t="shared" si="9"/>
        <v>3.0871999999999993</v>
      </c>
      <c r="AP15" s="4">
        <v>0.20069999999999999</v>
      </c>
      <c r="AQ15" s="4">
        <f t="shared" si="10"/>
        <v>1.8536224319988981E-3</v>
      </c>
      <c r="AR15" s="4">
        <f>(AI15*1000/88.06)*$L15/$N15</f>
        <v>9.7389052971285917E-3</v>
      </c>
      <c r="AS15" s="4">
        <f>(AJ15*1000/60.052)*$L15/$N15</f>
        <v>0</v>
      </c>
      <c r="AT15" s="4">
        <f>(AK15*1000/46.07)*$L15/$N15</f>
        <v>3.6284107108008638E-3</v>
      </c>
      <c r="AU15" s="4">
        <f>(AL15*1000/92.09)*$L15/$N15</f>
        <v>0</v>
      </c>
      <c r="AV15" s="4">
        <f>(AM15*1000/118.09)*$L15/$N15</f>
        <v>1.3109112706272266E-2</v>
      </c>
      <c r="AW15" s="4">
        <f t="shared" ref="AW15:AW16" si="22">(AP15*1000/118.09)*$L15/$N15</f>
        <v>0.12352107606332596</v>
      </c>
      <c r="AX15" s="4">
        <f t="shared" si="17"/>
        <v>111.87516220879333</v>
      </c>
      <c r="AY15" s="68">
        <f t="shared" si="18"/>
        <v>0.22437351008779588</v>
      </c>
      <c r="AZ15" s="67">
        <f t="shared" si="19"/>
        <v>0.3671665667381856</v>
      </c>
      <c r="BA15" s="67">
        <f t="shared" si="20"/>
        <v>0.37993048312408467</v>
      </c>
    </row>
    <row r="16" spans="1:55" x14ac:dyDescent="0.2">
      <c r="A16">
        <v>24</v>
      </c>
      <c r="B16" t="s">
        <v>112</v>
      </c>
      <c r="C16" t="s">
        <v>54</v>
      </c>
      <c r="D16">
        <v>116</v>
      </c>
      <c r="E16" s="1">
        <v>44181</v>
      </c>
      <c r="F16">
        <v>1</v>
      </c>
      <c r="G16">
        <v>8</v>
      </c>
      <c r="H16">
        <v>3</v>
      </c>
      <c r="I16">
        <v>470</v>
      </c>
      <c r="J16">
        <v>50</v>
      </c>
      <c r="K16">
        <v>0.1</v>
      </c>
      <c r="L16" s="2">
        <f t="shared" si="0"/>
        <v>0.10638297872340426</v>
      </c>
      <c r="M16">
        <v>1.34</v>
      </c>
      <c r="N16" s="4">
        <v>1.5960000000000008</v>
      </c>
      <c r="O16" s="66">
        <v>0.21</v>
      </c>
      <c r="P16" s="66">
        <v>0.04</v>
      </c>
      <c r="Q16" s="66">
        <f t="shared" si="1"/>
        <v>2.0816326530612246</v>
      </c>
      <c r="R16" s="66">
        <v>20.9</v>
      </c>
      <c r="S16" s="66">
        <v>20.5</v>
      </c>
      <c r="T16" s="4">
        <f t="shared" si="2"/>
        <v>4.8979591836734517</v>
      </c>
      <c r="U16" s="4">
        <f t="shared" si="21"/>
        <v>6.5295675140956773</v>
      </c>
      <c r="V16" s="4">
        <f t="shared" si="4"/>
        <v>2.7750661934906726</v>
      </c>
      <c r="W16" s="4">
        <f t="shared" si="5"/>
        <v>1.1430653522369452</v>
      </c>
      <c r="X16" s="4">
        <f t="shared" si="6"/>
        <v>4.6253469010175765</v>
      </c>
      <c r="Y16" s="4">
        <f t="shared" si="7"/>
        <v>107.90303284097536</v>
      </c>
      <c r="Z16" s="4">
        <v>1.6694023251189356</v>
      </c>
      <c r="AA16" s="4">
        <v>10.021283256331222</v>
      </c>
      <c r="AB16" s="4">
        <v>1.2595507379809849</v>
      </c>
      <c r="AC16" s="4">
        <v>1.3722874672682983</v>
      </c>
      <c r="AD16" s="4">
        <v>9.9194402472960785</v>
      </c>
      <c r="AE16" s="4">
        <v>30.714760508919859</v>
      </c>
      <c r="AF16" s="4">
        <f t="shared" si="8"/>
        <v>0.86219859908414442</v>
      </c>
      <c r="AG16" s="4">
        <v>7.6E-3</v>
      </c>
      <c r="AH16" s="4">
        <v>22.274699999999999</v>
      </c>
      <c r="AI16" s="4">
        <v>0.01</v>
      </c>
      <c r="AJ16" s="4">
        <v>0</v>
      </c>
      <c r="AK16" s="4">
        <v>1.04E-2</v>
      </c>
      <c r="AL16" s="4">
        <v>0</v>
      </c>
      <c r="AM16" s="4">
        <v>1.6500000000000001E-2</v>
      </c>
      <c r="AN16" s="4">
        <v>25.364899999999999</v>
      </c>
      <c r="AO16" s="4">
        <f t="shared" si="9"/>
        <v>3.0901999999999994</v>
      </c>
      <c r="AP16" s="4">
        <v>0.18129999999999999</v>
      </c>
      <c r="AQ16" s="4">
        <f t="shared" si="10"/>
        <v>2.6367638242415911E-3</v>
      </c>
      <c r="AR16" s="4">
        <f>(AI16*1000/88.06)*$L16/$N16</f>
        <v>7.5693847043372259E-3</v>
      </c>
      <c r="AS16" s="4">
        <f>(AJ16*1000/60.052)*$L16/$N16</f>
        <v>0</v>
      </c>
      <c r="AT16" s="4">
        <f>(AK16*1000/46.07)*$L16/$N16</f>
        <v>1.5047154715573987E-2</v>
      </c>
      <c r="AU16" s="4">
        <f>(AL16*1000/92.09)*$L16/$N16</f>
        <v>0</v>
      </c>
      <c r="AV16" s="4">
        <f>(AM16*1000/118.09)*$L16/$N16</f>
        <v>9.3134391409560036E-3</v>
      </c>
      <c r="AW16" s="4">
        <f t="shared" si="22"/>
        <v>0.10233494037911052</v>
      </c>
      <c r="AX16" s="4">
        <f t="shared" si="17"/>
        <v>116.90735185243078</v>
      </c>
      <c r="AY16" s="68">
        <f t="shared" si="18"/>
        <v>0.20598037647309753</v>
      </c>
      <c r="AZ16" s="67">
        <f t="shared" si="19"/>
        <v>0.27196348661154746</v>
      </c>
      <c r="BA16" s="67">
        <f t="shared" si="20"/>
        <v>0.26854979959989894</v>
      </c>
    </row>
    <row r="17" spans="1:53" x14ac:dyDescent="0.2">
      <c r="A17" t="s">
        <v>0</v>
      </c>
      <c r="B17" t="s">
        <v>1</v>
      </c>
      <c r="C17" t="s">
        <v>2</v>
      </c>
      <c r="D17" t="s">
        <v>3</v>
      </c>
      <c r="E17" t="s">
        <v>124</v>
      </c>
      <c r="I17" t="s">
        <v>8</v>
      </c>
      <c r="J17" t="s">
        <v>9</v>
      </c>
      <c r="L17" t="s">
        <v>125</v>
      </c>
      <c r="M17" t="s">
        <v>12</v>
      </c>
      <c r="N17" t="s">
        <v>13</v>
      </c>
      <c r="O17" t="s">
        <v>15</v>
      </c>
      <c r="P17" t="s">
        <v>16</v>
      </c>
      <c r="Q17" t="s">
        <v>17</v>
      </c>
      <c r="V17" t="s">
        <v>22</v>
      </c>
      <c r="W17" t="s">
        <v>23</v>
      </c>
      <c r="X17" t="s">
        <v>24</v>
      </c>
      <c r="Y17" t="s">
        <v>25</v>
      </c>
      <c r="Z17" t="s">
        <v>122</v>
      </c>
      <c r="AA17" t="s">
        <v>27</v>
      </c>
      <c r="AB17" t="s">
        <v>28</v>
      </c>
      <c r="AC17" t="s">
        <v>29</v>
      </c>
      <c r="AD17" t="s">
        <v>30</v>
      </c>
      <c r="AE17" t="s">
        <v>31</v>
      </c>
      <c r="AF17" t="s">
        <v>121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Y17" t="s">
        <v>126</v>
      </c>
      <c r="AZ17" t="s">
        <v>127</v>
      </c>
      <c r="BA17" t="s">
        <v>128</v>
      </c>
    </row>
    <row r="18" spans="1:53" s="69" customFormat="1" x14ac:dyDescent="0.2">
      <c r="A18" s="69">
        <v>75</v>
      </c>
      <c r="B18" s="69" t="s">
        <v>55</v>
      </c>
      <c r="C18" s="69" t="s">
        <v>54</v>
      </c>
      <c r="D18" s="69">
        <v>116</v>
      </c>
      <c r="E18" s="69">
        <v>0.1</v>
      </c>
      <c r="I18" s="69">
        <v>470</v>
      </c>
      <c r="J18" s="69">
        <v>50</v>
      </c>
      <c r="K18" s="69">
        <v>0.1</v>
      </c>
      <c r="L18" s="22">
        <f>J18/I18</f>
        <v>0.10638297872340426</v>
      </c>
      <c r="M18" s="22">
        <v>1.5</v>
      </c>
      <c r="N18" s="22">
        <v>1.24</v>
      </c>
      <c r="O18" s="22">
        <v>0.21</v>
      </c>
      <c r="P18" s="69">
        <v>0.03</v>
      </c>
      <c r="Q18" s="22">
        <f t="shared" ref="Q18:Q19" si="23">(30/24.5)*(O18-P18)*0.01*1000</f>
        <v>2.2040816326530615</v>
      </c>
      <c r="V18" s="22">
        <f>Q18/(N18*I18)*1000</f>
        <v>3.7818833779222061</v>
      </c>
      <c r="W18" s="22">
        <f>(AO18*1000/180.2)*L18/N18</f>
        <v>1.4433364286002668</v>
      </c>
      <c r="X18" s="22">
        <f>N18/23*1000*L18/N18</f>
        <v>4.6253469010175765</v>
      </c>
      <c r="Y18" s="72">
        <f>100*((V18+X18)/(6*W18))</f>
        <v>97.080972857370355</v>
      </c>
      <c r="Z18" s="73">
        <v>5.2495057488951202</v>
      </c>
      <c r="AA18" s="69">
        <v>18.510000000000002</v>
      </c>
      <c r="AB18" s="69">
        <v>9.24</v>
      </c>
      <c r="AC18" s="69">
        <v>1.7</v>
      </c>
      <c r="AD18" s="69">
        <v>17.579999999999998</v>
      </c>
      <c r="AE18" s="69">
        <v>52.96</v>
      </c>
      <c r="AF18" s="22">
        <f>Z18*N18/AO18</f>
        <v>2.1471787599386287</v>
      </c>
      <c r="AG18" s="22">
        <v>0</v>
      </c>
      <c r="AH18" s="22">
        <v>21.607199999999999</v>
      </c>
      <c r="AI18" s="22">
        <v>7.2700000000000001E-2</v>
      </c>
      <c r="AJ18" s="22">
        <v>0</v>
      </c>
      <c r="AK18" s="22">
        <v>0</v>
      </c>
      <c r="AL18" s="22">
        <v>0</v>
      </c>
      <c r="AM18" s="22">
        <v>0</v>
      </c>
      <c r="AN18" s="22">
        <v>24.6388</v>
      </c>
      <c r="AO18" s="22">
        <f t="shared" ref="AO18:AO19" si="24">AN18-AH18</f>
        <v>3.031600000000001</v>
      </c>
      <c r="AY18" s="22">
        <f>AO18*L18/N18</f>
        <v>0.26008922443376814</v>
      </c>
      <c r="AZ18" s="71">
        <f>(AA18+AC18)/(AB18+AD18+AE18)</f>
        <v>0.25332163449486089</v>
      </c>
      <c r="BA18" s="71">
        <f>(AA18+AB18)/(AC18+AD18+AE18)</f>
        <v>0.38413621262458475</v>
      </c>
    </row>
    <row r="19" spans="1:53" s="69" customFormat="1" x14ac:dyDescent="0.2">
      <c r="A19" s="69">
        <v>76</v>
      </c>
      <c r="B19" s="69" t="s">
        <v>55</v>
      </c>
      <c r="C19" s="69" t="s">
        <v>54</v>
      </c>
      <c r="D19" s="69">
        <v>116</v>
      </c>
      <c r="E19" s="69">
        <v>0.1</v>
      </c>
      <c r="I19" s="69">
        <v>470</v>
      </c>
      <c r="J19" s="69">
        <v>50</v>
      </c>
      <c r="K19" s="69">
        <v>0.1</v>
      </c>
      <c r="L19" s="22">
        <f>J19/I19</f>
        <v>0.10638297872340426</v>
      </c>
      <c r="M19" s="22">
        <v>1.73</v>
      </c>
      <c r="N19" s="22">
        <v>1.42</v>
      </c>
      <c r="O19" s="22">
        <v>0.21</v>
      </c>
      <c r="P19" s="69">
        <v>0.03</v>
      </c>
      <c r="Q19" s="22">
        <f t="shared" si="23"/>
        <v>2.2040816326530615</v>
      </c>
      <c r="V19" s="22">
        <f>Q19/(N19*I19)*1000</f>
        <v>3.3024897102982642</v>
      </c>
      <c r="W19" s="22">
        <f>(AO19*1000/180.2)*L19/N19</f>
        <v>1.251689179638247</v>
      </c>
      <c r="X19" s="22">
        <f>N19/23*1000*L19/N19</f>
        <v>4.6253469010175765</v>
      </c>
      <c r="Y19" s="72">
        <f>100*((V19+X19)/(6*W19))</f>
        <v>105.56183782525362</v>
      </c>
      <c r="Z19" s="73">
        <v>6.5403549328781603</v>
      </c>
      <c r="AA19" s="69">
        <v>16.91</v>
      </c>
      <c r="AB19" s="69">
        <v>10.41</v>
      </c>
      <c r="AC19" s="69">
        <v>1.61</v>
      </c>
      <c r="AD19" s="69">
        <v>18.27</v>
      </c>
      <c r="AE19" s="69">
        <v>52.8</v>
      </c>
      <c r="AF19" s="22">
        <f>Z19*N19/AO19</f>
        <v>3.0847656706702717</v>
      </c>
      <c r="AG19" s="22">
        <v>4.4000000000000003E-3</v>
      </c>
      <c r="AH19" s="22">
        <v>21.6281</v>
      </c>
      <c r="AI19" s="22">
        <v>6.9500000000000006E-2</v>
      </c>
      <c r="AJ19" s="22">
        <v>0</v>
      </c>
      <c r="AK19" s="22">
        <v>0</v>
      </c>
      <c r="AL19" s="22">
        <v>0</v>
      </c>
      <c r="AM19" s="22">
        <v>0</v>
      </c>
      <c r="AN19" s="22">
        <v>24.6388</v>
      </c>
      <c r="AO19" s="22">
        <f t="shared" si="24"/>
        <v>3.0106999999999999</v>
      </c>
      <c r="AY19" s="22">
        <f>AO19*L19/N19</f>
        <v>0.22555439017081211</v>
      </c>
      <c r="AZ19" s="71">
        <f>(AA19+AC19)/(AB19+AD19+AE19)</f>
        <v>0.22729504172803144</v>
      </c>
      <c r="BA19" s="71">
        <f>(AA19+AB19)/(AC19+AD19+AE19)</f>
        <v>0.37589433131535505</v>
      </c>
    </row>
    <row r="20" spans="1:53" x14ac:dyDescent="0.2">
      <c r="A20" t="s">
        <v>135</v>
      </c>
    </row>
    <row r="21" spans="1:53" x14ac:dyDescent="0.2">
      <c r="A21" s="3" t="s">
        <v>120</v>
      </c>
    </row>
    <row r="22" spans="1:53" x14ac:dyDescent="0.2">
      <c r="A22" t="s">
        <v>129</v>
      </c>
      <c r="B22" t="s">
        <v>130</v>
      </c>
      <c r="C22" t="s">
        <v>90</v>
      </c>
      <c r="D22" t="s">
        <v>131</v>
      </c>
      <c r="E22" t="s">
        <v>132</v>
      </c>
      <c r="F22" t="s">
        <v>114</v>
      </c>
      <c r="G22" t="s">
        <v>117</v>
      </c>
      <c r="J22" s="91" t="s">
        <v>143</v>
      </c>
    </row>
    <row r="23" spans="1:53" x14ac:dyDescent="0.2">
      <c r="A23" t="s">
        <v>92</v>
      </c>
      <c r="B23" t="s">
        <v>93</v>
      </c>
      <c r="C23" t="s">
        <v>95</v>
      </c>
      <c r="D23" t="s">
        <v>96</v>
      </c>
      <c r="E23">
        <v>76.357668669999995</v>
      </c>
      <c r="F23" t="s">
        <v>115</v>
      </c>
      <c r="G23" t="s">
        <v>118</v>
      </c>
    </row>
    <row r="24" spans="1:53" x14ac:dyDescent="0.2">
      <c r="A24" t="s">
        <v>97</v>
      </c>
      <c r="B24" t="s">
        <v>98</v>
      </c>
      <c r="C24" t="s">
        <v>100</v>
      </c>
      <c r="D24" t="s">
        <v>101</v>
      </c>
      <c r="E24">
        <v>123.241112</v>
      </c>
    </row>
    <row r="25" spans="1:53" ht="17" customHeight="1" x14ac:dyDescent="0.2">
      <c r="A25" t="s">
        <v>102</v>
      </c>
      <c r="B25" t="s">
        <v>103</v>
      </c>
      <c r="C25" t="s">
        <v>105</v>
      </c>
      <c r="D25" t="s">
        <v>106</v>
      </c>
      <c r="E25">
        <v>135.70506800000001</v>
      </c>
      <c r="F25" t="s">
        <v>116</v>
      </c>
      <c r="G25" t="s">
        <v>119</v>
      </c>
      <c r="AA25" s="25"/>
    </row>
    <row r="26" spans="1:53" x14ac:dyDescent="0.2">
      <c r="A26" t="s">
        <v>107</v>
      </c>
      <c r="B26" t="s">
        <v>108</v>
      </c>
      <c r="C26" t="s">
        <v>109</v>
      </c>
      <c r="D26" t="s">
        <v>110</v>
      </c>
      <c r="E26">
        <v>308.41123470000002</v>
      </c>
      <c r="AA26" s="25"/>
    </row>
    <row r="28" spans="1:53" s="91" customFormat="1" ht="17" customHeight="1" x14ac:dyDescent="0.2">
      <c r="A28" s="91" t="s">
        <v>134</v>
      </c>
      <c r="C28" s="91" t="s">
        <v>136</v>
      </c>
      <c r="J28" s="91" t="s">
        <v>145</v>
      </c>
      <c r="AA28" s="92"/>
    </row>
    <row r="29" spans="1:53" x14ac:dyDescent="0.2">
      <c r="A29" t="s">
        <v>133</v>
      </c>
      <c r="C29" t="s">
        <v>137</v>
      </c>
      <c r="J29" t="s">
        <v>144</v>
      </c>
      <c r="AA29" s="25"/>
    </row>
    <row r="30" spans="1:53" x14ac:dyDescent="0.2">
      <c r="AA30" s="25"/>
    </row>
    <row r="31" spans="1:53" x14ac:dyDescent="0.2">
      <c r="A31" s="40" t="s">
        <v>111</v>
      </c>
      <c r="B31" s="45" t="s">
        <v>83</v>
      </c>
      <c r="AA31" s="25"/>
    </row>
    <row r="32" spans="1:53" x14ac:dyDescent="0.2">
      <c r="A32" s="40" t="s">
        <v>113</v>
      </c>
      <c r="B32" s="45" t="s">
        <v>85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6B43-3626-B14F-B808-47B0850372ED}">
  <dimension ref="A1:BU82"/>
  <sheetViews>
    <sheetView zoomScale="85" zoomScaleNormal="85" workbookViewId="0">
      <pane xSplit="4" ySplit="1" topLeftCell="X49" activePane="bottomRight" state="frozen"/>
      <selection pane="topRight" activeCell="E1" sqref="E1"/>
      <selection pane="bottomLeft" activeCell="A2" sqref="A2"/>
      <selection pane="bottomRight" activeCell="A66" sqref="A66:XFD69"/>
    </sheetView>
  </sheetViews>
  <sheetFormatPr baseColWidth="10" defaultColWidth="11" defaultRowHeight="16" x14ac:dyDescent="0.2"/>
  <cols>
    <col min="1" max="2" width="14.1640625" customWidth="1"/>
    <col min="3" max="3" width="21.1640625" customWidth="1"/>
    <col min="4" max="4" width="6.6640625" customWidth="1"/>
    <col min="5" max="5" width="14.1640625" customWidth="1"/>
    <col min="9" max="9" width="17.33203125" customWidth="1"/>
    <col min="10" max="11" width="14" customWidth="1"/>
    <col min="12" max="12" width="13" customWidth="1"/>
    <col min="14" max="14" width="19.5" customWidth="1"/>
    <col min="15" max="15" width="18" customWidth="1"/>
    <col min="23" max="23" width="22.5" customWidth="1"/>
    <col min="24" max="26" width="23" customWidth="1"/>
    <col min="27" max="27" width="11.33203125" customWidth="1"/>
    <col min="28" max="32" width="18.33203125" bestFit="1" customWidth="1"/>
    <col min="40" max="40" width="16.6640625" customWidth="1"/>
    <col min="41" max="54" width="15.1640625" customWidth="1"/>
    <col min="55" max="55" width="31.1640625" customWidth="1"/>
    <col min="56" max="56" width="26.1640625" customWidth="1"/>
  </cols>
  <sheetData>
    <row r="1" spans="1:55" s="46" customFormat="1" ht="34" x14ac:dyDescent="0.2">
      <c r="A1" s="46" t="s">
        <v>0</v>
      </c>
      <c r="B1" s="47" t="s">
        <v>1</v>
      </c>
      <c r="C1" s="47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6" t="s">
        <v>26</v>
      </c>
      <c r="AB1" s="46" t="s">
        <v>27</v>
      </c>
      <c r="AC1" s="46" t="s">
        <v>28</v>
      </c>
      <c r="AD1" s="46" t="s">
        <v>29</v>
      </c>
      <c r="AE1" s="46" t="s">
        <v>30</v>
      </c>
      <c r="AF1" s="46" t="s">
        <v>31</v>
      </c>
      <c r="AG1" s="60" t="s">
        <v>32</v>
      </c>
      <c r="AH1" s="60" t="s">
        <v>33</v>
      </c>
      <c r="AI1" s="60" t="s">
        <v>34</v>
      </c>
      <c r="AJ1" s="60" t="s">
        <v>35</v>
      </c>
      <c r="AK1" s="60" t="s">
        <v>36</v>
      </c>
      <c r="AL1" s="60" t="s">
        <v>37</v>
      </c>
      <c r="AM1" s="60" t="s">
        <v>38</v>
      </c>
      <c r="AN1" s="60" t="s">
        <v>39</v>
      </c>
      <c r="AO1" s="60" t="s">
        <v>40</v>
      </c>
      <c r="AP1" s="60" t="s">
        <v>41</v>
      </c>
      <c r="AQ1" s="60" t="s">
        <v>42</v>
      </c>
      <c r="AR1" s="60" t="s">
        <v>43</v>
      </c>
      <c r="AS1" s="60" t="s">
        <v>44</v>
      </c>
      <c r="AT1" s="60" t="s">
        <v>45</v>
      </c>
      <c r="AU1" s="60" t="s">
        <v>46</v>
      </c>
      <c r="AV1" s="60" t="s">
        <v>47</v>
      </c>
      <c r="AW1" s="60" t="s">
        <v>48</v>
      </c>
      <c r="AX1" s="60" t="s">
        <v>25</v>
      </c>
      <c r="BC1" s="47" t="s">
        <v>49</v>
      </c>
    </row>
    <row r="2" spans="1:55" x14ac:dyDescent="0.2">
      <c r="A2">
        <v>1</v>
      </c>
      <c r="B2" t="s">
        <v>50</v>
      </c>
      <c r="C2" t="s">
        <v>51</v>
      </c>
      <c r="D2">
        <v>116</v>
      </c>
      <c r="E2" s="1">
        <v>44220</v>
      </c>
      <c r="F2">
        <v>1</v>
      </c>
      <c r="G2">
        <v>1</v>
      </c>
      <c r="H2">
        <v>1</v>
      </c>
      <c r="I2">
        <v>470</v>
      </c>
      <c r="J2">
        <v>50</v>
      </c>
      <c r="K2">
        <v>0.1</v>
      </c>
      <c r="L2" s="2">
        <f>J2/I2</f>
        <v>0.10638297872340426</v>
      </c>
      <c r="M2">
        <f>0.138*1000/50</f>
        <v>2.76</v>
      </c>
      <c r="N2">
        <v>1.82</v>
      </c>
      <c r="O2">
        <v>1.58</v>
      </c>
      <c r="P2" s="5">
        <v>0.17</v>
      </c>
      <c r="Q2" s="5">
        <v>0.04</v>
      </c>
      <c r="R2">
        <f>(30/24.5)*(P2-Q2)*0.01*1000</f>
        <v>1.591836734693878</v>
      </c>
      <c r="W2">
        <f>R2/(N2*I2)*1000</f>
        <v>1.8609267415172761</v>
      </c>
      <c r="X2">
        <f>(AO2*1000/180.2)*L2/N2</f>
        <v>1.336582868332461</v>
      </c>
      <c r="Y2">
        <f>N2/23*1000*L2/N2</f>
        <v>4.6253469010175765</v>
      </c>
      <c r="Z2" s="4">
        <f>100*((W2+Y2)/(6*X2))</f>
        <v>80.881300568955311</v>
      </c>
      <c r="AA2">
        <v>8.5203237932745957</v>
      </c>
      <c r="AB2">
        <v>15.602154696515461</v>
      </c>
      <c r="AC2">
        <v>8.3598552134323221</v>
      </c>
      <c r="AD2">
        <v>4.9366269388411999</v>
      </c>
      <c r="AE2">
        <v>42.243479955207604</v>
      </c>
      <c r="AF2">
        <v>28.857883196003421</v>
      </c>
      <c r="AG2">
        <v>0</v>
      </c>
      <c r="AH2">
        <v>20.900500000000001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25.021000000000001</v>
      </c>
      <c r="AO2">
        <f t="shared" ref="AO2:AO36" si="0">AN2-AH2</f>
        <v>4.1204999999999998</v>
      </c>
      <c r="AR2" s="60"/>
      <c r="AS2" s="60"/>
      <c r="AT2" s="60"/>
      <c r="AU2" s="60"/>
      <c r="AV2" s="60"/>
    </row>
    <row r="3" spans="1:55" x14ac:dyDescent="0.2">
      <c r="A3">
        <v>2</v>
      </c>
      <c r="B3" t="s">
        <v>50</v>
      </c>
      <c r="C3" t="s">
        <v>51</v>
      </c>
      <c r="D3">
        <v>116</v>
      </c>
      <c r="E3" s="1">
        <v>44220</v>
      </c>
      <c r="F3">
        <v>1</v>
      </c>
      <c r="G3">
        <v>2</v>
      </c>
      <c r="H3">
        <v>2</v>
      </c>
      <c r="I3">
        <v>465</v>
      </c>
      <c r="J3">
        <v>50</v>
      </c>
      <c r="K3">
        <v>0.1</v>
      </c>
      <c r="L3" s="2">
        <f t="shared" ref="L3:L9" si="1">J3/I3</f>
        <v>0.10752688172043011</v>
      </c>
      <c r="M3">
        <f>0.141*1000/50</f>
        <v>2.82</v>
      </c>
      <c r="N3">
        <v>1.6</v>
      </c>
      <c r="O3">
        <v>1.6800000000000002</v>
      </c>
      <c r="P3" s="5">
        <v>0.18</v>
      </c>
      <c r="Q3" s="5">
        <f>Q5</f>
        <v>0.04</v>
      </c>
      <c r="R3">
        <f t="shared" ref="R3:R12" si="2">(30/24.5)*(P3-Q3)*0.01*1000</f>
        <v>1.714285714285714</v>
      </c>
      <c r="W3">
        <f t="shared" ref="W3:W36" si="3">R3/(N3*I3)*1000</f>
        <v>2.3041474654377874</v>
      </c>
      <c r="X3">
        <f t="shared" ref="X3:X12" si="4">(AO3*1000/180.2)*L3/N3</f>
        <v>1.5103439428114522</v>
      </c>
      <c r="Y3">
        <f t="shared" ref="Y3:Y12" si="5">N3/23*1000*L3/N3</f>
        <v>4.6750818139317429</v>
      </c>
      <c r="Z3" s="4">
        <f t="shared" ref="Z3:Z12" si="6">100*((W3+Y3)/(6*X3))</f>
        <v>77.015893328883536</v>
      </c>
      <c r="AA3">
        <v>7.6706578515201382</v>
      </c>
      <c r="AB3">
        <v>15.30010287119277</v>
      </c>
      <c r="AC3">
        <v>8.4663252069329342</v>
      </c>
      <c r="AD3">
        <v>5.2695638661988982</v>
      </c>
      <c r="AE3">
        <v>42.284708079801604</v>
      </c>
      <c r="AF3">
        <v>28.679299975873786</v>
      </c>
      <c r="AG3">
        <v>0</v>
      </c>
      <c r="AH3">
        <v>20.9712</v>
      </c>
      <c r="AI3">
        <v>0</v>
      </c>
      <c r="AJ3">
        <v>0</v>
      </c>
      <c r="AK3">
        <v>0</v>
      </c>
      <c r="AL3">
        <v>0</v>
      </c>
      <c r="AM3">
        <v>0</v>
      </c>
      <c r="AN3">
        <v>25.021000000000001</v>
      </c>
      <c r="AO3">
        <f t="shared" si="0"/>
        <v>4.0498000000000012</v>
      </c>
    </row>
    <row r="4" spans="1:55" s="7" customFormat="1" x14ac:dyDescent="0.2">
      <c r="A4" s="7">
        <v>3</v>
      </c>
      <c r="B4" s="7" t="s">
        <v>50</v>
      </c>
      <c r="C4" s="7" t="s">
        <v>51</v>
      </c>
      <c r="D4" s="7">
        <v>116</v>
      </c>
      <c r="E4" s="8">
        <v>44220</v>
      </c>
      <c r="F4" s="7">
        <v>1</v>
      </c>
      <c r="G4" s="7">
        <v>3</v>
      </c>
      <c r="H4" s="7">
        <v>3</v>
      </c>
      <c r="I4" s="7">
        <v>470</v>
      </c>
      <c r="J4" s="7">
        <v>50</v>
      </c>
      <c r="K4" s="7">
        <v>0.1</v>
      </c>
      <c r="L4" s="9">
        <f t="shared" si="1"/>
        <v>0.10638297872340426</v>
      </c>
      <c r="M4" s="7">
        <f>0.136*1000/50</f>
        <v>2.72</v>
      </c>
      <c r="N4" s="7">
        <v>1.7399999999999998</v>
      </c>
      <c r="O4" s="7">
        <v>1.64</v>
      </c>
      <c r="P4" s="10">
        <v>0.17</v>
      </c>
      <c r="Q4" s="10">
        <v>0.04</v>
      </c>
      <c r="R4" s="7">
        <f t="shared" si="2"/>
        <v>1.591836734693878</v>
      </c>
      <c r="W4" s="7">
        <f t="shared" si="3"/>
        <v>1.9464865917019787</v>
      </c>
      <c r="X4" s="7">
        <f t="shared" si="4"/>
        <v>1.3322131410739246</v>
      </c>
      <c r="Y4" s="7">
        <f t="shared" si="5"/>
        <v>4.6253469010175765</v>
      </c>
      <c r="Z4" s="11">
        <f t="shared" si="6"/>
        <v>82.216992788179326</v>
      </c>
      <c r="AA4" s="7">
        <v>8.5683208544344822</v>
      </c>
      <c r="AB4" s="7">
        <v>20.097203765483641</v>
      </c>
      <c r="AC4" s="7">
        <v>8.4750239899637183</v>
      </c>
      <c r="AD4" s="7">
        <v>16.658548767045378</v>
      </c>
      <c r="AE4" s="7">
        <v>31.260628422825704</v>
      </c>
      <c r="AF4" s="7">
        <v>23.508595054681557</v>
      </c>
      <c r="AG4" s="7">
        <v>0</v>
      </c>
      <c r="AH4" s="7">
        <v>21.0945</v>
      </c>
      <c r="AI4" s="7">
        <v>0</v>
      </c>
      <c r="AJ4" s="7">
        <v>0</v>
      </c>
      <c r="AK4" s="7">
        <v>0</v>
      </c>
      <c r="AL4" s="7">
        <v>2.75E-2</v>
      </c>
      <c r="AM4" s="7">
        <v>0</v>
      </c>
      <c r="AN4" s="7">
        <v>25.021000000000001</v>
      </c>
      <c r="AO4" s="7">
        <f t="shared" si="0"/>
        <v>3.9265000000000008</v>
      </c>
      <c r="BC4" s="7" t="s">
        <v>52</v>
      </c>
    </row>
    <row r="5" spans="1:55" x14ac:dyDescent="0.2">
      <c r="A5">
        <v>4</v>
      </c>
      <c r="B5" t="s">
        <v>50</v>
      </c>
      <c r="C5" t="s">
        <v>51</v>
      </c>
      <c r="D5">
        <v>116</v>
      </c>
      <c r="E5" s="1">
        <v>44220</v>
      </c>
      <c r="F5">
        <v>1</v>
      </c>
      <c r="G5">
        <v>4</v>
      </c>
      <c r="H5">
        <v>4</v>
      </c>
      <c r="I5">
        <v>455</v>
      </c>
      <c r="J5">
        <v>50</v>
      </c>
      <c r="K5">
        <v>0.1</v>
      </c>
      <c r="L5" s="2">
        <f t="shared" si="1"/>
        <v>0.10989010989010989</v>
      </c>
      <c r="M5">
        <f>0.145*1000/50</f>
        <v>2.9</v>
      </c>
      <c r="N5">
        <v>1.7</v>
      </c>
      <c r="O5">
        <v>1.48</v>
      </c>
      <c r="P5" s="5">
        <v>0.18</v>
      </c>
      <c r="Q5" s="5">
        <v>0.04</v>
      </c>
      <c r="R5">
        <f t="shared" si="2"/>
        <v>1.714285714285714</v>
      </c>
      <c r="W5">
        <f t="shared" si="3"/>
        <v>2.2162711238341486</v>
      </c>
      <c r="X5">
        <f t="shared" si="4"/>
        <v>1.4634317826848997</v>
      </c>
      <c r="Y5">
        <f t="shared" si="5"/>
        <v>4.7778308647873873</v>
      </c>
      <c r="Z5" s="4">
        <f t="shared" si="6"/>
        <v>79.654117025641114</v>
      </c>
      <c r="AA5">
        <v>7.9811524578103619</v>
      </c>
      <c r="AB5">
        <v>15.211944848559133</v>
      </c>
      <c r="AC5">
        <v>7.9402916773687977</v>
      </c>
      <c r="AD5">
        <v>5.3729919850473502</v>
      </c>
      <c r="AE5">
        <v>43.449768246976177</v>
      </c>
      <c r="AF5">
        <v>28.025003242048552</v>
      </c>
      <c r="AG5">
        <v>0</v>
      </c>
      <c r="AH5">
        <v>20.941400000000002</v>
      </c>
      <c r="AI5">
        <v>0</v>
      </c>
      <c r="AJ5">
        <v>0</v>
      </c>
      <c r="AK5">
        <v>0</v>
      </c>
      <c r="AL5">
        <v>0</v>
      </c>
      <c r="AM5">
        <v>0</v>
      </c>
      <c r="AN5">
        <v>25.021000000000001</v>
      </c>
      <c r="AO5">
        <f t="shared" si="0"/>
        <v>4.0795999999999992</v>
      </c>
    </row>
    <row r="6" spans="1:55" x14ac:dyDescent="0.2">
      <c r="A6">
        <v>5</v>
      </c>
      <c r="B6" t="s">
        <v>53</v>
      </c>
      <c r="C6" t="s">
        <v>51</v>
      </c>
      <c r="D6">
        <v>116</v>
      </c>
      <c r="E6" s="1">
        <v>44220</v>
      </c>
      <c r="F6">
        <v>1</v>
      </c>
      <c r="G6">
        <v>5</v>
      </c>
      <c r="H6">
        <v>1</v>
      </c>
      <c r="I6">
        <v>440</v>
      </c>
      <c r="J6">
        <v>50</v>
      </c>
      <c r="K6">
        <v>0.1</v>
      </c>
      <c r="L6" s="2">
        <f t="shared" si="1"/>
        <v>0.11363636363636363</v>
      </c>
      <c r="M6">
        <f>0.186*1000/50</f>
        <v>3.72</v>
      </c>
      <c r="N6">
        <v>1.82</v>
      </c>
      <c r="O6">
        <v>2.08</v>
      </c>
      <c r="P6" s="5">
        <v>0.21</v>
      </c>
      <c r="Q6" s="5">
        <v>0.04</v>
      </c>
      <c r="R6">
        <f t="shared" si="2"/>
        <v>2.0816326530612246</v>
      </c>
      <c r="W6">
        <f t="shared" si="3"/>
        <v>2.5994413749515788</v>
      </c>
      <c r="X6">
        <f t="shared" si="4"/>
        <v>1.4335692054892941</v>
      </c>
      <c r="Y6">
        <f t="shared" si="5"/>
        <v>4.9407114624505937</v>
      </c>
      <c r="Z6" s="4">
        <f t="shared" si="6"/>
        <v>87.661769990246469</v>
      </c>
      <c r="AA6">
        <v>15.716722214853629</v>
      </c>
      <c r="AB6">
        <v>13.983608859576155</v>
      </c>
      <c r="AC6">
        <v>4.8028011663410242</v>
      </c>
      <c r="AD6">
        <v>9.3643017781202964</v>
      </c>
      <c r="AE6">
        <v>54.471013989340925</v>
      </c>
      <c r="AF6">
        <v>17.378274206621597</v>
      </c>
      <c r="AG6">
        <v>0</v>
      </c>
      <c r="AH6">
        <v>20.396799999999999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24.534199999999998</v>
      </c>
      <c r="AO6">
        <f t="shared" si="0"/>
        <v>4.1373999999999995</v>
      </c>
    </row>
    <row r="7" spans="1:55" x14ac:dyDescent="0.2">
      <c r="A7">
        <v>6</v>
      </c>
      <c r="B7" t="s">
        <v>53</v>
      </c>
      <c r="C7" t="s">
        <v>51</v>
      </c>
      <c r="D7">
        <v>116</v>
      </c>
      <c r="E7" s="1">
        <v>44220</v>
      </c>
      <c r="F7">
        <v>1</v>
      </c>
      <c r="G7">
        <v>6</v>
      </c>
      <c r="H7">
        <v>2</v>
      </c>
      <c r="I7">
        <v>490</v>
      </c>
      <c r="J7">
        <v>50</v>
      </c>
      <c r="K7">
        <v>0.1</v>
      </c>
      <c r="L7" s="2">
        <f t="shared" si="1"/>
        <v>0.10204081632653061</v>
      </c>
      <c r="M7">
        <f>0.193*1000/50</f>
        <v>3.86</v>
      </c>
      <c r="N7">
        <v>1.7399999999999998</v>
      </c>
      <c r="O7">
        <v>2.12</v>
      </c>
      <c r="P7" s="5">
        <v>0.23</v>
      </c>
      <c r="Q7" s="5">
        <v>0.04</v>
      </c>
      <c r="R7">
        <f t="shared" si="2"/>
        <v>2.3265306122448983</v>
      </c>
      <c r="W7">
        <f t="shared" si="3"/>
        <v>2.7287480791049714</v>
      </c>
      <c r="X7">
        <f t="shared" si="4"/>
        <v>1.5016741895196599</v>
      </c>
      <c r="Y7">
        <f t="shared" si="5"/>
        <v>4.4365572315882877</v>
      </c>
      <c r="Z7" s="4">
        <f t="shared" si="6"/>
        <v>79.525742675526971</v>
      </c>
      <c r="AA7">
        <v>16.889239295580015</v>
      </c>
      <c r="AB7">
        <v>15.306154928860716</v>
      </c>
      <c r="AC7">
        <v>5.2614441983351972</v>
      </c>
      <c r="AD7">
        <v>9.2540059674045931</v>
      </c>
      <c r="AE7">
        <v>54.796015149510033</v>
      </c>
      <c r="AF7">
        <v>15.382379755889458</v>
      </c>
      <c r="AG7">
        <v>0</v>
      </c>
      <c r="AH7">
        <v>19.919899999999998</v>
      </c>
      <c r="AI7">
        <v>0</v>
      </c>
      <c r="AJ7">
        <v>0</v>
      </c>
      <c r="AK7">
        <v>0</v>
      </c>
      <c r="AL7">
        <v>0</v>
      </c>
      <c r="AM7">
        <v>0</v>
      </c>
      <c r="AN7">
        <v>24.534199999999998</v>
      </c>
      <c r="AO7">
        <f t="shared" si="0"/>
        <v>4.6143000000000001</v>
      </c>
    </row>
    <row r="8" spans="1:55" s="7" customFormat="1" x14ac:dyDescent="0.2">
      <c r="A8" s="7">
        <v>7</v>
      </c>
      <c r="B8" s="7" t="s">
        <v>53</v>
      </c>
      <c r="C8" s="7" t="s">
        <v>51</v>
      </c>
      <c r="D8" s="7">
        <v>116</v>
      </c>
      <c r="E8" s="8">
        <v>44220</v>
      </c>
      <c r="F8" s="7">
        <v>1</v>
      </c>
      <c r="G8" s="7">
        <v>7</v>
      </c>
      <c r="H8" s="7">
        <v>3</v>
      </c>
      <c r="I8" s="7">
        <v>450</v>
      </c>
      <c r="J8" s="7">
        <v>50</v>
      </c>
      <c r="K8" s="7">
        <v>0.1</v>
      </c>
      <c r="L8" s="9">
        <f t="shared" si="1"/>
        <v>0.1111111111111111</v>
      </c>
      <c r="M8" s="7">
        <f>0.188*1000/50</f>
        <v>3.76</v>
      </c>
      <c r="N8" s="7">
        <v>2.06</v>
      </c>
      <c r="O8" s="7">
        <v>1.72</v>
      </c>
      <c r="P8" s="10">
        <v>0.20499999999999999</v>
      </c>
      <c r="Q8" s="10">
        <v>0.04</v>
      </c>
      <c r="R8" s="7">
        <f t="shared" si="2"/>
        <v>2.0204081632653059</v>
      </c>
      <c r="W8" s="7">
        <f t="shared" si="3"/>
        <v>2.1795125817317218</v>
      </c>
      <c r="X8" s="7">
        <f t="shared" si="4"/>
        <v>1.3321228839584922</v>
      </c>
      <c r="Y8" s="7">
        <f t="shared" si="5"/>
        <v>4.8309178743961354</v>
      </c>
      <c r="Z8" s="11">
        <f t="shared" si="6"/>
        <v>87.710007094038929</v>
      </c>
      <c r="AA8" s="7">
        <v>21.251146013470638</v>
      </c>
      <c r="AB8" s="7">
        <v>18.277773868573767</v>
      </c>
      <c r="AC8" s="7">
        <v>6.0495755890799039</v>
      </c>
      <c r="AD8" s="7">
        <v>14.770396121537441</v>
      </c>
      <c r="AE8" s="7">
        <v>47.112578606076653</v>
      </c>
      <c r="AF8" s="7">
        <v>13.789675814732224</v>
      </c>
      <c r="AG8" s="7">
        <v>0</v>
      </c>
      <c r="AH8" s="7">
        <v>20.0837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24.534199999999998</v>
      </c>
      <c r="AO8" s="7">
        <f t="shared" si="0"/>
        <v>4.4504999999999981</v>
      </c>
      <c r="BC8" s="7" t="s">
        <v>52</v>
      </c>
    </row>
    <row r="9" spans="1:55" x14ac:dyDescent="0.2">
      <c r="A9">
        <v>8</v>
      </c>
      <c r="B9" t="s">
        <v>53</v>
      </c>
      <c r="C9" t="s">
        <v>51</v>
      </c>
      <c r="D9">
        <v>116</v>
      </c>
      <c r="E9" s="1">
        <v>44220</v>
      </c>
      <c r="F9">
        <v>1</v>
      </c>
      <c r="G9">
        <v>8</v>
      </c>
      <c r="H9">
        <v>4</v>
      </c>
      <c r="I9">
        <v>450</v>
      </c>
      <c r="J9">
        <v>50</v>
      </c>
      <c r="K9">
        <v>0.1</v>
      </c>
      <c r="L9" s="2">
        <f t="shared" si="1"/>
        <v>0.1111111111111111</v>
      </c>
      <c r="M9">
        <f>0.201*1000/50</f>
        <v>4.0199999999999996</v>
      </c>
      <c r="N9">
        <v>1.6800000000000002</v>
      </c>
      <c r="O9">
        <v>1.6600000000000001</v>
      </c>
      <c r="P9" s="5">
        <v>0.22</v>
      </c>
      <c r="Q9" s="5">
        <v>0.04</v>
      </c>
      <c r="R9">
        <f t="shared" si="2"/>
        <v>2.2040816326530615</v>
      </c>
      <c r="W9">
        <f t="shared" si="3"/>
        <v>2.9154518950437316</v>
      </c>
      <c r="X9">
        <f t="shared" si="4"/>
        <v>1.5181544315839537</v>
      </c>
      <c r="Y9">
        <f t="shared" si="5"/>
        <v>4.8309178743961354</v>
      </c>
      <c r="Z9" s="4">
        <f t="shared" si="6"/>
        <v>85.04152155936859</v>
      </c>
      <c r="AA9">
        <v>18.444838077028088</v>
      </c>
      <c r="AB9">
        <v>13.359239617792143</v>
      </c>
      <c r="AC9">
        <v>5.0385379658573513</v>
      </c>
      <c r="AD9">
        <v>9.3571027078956721</v>
      </c>
      <c r="AE9">
        <v>55.012388596726524</v>
      </c>
      <c r="AF9">
        <v>17.232731111728299</v>
      </c>
      <c r="AG9">
        <v>0</v>
      </c>
      <c r="AH9">
        <v>20.3978</v>
      </c>
      <c r="AI9">
        <v>0</v>
      </c>
      <c r="AJ9">
        <v>0</v>
      </c>
      <c r="AK9">
        <v>0</v>
      </c>
      <c r="AL9">
        <v>0</v>
      </c>
      <c r="AM9">
        <v>0</v>
      </c>
      <c r="AN9">
        <v>24.534199999999998</v>
      </c>
      <c r="AO9">
        <f t="shared" si="0"/>
        <v>4.1363999999999983</v>
      </c>
    </row>
    <row r="10" spans="1:55" s="12" customFormat="1" x14ac:dyDescent="0.2">
      <c r="A10" s="12">
        <v>17</v>
      </c>
      <c r="B10" s="12" t="s">
        <v>50</v>
      </c>
      <c r="C10" s="12" t="s">
        <v>54</v>
      </c>
      <c r="D10" s="12">
        <v>3</v>
      </c>
      <c r="E10" s="13">
        <v>44233</v>
      </c>
      <c r="F10" s="12">
        <v>1</v>
      </c>
      <c r="G10" s="12">
        <v>1</v>
      </c>
      <c r="H10" s="12">
        <v>1</v>
      </c>
      <c r="I10" s="12">
        <v>480</v>
      </c>
      <c r="J10" s="12">
        <v>50</v>
      </c>
      <c r="K10" s="12">
        <v>0.1</v>
      </c>
      <c r="L10" s="14">
        <f>J10/I10</f>
        <v>0.10416666666666667</v>
      </c>
      <c r="M10" s="12">
        <f>0.125*1000/20</f>
        <v>6.25</v>
      </c>
      <c r="N10" s="12">
        <v>3.4200000000000004</v>
      </c>
      <c r="O10" s="12">
        <v>3.4</v>
      </c>
      <c r="P10" s="15">
        <v>0.37</v>
      </c>
      <c r="Q10" s="15">
        <v>0.12</v>
      </c>
      <c r="R10" s="12">
        <f t="shared" si="2"/>
        <v>3.0612244897959187</v>
      </c>
      <c r="W10" s="12">
        <f>R10/(N10*I10)*1000</f>
        <v>1.8647810001193459</v>
      </c>
      <c r="X10" s="12">
        <f t="shared" si="4"/>
        <v>1.267272880684879</v>
      </c>
      <c r="Y10" s="12">
        <f t="shared" si="5"/>
        <v>4.5289855072463769</v>
      </c>
      <c r="Z10" s="16">
        <f t="shared" si="6"/>
        <v>84.088262872927388</v>
      </c>
      <c r="AA10" s="12">
        <v>5.818728168987362</v>
      </c>
      <c r="AB10" s="12">
        <v>13.879601066994898</v>
      </c>
      <c r="AC10" s="12">
        <v>10.355766959070015</v>
      </c>
      <c r="AD10" s="12">
        <v>11.242948585623305</v>
      </c>
      <c r="AE10" s="12">
        <v>31.948285501528918</v>
      </c>
      <c r="AF10" s="12">
        <v>32.573397886782864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7.4976000000000003</v>
      </c>
      <c r="AO10" s="12">
        <f t="shared" si="0"/>
        <v>7.4976000000000003</v>
      </c>
    </row>
    <row r="11" spans="1:55" s="12" customFormat="1" x14ac:dyDescent="0.2">
      <c r="A11" s="12">
        <v>18</v>
      </c>
      <c r="B11" s="12" t="s">
        <v>50</v>
      </c>
      <c r="C11" s="12" t="s">
        <v>54</v>
      </c>
      <c r="D11" s="12">
        <v>3</v>
      </c>
      <c r="E11" s="13">
        <v>44233</v>
      </c>
      <c r="F11" s="12">
        <v>1</v>
      </c>
      <c r="G11" s="12">
        <v>2</v>
      </c>
      <c r="H11" s="12">
        <v>2</v>
      </c>
      <c r="I11" s="12">
        <v>480</v>
      </c>
      <c r="J11" s="12">
        <v>50</v>
      </c>
      <c r="K11" s="12">
        <v>0.1</v>
      </c>
      <c r="L11" s="14">
        <f t="shared" ref="L11:L36" si="7">J11/I11</f>
        <v>0.10416666666666667</v>
      </c>
      <c r="M11" s="12">
        <f>0.127*1000/20</f>
        <v>6.35</v>
      </c>
      <c r="N11" s="12">
        <v>3.3200000000000003</v>
      </c>
      <c r="O11" s="12">
        <v>3</v>
      </c>
      <c r="P11" s="15">
        <v>0.39</v>
      </c>
      <c r="Q11" s="15">
        <v>0.11</v>
      </c>
      <c r="R11" s="12">
        <f t="shared" si="2"/>
        <v>3.4285714285714293</v>
      </c>
      <c r="W11" s="12">
        <f>R11/(N11*I11)*1000</f>
        <v>2.1514629948364892</v>
      </c>
      <c r="X11" s="12">
        <f>(AO11*1000/180.2)*L11/N11</f>
        <v>1.305443750585026</v>
      </c>
      <c r="Y11" s="12">
        <f t="shared" si="5"/>
        <v>4.5289855072463769</v>
      </c>
      <c r="Z11" s="16">
        <f t="shared" si="6"/>
        <v>85.289625323305671</v>
      </c>
      <c r="AA11" s="12">
        <v>5.7039717498851585</v>
      </c>
      <c r="AB11" s="12">
        <v>9.3675793697483325</v>
      </c>
      <c r="AC11" s="12">
        <v>9.4006000683762743</v>
      </c>
      <c r="AD11" s="18">
        <v>1.8790282850654501</v>
      </c>
      <c r="AE11" s="12">
        <v>42.7265135303618</v>
      </c>
      <c r="AF11" s="12">
        <v>36.626278746448158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7.4976000000000003</v>
      </c>
      <c r="AO11" s="12">
        <f t="shared" si="0"/>
        <v>7.4976000000000003</v>
      </c>
    </row>
    <row r="12" spans="1:55" s="12" customFormat="1" x14ac:dyDescent="0.2">
      <c r="A12" s="12">
        <v>19</v>
      </c>
      <c r="B12" s="12" t="s">
        <v>50</v>
      </c>
      <c r="C12" s="12" t="s">
        <v>54</v>
      </c>
      <c r="D12" s="12">
        <v>3</v>
      </c>
      <c r="E12" s="13">
        <v>44233</v>
      </c>
      <c r="F12" s="12">
        <v>1</v>
      </c>
      <c r="G12" s="12">
        <v>3</v>
      </c>
      <c r="H12" s="12">
        <v>3</v>
      </c>
      <c r="I12" s="12">
        <v>500</v>
      </c>
      <c r="J12" s="12">
        <v>50</v>
      </c>
      <c r="K12" s="12">
        <v>0.1</v>
      </c>
      <c r="L12" s="14">
        <f t="shared" si="7"/>
        <v>0.1</v>
      </c>
      <c r="M12" s="12">
        <f>0.12*1000/20</f>
        <v>6</v>
      </c>
      <c r="N12" s="12">
        <v>3.3200000000000003</v>
      </c>
      <c r="O12" s="12">
        <v>3.3600000000000003</v>
      </c>
      <c r="P12" s="15">
        <v>0.4</v>
      </c>
      <c r="Q12" s="15">
        <v>0.11</v>
      </c>
      <c r="R12" s="12">
        <f t="shared" si="2"/>
        <v>3.5510204081632657</v>
      </c>
      <c r="W12" s="12">
        <f>R12/(N12*I12)*1000</f>
        <v>2.1391689205802802</v>
      </c>
      <c r="X12" s="12">
        <f t="shared" si="4"/>
        <v>1.2532260005616249</v>
      </c>
      <c r="Y12" s="12">
        <f t="shared" si="5"/>
        <v>4.3478260869565215</v>
      </c>
      <c r="Z12" s="16">
        <f t="shared" si="6"/>
        <v>86.270619513555388</v>
      </c>
      <c r="AA12" s="12">
        <v>5.8915944251439791</v>
      </c>
      <c r="AB12" s="12">
        <v>14.099323193842563</v>
      </c>
      <c r="AC12" s="12">
        <v>9.3720010363895838</v>
      </c>
      <c r="AD12" s="12">
        <v>14.048341721616845</v>
      </c>
      <c r="AE12" s="12">
        <v>32.689427098758834</v>
      </c>
      <c r="AF12" s="12">
        <v>29.790906949392188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7.4976000000000003</v>
      </c>
      <c r="AO12" s="12">
        <f t="shared" si="0"/>
        <v>7.4976000000000003</v>
      </c>
    </row>
    <row r="13" spans="1:55" s="12" customFormat="1" x14ac:dyDescent="0.2">
      <c r="A13" s="12">
        <v>20</v>
      </c>
      <c r="B13" s="12" t="s">
        <v>50</v>
      </c>
      <c r="C13" s="12" t="s">
        <v>54</v>
      </c>
      <c r="D13" s="12">
        <v>3</v>
      </c>
      <c r="E13" s="13">
        <v>44233</v>
      </c>
      <c r="F13" s="12">
        <v>1</v>
      </c>
      <c r="G13" s="12">
        <v>4</v>
      </c>
      <c r="H13" s="12">
        <v>4</v>
      </c>
      <c r="I13" s="12">
        <v>460</v>
      </c>
      <c r="J13" s="12">
        <v>50</v>
      </c>
      <c r="K13" s="12">
        <v>0.1</v>
      </c>
      <c r="L13" s="19">
        <f t="shared" si="7"/>
        <v>0.10869565217391304</v>
      </c>
      <c r="M13" s="12">
        <f>0.128*1000/20</f>
        <v>6.4</v>
      </c>
      <c r="N13" s="18">
        <v>3.7399999999999998</v>
      </c>
      <c r="O13" s="12">
        <v>3.2</v>
      </c>
      <c r="P13" s="15">
        <v>0.4</v>
      </c>
      <c r="Q13" s="15">
        <v>0.11</v>
      </c>
      <c r="R13" s="12">
        <f>(30/24.5)*(P13-Q13)*0.01*1000</f>
        <v>3.5510204081632657</v>
      </c>
      <c r="W13" s="12">
        <f>R13/(N13*I13)*1000</f>
        <v>2.0640667334127332</v>
      </c>
      <c r="X13" s="12">
        <f>(AO13*1000/180.2)*L13/N13</f>
        <v>1.2092275987748766</v>
      </c>
      <c r="Y13" s="12">
        <f>N13/23*1000*L13/N13</f>
        <v>4.7258979206049148</v>
      </c>
      <c r="Z13" s="16">
        <f>100*((W13+Y13)/(6*X13))</f>
        <v>93.585424019113105</v>
      </c>
      <c r="AA13" s="12">
        <v>5.7165262072752094</v>
      </c>
      <c r="AB13" s="12">
        <v>11.322055482085846</v>
      </c>
      <c r="AC13" s="12">
        <v>9.0301023728198366</v>
      </c>
      <c r="AD13" s="18">
        <v>6.9672289934134701</v>
      </c>
      <c r="AE13" s="12">
        <v>38.123368654789971</v>
      </c>
      <c r="AF13" s="12">
        <v>34.557244496890874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7.4976000000000003</v>
      </c>
      <c r="AO13" s="12">
        <f t="shared" si="0"/>
        <v>7.4976000000000003</v>
      </c>
    </row>
    <row r="14" spans="1:55" x14ac:dyDescent="0.2">
      <c r="A14">
        <v>21</v>
      </c>
      <c r="B14" t="s">
        <v>53</v>
      </c>
      <c r="C14" t="s">
        <v>54</v>
      </c>
      <c r="D14">
        <v>3</v>
      </c>
      <c r="E14" s="1">
        <v>44233</v>
      </c>
      <c r="F14">
        <v>1</v>
      </c>
      <c r="G14">
        <v>5</v>
      </c>
      <c r="H14">
        <v>1</v>
      </c>
      <c r="I14">
        <v>460</v>
      </c>
      <c r="J14">
        <v>50</v>
      </c>
      <c r="K14">
        <v>0.1</v>
      </c>
      <c r="L14" s="2">
        <f t="shared" si="7"/>
        <v>0.10869565217391304</v>
      </c>
      <c r="M14">
        <f>0.135*1000/20</f>
        <v>6.75</v>
      </c>
      <c r="N14">
        <v>3.4799999999999995</v>
      </c>
      <c r="O14">
        <v>2.8800000000000003</v>
      </c>
      <c r="P14" s="5">
        <v>0.41</v>
      </c>
      <c r="Q14" s="5">
        <v>0.08</v>
      </c>
      <c r="R14">
        <f t="shared" ref="R14:R36" si="8">(30/24.5)*(P14-Q14)*0.01*1000</f>
        <v>4.0408163265306118</v>
      </c>
      <c r="W14">
        <f t="shared" si="3"/>
        <v>2.5242480800416121</v>
      </c>
      <c r="X14">
        <f t="shared" ref="X14:X36" si="9">(AO14*1000/180.2)*L14/N14</f>
        <v>1.2904029394847529</v>
      </c>
      <c r="Y14">
        <f t="shared" ref="Y14:Y36" si="10">N14/23*1000*L14/N14</f>
        <v>4.7258979206049148</v>
      </c>
      <c r="Z14" s="4">
        <f t="shared" ref="Z14:Z36" si="11">100*((W14+Y14)/(6*X14))</f>
        <v>93.641887336129926</v>
      </c>
      <c r="AA14">
        <v>8.420282295754097</v>
      </c>
      <c r="AB14">
        <v>9.8308157668501828</v>
      </c>
      <c r="AC14">
        <v>9.487877796673855</v>
      </c>
      <c r="AD14">
        <v>5.4212337602728375</v>
      </c>
      <c r="AE14">
        <v>47.766898306604958</v>
      </c>
      <c r="AF14">
        <v>27.493174369598172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7.4447000000000001</v>
      </c>
      <c r="AO14">
        <f t="shared" si="0"/>
        <v>7.4447000000000001</v>
      </c>
    </row>
    <row r="15" spans="1:55" x14ac:dyDescent="0.2">
      <c r="A15">
        <v>22</v>
      </c>
      <c r="B15" t="s">
        <v>53</v>
      </c>
      <c r="C15" t="s">
        <v>54</v>
      </c>
      <c r="D15">
        <v>3</v>
      </c>
      <c r="E15" s="1">
        <v>44233</v>
      </c>
      <c r="F15">
        <v>1</v>
      </c>
      <c r="G15">
        <v>6</v>
      </c>
      <c r="H15">
        <v>2</v>
      </c>
      <c r="I15">
        <v>480</v>
      </c>
      <c r="J15">
        <v>50</v>
      </c>
      <c r="K15">
        <v>0.1</v>
      </c>
      <c r="L15" s="2">
        <f t="shared" si="7"/>
        <v>0.10416666666666667</v>
      </c>
      <c r="M15">
        <f>0.135*1000/20</f>
        <v>6.75</v>
      </c>
      <c r="N15">
        <v>3.58</v>
      </c>
      <c r="O15">
        <v>3.22</v>
      </c>
      <c r="P15" s="5">
        <v>0.4</v>
      </c>
      <c r="Q15" s="5">
        <v>0.09</v>
      </c>
      <c r="R15">
        <f t="shared" si="8"/>
        <v>3.7959183673469394</v>
      </c>
      <c r="W15">
        <f t="shared" si="3"/>
        <v>2.2089841523201463</v>
      </c>
      <c r="X15">
        <f t="shared" si="9"/>
        <v>1.202093241112193</v>
      </c>
      <c r="Y15">
        <f t="shared" si="10"/>
        <v>4.5289855072463761</v>
      </c>
      <c r="Z15" s="4">
        <f t="shared" si="11"/>
        <v>93.419953199477007</v>
      </c>
      <c r="AA15">
        <v>9.6854264683158409</v>
      </c>
      <c r="AB15">
        <v>12.101476377084271</v>
      </c>
      <c r="AC15">
        <v>9.1671747720766703</v>
      </c>
      <c r="AD15">
        <v>9.1199747381965519</v>
      </c>
      <c r="AE15">
        <v>42.70373393496758</v>
      </c>
      <c r="AF15">
        <v>26.907640177674928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7.4447000000000001</v>
      </c>
      <c r="AO15">
        <f t="shared" si="0"/>
        <v>7.4447000000000001</v>
      </c>
    </row>
    <row r="16" spans="1:55" x14ac:dyDescent="0.2">
      <c r="A16">
        <v>23</v>
      </c>
      <c r="B16" t="s">
        <v>53</v>
      </c>
      <c r="C16" t="s">
        <v>54</v>
      </c>
      <c r="D16">
        <v>3</v>
      </c>
      <c r="E16" s="1">
        <v>44233</v>
      </c>
      <c r="F16">
        <v>1</v>
      </c>
      <c r="G16">
        <v>7</v>
      </c>
      <c r="H16">
        <v>3</v>
      </c>
      <c r="I16">
        <v>470</v>
      </c>
      <c r="J16">
        <v>50</v>
      </c>
      <c r="K16">
        <v>0.1</v>
      </c>
      <c r="L16" s="2">
        <f t="shared" si="7"/>
        <v>0.10638297872340426</v>
      </c>
      <c r="M16">
        <f>0.123*1000/20</f>
        <v>6.15</v>
      </c>
      <c r="N16">
        <v>3.46</v>
      </c>
      <c r="O16">
        <v>3.3600000000000003</v>
      </c>
      <c r="P16" s="5">
        <v>0.39</v>
      </c>
      <c r="Q16" s="5">
        <v>9.5000000000000001E-2</v>
      </c>
      <c r="R16">
        <f t="shared" si="8"/>
        <v>3.6122448979591844</v>
      </c>
      <c r="W16">
        <f t="shared" si="3"/>
        <v>2.221279607649234</v>
      </c>
      <c r="X16">
        <f t="shared" si="9"/>
        <v>1.2702478326941289</v>
      </c>
      <c r="Y16">
        <f t="shared" si="10"/>
        <v>4.6253469010175756</v>
      </c>
      <c r="Z16" s="4">
        <f t="shared" si="11"/>
        <v>89.833211184538101</v>
      </c>
      <c r="AA16">
        <v>8.0233164330599642</v>
      </c>
      <c r="AB16">
        <v>11.012008711502911</v>
      </c>
      <c r="AC16">
        <v>8.7086967911476485</v>
      </c>
      <c r="AD16">
        <v>7.4050453297533805</v>
      </c>
      <c r="AE16">
        <v>45.673786835903243</v>
      </c>
      <c r="AF16">
        <v>27.200462331692819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7.4447000000000001</v>
      </c>
      <c r="AO16">
        <f t="shared" si="0"/>
        <v>7.4447000000000001</v>
      </c>
    </row>
    <row r="17" spans="1:55" s="7" customFormat="1" x14ac:dyDescent="0.2">
      <c r="A17" s="7">
        <v>24</v>
      </c>
      <c r="B17" s="7" t="s">
        <v>53</v>
      </c>
      <c r="C17" s="7" t="s">
        <v>54</v>
      </c>
      <c r="D17" s="7">
        <v>3</v>
      </c>
      <c r="E17" s="8">
        <v>44233</v>
      </c>
      <c r="F17" s="7">
        <v>1</v>
      </c>
      <c r="G17" s="7">
        <v>8</v>
      </c>
      <c r="H17" s="7">
        <v>4</v>
      </c>
      <c r="I17" s="7">
        <v>470</v>
      </c>
      <c r="J17" s="7">
        <v>50</v>
      </c>
      <c r="K17" s="7">
        <v>0.1</v>
      </c>
      <c r="L17" s="9">
        <f t="shared" si="7"/>
        <v>0.10638297872340426</v>
      </c>
      <c r="M17" s="7">
        <f>0.134*1000/20</f>
        <v>6.7</v>
      </c>
      <c r="N17" s="7">
        <v>3.7</v>
      </c>
      <c r="O17" s="7">
        <v>3.2399999999999998</v>
      </c>
      <c r="P17" s="10">
        <v>0.41</v>
      </c>
      <c r="Q17" s="10">
        <v>7.0000000000000007E-2</v>
      </c>
      <c r="R17" s="7">
        <f t="shared" si="8"/>
        <v>4.1632653061224492</v>
      </c>
      <c r="W17" s="7">
        <f t="shared" si="3"/>
        <v>2.3940571053033062</v>
      </c>
      <c r="X17" s="7">
        <f t="shared" si="9"/>
        <v>1.1878533786815366</v>
      </c>
      <c r="Y17" s="7">
        <f t="shared" si="10"/>
        <v>4.6253469010175765</v>
      </c>
      <c r="Z17" s="11">
        <f t="shared" si="11"/>
        <v>98.488642514001498</v>
      </c>
      <c r="AA17" s="7">
        <v>9.7536708481159771</v>
      </c>
      <c r="AB17" s="7">
        <v>14.378962758543553</v>
      </c>
      <c r="AC17" s="7">
        <v>8.2076486866876142</v>
      </c>
      <c r="AD17" s="7">
        <v>14.807033363069239</v>
      </c>
      <c r="AE17" s="7">
        <v>38.472014759250648</v>
      </c>
      <c r="AF17" s="7">
        <v>24.134340432448955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7.4447000000000001</v>
      </c>
      <c r="AO17" s="7">
        <f t="shared" si="0"/>
        <v>7.4447000000000001</v>
      </c>
      <c r="BC17" s="7" t="s">
        <v>52</v>
      </c>
    </row>
    <row r="18" spans="1:55" x14ac:dyDescent="0.2">
      <c r="A18">
        <v>25</v>
      </c>
      <c r="B18" t="s">
        <v>55</v>
      </c>
      <c r="C18" t="s">
        <v>54</v>
      </c>
      <c r="D18">
        <v>3</v>
      </c>
      <c r="E18" s="1">
        <v>44234</v>
      </c>
      <c r="F18">
        <v>2</v>
      </c>
      <c r="G18">
        <v>1</v>
      </c>
      <c r="H18">
        <v>1</v>
      </c>
      <c r="I18">
        <v>500</v>
      </c>
      <c r="J18">
        <v>50</v>
      </c>
      <c r="K18">
        <v>0.1</v>
      </c>
      <c r="L18" s="2">
        <f t="shared" si="7"/>
        <v>0.1</v>
      </c>
      <c r="M18">
        <f>0.122*1000/20</f>
        <v>6.1</v>
      </c>
      <c r="N18">
        <v>3.3600000000000003</v>
      </c>
      <c r="O18">
        <v>3.28</v>
      </c>
      <c r="P18" s="5">
        <v>0.37</v>
      </c>
      <c r="Q18" s="5">
        <v>0.04</v>
      </c>
      <c r="R18">
        <f t="shared" si="8"/>
        <v>4.0408163265306127</v>
      </c>
      <c r="W18">
        <f t="shared" si="3"/>
        <v>2.4052478134110786</v>
      </c>
      <c r="X18">
        <f t="shared" si="9"/>
        <v>1.2131361978753767</v>
      </c>
      <c r="Y18">
        <f t="shared" si="10"/>
        <v>4.3478260869565224</v>
      </c>
      <c r="Z18" s="4">
        <f t="shared" si="11"/>
        <v>92.77707801474368</v>
      </c>
      <c r="AA18">
        <v>6.1479534726360159</v>
      </c>
      <c r="AB18">
        <v>13.752043412085719</v>
      </c>
      <c r="AC18">
        <v>11.835281676955328</v>
      </c>
      <c r="AD18">
        <v>14.568442349452507</v>
      </c>
      <c r="AE18">
        <v>26.245391978835116</v>
      </c>
      <c r="AF18">
        <v>33.598840582671329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7.3452000000000002</v>
      </c>
      <c r="AO18">
        <f t="shared" si="0"/>
        <v>7.3452000000000002</v>
      </c>
    </row>
    <row r="19" spans="1:55" s="7" customFormat="1" x14ac:dyDescent="0.2">
      <c r="A19" s="7">
        <v>26</v>
      </c>
      <c r="B19" s="7" t="s">
        <v>55</v>
      </c>
      <c r="C19" s="7" t="s">
        <v>54</v>
      </c>
      <c r="D19" s="7">
        <v>3</v>
      </c>
      <c r="E19" s="8">
        <v>44234</v>
      </c>
      <c r="F19" s="7">
        <v>2</v>
      </c>
      <c r="G19" s="7">
        <v>2</v>
      </c>
      <c r="H19" s="7">
        <v>2</v>
      </c>
      <c r="I19" s="7">
        <v>470</v>
      </c>
      <c r="J19" s="7">
        <v>50</v>
      </c>
      <c r="K19" s="7">
        <v>0.1</v>
      </c>
      <c r="L19" s="9">
        <f t="shared" si="7"/>
        <v>0.10638297872340426</v>
      </c>
      <c r="M19" s="7">
        <f>0.128*1000/20</f>
        <v>6.4</v>
      </c>
      <c r="N19" s="7">
        <v>3.3600000000000003</v>
      </c>
      <c r="O19" s="7">
        <v>3.4200000000000004</v>
      </c>
      <c r="P19" s="10">
        <v>0.34</v>
      </c>
      <c r="Q19" s="10">
        <v>0.03</v>
      </c>
      <c r="R19" s="7">
        <f t="shared" si="8"/>
        <v>3.7959183673469394</v>
      </c>
      <c r="W19" s="7">
        <f t="shared" si="3"/>
        <v>2.4036970411264815</v>
      </c>
      <c r="X19" s="7">
        <f t="shared" si="9"/>
        <v>1.2905704232716773</v>
      </c>
      <c r="Y19" s="7">
        <f t="shared" si="10"/>
        <v>4.6253469010175765</v>
      </c>
      <c r="Z19" s="11">
        <f t="shared" si="11"/>
        <v>90.774381821088966</v>
      </c>
      <c r="AA19" s="7">
        <v>7.4195482785238323</v>
      </c>
      <c r="AB19" s="7">
        <v>18.753779210850542</v>
      </c>
      <c r="AC19" s="7">
        <v>10.36932772476607</v>
      </c>
      <c r="AD19" s="7">
        <v>22.689217619793137</v>
      </c>
      <c r="AE19" s="7">
        <v>20.20914540093834</v>
      </c>
      <c r="AF19" s="7">
        <v>27.978530043651915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7.3452000000000002</v>
      </c>
      <c r="AO19" s="7">
        <f t="shared" si="0"/>
        <v>7.3452000000000002</v>
      </c>
      <c r="BC19" s="7" t="s">
        <v>52</v>
      </c>
    </row>
    <row r="20" spans="1:55" x14ac:dyDescent="0.2">
      <c r="A20">
        <v>27</v>
      </c>
      <c r="B20" t="s">
        <v>55</v>
      </c>
      <c r="C20" t="s">
        <v>54</v>
      </c>
      <c r="D20">
        <v>3</v>
      </c>
      <c r="E20" s="1">
        <v>44234</v>
      </c>
      <c r="F20">
        <v>2</v>
      </c>
      <c r="G20">
        <v>3</v>
      </c>
      <c r="H20">
        <v>3</v>
      </c>
      <c r="I20">
        <v>470</v>
      </c>
      <c r="J20">
        <v>50</v>
      </c>
      <c r="K20">
        <v>0.1</v>
      </c>
      <c r="L20" s="2">
        <f t="shared" si="7"/>
        <v>0.10638297872340426</v>
      </c>
      <c r="M20">
        <f>0.12*1000/20</f>
        <v>6</v>
      </c>
      <c r="N20">
        <v>3.6</v>
      </c>
      <c r="O20">
        <v>3.38</v>
      </c>
      <c r="P20" s="5">
        <v>0.34</v>
      </c>
      <c r="Q20" s="5">
        <v>0.04</v>
      </c>
      <c r="R20">
        <f t="shared" si="8"/>
        <v>3.6734693877551026</v>
      </c>
      <c r="W20">
        <f t="shared" si="3"/>
        <v>2.1710811984368217</v>
      </c>
      <c r="X20">
        <f t="shared" si="9"/>
        <v>1.2045323950535656</v>
      </c>
      <c r="Y20">
        <f t="shared" si="10"/>
        <v>4.6253469010175765</v>
      </c>
      <c r="Z20" s="4">
        <f t="shared" si="11"/>
        <v>94.039647354221643</v>
      </c>
      <c r="AA20">
        <v>7.1749478568146046</v>
      </c>
      <c r="AB20">
        <v>16.638028289507371</v>
      </c>
      <c r="AC20">
        <v>11.870145074823011</v>
      </c>
      <c r="AD20">
        <v>20.85425213272719</v>
      </c>
      <c r="AE20">
        <v>21.556759681111547</v>
      </c>
      <c r="AF20">
        <v>29.080814821830892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7.3452000000000002</v>
      </c>
      <c r="AO20">
        <f t="shared" si="0"/>
        <v>7.3452000000000002</v>
      </c>
    </row>
    <row r="21" spans="1:55" x14ac:dyDescent="0.2">
      <c r="A21">
        <v>28</v>
      </c>
      <c r="B21" t="s">
        <v>55</v>
      </c>
      <c r="C21" t="s">
        <v>54</v>
      </c>
      <c r="D21">
        <v>3</v>
      </c>
      <c r="E21" s="1">
        <v>44234</v>
      </c>
      <c r="F21">
        <v>2</v>
      </c>
      <c r="G21">
        <v>4</v>
      </c>
      <c r="H21">
        <v>4</v>
      </c>
      <c r="I21">
        <v>480</v>
      </c>
      <c r="J21">
        <v>50</v>
      </c>
      <c r="K21">
        <v>0.1</v>
      </c>
      <c r="L21" s="2">
        <f t="shared" si="7"/>
        <v>0.10416666666666667</v>
      </c>
      <c r="M21">
        <f>0.122*1000/20</f>
        <v>6.1</v>
      </c>
      <c r="N21">
        <v>3.6</v>
      </c>
      <c r="O21">
        <v>2.96</v>
      </c>
      <c r="P21" s="5">
        <v>0.35</v>
      </c>
      <c r="Q21" s="5">
        <v>0.04</v>
      </c>
      <c r="R21">
        <f t="shared" si="8"/>
        <v>3.795918367346939</v>
      </c>
      <c r="W21">
        <f t="shared" si="3"/>
        <v>2.1967120181405897</v>
      </c>
      <c r="X21">
        <f t="shared" si="9"/>
        <v>1.1794379701566162</v>
      </c>
      <c r="Y21">
        <f t="shared" si="10"/>
        <v>4.5289855072463769</v>
      </c>
      <c r="Z21" s="4">
        <f t="shared" si="11"/>
        <v>95.040995451049014</v>
      </c>
      <c r="AA21">
        <v>7.2254976883542028</v>
      </c>
      <c r="AB21">
        <v>15.351749268705159</v>
      </c>
      <c r="AC21">
        <v>11.728530674007606</v>
      </c>
      <c r="AD21">
        <v>16.994781135831442</v>
      </c>
      <c r="AE21">
        <v>23.38769119968827</v>
      </c>
      <c r="AF21">
        <v>32.537247721767514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7.3452000000000002</v>
      </c>
      <c r="AO21">
        <f t="shared" si="0"/>
        <v>7.3452000000000002</v>
      </c>
    </row>
    <row r="22" spans="1:55" s="7" customFormat="1" x14ac:dyDescent="0.2">
      <c r="A22" s="7">
        <v>29</v>
      </c>
      <c r="B22" s="7" t="s">
        <v>53</v>
      </c>
      <c r="C22" s="7" t="s">
        <v>51</v>
      </c>
      <c r="D22" s="7">
        <v>3</v>
      </c>
      <c r="E22" s="8">
        <v>44241</v>
      </c>
      <c r="F22" s="7">
        <v>1</v>
      </c>
      <c r="G22" s="7">
        <v>5</v>
      </c>
      <c r="H22" s="7">
        <v>1</v>
      </c>
      <c r="I22" s="7">
        <v>450</v>
      </c>
      <c r="J22" s="7">
        <v>50</v>
      </c>
      <c r="K22" s="7">
        <v>0.1</v>
      </c>
      <c r="L22" s="9">
        <f t="shared" si="7"/>
        <v>0.1111111111111111</v>
      </c>
      <c r="M22" s="7">
        <f>0.135*1000/20</f>
        <v>6.75</v>
      </c>
      <c r="N22" s="7">
        <v>3.5399999999999996</v>
      </c>
      <c r="O22" s="7">
        <v>3.14</v>
      </c>
      <c r="P22" s="10">
        <v>0.39</v>
      </c>
      <c r="Q22" s="10">
        <v>0.03</v>
      </c>
      <c r="R22" s="7">
        <f t="shared" si="8"/>
        <v>4.4081632653061229</v>
      </c>
      <c r="W22" s="7">
        <f t="shared" si="3"/>
        <v>2.7672085783465934</v>
      </c>
      <c r="X22" s="7">
        <f t="shared" si="9"/>
        <v>1.3005532668242656</v>
      </c>
      <c r="Y22" s="7">
        <f t="shared" si="10"/>
        <v>4.8309178743961354</v>
      </c>
      <c r="Z22" s="11">
        <f t="shared" si="11"/>
        <v>97.370437727835736</v>
      </c>
      <c r="AA22" s="7">
        <v>11.46735321716835</v>
      </c>
      <c r="AB22" s="7">
        <v>15.43200459897902</v>
      </c>
      <c r="AC22" s="7">
        <v>8.8107976716902101</v>
      </c>
      <c r="AD22" s="7">
        <v>17.65215026886537</v>
      </c>
      <c r="AE22" s="7">
        <v>35.155007898466735</v>
      </c>
      <c r="AF22" s="7">
        <v>22.950039561998668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7.4667000000000003</v>
      </c>
      <c r="AO22" s="7">
        <f t="shared" si="0"/>
        <v>7.4667000000000003</v>
      </c>
      <c r="BC22" s="7" t="s">
        <v>52</v>
      </c>
    </row>
    <row r="23" spans="1:55" x14ac:dyDescent="0.2">
      <c r="A23">
        <v>30</v>
      </c>
      <c r="B23" t="s">
        <v>53</v>
      </c>
      <c r="C23" t="s">
        <v>51</v>
      </c>
      <c r="D23">
        <v>3</v>
      </c>
      <c r="E23" s="1">
        <v>44241</v>
      </c>
      <c r="F23">
        <v>1</v>
      </c>
      <c r="G23">
        <v>6</v>
      </c>
      <c r="H23">
        <v>2</v>
      </c>
      <c r="I23">
        <v>480</v>
      </c>
      <c r="J23">
        <v>50</v>
      </c>
      <c r="K23">
        <v>0.1</v>
      </c>
      <c r="L23" s="2">
        <f t="shared" si="7"/>
        <v>0.10416666666666667</v>
      </c>
      <c r="M23">
        <f>0.135*1000/20</f>
        <v>6.75</v>
      </c>
      <c r="N23">
        <v>3.56</v>
      </c>
      <c r="O23">
        <v>3.1</v>
      </c>
      <c r="P23" s="5">
        <v>0.4</v>
      </c>
      <c r="Q23" s="5">
        <v>0.03</v>
      </c>
      <c r="R23">
        <f t="shared" si="8"/>
        <v>4.5306122448979593</v>
      </c>
      <c r="W23">
        <f t="shared" si="3"/>
        <v>2.6513414354505849</v>
      </c>
      <c r="X23">
        <f t="shared" si="9"/>
        <v>1.2124188635598401</v>
      </c>
      <c r="Y23">
        <f t="shared" si="10"/>
        <v>4.5289855072463769</v>
      </c>
      <c r="Z23" s="4">
        <f t="shared" si="11"/>
        <v>98.705257158603672</v>
      </c>
      <c r="AA23">
        <v>9.7882823111808168</v>
      </c>
      <c r="AB23">
        <v>10.801588100234003</v>
      </c>
      <c r="AC23">
        <v>9.0115694467841756</v>
      </c>
      <c r="AD23">
        <v>8.2190038037487181</v>
      </c>
      <c r="AE23">
        <v>44.769640249364492</v>
      </c>
      <c r="AF23">
        <v>27.198198399868616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7.4667000000000003</v>
      </c>
      <c r="AO23">
        <f t="shared" si="0"/>
        <v>7.4667000000000003</v>
      </c>
    </row>
    <row r="24" spans="1:55" x14ac:dyDescent="0.2">
      <c r="A24">
        <v>31</v>
      </c>
      <c r="B24" t="s">
        <v>53</v>
      </c>
      <c r="C24" t="s">
        <v>51</v>
      </c>
      <c r="D24">
        <v>3</v>
      </c>
      <c r="E24" s="1">
        <v>44241</v>
      </c>
      <c r="F24">
        <v>1</v>
      </c>
      <c r="G24">
        <v>7</v>
      </c>
      <c r="H24">
        <v>3</v>
      </c>
      <c r="I24">
        <v>480</v>
      </c>
      <c r="J24">
        <v>50</v>
      </c>
      <c r="K24">
        <v>0.1</v>
      </c>
      <c r="L24" s="2">
        <f t="shared" si="7"/>
        <v>0.10416666666666667</v>
      </c>
      <c r="M24">
        <f>0.132*1000/20</f>
        <v>6.6</v>
      </c>
      <c r="N24">
        <v>3.38</v>
      </c>
      <c r="O24">
        <v>2.9</v>
      </c>
      <c r="P24" s="5">
        <v>0.41</v>
      </c>
      <c r="Q24" s="5">
        <v>0.04</v>
      </c>
      <c r="R24">
        <f t="shared" si="8"/>
        <v>4.5306122448979593</v>
      </c>
      <c r="W24">
        <f t="shared" si="3"/>
        <v>2.7925371331964741</v>
      </c>
      <c r="X24">
        <f t="shared" si="9"/>
        <v>1.2769855486014885</v>
      </c>
      <c r="Y24">
        <f t="shared" si="10"/>
        <v>4.5289855072463769</v>
      </c>
      <c r="Z24" s="4">
        <f t="shared" si="11"/>
        <v>95.557367484974478</v>
      </c>
      <c r="AA24">
        <v>9.1504349511140557</v>
      </c>
      <c r="AB24">
        <v>10.864557146499388</v>
      </c>
      <c r="AC24">
        <v>9.4036686260447837</v>
      </c>
      <c r="AD24">
        <v>7.4728529304743772</v>
      </c>
      <c r="AE24">
        <v>46.371513669479945</v>
      </c>
      <c r="AF24">
        <v>25.887407627501503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7.4667000000000003</v>
      </c>
      <c r="AO24">
        <f t="shared" si="0"/>
        <v>7.4667000000000003</v>
      </c>
    </row>
    <row r="25" spans="1:55" x14ac:dyDescent="0.2">
      <c r="A25">
        <v>32</v>
      </c>
      <c r="B25" t="s">
        <v>53</v>
      </c>
      <c r="C25" t="s">
        <v>51</v>
      </c>
      <c r="D25">
        <v>3</v>
      </c>
      <c r="E25" s="1">
        <v>44241</v>
      </c>
      <c r="F25">
        <v>1</v>
      </c>
      <c r="G25">
        <v>8</v>
      </c>
      <c r="H25">
        <v>4</v>
      </c>
      <c r="I25">
        <v>480</v>
      </c>
      <c r="J25">
        <v>50</v>
      </c>
      <c r="K25">
        <v>0.1</v>
      </c>
      <c r="L25" s="2">
        <f t="shared" si="7"/>
        <v>0.10416666666666667</v>
      </c>
      <c r="M25">
        <f>0.129*1000/20</f>
        <v>6.45</v>
      </c>
      <c r="N25">
        <v>3.4799999999999995</v>
      </c>
      <c r="O25">
        <v>3.2</v>
      </c>
      <c r="P25" s="5">
        <v>0.42</v>
      </c>
      <c r="Q25" s="5">
        <v>0.03</v>
      </c>
      <c r="R25">
        <f t="shared" si="8"/>
        <v>4.7755102040816331</v>
      </c>
      <c r="W25">
        <f t="shared" si="3"/>
        <v>2.8589021815622804</v>
      </c>
      <c r="X25">
        <f t="shared" si="9"/>
        <v>1.2402905615727102</v>
      </c>
      <c r="Y25">
        <f t="shared" si="10"/>
        <v>4.5289855072463769</v>
      </c>
      <c r="Z25" s="4">
        <f t="shared" si="11"/>
        <v>99.276302904386711</v>
      </c>
      <c r="AA25">
        <v>8.83235787928745</v>
      </c>
      <c r="AB25">
        <v>11.158463267288882</v>
      </c>
      <c r="AC25">
        <v>10.563305526045113</v>
      </c>
      <c r="AD25">
        <v>6.6786375716620539</v>
      </c>
      <c r="AE25">
        <v>43.964140149103898</v>
      </c>
      <c r="AF25">
        <v>27.635453485900065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7.4667000000000003</v>
      </c>
      <c r="AO25">
        <f t="shared" si="0"/>
        <v>7.4667000000000003</v>
      </c>
    </row>
    <row r="26" spans="1:55" x14ac:dyDescent="0.2">
      <c r="A26">
        <v>33</v>
      </c>
      <c r="B26" t="s">
        <v>50</v>
      </c>
      <c r="C26" t="s">
        <v>51</v>
      </c>
      <c r="D26">
        <v>3</v>
      </c>
      <c r="E26" s="1">
        <v>44241</v>
      </c>
      <c r="F26">
        <v>1</v>
      </c>
      <c r="G26">
        <v>1</v>
      </c>
      <c r="H26">
        <v>1</v>
      </c>
      <c r="I26">
        <v>490</v>
      </c>
      <c r="J26">
        <v>50</v>
      </c>
      <c r="K26">
        <v>0.1</v>
      </c>
      <c r="L26" s="2">
        <f t="shared" si="7"/>
        <v>0.10204081632653061</v>
      </c>
      <c r="M26">
        <f>0.13*1000/20</f>
        <v>6.5</v>
      </c>
      <c r="N26">
        <v>3.84</v>
      </c>
      <c r="O26">
        <v>3.28</v>
      </c>
      <c r="P26" s="5">
        <v>0.41</v>
      </c>
      <c r="Q26" s="5">
        <v>0.03</v>
      </c>
      <c r="R26">
        <f t="shared" si="8"/>
        <v>4.6530612244897966</v>
      </c>
      <c r="W26">
        <f t="shared" si="3"/>
        <v>2.4729279466888801</v>
      </c>
      <c r="X26">
        <f t="shared" si="9"/>
        <v>1.0936568023435791</v>
      </c>
      <c r="Y26">
        <f t="shared" si="10"/>
        <v>4.4365572315882869</v>
      </c>
      <c r="Z26" s="4">
        <f t="shared" si="11"/>
        <v>105.29636542089722</v>
      </c>
      <c r="AA26">
        <v>5.7830979896251637</v>
      </c>
      <c r="AB26">
        <v>10.747222470742336</v>
      </c>
      <c r="AC26">
        <v>12.197705398978838</v>
      </c>
      <c r="AD26">
        <v>6.2853662925883276</v>
      </c>
      <c r="AE26">
        <v>36.518771885234131</v>
      </c>
      <c r="AF26">
        <v>34.250933952456371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7.4164000000000003</v>
      </c>
      <c r="AO26">
        <f t="shared" si="0"/>
        <v>7.4164000000000003</v>
      </c>
    </row>
    <row r="27" spans="1:55" s="7" customFormat="1" x14ac:dyDescent="0.2">
      <c r="A27" s="7">
        <v>34</v>
      </c>
      <c r="B27" s="7" t="s">
        <v>50</v>
      </c>
      <c r="C27" s="7" t="s">
        <v>51</v>
      </c>
      <c r="D27" s="7">
        <v>3</v>
      </c>
      <c r="E27" s="8">
        <v>44241</v>
      </c>
      <c r="F27" s="7">
        <v>1</v>
      </c>
      <c r="G27" s="7">
        <v>2</v>
      </c>
      <c r="H27" s="7">
        <v>2</v>
      </c>
      <c r="I27" s="7">
        <v>450</v>
      </c>
      <c r="J27" s="7">
        <v>50</v>
      </c>
      <c r="K27" s="7">
        <v>0.1</v>
      </c>
      <c r="L27" s="9">
        <f t="shared" si="7"/>
        <v>0.1111111111111111</v>
      </c>
      <c r="M27" s="7">
        <f>0.127*1000/20</f>
        <v>6.35</v>
      </c>
      <c r="N27" s="7">
        <v>3.8200000000000003</v>
      </c>
      <c r="O27" s="7">
        <v>3.3600000000000003</v>
      </c>
      <c r="P27" s="10">
        <v>0.41</v>
      </c>
      <c r="Q27" s="10">
        <v>0.03</v>
      </c>
      <c r="R27" s="7">
        <f t="shared" si="8"/>
        <v>4.6530612244897966</v>
      </c>
      <c r="W27" s="7">
        <f t="shared" si="3"/>
        <v>2.7068418990632903</v>
      </c>
      <c r="X27" s="7">
        <f t="shared" si="9"/>
        <v>1.1971056656717152</v>
      </c>
      <c r="Y27" s="7">
        <f t="shared" si="10"/>
        <v>4.8309178743961336</v>
      </c>
      <c r="Z27" s="11">
        <f t="shared" si="11"/>
        <v>104.94422769870062</v>
      </c>
      <c r="AA27" s="7">
        <v>5.0367781509360023</v>
      </c>
      <c r="AB27" s="7">
        <v>10.083490068909123</v>
      </c>
      <c r="AC27" s="7">
        <v>9.9339026899495764</v>
      </c>
      <c r="AD27" s="7">
        <v>4.5439008857645913</v>
      </c>
      <c r="AE27" s="7">
        <v>39.360167461491152</v>
      </c>
      <c r="AF27" s="7">
        <v>36.078538893885558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7.4164000000000003</v>
      </c>
      <c r="AO27" s="7">
        <f t="shared" si="0"/>
        <v>7.4164000000000003</v>
      </c>
      <c r="BC27" s="7" t="s">
        <v>52</v>
      </c>
    </row>
    <row r="28" spans="1:55" x14ac:dyDescent="0.2">
      <c r="A28">
        <v>35</v>
      </c>
      <c r="B28" t="s">
        <v>50</v>
      </c>
      <c r="C28" t="s">
        <v>51</v>
      </c>
      <c r="D28">
        <v>3</v>
      </c>
      <c r="E28" s="1">
        <v>44241</v>
      </c>
      <c r="F28">
        <v>1</v>
      </c>
      <c r="G28">
        <v>3</v>
      </c>
      <c r="H28">
        <v>3</v>
      </c>
      <c r="I28">
        <v>495</v>
      </c>
      <c r="J28">
        <v>50</v>
      </c>
      <c r="K28">
        <v>0.1</v>
      </c>
      <c r="L28" s="2">
        <f t="shared" si="7"/>
        <v>0.10101010101010101</v>
      </c>
      <c r="M28">
        <f>0.124*1000/20</f>
        <v>6.2</v>
      </c>
      <c r="N28">
        <v>3.3200000000000003</v>
      </c>
      <c r="O28">
        <v>3.6200000000000006</v>
      </c>
      <c r="P28" s="5">
        <v>0.41</v>
      </c>
      <c r="Q28" s="5">
        <v>0.03</v>
      </c>
      <c r="R28">
        <f t="shared" si="8"/>
        <v>4.6530612244897966</v>
      </c>
      <c r="W28">
        <f t="shared" si="3"/>
        <v>2.8313625559752928</v>
      </c>
      <c r="X28">
        <f t="shared" si="9"/>
        <v>1.2521751486489463</v>
      </c>
      <c r="Y28">
        <f t="shared" si="10"/>
        <v>4.391743522178305</v>
      </c>
      <c r="Z28" s="4">
        <f t="shared" si="11"/>
        <v>96.140784643786716</v>
      </c>
      <c r="AA28">
        <v>5.1670025838983289</v>
      </c>
      <c r="AB28">
        <v>10.175960814586087</v>
      </c>
      <c r="AC28">
        <v>11.109550146297865</v>
      </c>
      <c r="AD28">
        <v>3.3885789178645389</v>
      </c>
      <c r="AE28">
        <v>35.776597669237759</v>
      </c>
      <c r="AF28">
        <v>39.549312452013766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7.4164000000000003</v>
      </c>
      <c r="AO28">
        <f t="shared" si="0"/>
        <v>7.4164000000000003</v>
      </c>
    </row>
    <row r="29" spans="1:55" x14ac:dyDescent="0.2">
      <c r="A29">
        <v>36</v>
      </c>
      <c r="B29" t="s">
        <v>50</v>
      </c>
      <c r="C29" t="s">
        <v>51</v>
      </c>
      <c r="D29">
        <v>3</v>
      </c>
      <c r="E29" s="1">
        <v>44241</v>
      </c>
      <c r="F29">
        <v>1</v>
      </c>
      <c r="G29">
        <v>4</v>
      </c>
      <c r="H29">
        <v>4</v>
      </c>
      <c r="I29">
        <v>475</v>
      </c>
      <c r="J29">
        <v>50</v>
      </c>
      <c r="K29">
        <v>0.1</v>
      </c>
      <c r="L29" s="2">
        <f t="shared" si="7"/>
        <v>0.10526315789473684</v>
      </c>
      <c r="M29">
        <f>0.129*1000/20</f>
        <v>6.45</v>
      </c>
      <c r="N29">
        <v>3.7799999999999994</v>
      </c>
      <c r="O29">
        <v>3.22</v>
      </c>
      <c r="P29" s="5">
        <v>0.41</v>
      </c>
      <c r="Q29" s="5">
        <v>0.03</v>
      </c>
      <c r="R29">
        <f t="shared" si="8"/>
        <v>4.6530612244897966</v>
      </c>
      <c r="W29">
        <f t="shared" si="3"/>
        <v>2.5915127955944293</v>
      </c>
      <c r="X29">
        <f t="shared" si="9"/>
        <v>1.146101163625552</v>
      </c>
      <c r="Y29">
        <f t="shared" si="10"/>
        <v>4.5766590389016022</v>
      </c>
      <c r="Z29" s="4">
        <f t="shared" si="11"/>
        <v>104.23995225430754</v>
      </c>
      <c r="AA29">
        <v>5.2313942276045875</v>
      </c>
      <c r="AB29">
        <v>11.471142900643374</v>
      </c>
      <c r="AC29">
        <v>10.959669675166513</v>
      </c>
      <c r="AD29">
        <v>5.2675416771773635</v>
      </c>
      <c r="AE29">
        <v>37.419433327696424</v>
      </c>
      <c r="AF29">
        <v>34.882212419316332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7.4164000000000003</v>
      </c>
      <c r="AO29">
        <f t="shared" si="0"/>
        <v>7.4164000000000003</v>
      </c>
    </row>
    <row r="30" spans="1:55" x14ac:dyDescent="0.2">
      <c r="A30">
        <v>37</v>
      </c>
      <c r="B30" t="s">
        <v>55</v>
      </c>
      <c r="C30" t="s">
        <v>51</v>
      </c>
      <c r="D30">
        <v>3</v>
      </c>
      <c r="E30" s="1">
        <v>44241</v>
      </c>
      <c r="F30">
        <v>2</v>
      </c>
      <c r="G30">
        <v>1</v>
      </c>
      <c r="H30">
        <v>1</v>
      </c>
      <c r="I30">
        <v>460</v>
      </c>
      <c r="J30">
        <v>50</v>
      </c>
      <c r="K30">
        <v>0.1</v>
      </c>
      <c r="L30" s="2">
        <f t="shared" si="7"/>
        <v>0.10869565217391304</v>
      </c>
      <c r="M30">
        <f>0.118*1000/20</f>
        <v>5.9</v>
      </c>
      <c r="N30">
        <v>3.7399999999999998</v>
      </c>
      <c r="O30">
        <v>4.0600000000000005</v>
      </c>
      <c r="P30" s="5">
        <v>0.42</v>
      </c>
      <c r="Q30" s="5">
        <v>0.03</v>
      </c>
      <c r="R30">
        <f t="shared" si="8"/>
        <v>4.7755102040816331</v>
      </c>
      <c r="W30">
        <f t="shared" si="3"/>
        <v>2.7758138828653993</v>
      </c>
      <c r="X30">
        <f t="shared" si="9"/>
        <v>1.1943090177774007</v>
      </c>
      <c r="Y30">
        <f t="shared" si="10"/>
        <v>4.7258979206049148</v>
      </c>
      <c r="Z30" s="4">
        <f t="shared" si="11"/>
        <v>104.68691787198898</v>
      </c>
      <c r="AA30">
        <v>4.0032247986298763</v>
      </c>
      <c r="AB30">
        <v>9.0673478910108631</v>
      </c>
      <c r="AC30">
        <v>15.243961744588438</v>
      </c>
      <c r="AD30">
        <v>2.1130630713468186</v>
      </c>
      <c r="AE30">
        <v>31.479061899082883</v>
      </c>
      <c r="AF30">
        <v>42.096565393970998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7.4051</v>
      </c>
      <c r="AO30">
        <f t="shared" si="0"/>
        <v>7.4051</v>
      </c>
    </row>
    <row r="31" spans="1:55" x14ac:dyDescent="0.2">
      <c r="A31">
        <v>38</v>
      </c>
      <c r="B31" t="s">
        <v>55</v>
      </c>
      <c r="C31" t="s">
        <v>51</v>
      </c>
      <c r="D31">
        <v>3</v>
      </c>
      <c r="E31" s="1">
        <v>44241</v>
      </c>
      <c r="F31">
        <v>2</v>
      </c>
      <c r="G31">
        <v>2</v>
      </c>
      <c r="H31">
        <v>2</v>
      </c>
      <c r="I31">
        <v>480</v>
      </c>
      <c r="J31">
        <v>50</v>
      </c>
      <c r="K31">
        <v>0.1</v>
      </c>
      <c r="L31" s="2">
        <f t="shared" si="7"/>
        <v>0.10416666666666667</v>
      </c>
      <c r="M31">
        <f>0.123*1000/20</f>
        <v>6.15</v>
      </c>
      <c r="N31">
        <v>3.8600000000000003</v>
      </c>
      <c r="O31">
        <v>3.8</v>
      </c>
      <c r="P31" s="5">
        <v>0.4</v>
      </c>
      <c r="Q31" s="5">
        <v>0.03</v>
      </c>
      <c r="R31">
        <f t="shared" si="8"/>
        <v>4.5306122448979593</v>
      </c>
      <c r="W31">
        <f t="shared" si="3"/>
        <v>2.4452786295865496</v>
      </c>
      <c r="X31">
        <f t="shared" si="9"/>
        <v>1.1089643966883851</v>
      </c>
      <c r="Y31">
        <f t="shared" si="10"/>
        <v>4.5289855072463778</v>
      </c>
      <c r="Z31" s="4">
        <f t="shared" si="11"/>
        <v>104.8164719814215</v>
      </c>
      <c r="AA31">
        <v>4.0220236255070532</v>
      </c>
      <c r="AB31">
        <v>9.1252868971304846</v>
      </c>
      <c r="AC31">
        <v>13.880489196248513</v>
      </c>
      <c r="AD31">
        <v>2.7940376164957028</v>
      </c>
      <c r="AE31">
        <v>32.532311232719088</v>
      </c>
      <c r="AF31">
        <v>41.667875057406199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7.4051</v>
      </c>
      <c r="AO31">
        <f t="shared" si="0"/>
        <v>7.4051</v>
      </c>
    </row>
    <row r="32" spans="1:55" x14ac:dyDescent="0.2">
      <c r="A32">
        <v>40</v>
      </c>
      <c r="B32" t="s">
        <v>55</v>
      </c>
      <c r="C32" t="s">
        <v>51</v>
      </c>
      <c r="D32">
        <v>3</v>
      </c>
      <c r="E32" s="1">
        <v>44241</v>
      </c>
      <c r="F32">
        <v>2</v>
      </c>
      <c r="G32">
        <v>4</v>
      </c>
      <c r="H32">
        <v>4</v>
      </c>
      <c r="I32">
        <v>500</v>
      </c>
      <c r="J32">
        <v>50</v>
      </c>
      <c r="K32">
        <v>0.1</v>
      </c>
      <c r="L32" s="2">
        <f t="shared" si="7"/>
        <v>0.1</v>
      </c>
      <c r="M32">
        <f>0.119*1000/20</f>
        <v>5.95</v>
      </c>
      <c r="N32">
        <v>3.7600000000000002</v>
      </c>
      <c r="O32">
        <v>3.5</v>
      </c>
      <c r="P32" s="5">
        <v>0.43</v>
      </c>
      <c r="Q32" s="5">
        <v>0.04</v>
      </c>
      <c r="R32">
        <f t="shared" si="8"/>
        <v>4.7755102040816331</v>
      </c>
      <c r="W32">
        <f t="shared" si="3"/>
        <v>2.5401650021710811</v>
      </c>
      <c r="X32">
        <f t="shared" si="9"/>
        <v>1.0929198054171489</v>
      </c>
      <c r="Y32">
        <f t="shared" si="10"/>
        <v>4.3478260869565224</v>
      </c>
      <c r="Z32" s="4">
        <f t="shared" si="11"/>
        <v>105.03959294766638</v>
      </c>
      <c r="AA32">
        <v>4.5907136227583738</v>
      </c>
      <c r="AB32">
        <v>10.707311579482361</v>
      </c>
      <c r="AC32">
        <v>14.006963601933595</v>
      </c>
      <c r="AD32">
        <v>5.212486254755043</v>
      </c>
      <c r="AE32">
        <v>30.558020977063912</v>
      </c>
      <c r="AF32">
        <v>39.51521758676509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7.4051</v>
      </c>
      <c r="AO32">
        <f t="shared" si="0"/>
        <v>7.4051</v>
      </c>
    </row>
    <row r="33" spans="1:55" x14ac:dyDescent="0.2">
      <c r="A33">
        <v>41</v>
      </c>
      <c r="B33" t="s">
        <v>55</v>
      </c>
      <c r="C33" t="s">
        <v>51</v>
      </c>
      <c r="D33">
        <v>116</v>
      </c>
      <c r="E33" s="1">
        <v>44241</v>
      </c>
      <c r="F33">
        <v>2</v>
      </c>
      <c r="G33">
        <v>5</v>
      </c>
      <c r="H33">
        <v>1</v>
      </c>
      <c r="I33">
        <v>480</v>
      </c>
      <c r="J33">
        <v>50</v>
      </c>
      <c r="K33">
        <v>0.1</v>
      </c>
      <c r="L33" s="2">
        <f t="shared" si="7"/>
        <v>0.10416666666666667</v>
      </c>
      <c r="M33">
        <f>0.081*1000/50</f>
        <v>1.62</v>
      </c>
      <c r="N33">
        <v>1.42</v>
      </c>
      <c r="O33">
        <v>0.96</v>
      </c>
      <c r="P33" s="5">
        <v>0.25</v>
      </c>
      <c r="Q33" s="5">
        <v>0.03</v>
      </c>
      <c r="R33">
        <f t="shared" si="8"/>
        <v>2.6938775510204085</v>
      </c>
      <c r="W33">
        <f t="shared" si="3"/>
        <v>3.9522851394078766</v>
      </c>
      <c r="X33">
        <f t="shared" si="9"/>
        <v>1.5781890752580612</v>
      </c>
      <c r="Y33">
        <f t="shared" si="10"/>
        <v>4.5289855072463769</v>
      </c>
      <c r="Z33" s="4">
        <f t="shared" si="11"/>
        <v>89.567538512112051</v>
      </c>
      <c r="AA33">
        <v>5.3138836457935286</v>
      </c>
      <c r="AB33">
        <v>22.137486061315638</v>
      </c>
      <c r="AC33">
        <v>12.076097301096585</v>
      </c>
      <c r="AD33">
        <v>15.982347456696036</v>
      </c>
      <c r="AE33">
        <v>10.079182578721843</v>
      </c>
      <c r="AF33">
        <v>39.724886602169903</v>
      </c>
      <c r="AG33">
        <v>0</v>
      </c>
      <c r="AH33">
        <v>20.826899999999998</v>
      </c>
      <c r="AI33">
        <v>3.0499999999999999E-2</v>
      </c>
      <c r="AJ33">
        <v>0</v>
      </c>
      <c r="AK33">
        <v>0</v>
      </c>
      <c r="AL33">
        <v>0</v>
      </c>
      <c r="AM33">
        <v>0</v>
      </c>
      <c r="AN33">
        <v>24.703700000000001</v>
      </c>
      <c r="AO33">
        <f t="shared" si="0"/>
        <v>3.8768000000000029</v>
      </c>
    </row>
    <row r="34" spans="1:55" s="7" customFormat="1" x14ac:dyDescent="0.2">
      <c r="A34" s="7">
        <v>42</v>
      </c>
      <c r="B34" s="7" t="s">
        <v>55</v>
      </c>
      <c r="C34" s="7" t="s">
        <v>51</v>
      </c>
      <c r="D34" s="7">
        <v>116</v>
      </c>
      <c r="E34" s="8">
        <v>44241</v>
      </c>
      <c r="F34" s="7">
        <v>2</v>
      </c>
      <c r="G34" s="7">
        <v>6</v>
      </c>
      <c r="H34" s="7">
        <v>2</v>
      </c>
      <c r="I34" s="7">
        <v>500</v>
      </c>
      <c r="J34" s="7">
        <v>50</v>
      </c>
      <c r="K34" s="7">
        <v>0.1</v>
      </c>
      <c r="L34" s="9">
        <f t="shared" si="7"/>
        <v>0.1</v>
      </c>
      <c r="M34" s="7">
        <f>0.085*1000/50</f>
        <v>1.7</v>
      </c>
      <c r="N34" s="17">
        <v>0.86</v>
      </c>
      <c r="O34" s="7">
        <v>1.06</v>
      </c>
      <c r="P34" s="10">
        <v>0.24</v>
      </c>
      <c r="Q34" s="10">
        <v>0.04</v>
      </c>
      <c r="R34" s="7">
        <f t="shared" si="8"/>
        <v>2.4489795918367347</v>
      </c>
      <c r="W34" s="7">
        <f t="shared" si="3"/>
        <v>5.6953013763644993</v>
      </c>
      <c r="X34" s="7">
        <f>(AO34*1000/180.2)*L34/N34</f>
        <v>2.5130991404898957</v>
      </c>
      <c r="Y34" s="7">
        <f t="shared" si="10"/>
        <v>4.3478260869565224</v>
      </c>
      <c r="Z34" s="11">
        <f t="shared" si="11"/>
        <v>66.605194767360999</v>
      </c>
      <c r="AA34" s="7">
        <v>5.3789451490565199</v>
      </c>
      <c r="AB34" s="7">
        <v>22.251689987547881</v>
      </c>
      <c r="AC34" s="7">
        <v>11.240522951884174</v>
      </c>
      <c r="AD34" s="7">
        <v>17.31348884712251</v>
      </c>
      <c r="AE34" s="7">
        <v>9.0396536455022396</v>
      </c>
      <c r="AF34" s="7">
        <v>40.154644567943194</v>
      </c>
      <c r="AG34" s="7">
        <v>0</v>
      </c>
      <c r="AH34" s="7">
        <v>20.809100000000001</v>
      </c>
      <c r="AI34" s="7">
        <v>2.8500000000000001E-2</v>
      </c>
      <c r="AJ34" s="7">
        <v>0</v>
      </c>
      <c r="AK34" s="7">
        <v>0</v>
      </c>
      <c r="AL34" s="7">
        <v>0</v>
      </c>
      <c r="AM34" s="7">
        <v>0</v>
      </c>
      <c r="AN34" s="7">
        <v>24.703700000000001</v>
      </c>
      <c r="AO34" s="7">
        <f t="shared" si="0"/>
        <v>3.8946000000000005</v>
      </c>
      <c r="BC34" s="7" t="s">
        <v>52</v>
      </c>
    </row>
    <row r="35" spans="1:55" x14ac:dyDescent="0.2">
      <c r="A35">
        <v>43</v>
      </c>
      <c r="B35" t="s">
        <v>55</v>
      </c>
      <c r="C35" t="s">
        <v>51</v>
      </c>
      <c r="D35">
        <v>116</v>
      </c>
      <c r="E35" s="1">
        <v>44241</v>
      </c>
      <c r="F35">
        <v>2</v>
      </c>
      <c r="G35">
        <v>7</v>
      </c>
      <c r="H35">
        <v>3</v>
      </c>
      <c r="I35">
        <v>460</v>
      </c>
      <c r="J35">
        <v>50</v>
      </c>
      <c r="K35">
        <v>0.1</v>
      </c>
      <c r="L35" s="2">
        <f t="shared" si="7"/>
        <v>0.10869565217391304</v>
      </c>
      <c r="M35">
        <f>0.095*1000/50</f>
        <v>1.9</v>
      </c>
      <c r="N35">
        <v>1.6800000000000002</v>
      </c>
      <c r="O35">
        <v>1.04</v>
      </c>
      <c r="P35" s="5">
        <v>0.23</v>
      </c>
      <c r="Q35" s="5">
        <v>0.03</v>
      </c>
      <c r="R35">
        <f t="shared" si="8"/>
        <v>2.4489795918367352</v>
      </c>
      <c r="W35">
        <f t="shared" si="3"/>
        <v>3.1689694511344917</v>
      </c>
      <c r="X35">
        <f t="shared" si="9"/>
        <v>1.3638658909010692</v>
      </c>
      <c r="Y35">
        <f t="shared" si="10"/>
        <v>4.7258979206049148</v>
      </c>
      <c r="Z35" s="4">
        <f t="shared" si="11"/>
        <v>96.476584494235979</v>
      </c>
      <c r="AA35">
        <v>6.5346949480252947</v>
      </c>
      <c r="AB35">
        <v>23.228530070056973</v>
      </c>
      <c r="AC35">
        <v>11.902954473745634</v>
      </c>
      <c r="AD35">
        <v>13.772853677056643</v>
      </c>
      <c r="AE35">
        <v>8.8624018311745587</v>
      </c>
      <c r="AF35">
        <v>42.233259947966204</v>
      </c>
      <c r="AG35">
        <v>0</v>
      </c>
      <c r="AH35">
        <v>20.905100000000001</v>
      </c>
      <c r="AI35">
        <v>3.78E-2</v>
      </c>
      <c r="AJ35">
        <v>0</v>
      </c>
      <c r="AK35">
        <v>0</v>
      </c>
      <c r="AL35">
        <v>0</v>
      </c>
      <c r="AM35">
        <v>0</v>
      </c>
      <c r="AN35">
        <v>24.703700000000001</v>
      </c>
      <c r="AO35">
        <f t="shared" si="0"/>
        <v>3.7986000000000004</v>
      </c>
    </row>
    <row r="36" spans="1:55" x14ac:dyDescent="0.2">
      <c r="A36">
        <v>44</v>
      </c>
      <c r="B36" t="s">
        <v>55</v>
      </c>
      <c r="C36" t="s">
        <v>51</v>
      </c>
      <c r="D36">
        <v>116</v>
      </c>
      <c r="E36" s="1">
        <v>44241</v>
      </c>
      <c r="F36">
        <v>2</v>
      </c>
      <c r="G36">
        <v>8</v>
      </c>
      <c r="H36">
        <v>4</v>
      </c>
      <c r="I36">
        <v>490</v>
      </c>
      <c r="J36">
        <v>50</v>
      </c>
      <c r="K36">
        <v>0.1</v>
      </c>
      <c r="L36" s="2">
        <f t="shared" si="7"/>
        <v>0.10204081632653061</v>
      </c>
      <c r="M36">
        <f>0.096*1000/50</f>
        <v>1.92</v>
      </c>
      <c r="N36">
        <v>1.6600000000000001</v>
      </c>
      <c r="O36">
        <v>1.04</v>
      </c>
      <c r="P36" s="5">
        <v>0.23</v>
      </c>
      <c r="Q36" s="5">
        <v>0.03</v>
      </c>
      <c r="R36">
        <f t="shared" si="8"/>
        <v>2.4489795918367352</v>
      </c>
      <c r="W36">
        <f t="shared" si="3"/>
        <v>3.0107936953980019</v>
      </c>
      <c r="X36">
        <f t="shared" si="9"/>
        <v>1.3543607941016831</v>
      </c>
      <c r="Y36">
        <f t="shared" si="10"/>
        <v>4.4365572315882869</v>
      </c>
      <c r="Z36" s="4">
        <f t="shared" si="11"/>
        <v>91.646565664283813</v>
      </c>
      <c r="AA36">
        <v>5.4113788989544425</v>
      </c>
      <c r="AB36">
        <v>22.311079124529101</v>
      </c>
      <c r="AC36">
        <v>6.8777081638544093</v>
      </c>
      <c r="AD36">
        <v>21.838463812835283</v>
      </c>
      <c r="AE36">
        <v>9.637386814602559</v>
      </c>
      <c r="AF36">
        <v>39.335362084178655</v>
      </c>
      <c r="AG36">
        <v>0</v>
      </c>
      <c r="AH36">
        <v>20.7334</v>
      </c>
      <c r="AI36">
        <v>2.7900000000000001E-2</v>
      </c>
      <c r="AJ36">
        <v>0</v>
      </c>
      <c r="AK36">
        <v>0</v>
      </c>
      <c r="AL36">
        <v>0</v>
      </c>
      <c r="AM36">
        <v>0</v>
      </c>
      <c r="AN36">
        <v>24.703700000000001</v>
      </c>
      <c r="AO36">
        <f t="shared" si="0"/>
        <v>3.9703000000000017</v>
      </c>
    </row>
    <row r="37" spans="1:55" x14ac:dyDescent="0.2">
      <c r="B37" t="s">
        <v>53</v>
      </c>
      <c r="C37" t="s">
        <v>54</v>
      </c>
      <c r="D37">
        <v>116</v>
      </c>
      <c r="E37" s="1">
        <v>43850</v>
      </c>
      <c r="F37">
        <v>1</v>
      </c>
      <c r="G37">
        <v>1</v>
      </c>
      <c r="H37">
        <v>1</v>
      </c>
      <c r="I37">
        <v>500</v>
      </c>
      <c r="J37">
        <v>30</v>
      </c>
      <c r="K37">
        <v>0.06</v>
      </c>
      <c r="L37" s="2">
        <f t="shared" ref="L37:L53" si="12">J37/I37</f>
        <v>0.06</v>
      </c>
      <c r="M37">
        <v>6.04</v>
      </c>
      <c r="N37">
        <v>3.5840000000000005</v>
      </c>
      <c r="Z37" s="4"/>
      <c r="AA37">
        <v>26.291692072453156</v>
      </c>
      <c r="AB37">
        <v>6.5837774955875021</v>
      </c>
      <c r="AC37">
        <v>20.878240905462686</v>
      </c>
      <c r="AD37">
        <v>7.8207573870733054</v>
      </c>
      <c r="AE37">
        <v>51.726233353738394</v>
      </c>
      <c r="AF37">
        <v>12.990990858138115</v>
      </c>
      <c r="AG37">
        <v>0</v>
      </c>
      <c r="AH37">
        <v>16.0806</v>
      </c>
      <c r="AI37">
        <v>0</v>
      </c>
      <c r="AJ37" s="4">
        <v>0</v>
      </c>
      <c r="AK37" s="4">
        <v>0</v>
      </c>
      <c r="AL37" s="4">
        <v>1.034</v>
      </c>
      <c r="AM37">
        <v>0</v>
      </c>
      <c r="AN37">
        <v>26.361999999999998</v>
      </c>
      <c r="AO37">
        <f t="shared" ref="AO37:AO65" si="13">AN37-AH37</f>
        <v>10.281399999999998</v>
      </c>
      <c r="BC37" t="s">
        <v>56</v>
      </c>
    </row>
    <row r="38" spans="1:55" x14ac:dyDescent="0.2">
      <c r="B38" t="s">
        <v>53</v>
      </c>
      <c r="C38" t="s">
        <v>54</v>
      </c>
      <c r="D38">
        <v>116</v>
      </c>
      <c r="E38" s="1">
        <v>43850</v>
      </c>
      <c r="F38">
        <v>1</v>
      </c>
      <c r="G38">
        <v>2</v>
      </c>
      <c r="H38">
        <v>2</v>
      </c>
      <c r="I38">
        <v>495</v>
      </c>
      <c r="J38">
        <v>30</v>
      </c>
      <c r="K38">
        <v>0.06</v>
      </c>
      <c r="L38" s="2">
        <f t="shared" si="12"/>
        <v>6.0606060606060608E-2</v>
      </c>
      <c r="M38">
        <v>5.6</v>
      </c>
      <c r="N38">
        <v>3.4319999999999995</v>
      </c>
      <c r="Z38" s="4"/>
      <c r="AA38">
        <v>26.43657491889573</v>
      </c>
      <c r="AB38">
        <v>6.8710835050953625</v>
      </c>
      <c r="AC38">
        <v>20.866771326170557</v>
      </c>
      <c r="AD38">
        <v>8.6010141288751516</v>
      </c>
      <c r="AE38">
        <v>50.854766880685773</v>
      </c>
      <c r="AF38">
        <v>12.806364159173162</v>
      </c>
      <c r="AG38">
        <v>0</v>
      </c>
      <c r="AH38">
        <v>16.5946</v>
      </c>
      <c r="AI38">
        <v>0</v>
      </c>
      <c r="AJ38" s="4">
        <v>0</v>
      </c>
      <c r="AK38" s="4">
        <v>0.34300000000000003</v>
      </c>
      <c r="AL38" s="4">
        <v>0.91559999999999997</v>
      </c>
      <c r="AM38">
        <v>0</v>
      </c>
      <c r="AN38">
        <v>26.361999999999998</v>
      </c>
      <c r="AO38">
        <f t="shared" si="13"/>
        <v>9.7673999999999985</v>
      </c>
      <c r="BC38" t="s">
        <v>56</v>
      </c>
    </row>
    <row r="39" spans="1:55" x14ac:dyDescent="0.2">
      <c r="B39" t="s">
        <v>53</v>
      </c>
      <c r="C39" t="s">
        <v>54</v>
      </c>
      <c r="D39">
        <v>116</v>
      </c>
      <c r="E39" s="1">
        <v>43850</v>
      </c>
      <c r="F39">
        <v>1</v>
      </c>
      <c r="G39">
        <v>3</v>
      </c>
      <c r="H39">
        <v>3</v>
      </c>
      <c r="I39">
        <v>500</v>
      </c>
      <c r="J39">
        <v>30</v>
      </c>
      <c r="K39">
        <v>0.06</v>
      </c>
      <c r="L39" s="2">
        <f t="shared" si="12"/>
        <v>0.06</v>
      </c>
      <c r="M39">
        <v>6</v>
      </c>
      <c r="N39">
        <v>3.4460000000000006</v>
      </c>
      <c r="Z39" s="4"/>
      <c r="AA39">
        <v>26.607210221473188</v>
      </c>
      <c r="AB39">
        <v>7.0544191101309526</v>
      </c>
      <c r="AC39">
        <v>20.828313402972366</v>
      </c>
      <c r="AD39">
        <v>8.7943715031270546</v>
      </c>
      <c r="AE39">
        <v>50.408796214961441</v>
      </c>
      <c r="AF39">
        <v>12.914099768808196</v>
      </c>
      <c r="AG39">
        <v>0</v>
      </c>
      <c r="AH39">
        <v>16.596399999999999</v>
      </c>
      <c r="AI39">
        <v>0</v>
      </c>
      <c r="AJ39" s="4">
        <v>0</v>
      </c>
      <c r="AK39" s="4">
        <v>0</v>
      </c>
      <c r="AL39" s="4">
        <v>0.99539999999999995</v>
      </c>
      <c r="AM39">
        <v>0</v>
      </c>
      <c r="AN39">
        <v>26.361999999999998</v>
      </c>
      <c r="AO39">
        <f t="shared" si="13"/>
        <v>9.7655999999999992</v>
      </c>
      <c r="BC39" t="s">
        <v>56</v>
      </c>
    </row>
    <row r="40" spans="1:55" x14ac:dyDescent="0.2">
      <c r="B40" t="s">
        <v>53</v>
      </c>
      <c r="C40" t="s">
        <v>54</v>
      </c>
      <c r="D40">
        <v>116</v>
      </c>
      <c r="E40" s="1">
        <v>44093</v>
      </c>
      <c r="F40">
        <v>1</v>
      </c>
      <c r="G40">
        <v>5</v>
      </c>
      <c r="H40">
        <v>1</v>
      </c>
      <c r="I40">
        <v>490</v>
      </c>
      <c r="J40">
        <v>50</v>
      </c>
      <c r="K40">
        <v>0.1</v>
      </c>
      <c r="L40" s="2">
        <f t="shared" si="12"/>
        <v>0.10204081632653061</v>
      </c>
      <c r="M40">
        <f>20*0.208</f>
        <v>4.16</v>
      </c>
      <c r="N40">
        <v>2.2560000000000002</v>
      </c>
      <c r="Z40" s="4"/>
      <c r="AA40">
        <v>17.923953894873033</v>
      </c>
      <c r="AB40">
        <v>6.6562106781599306</v>
      </c>
      <c r="AC40">
        <v>6.6562106781599306</v>
      </c>
      <c r="AD40">
        <v>11.230599772903988</v>
      </c>
      <c r="AE40">
        <v>68.279759545318853</v>
      </c>
      <c r="AF40">
        <v>7.1772193254572976</v>
      </c>
      <c r="AG40">
        <v>4.4000000000000003E-3</v>
      </c>
      <c r="AH40">
        <v>20.064800000000002</v>
      </c>
      <c r="AI40">
        <v>0</v>
      </c>
      <c r="AJ40" s="4">
        <v>0</v>
      </c>
      <c r="AK40" s="4">
        <v>4.9280399999999999E-3</v>
      </c>
      <c r="AL40" s="4">
        <v>0</v>
      </c>
      <c r="AM40">
        <v>0</v>
      </c>
      <c r="AN40">
        <v>25.604600000000001</v>
      </c>
      <c r="AO40">
        <f t="shared" si="13"/>
        <v>5.5397999999999996</v>
      </c>
      <c r="BC40" t="s">
        <v>56</v>
      </c>
    </row>
    <row r="41" spans="1:55" x14ac:dyDescent="0.2">
      <c r="B41" t="s">
        <v>53</v>
      </c>
      <c r="C41" t="s">
        <v>54</v>
      </c>
      <c r="D41">
        <v>116</v>
      </c>
      <c r="E41" s="1">
        <v>44093</v>
      </c>
      <c r="F41">
        <v>1</v>
      </c>
      <c r="G41">
        <v>6</v>
      </c>
      <c r="H41">
        <v>2</v>
      </c>
      <c r="I41">
        <v>480</v>
      </c>
      <c r="J41">
        <v>50</v>
      </c>
      <c r="K41">
        <v>0.1</v>
      </c>
      <c r="L41" s="2">
        <f t="shared" si="12"/>
        <v>0.10416666666666667</v>
      </c>
      <c r="M41">
        <f>20*0.211</f>
        <v>4.22</v>
      </c>
      <c r="N41">
        <v>2.2659999999999996</v>
      </c>
      <c r="Z41" s="4"/>
      <c r="AA41">
        <v>17.88570141820496</v>
      </c>
      <c r="AB41">
        <v>6.186199463148518</v>
      </c>
      <c r="AC41">
        <v>6.186199463148518</v>
      </c>
      <c r="AD41">
        <v>12.887234358448355</v>
      </c>
      <c r="AE41">
        <v>67.447457392562271</v>
      </c>
      <c r="AF41">
        <v>7.292909322692342</v>
      </c>
      <c r="AG41">
        <v>0</v>
      </c>
      <c r="AH41">
        <v>20.5916</v>
      </c>
      <c r="AI41">
        <v>0</v>
      </c>
      <c r="AJ41" s="4">
        <v>0</v>
      </c>
      <c r="AK41" s="4">
        <v>7.784100000000001E-4</v>
      </c>
      <c r="AL41" s="4">
        <v>0</v>
      </c>
      <c r="AM41">
        <v>0</v>
      </c>
      <c r="AN41">
        <v>25.604600000000001</v>
      </c>
      <c r="AO41">
        <f t="shared" si="13"/>
        <v>5.0130000000000017</v>
      </c>
      <c r="BC41" t="s">
        <v>56</v>
      </c>
    </row>
    <row r="42" spans="1:55" x14ac:dyDescent="0.2">
      <c r="B42" t="s">
        <v>53</v>
      </c>
      <c r="C42" t="s">
        <v>54</v>
      </c>
      <c r="D42">
        <v>116</v>
      </c>
      <c r="E42" s="1">
        <v>44093</v>
      </c>
      <c r="F42">
        <v>1</v>
      </c>
      <c r="G42">
        <v>7</v>
      </c>
      <c r="H42">
        <v>3</v>
      </c>
      <c r="I42">
        <v>500</v>
      </c>
      <c r="J42">
        <v>50</v>
      </c>
      <c r="K42">
        <v>0.1</v>
      </c>
      <c r="L42" s="2">
        <f t="shared" si="12"/>
        <v>0.1</v>
      </c>
      <c r="M42">
        <f>20*0.206</f>
        <v>4.12</v>
      </c>
      <c r="N42">
        <v>2.5240000000000009</v>
      </c>
      <c r="Z42" s="4"/>
      <c r="AA42">
        <v>18.135845612605749</v>
      </c>
      <c r="AB42">
        <v>7.029349311765154</v>
      </c>
      <c r="AC42">
        <v>7.029349311765154</v>
      </c>
      <c r="AD42">
        <v>11.865351473154098</v>
      </c>
      <c r="AE42">
        <v>66.675099095294172</v>
      </c>
      <c r="AF42">
        <v>7.4008508080214241</v>
      </c>
      <c r="AG42">
        <v>2.5999999999999999E-3</v>
      </c>
      <c r="AH42">
        <v>20.531600000000001</v>
      </c>
      <c r="AI42">
        <v>0</v>
      </c>
      <c r="AJ42" s="4">
        <v>0</v>
      </c>
      <c r="AK42" s="4">
        <v>0</v>
      </c>
      <c r="AL42" s="4">
        <v>0</v>
      </c>
      <c r="AM42">
        <v>0</v>
      </c>
      <c r="AN42">
        <v>25.604600000000001</v>
      </c>
      <c r="AO42">
        <f t="shared" si="13"/>
        <v>5.0730000000000004</v>
      </c>
      <c r="BC42" t="s">
        <v>56</v>
      </c>
    </row>
    <row r="43" spans="1:55" x14ac:dyDescent="0.2">
      <c r="B43" t="s">
        <v>50</v>
      </c>
      <c r="C43" t="s">
        <v>54</v>
      </c>
      <c r="D43">
        <v>116</v>
      </c>
      <c r="E43" s="1">
        <v>44062</v>
      </c>
      <c r="F43">
        <v>1</v>
      </c>
      <c r="G43">
        <v>2</v>
      </c>
      <c r="H43">
        <v>1</v>
      </c>
      <c r="I43">
        <v>490</v>
      </c>
      <c r="J43">
        <v>30</v>
      </c>
      <c r="K43">
        <v>0.06</v>
      </c>
      <c r="L43" s="2">
        <f t="shared" si="12"/>
        <v>6.1224489795918366E-2</v>
      </c>
      <c r="M43">
        <v>3.8</v>
      </c>
      <c r="N43">
        <v>2.4</v>
      </c>
      <c r="Z43" s="4"/>
      <c r="AA43">
        <v>7.5906174051373831</v>
      </c>
      <c r="AB43" s="4">
        <v>8.8786810016015938</v>
      </c>
      <c r="AC43" s="4">
        <v>16.944728499888832</v>
      </c>
      <c r="AD43" s="4">
        <v>23.131655200546522</v>
      </c>
      <c r="AE43" s="4">
        <v>44.410610129662672</v>
      </c>
      <c r="AF43" s="4">
        <v>6.6343251683003794</v>
      </c>
      <c r="AG43">
        <v>0</v>
      </c>
      <c r="AH43">
        <v>19.873799999999999</v>
      </c>
      <c r="AI43">
        <v>0</v>
      </c>
      <c r="AJ43" s="4">
        <v>0</v>
      </c>
      <c r="AK43" s="4">
        <v>6.0600000000000001E-2</v>
      </c>
      <c r="AL43" s="4">
        <v>0</v>
      </c>
      <c r="AM43">
        <v>0</v>
      </c>
      <c r="AN43">
        <v>24.7788</v>
      </c>
      <c r="AO43">
        <f t="shared" si="13"/>
        <v>4.9050000000000011</v>
      </c>
      <c r="BC43" t="s">
        <v>56</v>
      </c>
    </row>
    <row r="44" spans="1:55" x14ac:dyDescent="0.2">
      <c r="B44" t="s">
        <v>50</v>
      </c>
      <c r="C44" t="s">
        <v>54</v>
      </c>
      <c r="D44">
        <v>116</v>
      </c>
      <c r="E44" s="1">
        <v>44062</v>
      </c>
      <c r="F44">
        <v>1</v>
      </c>
      <c r="G44">
        <v>7</v>
      </c>
      <c r="H44">
        <v>2</v>
      </c>
      <c r="I44">
        <v>490</v>
      </c>
      <c r="J44">
        <v>30</v>
      </c>
      <c r="K44">
        <v>0.06</v>
      </c>
      <c r="L44" s="2">
        <f t="shared" si="12"/>
        <v>6.1224489795918366E-2</v>
      </c>
      <c r="M44">
        <v>4.04</v>
      </c>
      <c r="N44">
        <v>2.2000000000000002</v>
      </c>
      <c r="Z44" s="4"/>
      <c r="AA44">
        <v>8.4457752642030908</v>
      </c>
      <c r="AB44">
        <v>9.8659029539823688</v>
      </c>
      <c r="AC44">
        <v>17.67100651639851</v>
      </c>
      <c r="AD44">
        <v>23.201731198513304</v>
      </c>
      <c r="AE44">
        <v>42.408244737965838</v>
      </c>
      <c r="AF44">
        <v>6.8531145931399733</v>
      </c>
      <c r="AG44">
        <v>2.8799999999999999E-2</v>
      </c>
      <c r="AH44">
        <v>19.689399999999999</v>
      </c>
      <c r="AI44">
        <v>0</v>
      </c>
      <c r="AJ44" s="4">
        <v>0</v>
      </c>
      <c r="AK44" s="4">
        <v>0</v>
      </c>
      <c r="AL44" s="4">
        <v>0</v>
      </c>
      <c r="AM44">
        <v>0</v>
      </c>
      <c r="AN44">
        <v>24.7788</v>
      </c>
      <c r="AO44">
        <f t="shared" si="13"/>
        <v>5.0894000000000013</v>
      </c>
      <c r="BC44" t="s">
        <v>56</v>
      </c>
    </row>
    <row r="45" spans="1:55" x14ac:dyDescent="0.2">
      <c r="B45" t="s">
        <v>50</v>
      </c>
      <c r="C45" t="s">
        <v>54</v>
      </c>
      <c r="D45">
        <v>116</v>
      </c>
      <c r="E45" s="1">
        <v>44062</v>
      </c>
      <c r="F45">
        <v>1</v>
      </c>
      <c r="G45">
        <v>8</v>
      </c>
      <c r="H45">
        <v>3</v>
      </c>
      <c r="I45">
        <v>480</v>
      </c>
      <c r="J45">
        <v>30</v>
      </c>
      <c r="K45">
        <v>0.06</v>
      </c>
      <c r="L45" s="2">
        <f t="shared" si="12"/>
        <v>6.25E-2</v>
      </c>
      <c r="M45">
        <v>4.04</v>
      </c>
      <c r="N45">
        <v>2.4</v>
      </c>
      <c r="Z45" s="4"/>
      <c r="AA45">
        <v>7.8507880392335485</v>
      </c>
      <c r="AB45">
        <v>9.4311533626300648</v>
      </c>
      <c r="AC45">
        <v>16.558152574709965</v>
      </c>
      <c r="AD45">
        <v>24.077009033297365</v>
      </c>
      <c r="AE45">
        <v>43.106015405428074</v>
      </c>
      <c r="AF45">
        <v>6.8276696239345274</v>
      </c>
      <c r="AG45">
        <v>1.84E-2</v>
      </c>
      <c r="AH45">
        <v>19.8474</v>
      </c>
      <c r="AI45">
        <v>0</v>
      </c>
      <c r="AJ45" s="4">
        <v>0</v>
      </c>
      <c r="AK45" s="4">
        <v>0.16919999999999999</v>
      </c>
      <c r="AL45" s="4">
        <v>0</v>
      </c>
      <c r="AM45">
        <v>0</v>
      </c>
      <c r="AN45">
        <v>24.7788</v>
      </c>
      <c r="AO45">
        <f t="shared" si="13"/>
        <v>4.9314</v>
      </c>
      <c r="BC45" t="s">
        <v>56</v>
      </c>
    </row>
    <row r="46" spans="1:55" x14ac:dyDescent="0.2">
      <c r="B46" t="s">
        <v>55</v>
      </c>
      <c r="C46" t="s">
        <v>54</v>
      </c>
      <c r="D46">
        <v>116</v>
      </c>
      <c r="E46" s="1">
        <v>44125</v>
      </c>
      <c r="F46">
        <v>1</v>
      </c>
      <c r="G46">
        <v>6</v>
      </c>
      <c r="H46">
        <v>1</v>
      </c>
      <c r="I46">
        <v>495</v>
      </c>
      <c r="J46">
        <v>30</v>
      </c>
      <c r="K46">
        <v>0.06</v>
      </c>
      <c r="L46" s="2">
        <f t="shared" si="12"/>
        <v>6.0606060606060608E-2</v>
      </c>
      <c r="M46">
        <f>20*0.114</f>
        <v>2.2800000000000002</v>
      </c>
      <c r="N46">
        <v>2.0799999999999983</v>
      </c>
      <c r="Z46" s="4"/>
      <c r="AA46">
        <v>2.4023534823745973</v>
      </c>
      <c r="AB46">
        <v>11.948146706592256</v>
      </c>
      <c r="AC46">
        <v>17.955911351857033</v>
      </c>
      <c r="AD46">
        <v>47.168307907475707</v>
      </c>
      <c r="AE46">
        <v>22.289381627437411</v>
      </c>
      <c r="AF46">
        <v>0.63825240663759186</v>
      </c>
      <c r="AG46">
        <v>0.33119999999999999</v>
      </c>
      <c r="AH46">
        <v>21.045000000000002</v>
      </c>
      <c r="AI46">
        <v>2.2000000000000001E-3</v>
      </c>
      <c r="AJ46">
        <v>0</v>
      </c>
      <c r="AK46" s="4">
        <v>0</v>
      </c>
      <c r="AL46">
        <v>0</v>
      </c>
      <c r="AM46">
        <v>0</v>
      </c>
      <c r="AN46">
        <v>26.157599999999999</v>
      </c>
      <c r="AO46">
        <f t="shared" si="13"/>
        <v>5.1125999999999969</v>
      </c>
      <c r="BC46" t="s">
        <v>56</v>
      </c>
    </row>
    <row r="47" spans="1:55" x14ac:dyDescent="0.2">
      <c r="B47" t="s">
        <v>55</v>
      </c>
      <c r="C47" t="s">
        <v>54</v>
      </c>
      <c r="D47">
        <v>116</v>
      </c>
      <c r="E47" s="1">
        <v>44125</v>
      </c>
      <c r="F47">
        <v>1</v>
      </c>
      <c r="G47">
        <v>7</v>
      </c>
      <c r="H47">
        <v>2</v>
      </c>
      <c r="I47">
        <v>480</v>
      </c>
      <c r="J47">
        <v>30</v>
      </c>
      <c r="K47">
        <v>0.06</v>
      </c>
      <c r="L47" s="2">
        <f t="shared" si="12"/>
        <v>6.25E-2</v>
      </c>
      <c r="M47">
        <f>20*0.111</f>
        <v>2.2200000000000002</v>
      </c>
      <c r="N47">
        <v>2.2620000000000005</v>
      </c>
      <c r="Z47" s="4"/>
      <c r="AA47">
        <v>2.0090816820184356</v>
      </c>
      <c r="AB47">
        <v>12.02617762078815</v>
      </c>
      <c r="AC47">
        <v>18.240948718714336</v>
      </c>
      <c r="AD47">
        <v>50.445417043483445</v>
      </c>
      <c r="AE47">
        <v>18.723680054324085</v>
      </c>
      <c r="AF47">
        <v>0.56377656268997811</v>
      </c>
      <c r="AG47">
        <v>0.32800000000000001</v>
      </c>
      <c r="AH47">
        <v>20.811</v>
      </c>
      <c r="AI47">
        <v>1.8E-3</v>
      </c>
      <c r="AJ47">
        <v>0</v>
      </c>
      <c r="AK47" s="4">
        <v>0</v>
      </c>
      <c r="AL47">
        <v>0</v>
      </c>
      <c r="AM47">
        <v>0</v>
      </c>
      <c r="AN47">
        <v>26.157599999999999</v>
      </c>
      <c r="AO47">
        <f t="shared" si="13"/>
        <v>5.3465999999999987</v>
      </c>
      <c r="BC47" t="s">
        <v>57</v>
      </c>
    </row>
    <row r="48" spans="1:55" x14ac:dyDescent="0.2">
      <c r="B48" t="s">
        <v>55</v>
      </c>
      <c r="C48" t="s">
        <v>54</v>
      </c>
      <c r="D48">
        <v>116</v>
      </c>
      <c r="E48" s="1">
        <v>44125</v>
      </c>
      <c r="F48">
        <v>1</v>
      </c>
      <c r="G48">
        <v>8</v>
      </c>
      <c r="H48">
        <v>3</v>
      </c>
      <c r="I48">
        <v>490</v>
      </c>
      <c r="J48">
        <v>30</v>
      </c>
      <c r="K48">
        <v>0.06</v>
      </c>
      <c r="L48" s="2">
        <f t="shared" si="12"/>
        <v>6.1224489795918366E-2</v>
      </c>
      <c r="M48">
        <f>20*0.117</f>
        <v>2.3400000000000003</v>
      </c>
      <c r="N48">
        <v>2.1019999999999981</v>
      </c>
      <c r="Z48" s="4"/>
      <c r="AA48">
        <v>2.3284276812888423</v>
      </c>
      <c r="AB48">
        <v>12.594637724014198</v>
      </c>
      <c r="AC48">
        <v>18.032198454114919</v>
      </c>
      <c r="AD48">
        <v>47.764045825379128</v>
      </c>
      <c r="AE48">
        <v>19.865482135368477</v>
      </c>
      <c r="AF48">
        <v>1.7436358611232674</v>
      </c>
      <c r="AG48">
        <v>0.32279999999999998</v>
      </c>
      <c r="AH48">
        <v>20.635200000000001</v>
      </c>
      <c r="AI48">
        <v>2E-3</v>
      </c>
      <c r="AJ48">
        <v>0</v>
      </c>
      <c r="AK48">
        <v>9.2399999999999996E-2</v>
      </c>
      <c r="AL48">
        <v>0</v>
      </c>
      <c r="AM48">
        <v>0</v>
      </c>
      <c r="AN48">
        <v>26.157599999999999</v>
      </c>
      <c r="AO48">
        <f t="shared" si="13"/>
        <v>5.5223999999999975</v>
      </c>
      <c r="BC48" t="s">
        <v>56</v>
      </c>
    </row>
    <row r="49" spans="1:73" s="6" customFormat="1" x14ac:dyDescent="0.2">
      <c r="A49"/>
      <c r="B49" s="3" t="s">
        <v>55</v>
      </c>
      <c r="C49" t="s">
        <v>54</v>
      </c>
      <c r="D49">
        <v>116</v>
      </c>
      <c r="E49" s="1">
        <v>44173</v>
      </c>
      <c r="F49">
        <v>1</v>
      </c>
      <c r="G49">
        <v>1</v>
      </c>
      <c r="H49" s="21">
        <v>1</v>
      </c>
      <c r="I49">
        <v>470</v>
      </c>
      <c r="J49">
        <v>50</v>
      </c>
      <c r="K49">
        <v>0.1</v>
      </c>
      <c r="L49" s="2">
        <f t="shared" si="12"/>
        <v>0.10638297872340426</v>
      </c>
      <c r="M49">
        <v>1.58</v>
      </c>
      <c r="N49">
        <v>1.514</v>
      </c>
      <c r="O49" t="s">
        <v>58</v>
      </c>
      <c r="P49" s="4">
        <v>0.21</v>
      </c>
      <c r="Q49" s="4">
        <v>0.03</v>
      </c>
      <c r="R49">
        <f t="shared" ref="R49:R56" si="14">(30/24.5)*(P49-Q49)*0.01*1000</f>
        <v>2.2040816326530615</v>
      </c>
      <c r="S49"/>
      <c r="T49"/>
      <c r="U49"/>
      <c r="V49"/>
      <c r="W49">
        <f t="shared" ref="W49:W56" si="15">R49/(N49*I49)*1000</f>
        <v>3.0974474165280941</v>
      </c>
      <c r="X49">
        <f t="shared" ref="X49:X56" si="16">(AO49*1000/180.2)*L49/N49</f>
        <v>1.4279785501174351</v>
      </c>
      <c r="Y49">
        <f t="shared" ref="Y49:Y56" si="17">N49/23*1000*L49/N49</f>
        <v>4.6253469010175774</v>
      </c>
      <c r="Z49" s="4">
        <f t="shared" ref="Z49:Z56" si="18">100*((W49+Y49)/(6*X49))</f>
        <v>90.136675102840996</v>
      </c>
      <c r="AA49" s="93" t="s">
        <v>59</v>
      </c>
      <c r="AB49" s="93"/>
      <c r="AC49" s="93"/>
      <c r="AD49" s="93"/>
      <c r="AE49" s="93"/>
      <c r="AF49" s="93"/>
      <c r="AG49">
        <v>1.4500000000000001E-2</v>
      </c>
      <c r="AH49">
        <v>21.852399999999999</v>
      </c>
      <c r="AI49">
        <v>1.67E-2</v>
      </c>
      <c r="AJ49">
        <v>0</v>
      </c>
      <c r="AK49">
        <v>1.17E-2</v>
      </c>
      <c r="AL49">
        <v>0</v>
      </c>
      <c r="AM49">
        <v>2.9999999999999997E-4</v>
      </c>
      <c r="AN49">
        <v>25.514500000000002</v>
      </c>
      <c r="AO49">
        <f t="shared" si="13"/>
        <v>3.6621000000000024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s">
        <v>60</v>
      </c>
      <c r="BD49" t="s">
        <v>61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</row>
    <row r="50" spans="1:73" s="6" customFormat="1" x14ac:dyDescent="0.2">
      <c r="A50"/>
      <c r="B50" s="3" t="s">
        <v>55</v>
      </c>
      <c r="C50" t="s">
        <v>54</v>
      </c>
      <c r="D50">
        <v>116</v>
      </c>
      <c r="E50" s="1">
        <v>44173</v>
      </c>
      <c r="F50">
        <v>1</v>
      </c>
      <c r="G50">
        <v>2</v>
      </c>
      <c r="H50" s="21">
        <v>2</v>
      </c>
      <c r="I50">
        <v>480</v>
      </c>
      <c r="J50">
        <v>50</v>
      </c>
      <c r="K50">
        <v>0.1</v>
      </c>
      <c r="L50" s="2">
        <f t="shared" si="12"/>
        <v>0.10416666666666667</v>
      </c>
      <c r="M50">
        <v>1.6</v>
      </c>
      <c r="N50">
        <v>1.536</v>
      </c>
      <c r="O50" t="s">
        <v>58</v>
      </c>
      <c r="P50" s="4">
        <v>0.22</v>
      </c>
      <c r="Q50" s="4">
        <v>0.03</v>
      </c>
      <c r="R50">
        <f t="shared" si="14"/>
        <v>2.3265306122448983</v>
      </c>
      <c r="S50"/>
      <c r="T50"/>
      <c r="U50"/>
      <c r="V50"/>
      <c r="W50">
        <f t="shared" si="15"/>
        <v>3.1555590986394564</v>
      </c>
      <c r="X50">
        <f t="shared" si="16"/>
        <v>1.5596744237691151</v>
      </c>
      <c r="Y50">
        <f t="shared" si="17"/>
        <v>4.5289855072463778</v>
      </c>
      <c r="Z50" s="4">
        <f t="shared" si="18"/>
        <v>82.11697356806188</v>
      </c>
      <c r="AA50" s="93"/>
      <c r="AB50" s="93"/>
      <c r="AC50" s="93"/>
      <c r="AD50" s="93"/>
      <c r="AE50" s="93"/>
      <c r="AF50" s="93"/>
      <c r="AG50">
        <v>1.2699999999999999E-2</v>
      </c>
      <c r="AH50">
        <v>21.370200000000001</v>
      </c>
      <c r="AI50">
        <v>1.8700000000000001E-2</v>
      </c>
      <c r="AJ50">
        <v>0</v>
      </c>
      <c r="AK50">
        <v>3.0000000000000001E-3</v>
      </c>
      <c r="AL50">
        <v>0</v>
      </c>
      <c r="AM50">
        <v>5.9999999999999995E-4</v>
      </c>
      <c r="AN50">
        <v>25.514500000000002</v>
      </c>
      <c r="AO50">
        <f t="shared" si="13"/>
        <v>4.1443000000000012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60</v>
      </c>
      <c r="BD50" t="s">
        <v>61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</row>
    <row r="51" spans="1:73" s="6" customFormat="1" x14ac:dyDescent="0.2">
      <c r="A51"/>
      <c r="B51" s="3" t="s">
        <v>55</v>
      </c>
      <c r="C51" t="s">
        <v>54</v>
      </c>
      <c r="D51">
        <v>116</v>
      </c>
      <c r="E51" s="1">
        <v>44173</v>
      </c>
      <c r="F51">
        <v>1</v>
      </c>
      <c r="G51">
        <v>3</v>
      </c>
      <c r="H51">
        <v>3</v>
      </c>
      <c r="I51">
        <v>500</v>
      </c>
      <c r="J51">
        <v>50</v>
      </c>
      <c r="K51">
        <v>0.1</v>
      </c>
      <c r="L51" s="2">
        <f t="shared" si="12"/>
        <v>0.1</v>
      </c>
      <c r="M51">
        <v>1.68</v>
      </c>
      <c r="N51" s="20">
        <v>1.36</v>
      </c>
      <c r="O51" t="s">
        <v>58</v>
      </c>
      <c r="P51" s="4">
        <v>0.22</v>
      </c>
      <c r="Q51" s="4">
        <v>0.03</v>
      </c>
      <c r="R51">
        <f t="shared" si="14"/>
        <v>2.3265306122448983</v>
      </c>
      <c r="S51"/>
      <c r="T51"/>
      <c r="U51"/>
      <c r="V51"/>
      <c r="W51">
        <f t="shared" si="15"/>
        <v>3.4213685474189681</v>
      </c>
      <c r="X51">
        <f t="shared" si="16"/>
        <v>1.9623620813475224</v>
      </c>
      <c r="Y51">
        <f t="shared" si="17"/>
        <v>4.3478260869565224</v>
      </c>
      <c r="Z51" s="22">
        <f t="shared" si="18"/>
        <v>65.985058756677134</v>
      </c>
      <c r="AA51" s="93"/>
      <c r="AB51" s="93"/>
      <c r="AC51" s="93"/>
      <c r="AD51" s="93"/>
      <c r="AE51" s="93"/>
      <c r="AF51" s="93"/>
      <c r="AG51">
        <v>1.5100000000000001E-2</v>
      </c>
      <c r="AH51">
        <v>20.705300000000001</v>
      </c>
      <c r="AI51">
        <v>1.6299999999999999E-2</v>
      </c>
      <c r="AJ51">
        <v>0</v>
      </c>
      <c r="AK51">
        <v>1.23E-2</v>
      </c>
      <c r="AL51">
        <v>0</v>
      </c>
      <c r="AM51">
        <v>6.9999999999999999E-4</v>
      </c>
      <c r="AN51">
        <v>25.514500000000002</v>
      </c>
      <c r="AO51">
        <f t="shared" si="13"/>
        <v>4.8092000000000006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t="s">
        <v>60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</row>
    <row r="52" spans="1:73" s="6" customFormat="1" x14ac:dyDescent="0.2">
      <c r="A52"/>
      <c r="B52" s="3" t="s">
        <v>55</v>
      </c>
      <c r="C52" t="s">
        <v>54</v>
      </c>
      <c r="D52">
        <v>116</v>
      </c>
      <c r="E52" s="1">
        <v>44173</v>
      </c>
      <c r="F52">
        <v>1</v>
      </c>
      <c r="G52">
        <v>4</v>
      </c>
      <c r="H52" s="21">
        <v>4</v>
      </c>
      <c r="I52">
        <v>490</v>
      </c>
      <c r="J52">
        <v>50</v>
      </c>
      <c r="K52">
        <v>0.1</v>
      </c>
      <c r="L52" s="2">
        <f t="shared" si="12"/>
        <v>0.10204081632653061</v>
      </c>
      <c r="M52">
        <v>1.66</v>
      </c>
      <c r="N52">
        <v>1.5860000000000001</v>
      </c>
      <c r="O52" t="s">
        <v>58</v>
      </c>
      <c r="P52" s="4">
        <v>0.23</v>
      </c>
      <c r="Q52" s="4">
        <v>0.03</v>
      </c>
      <c r="R52">
        <f t="shared" si="14"/>
        <v>2.4489795918367352</v>
      </c>
      <c r="S52"/>
      <c r="T52"/>
      <c r="U52"/>
      <c r="V52"/>
      <c r="W52">
        <f t="shared" si="15"/>
        <v>3.1512720897608348</v>
      </c>
      <c r="X52">
        <f t="shared" si="16"/>
        <v>1.5160957433010087</v>
      </c>
      <c r="Y52">
        <f t="shared" si="17"/>
        <v>4.4365572315882877</v>
      </c>
      <c r="Z52" s="4">
        <f t="shared" si="18"/>
        <v>83.414139628896095</v>
      </c>
      <c r="AA52" s="93"/>
      <c r="AB52" s="93"/>
      <c r="AC52" s="93"/>
      <c r="AD52" s="93"/>
      <c r="AE52" s="93"/>
      <c r="AF52" s="93"/>
      <c r="AG52">
        <v>1.72E-2</v>
      </c>
      <c r="AH52">
        <v>21.2682</v>
      </c>
      <c r="AI52">
        <v>1.77E-2</v>
      </c>
      <c r="AJ52">
        <v>0</v>
      </c>
      <c r="AK52">
        <v>1.6299999999999999E-2</v>
      </c>
      <c r="AL52">
        <v>0</v>
      </c>
      <c r="AM52">
        <v>5.9999999999999995E-4</v>
      </c>
      <c r="AN52">
        <v>25.514500000000002</v>
      </c>
      <c r="AO52">
        <f t="shared" si="13"/>
        <v>4.2463000000000015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t="s">
        <v>60</v>
      </c>
      <c r="BD52" t="s">
        <v>61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</row>
    <row r="53" spans="1:73" x14ac:dyDescent="0.2">
      <c r="B53" s="3" t="s">
        <v>50</v>
      </c>
      <c r="C53" t="s">
        <v>54</v>
      </c>
      <c r="D53">
        <v>116</v>
      </c>
      <c r="E53" s="1">
        <v>44164</v>
      </c>
      <c r="F53">
        <v>1</v>
      </c>
      <c r="G53">
        <v>1</v>
      </c>
      <c r="H53" s="21">
        <v>1</v>
      </c>
      <c r="I53">
        <v>480</v>
      </c>
      <c r="J53">
        <v>50</v>
      </c>
      <c r="K53">
        <v>0.1</v>
      </c>
      <c r="L53" s="2">
        <f t="shared" si="12"/>
        <v>0.10416666666666667</v>
      </c>
      <c r="M53">
        <v>2.94</v>
      </c>
      <c r="N53">
        <v>1.9380000000000024</v>
      </c>
      <c r="O53" t="s">
        <v>58</v>
      </c>
      <c r="P53" s="4">
        <v>0.2</v>
      </c>
      <c r="Q53" s="4">
        <v>0.03</v>
      </c>
      <c r="R53">
        <f t="shared" si="14"/>
        <v>2.081632653061225</v>
      </c>
      <c r="W53">
        <f t="shared" si="15"/>
        <v>2.2377372001432128</v>
      </c>
      <c r="X53">
        <f t="shared" si="16"/>
        <v>1.3619341655699588</v>
      </c>
      <c r="Y53">
        <f t="shared" si="17"/>
        <v>4.5289855072463778</v>
      </c>
      <c r="Z53" s="4">
        <f t="shared" si="18"/>
        <v>82.807755793856231</v>
      </c>
      <c r="AA53" s="93"/>
      <c r="AB53" s="93"/>
      <c r="AC53" s="93"/>
      <c r="AD53" s="93"/>
      <c r="AE53" s="93"/>
      <c r="AF53" s="93"/>
      <c r="AG53">
        <v>2.3999999999999998E-3</v>
      </c>
      <c r="AH53">
        <v>20.739599999999999</v>
      </c>
      <c r="AI53">
        <v>0</v>
      </c>
      <c r="AJ53">
        <v>0</v>
      </c>
      <c r="AK53">
        <v>5.5500000000000001E-2</v>
      </c>
      <c r="AL53">
        <v>0</v>
      </c>
      <c r="AM53">
        <v>0</v>
      </c>
      <c r="AN53">
        <v>25.305599999999998</v>
      </c>
      <c r="AO53">
        <f t="shared" si="13"/>
        <v>4.5659999999999989</v>
      </c>
      <c r="BC53" t="s">
        <v>60</v>
      </c>
      <c r="BD53" t="s">
        <v>61</v>
      </c>
    </row>
    <row r="54" spans="1:73" x14ac:dyDescent="0.2">
      <c r="B54" t="s">
        <v>50</v>
      </c>
      <c r="C54" t="s">
        <v>54</v>
      </c>
      <c r="D54">
        <v>116</v>
      </c>
      <c r="E54" s="1">
        <v>44164</v>
      </c>
      <c r="F54">
        <v>1</v>
      </c>
      <c r="G54">
        <v>2</v>
      </c>
      <c r="H54" s="21">
        <v>2</v>
      </c>
      <c r="I54">
        <v>500</v>
      </c>
      <c r="J54">
        <v>50</v>
      </c>
      <c r="K54">
        <v>0.1</v>
      </c>
      <c r="L54" s="2">
        <f t="shared" ref="L54:L81" si="19">J54/I54</f>
        <v>0.1</v>
      </c>
      <c r="M54">
        <v>3.14</v>
      </c>
      <c r="N54">
        <v>1.9639999999999986</v>
      </c>
      <c r="O54" t="s">
        <v>58</v>
      </c>
      <c r="P54" s="4">
        <v>0.21</v>
      </c>
      <c r="Q54" s="4">
        <v>0.03</v>
      </c>
      <c r="R54">
        <f t="shared" si="14"/>
        <v>2.2040816326530615</v>
      </c>
      <c r="W54">
        <f t="shared" si="15"/>
        <v>2.2444823143106545</v>
      </c>
      <c r="X54">
        <f t="shared" si="16"/>
        <v>1.3534407345538231</v>
      </c>
      <c r="Y54">
        <f t="shared" si="17"/>
        <v>4.3478260869565224</v>
      </c>
      <c r="Z54" s="4">
        <f t="shared" si="18"/>
        <v>81.179621599025353</v>
      </c>
      <c r="AA54">
        <v>8.5001610000000003</v>
      </c>
      <c r="AB54">
        <v>0.1309015637516576</v>
      </c>
      <c r="AC54">
        <v>5.6073536267735057E-2</v>
      </c>
      <c r="AD54">
        <v>5.8325134029467977E-2</v>
      </c>
      <c r="AE54">
        <v>0.55042693430408851</v>
      </c>
      <c r="AF54">
        <v>0.20427283164705085</v>
      </c>
      <c r="AG54">
        <v>4.7999999999999996E-3</v>
      </c>
      <c r="AH54">
        <v>20.515599999999999</v>
      </c>
      <c r="AI54">
        <v>0</v>
      </c>
      <c r="AJ54">
        <v>0</v>
      </c>
      <c r="AK54">
        <v>9.0399999999999994E-2</v>
      </c>
      <c r="AL54">
        <v>0</v>
      </c>
      <c r="AM54">
        <v>0</v>
      </c>
      <c r="AN54">
        <v>25.305599999999998</v>
      </c>
      <c r="AO54">
        <f t="shared" si="13"/>
        <v>4.7899999999999991</v>
      </c>
      <c r="BC54" t="s">
        <v>62</v>
      </c>
      <c r="BD54" t="s">
        <v>61</v>
      </c>
    </row>
    <row r="55" spans="1:73" x14ac:dyDescent="0.2">
      <c r="B55" t="s">
        <v>50</v>
      </c>
      <c r="C55" t="s">
        <v>54</v>
      </c>
      <c r="D55">
        <v>116</v>
      </c>
      <c r="E55" s="1">
        <v>44164</v>
      </c>
      <c r="F55">
        <v>1</v>
      </c>
      <c r="G55">
        <v>3</v>
      </c>
      <c r="H55" s="21">
        <v>3</v>
      </c>
      <c r="I55">
        <v>460</v>
      </c>
      <c r="J55">
        <v>50</v>
      </c>
      <c r="K55">
        <v>0.1</v>
      </c>
      <c r="L55" s="2">
        <f t="shared" si="19"/>
        <v>0.10869565217391304</v>
      </c>
      <c r="M55">
        <v>3.06</v>
      </c>
      <c r="N55">
        <v>1.9820000000000022</v>
      </c>
      <c r="O55" t="s">
        <v>58</v>
      </c>
      <c r="P55" s="4">
        <v>0.21</v>
      </c>
      <c r="Q55" s="4">
        <v>0.03</v>
      </c>
      <c r="R55">
        <f t="shared" si="14"/>
        <v>2.2040816326530615</v>
      </c>
      <c r="W55">
        <f t="shared" si="15"/>
        <v>2.417498390572828</v>
      </c>
      <c r="X55">
        <f t="shared" si="16"/>
        <v>1.3008550194037496</v>
      </c>
      <c r="Y55">
        <f t="shared" si="17"/>
        <v>4.7258979206049148</v>
      </c>
      <c r="Z55" s="4">
        <f t="shared" si="18"/>
        <v>91.521809433356864</v>
      </c>
      <c r="AA55">
        <v>6.414593</v>
      </c>
      <c r="AB55">
        <v>0.1288493918334743</v>
      </c>
      <c r="AC55">
        <v>5.8334143148214612E-2</v>
      </c>
      <c r="AD55">
        <v>5.085736779011471E-2</v>
      </c>
      <c r="AE55">
        <v>0.52221112192504804</v>
      </c>
      <c r="AF55">
        <v>0.23974797530314845</v>
      </c>
      <c r="AG55">
        <v>2.7000000000000001E-3</v>
      </c>
      <c r="AH55">
        <v>21.031199999999998</v>
      </c>
      <c r="AI55">
        <v>0</v>
      </c>
      <c r="AJ55">
        <v>0</v>
      </c>
      <c r="AK55">
        <v>0.17979999999999999</v>
      </c>
      <c r="AL55">
        <v>0</v>
      </c>
      <c r="AM55">
        <v>0</v>
      </c>
      <c r="AN55">
        <v>25.305599999999998</v>
      </c>
      <c r="AO55">
        <f t="shared" si="13"/>
        <v>4.2744</v>
      </c>
      <c r="BC55" t="s">
        <v>62</v>
      </c>
      <c r="BD55" t="s">
        <v>61</v>
      </c>
    </row>
    <row r="56" spans="1:73" x14ac:dyDescent="0.2">
      <c r="B56" t="s">
        <v>50</v>
      </c>
      <c r="C56" t="s">
        <v>54</v>
      </c>
      <c r="D56">
        <v>116</v>
      </c>
      <c r="E56" s="1">
        <v>44164</v>
      </c>
      <c r="F56">
        <v>1</v>
      </c>
      <c r="G56">
        <v>4</v>
      </c>
      <c r="H56">
        <v>4</v>
      </c>
      <c r="I56">
        <v>500</v>
      </c>
      <c r="J56">
        <v>50</v>
      </c>
      <c r="K56">
        <v>0.1</v>
      </c>
      <c r="L56" s="2">
        <f t="shared" si="19"/>
        <v>0.1</v>
      </c>
      <c r="M56">
        <v>2.9</v>
      </c>
      <c r="N56">
        <v>1.9359999999999986</v>
      </c>
      <c r="O56" t="s">
        <v>58</v>
      </c>
      <c r="P56" s="4">
        <v>0.23</v>
      </c>
      <c r="Q56" s="4">
        <v>0.03</v>
      </c>
      <c r="R56">
        <f t="shared" si="14"/>
        <v>2.4489795918367352</v>
      </c>
      <c r="W56">
        <f t="shared" si="15"/>
        <v>2.5299375948726621</v>
      </c>
      <c r="X56">
        <f t="shared" si="16"/>
        <v>1.0794078663743689</v>
      </c>
      <c r="Y56">
        <f t="shared" si="17"/>
        <v>4.3478260869565215</v>
      </c>
      <c r="Z56" s="22">
        <f t="shared" si="18"/>
        <v>106.19655300658737</v>
      </c>
      <c r="AA56">
        <v>5.9617199999999997</v>
      </c>
      <c r="AB56">
        <v>0.12104684753303997</v>
      </c>
      <c r="AC56">
        <v>5.8543405456303585E-2</v>
      </c>
      <c r="AD56">
        <v>5.1721941352979375E-2</v>
      </c>
      <c r="AE56">
        <v>0.52494944861013937</v>
      </c>
      <c r="AF56">
        <v>0.24373835704753771</v>
      </c>
      <c r="AG56">
        <v>5.7999999999999996E-3</v>
      </c>
      <c r="AH56">
        <v>21.539899999999999</v>
      </c>
      <c r="AI56">
        <v>0</v>
      </c>
      <c r="AJ56">
        <v>0</v>
      </c>
      <c r="AK56">
        <v>7.1999999999999998E-3</v>
      </c>
      <c r="AL56">
        <v>0</v>
      </c>
      <c r="AM56">
        <v>0</v>
      </c>
      <c r="AN56">
        <v>25.305599999999998</v>
      </c>
      <c r="AO56">
        <f t="shared" si="13"/>
        <v>3.7656999999999989</v>
      </c>
      <c r="BC56" t="s">
        <v>62</v>
      </c>
    </row>
    <row r="57" spans="1:73" s="46" customFormat="1" ht="34" x14ac:dyDescent="0.2">
      <c r="A57" s="46" t="s">
        <v>0</v>
      </c>
      <c r="B57" s="47" t="s">
        <v>1</v>
      </c>
      <c r="C57" s="47" t="s">
        <v>2</v>
      </c>
      <c r="D57" s="47" t="s">
        <v>3</v>
      </c>
      <c r="E57" s="46" t="s">
        <v>4</v>
      </c>
      <c r="F57" s="46" t="s">
        <v>5</v>
      </c>
      <c r="G57" s="46" t="s">
        <v>6</v>
      </c>
      <c r="H57" s="46" t="s">
        <v>7</v>
      </c>
      <c r="I57" s="47" t="s">
        <v>8</v>
      </c>
      <c r="J57" s="47" t="s">
        <v>9</v>
      </c>
      <c r="K57" s="47" t="s">
        <v>10</v>
      </c>
      <c r="L57" s="47" t="s">
        <v>11</v>
      </c>
      <c r="M57" s="47" t="s">
        <v>12</v>
      </c>
      <c r="N57" s="47" t="s">
        <v>13</v>
      </c>
      <c r="O57" s="47" t="s">
        <v>14</v>
      </c>
      <c r="P57" s="47" t="s">
        <v>15</v>
      </c>
      <c r="Q57" s="47" t="s">
        <v>16</v>
      </c>
      <c r="R57" s="47" t="s">
        <v>17</v>
      </c>
      <c r="S57" s="47" t="s">
        <v>18</v>
      </c>
      <c r="T57" s="47" t="s">
        <v>19</v>
      </c>
      <c r="U57" s="47" t="s">
        <v>20</v>
      </c>
      <c r="V57" s="48" t="s">
        <v>21</v>
      </c>
      <c r="W57" s="48" t="s">
        <v>22</v>
      </c>
      <c r="X57" s="48" t="s">
        <v>23</v>
      </c>
      <c r="Y57" s="48" t="s">
        <v>24</v>
      </c>
      <c r="Z57" s="48" t="s">
        <v>25</v>
      </c>
      <c r="AA57" s="46" t="s">
        <v>26</v>
      </c>
      <c r="AB57" s="46" t="s">
        <v>27</v>
      </c>
      <c r="AC57" s="46" t="s">
        <v>28</v>
      </c>
      <c r="AD57" s="46" t="s">
        <v>29</v>
      </c>
      <c r="AE57" s="46" t="s">
        <v>30</v>
      </c>
      <c r="AF57" s="46" t="s">
        <v>31</v>
      </c>
      <c r="AG57" s="60" t="s">
        <v>32</v>
      </c>
      <c r="AH57" s="60" t="s">
        <v>33</v>
      </c>
      <c r="AI57" s="60" t="s">
        <v>34</v>
      </c>
      <c r="AJ57" s="60" t="s">
        <v>35</v>
      </c>
      <c r="AK57" s="60" t="s">
        <v>36</v>
      </c>
      <c r="AL57" s="60" t="s">
        <v>37</v>
      </c>
      <c r="AM57" s="60" t="s">
        <v>38</v>
      </c>
      <c r="AN57" s="60" t="s">
        <v>39</v>
      </c>
      <c r="AO57" s="60" t="s">
        <v>40</v>
      </c>
      <c r="AP57" s="60" t="s">
        <v>41</v>
      </c>
      <c r="AQ57" s="60" t="s">
        <v>42</v>
      </c>
      <c r="AR57" s="60" t="s">
        <v>43</v>
      </c>
      <c r="AS57" s="60" t="s">
        <v>44</v>
      </c>
      <c r="AT57" s="60" t="s">
        <v>45</v>
      </c>
      <c r="AU57" s="60" t="s">
        <v>46</v>
      </c>
      <c r="AV57" s="60" t="s">
        <v>47</v>
      </c>
      <c r="AW57" s="60" t="s">
        <v>48</v>
      </c>
      <c r="AX57" s="60" t="s">
        <v>25</v>
      </c>
      <c r="BC57" s="47" t="s">
        <v>49</v>
      </c>
    </row>
    <row r="58" spans="1:73" x14ac:dyDescent="0.2">
      <c r="A58">
        <v>1</v>
      </c>
      <c r="B58" s="64" t="s">
        <v>50</v>
      </c>
      <c r="C58" t="s">
        <v>54</v>
      </c>
      <c r="D58">
        <v>116</v>
      </c>
      <c r="E58" s="1">
        <v>44164</v>
      </c>
      <c r="F58">
        <v>1</v>
      </c>
      <c r="G58">
        <v>1</v>
      </c>
      <c r="H58">
        <v>1</v>
      </c>
      <c r="I58">
        <v>480</v>
      </c>
      <c r="J58">
        <v>50</v>
      </c>
      <c r="K58">
        <v>0.1</v>
      </c>
      <c r="L58" s="2">
        <f t="shared" si="19"/>
        <v>0.10416666666666667</v>
      </c>
      <c r="M58">
        <v>2.94</v>
      </c>
      <c r="N58">
        <v>1.9380000000000024</v>
      </c>
      <c r="P58" s="4">
        <v>0.2</v>
      </c>
      <c r="Q58" s="4">
        <v>0.03</v>
      </c>
      <c r="R58">
        <f t="shared" ref="R58:R81" si="20">(30/24.5)*(P58-Q58)*0.01*1000</f>
        <v>2.081632653061225</v>
      </c>
      <c r="S58" s="5">
        <v>20.96</v>
      </c>
      <c r="T58" s="5">
        <v>20.55</v>
      </c>
      <c r="U58">
        <f>(30/24.5)*(S58-T58)*0.01*1000</f>
        <v>5.0204081632653068</v>
      </c>
      <c r="V58">
        <f>U58/(N58*I58)*1000</f>
        <v>5.3968956003453954</v>
      </c>
      <c r="W58">
        <f t="shared" ref="W58:W81" si="21">R58/(N58*I58)*1000</f>
        <v>2.2377372001432128</v>
      </c>
      <c r="X58">
        <f t="shared" ref="X58:X81" si="22">(AO58*1000/180.2)*L58/N58</f>
        <v>1.3619341655699588</v>
      </c>
      <c r="Y58">
        <f t="shared" ref="Y58:Y81" si="23">N58/23*1000*L58/N58</f>
        <v>4.5289855072463778</v>
      </c>
      <c r="Z58" s="4">
        <f t="shared" ref="Z58:Z81" si="24">100*((W58+Y58)/(6*X58))</f>
        <v>82.807755793856231</v>
      </c>
      <c r="AA58" s="23">
        <v>7.2752068227663391E-2</v>
      </c>
      <c r="AB58" s="24">
        <v>36.416852188926804</v>
      </c>
      <c r="AC58" s="24">
        <v>16.522123456018885</v>
      </c>
      <c r="AD58" s="24">
        <v>14.650451317038229</v>
      </c>
      <c r="AE58" s="24">
        <v>147.15130870047108</v>
      </c>
      <c r="AF58" s="24">
        <v>67.24628078796863</v>
      </c>
      <c r="AG58">
        <v>2.3999999999999998E-3</v>
      </c>
      <c r="AH58">
        <v>20.739599999999999</v>
      </c>
      <c r="AI58">
        <v>0</v>
      </c>
      <c r="AJ58">
        <v>0</v>
      </c>
      <c r="AK58">
        <v>5.5500000000000001E-2</v>
      </c>
      <c r="AL58">
        <v>0</v>
      </c>
      <c r="AM58">
        <v>0</v>
      </c>
      <c r="AN58">
        <v>25.305599999999998</v>
      </c>
      <c r="AO58">
        <f t="shared" si="13"/>
        <v>4.5659999999999989</v>
      </c>
      <c r="AP58">
        <v>0</v>
      </c>
      <c r="AQ58">
        <f>(AG58*1000/192.124)*$L58/$N58</f>
        <v>6.714359892999092E-4</v>
      </c>
      <c r="AR58">
        <f t="shared" ref="AR58:AR77" si="25">(AI58*1000/88.06)*$L58/$N58</f>
        <v>0</v>
      </c>
      <c r="AS58">
        <f t="shared" ref="AS58:AS77" si="26">(AJ58*1000/60.052)*$L58/$N58</f>
        <v>0</v>
      </c>
      <c r="AT58">
        <f t="shared" ref="AT58:AT77" si="27">(AK58*1000/46.07)*$L58/$N58</f>
        <v>6.4751489802277296E-2</v>
      </c>
      <c r="AU58">
        <f t="shared" ref="AU58:AU77" si="28">(AL58*1000/92.09)*$L58/$N58</f>
        <v>0</v>
      </c>
      <c r="AV58">
        <f t="shared" ref="AV58:AV77" si="29">(AM58*1000/118.09)*$L58/$N58</f>
        <v>0</v>
      </c>
      <c r="AW58">
        <f t="shared" ref="AW58:AW77" si="30">(AP58*1000/118.09)*$L58/$N58</f>
        <v>0</v>
      </c>
      <c r="AX58">
        <f>100*((W58+Y58+AQ58*6+AR58*3+AS58*2+AT58*2+AU58*3+AV58*4+AW58*5)/(6*X58))</f>
        <v>84.441848431078441</v>
      </c>
    </row>
    <row r="59" spans="1:73" x14ac:dyDescent="0.2">
      <c r="A59">
        <v>2</v>
      </c>
      <c r="B59" s="64" t="s">
        <v>50</v>
      </c>
      <c r="C59" t="s">
        <v>54</v>
      </c>
      <c r="D59">
        <v>116</v>
      </c>
      <c r="E59" s="1">
        <v>44164</v>
      </c>
      <c r="F59">
        <v>1</v>
      </c>
      <c r="G59">
        <v>2</v>
      </c>
      <c r="H59">
        <v>2</v>
      </c>
      <c r="I59">
        <v>500</v>
      </c>
      <c r="J59">
        <v>50</v>
      </c>
      <c r="K59">
        <v>0.1</v>
      </c>
      <c r="L59" s="2">
        <f t="shared" si="19"/>
        <v>0.1</v>
      </c>
      <c r="M59">
        <v>3.14</v>
      </c>
      <c r="N59">
        <v>1.9639999999999986</v>
      </c>
      <c r="P59" s="4">
        <v>0.21</v>
      </c>
      <c r="Q59" s="4">
        <v>0.03</v>
      </c>
      <c r="R59">
        <f t="shared" si="20"/>
        <v>2.2040816326530615</v>
      </c>
      <c r="S59" s="5">
        <v>20.96</v>
      </c>
      <c r="T59">
        <v>20.58</v>
      </c>
      <c r="U59">
        <f t="shared" ref="U59:U81" si="31">(30/24.5)*(S59-T59)*0.01*1000</f>
        <v>4.6530612244898277</v>
      </c>
      <c r="V59">
        <f t="shared" ref="V59:V81" si="32">U59/(N59*I59)*1000</f>
        <v>4.7383515524336364</v>
      </c>
      <c r="W59">
        <f t="shared" si="21"/>
        <v>2.2444823143106545</v>
      </c>
      <c r="X59">
        <f t="shared" si="22"/>
        <v>1.3534407345538231</v>
      </c>
      <c r="Y59">
        <f t="shared" si="23"/>
        <v>4.3478260869565224</v>
      </c>
      <c r="Z59" s="4">
        <f t="shared" si="24"/>
        <v>81.179621599025353</v>
      </c>
      <c r="AA59" s="25">
        <v>8.5001607309299593E-2</v>
      </c>
      <c r="AB59" s="4">
        <v>43.706240553856752</v>
      </c>
      <c r="AC59" s="4">
        <v>18.722186309955411</v>
      </c>
      <c r="AD59" s="4">
        <v>19.473963986129874</v>
      </c>
      <c r="AE59" s="4">
        <v>183.78001995191417</v>
      </c>
      <c r="AF59" s="4">
        <v>68.203902709072352</v>
      </c>
      <c r="AG59">
        <v>4.7999999999999996E-3</v>
      </c>
      <c r="AH59">
        <v>20.515599999999999</v>
      </c>
      <c r="AI59">
        <v>0</v>
      </c>
      <c r="AJ59">
        <v>0</v>
      </c>
      <c r="AK59">
        <v>9.0399999999999994E-2</v>
      </c>
      <c r="AL59">
        <v>0</v>
      </c>
      <c r="AM59">
        <v>0</v>
      </c>
      <c r="AN59">
        <v>25.305599999999998</v>
      </c>
      <c r="AO59">
        <f t="shared" si="13"/>
        <v>4.7899999999999991</v>
      </c>
      <c r="AP59">
        <v>0</v>
      </c>
      <c r="AQ59">
        <f t="shared" ref="AQ59:AQ81" si="33">(AG59*1000/192.124)*$L59/$N59</f>
        <v>1.2720908649416474E-3</v>
      </c>
      <c r="AR59">
        <f t="shared" si="25"/>
        <v>0</v>
      </c>
      <c r="AS59">
        <f t="shared" si="26"/>
        <v>0</v>
      </c>
      <c r="AT59">
        <f t="shared" si="27"/>
        <v>9.9909948422594388E-2</v>
      </c>
      <c r="AU59">
        <f t="shared" si="28"/>
        <v>0</v>
      </c>
      <c r="AV59">
        <f t="shared" si="29"/>
        <v>0</v>
      </c>
      <c r="AW59">
        <f t="shared" si="30"/>
        <v>0</v>
      </c>
      <c r="AX59">
        <f t="shared" ref="AX59:AX81" si="34">100*((W59+Y59+AQ59*6+AR59*3+AS59*2+AT59*2+AU59*3+AV59*4+AW59*5)/(6*X59))</f>
        <v>83.73425189225388</v>
      </c>
    </row>
    <row r="60" spans="1:73" x14ac:dyDescent="0.2">
      <c r="A60">
        <v>3</v>
      </c>
      <c r="B60" s="64" t="s">
        <v>50</v>
      </c>
      <c r="C60" t="s">
        <v>54</v>
      </c>
      <c r="D60">
        <v>116</v>
      </c>
      <c r="E60" s="1">
        <v>44164</v>
      </c>
      <c r="F60">
        <v>1</v>
      </c>
      <c r="G60">
        <v>3</v>
      </c>
      <c r="H60">
        <v>3</v>
      </c>
      <c r="I60">
        <v>460</v>
      </c>
      <c r="J60">
        <v>50</v>
      </c>
      <c r="K60">
        <v>0.1</v>
      </c>
      <c r="L60" s="2">
        <f t="shared" si="19"/>
        <v>0.10869565217391304</v>
      </c>
      <c r="M60">
        <v>3.06</v>
      </c>
      <c r="N60">
        <v>1.9820000000000022</v>
      </c>
      <c r="P60" s="4">
        <v>0.21</v>
      </c>
      <c r="Q60" s="4">
        <v>0.03</v>
      </c>
      <c r="R60">
        <f t="shared" si="20"/>
        <v>2.2040816326530615</v>
      </c>
      <c r="S60" s="5">
        <v>20.96</v>
      </c>
      <c r="T60">
        <v>20.49</v>
      </c>
      <c r="U60">
        <f t="shared" si="31"/>
        <v>5.7551020408163573</v>
      </c>
      <c r="V60">
        <f t="shared" si="32"/>
        <v>6.3123569087179732</v>
      </c>
      <c r="W60">
        <f t="shared" si="21"/>
        <v>2.417498390572828</v>
      </c>
      <c r="X60">
        <f t="shared" si="22"/>
        <v>1.3008550194037496</v>
      </c>
      <c r="Y60">
        <f t="shared" si="23"/>
        <v>4.7258979206049148</v>
      </c>
      <c r="Z60" s="4">
        <f t="shared" si="24"/>
        <v>91.521809433356864</v>
      </c>
      <c r="AA60" s="25">
        <v>6.4145926745157608E-2</v>
      </c>
      <c r="AB60" s="4">
        <v>32.763108707443145</v>
      </c>
      <c r="AC60" s="4">
        <v>14.832882376275093</v>
      </c>
      <c r="AD60" s="4">
        <v>12.931729407271172</v>
      </c>
      <c r="AE60" s="4">
        <v>132.78494770063253</v>
      </c>
      <c r="AF60" s="4">
        <v>60.961785426183077</v>
      </c>
      <c r="AG60">
        <v>2.7000000000000001E-3</v>
      </c>
      <c r="AH60">
        <v>21.031199999999998</v>
      </c>
      <c r="AI60">
        <v>0</v>
      </c>
      <c r="AJ60">
        <v>0</v>
      </c>
      <c r="AK60">
        <v>0.17979999999999999</v>
      </c>
      <c r="AL60">
        <v>0</v>
      </c>
      <c r="AM60">
        <v>0</v>
      </c>
      <c r="AN60">
        <v>25.305599999999998</v>
      </c>
      <c r="AO60">
        <f t="shared" si="13"/>
        <v>4.2744</v>
      </c>
      <c r="AP60">
        <v>0</v>
      </c>
      <c r="AQ60">
        <f t="shared" si="33"/>
        <v>7.7070941903450746E-4</v>
      </c>
      <c r="AR60">
        <f t="shared" si="25"/>
        <v>0</v>
      </c>
      <c r="AS60">
        <f t="shared" si="26"/>
        <v>0</v>
      </c>
      <c r="AT60">
        <f t="shared" si="27"/>
        <v>0.21403263472478201</v>
      </c>
      <c r="AU60">
        <f t="shared" si="28"/>
        <v>0</v>
      </c>
      <c r="AV60">
        <f t="shared" si="29"/>
        <v>0</v>
      </c>
      <c r="AW60">
        <f t="shared" si="30"/>
        <v>0</v>
      </c>
      <c r="AX60">
        <f t="shared" si="34"/>
        <v>97.065464945945493</v>
      </c>
    </row>
    <row r="61" spans="1:73" x14ac:dyDescent="0.2">
      <c r="A61" s="51">
        <v>4</v>
      </c>
      <c r="B61" t="s">
        <v>50</v>
      </c>
      <c r="C61" t="s">
        <v>54</v>
      </c>
      <c r="D61">
        <v>116</v>
      </c>
      <c r="E61" s="1">
        <v>44164</v>
      </c>
      <c r="F61">
        <v>1</v>
      </c>
      <c r="G61">
        <v>4</v>
      </c>
      <c r="H61">
        <v>4</v>
      </c>
      <c r="I61">
        <v>500</v>
      </c>
      <c r="J61">
        <v>50</v>
      </c>
      <c r="K61">
        <v>0.1</v>
      </c>
      <c r="L61" s="2">
        <f t="shared" si="19"/>
        <v>0.1</v>
      </c>
      <c r="M61">
        <v>2.9</v>
      </c>
      <c r="N61">
        <v>1.9359999999999986</v>
      </c>
      <c r="P61" s="4">
        <v>0.23</v>
      </c>
      <c r="Q61" s="4">
        <v>0.03</v>
      </c>
      <c r="R61">
        <f t="shared" si="20"/>
        <v>2.4489795918367352</v>
      </c>
      <c r="S61" s="5">
        <v>20.96</v>
      </c>
      <c r="T61">
        <v>20.63</v>
      </c>
      <c r="U61">
        <f t="shared" si="31"/>
        <v>4.0408163265306349</v>
      </c>
      <c r="V61">
        <f t="shared" si="32"/>
        <v>4.1743970315399155</v>
      </c>
      <c r="W61">
        <f t="shared" si="21"/>
        <v>2.5299375948726621</v>
      </c>
      <c r="X61">
        <f t="shared" si="22"/>
        <v>1.0794078663743689</v>
      </c>
      <c r="Y61">
        <f t="shared" si="23"/>
        <v>4.3478260869565215</v>
      </c>
      <c r="Z61" s="65">
        <f t="shared" si="24"/>
        <v>106.19655300658737</v>
      </c>
      <c r="AA61" s="25">
        <v>5.9617196605912672E-2</v>
      </c>
      <c r="AB61" s="4">
        <v>27.942186197001089</v>
      </c>
      <c r="AC61" s="4">
        <v>13.514030056999717</v>
      </c>
      <c r="AD61" s="4">
        <v>11.939378391170768</v>
      </c>
      <c r="AE61" s="4">
        <v>121.17816808962203</v>
      </c>
      <c r="AF61" s="4">
        <v>56.264022523300071</v>
      </c>
      <c r="AG61">
        <v>5.7999999999999996E-3</v>
      </c>
      <c r="AH61">
        <v>21.539899999999999</v>
      </c>
      <c r="AI61">
        <v>0</v>
      </c>
      <c r="AJ61">
        <v>0</v>
      </c>
      <c r="AK61">
        <v>7.1999999999999998E-3</v>
      </c>
      <c r="AL61">
        <v>0</v>
      </c>
      <c r="AM61">
        <v>0</v>
      </c>
      <c r="AN61">
        <v>25.305599999999998</v>
      </c>
      <c r="AO61">
        <f t="shared" si="13"/>
        <v>3.7656999999999989</v>
      </c>
      <c r="AP61">
        <v>0</v>
      </c>
      <c r="AQ61">
        <f t="shared" si="33"/>
        <v>1.5593407219270073E-3</v>
      </c>
      <c r="AR61">
        <f t="shared" si="25"/>
        <v>0</v>
      </c>
      <c r="AS61">
        <f t="shared" si="26"/>
        <v>0</v>
      </c>
      <c r="AT61">
        <f t="shared" si="27"/>
        <v>8.0725163109676857E-3</v>
      </c>
      <c r="AU61">
        <f t="shared" si="28"/>
        <v>0</v>
      </c>
      <c r="AV61">
        <f t="shared" si="29"/>
        <v>0</v>
      </c>
      <c r="AW61">
        <f t="shared" si="30"/>
        <v>0</v>
      </c>
      <c r="AX61">
        <f t="shared" si="34"/>
        <v>106.59030402736931</v>
      </c>
    </row>
    <row r="62" spans="1:73" s="51" customFormat="1" x14ac:dyDescent="0.2">
      <c r="A62" s="51">
        <v>5</v>
      </c>
      <c r="B62" s="51" t="s">
        <v>63</v>
      </c>
      <c r="C62" s="51" t="s">
        <v>54</v>
      </c>
      <c r="D62" s="51">
        <v>116</v>
      </c>
      <c r="E62" s="52">
        <v>44165</v>
      </c>
      <c r="F62" s="51">
        <v>1</v>
      </c>
      <c r="G62" s="51">
        <v>5</v>
      </c>
      <c r="H62" s="51">
        <v>1</v>
      </c>
      <c r="I62" s="51">
        <v>480</v>
      </c>
      <c r="J62" s="51">
        <v>50</v>
      </c>
      <c r="K62" s="51">
        <v>0.1</v>
      </c>
      <c r="L62" s="53">
        <f t="shared" si="19"/>
        <v>0.10416666666666667</v>
      </c>
      <c r="M62" s="51">
        <v>1.46</v>
      </c>
      <c r="N62" s="51">
        <v>1.6439999999999997</v>
      </c>
      <c r="O62" s="51">
        <f>N62/M62</f>
        <v>1.1260273972602737</v>
      </c>
      <c r="P62" s="54">
        <v>0.23</v>
      </c>
      <c r="Q62" s="51">
        <v>0.03</v>
      </c>
      <c r="R62" s="51">
        <f t="shared" si="20"/>
        <v>2.4489795918367352</v>
      </c>
      <c r="U62" s="51">
        <f t="shared" si="31"/>
        <v>0</v>
      </c>
      <c r="V62">
        <f t="shared" si="32"/>
        <v>0</v>
      </c>
      <c r="W62" s="51">
        <f t="shared" si="21"/>
        <v>3.1034311534832923</v>
      </c>
      <c r="X62" s="51">
        <f t="shared" si="22"/>
        <v>1.4080225810197382</v>
      </c>
      <c r="Y62" s="51">
        <f t="shared" si="23"/>
        <v>4.5289855072463769</v>
      </c>
      <c r="Z62" s="54">
        <f t="shared" si="24"/>
        <v>90.344392242180419</v>
      </c>
      <c r="AA62" s="55"/>
      <c r="AB62" s="54"/>
      <c r="AC62" s="54"/>
      <c r="AD62" s="54"/>
      <c r="AE62" s="54"/>
      <c r="AF62" s="54"/>
      <c r="AG62" s="51">
        <v>1.1299999999999999E-2</v>
      </c>
      <c r="AH62" s="51">
        <v>21.287199999999999</v>
      </c>
      <c r="AI62" s="51">
        <v>1.4E-2</v>
      </c>
      <c r="AJ62" s="51">
        <v>0</v>
      </c>
      <c r="AK62" s="51">
        <v>3.7400000000000003E-2</v>
      </c>
      <c r="AL62" s="51">
        <v>0</v>
      </c>
      <c r="AM62" s="51">
        <v>6.9999999999999999E-4</v>
      </c>
      <c r="AN62" s="51">
        <v>25.291599999999999</v>
      </c>
      <c r="AO62" s="51">
        <f t="shared" si="13"/>
        <v>4.0044000000000004</v>
      </c>
      <c r="AP62" s="51">
        <v>0</v>
      </c>
      <c r="AQ62" s="51">
        <f t="shared" si="33"/>
        <v>3.7266943694430387E-3</v>
      </c>
      <c r="AR62" s="51">
        <f t="shared" si="25"/>
        <v>1.0073405307411321E-2</v>
      </c>
      <c r="AS62" s="51">
        <f t="shared" si="26"/>
        <v>0</v>
      </c>
      <c r="AT62" s="51">
        <f t="shared" si="27"/>
        <v>5.1437558171202172E-2</v>
      </c>
      <c r="AU62" s="51">
        <f t="shared" si="28"/>
        <v>0</v>
      </c>
      <c r="AV62" s="51">
        <f t="shared" si="29"/>
        <v>3.7558814098172618E-4</v>
      </c>
      <c r="AW62" s="51">
        <f t="shared" si="30"/>
        <v>0</v>
      </c>
      <c r="AX62" s="51">
        <f t="shared" si="34"/>
        <v>92.202291553846621</v>
      </c>
    </row>
    <row r="63" spans="1:73" s="51" customFormat="1" x14ac:dyDescent="0.2">
      <c r="A63" s="51">
        <v>6</v>
      </c>
      <c r="B63" s="51" t="s">
        <v>63</v>
      </c>
      <c r="C63" s="51" t="s">
        <v>54</v>
      </c>
      <c r="D63" s="51">
        <v>116</v>
      </c>
      <c r="E63" s="52">
        <v>44165</v>
      </c>
      <c r="F63" s="51">
        <v>1</v>
      </c>
      <c r="G63" s="51">
        <v>6</v>
      </c>
      <c r="H63" s="51">
        <v>2</v>
      </c>
      <c r="I63" s="51">
        <v>420</v>
      </c>
      <c r="J63" s="51">
        <v>50</v>
      </c>
      <c r="K63" s="51">
        <v>0.1</v>
      </c>
      <c r="L63" s="53">
        <f t="shared" si="19"/>
        <v>0.11904761904761904</v>
      </c>
      <c r="M63" s="51">
        <v>1.9</v>
      </c>
      <c r="N63" s="51">
        <v>1.8439999999999999</v>
      </c>
      <c r="O63" s="51">
        <f t="shared" ref="O63:O65" si="35">N63/M63</f>
        <v>0.97052631578947368</v>
      </c>
      <c r="P63" s="54">
        <v>0.23</v>
      </c>
      <c r="Q63" s="51">
        <v>0.03</v>
      </c>
      <c r="R63" s="51">
        <f t="shared" si="20"/>
        <v>2.4489795918367352</v>
      </c>
      <c r="U63" s="51">
        <f t="shared" si="31"/>
        <v>0</v>
      </c>
      <c r="V63">
        <f t="shared" si="32"/>
        <v>0</v>
      </c>
      <c r="W63" s="51">
        <f t="shared" si="21"/>
        <v>3.1620953308500357</v>
      </c>
      <c r="X63" s="51">
        <f t="shared" si="22"/>
        <v>1.4246070056557794</v>
      </c>
      <c r="Y63" s="51">
        <f t="shared" si="23"/>
        <v>5.1759834368530022</v>
      </c>
      <c r="Z63" s="54">
        <f t="shared" si="24"/>
        <v>97.548291500747723</v>
      </c>
      <c r="AA63" s="55"/>
      <c r="AB63" s="54"/>
      <c r="AC63" s="54"/>
      <c r="AD63" s="54"/>
      <c r="AE63" s="54"/>
      <c r="AF63" s="54"/>
      <c r="AG63" s="51">
        <v>2.6200000000000001E-2</v>
      </c>
      <c r="AH63" s="51">
        <v>21.315200000000001</v>
      </c>
      <c r="AI63" s="51">
        <v>2.3999999999999998E-3</v>
      </c>
      <c r="AJ63" s="51">
        <v>0</v>
      </c>
      <c r="AK63" s="51">
        <v>4.5999999999999999E-3</v>
      </c>
      <c r="AL63" s="51">
        <v>0</v>
      </c>
      <c r="AM63" s="51">
        <v>4.0000000000000002E-4</v>
      </c>
      <c r="AN63" s="51">
        <v>25.291599999999999</v>
      </c>
      <c r="AO63" s="51">
        <f t="shared" si="13"/>
        <v>3.9763999999999982</v>
      </c>
      <c r="AP63" s="51">
        <v>0</v>
      </c>
      <c r="AQ63" s="51">
        <f t="shared" si="33"/>
        <v>8.8039885389671821E-3</v>
      </c>
      <c r="AR63" s="51">
        <f t="shared" si="25"/>
        <v>1.7595125052424676E-3</v>
      </c>
      <c r="AS63" s="51">
        <f t="shared" si="26"/>
        <v>0</v>
      </c>
      <c r="AT63" s="51">
        <f t="shared" si="27"/>
        <v>6.4461352974965426E-3</v>
      </c>
      <c r="AU63" s="51">
        <f t="shared" si="28"/>
        <v>0</v>
      </c>
      <c r="AV63" s="51">
        <f t="shared" si="29"/>
        <v>2.1867879189834262E-4</v>
      </c>
      <c r="AW63" s="51">
        <f t="shared" si="30"/>
        <v>0</v>
      </c>
      <c r="AX63" s="51">
        <f t="shared" si="34"/>
        <v>98.389101799386694</v>
      </c>
    </row>
    <row r="64" spans="1:73" s="51" customFormat="1" x14ac:dyDescent="0.2">
      <c r="A64" s="51">
        <v>7</v>
      </c>
      <c r="B64" s="51" t="s">
        <v>63</v>
      </c>
      <c r="C64" s="51" t="s">
        <v>54</v>
      </c>
      <c r="D64" s="51">
        <v>116</v>
      </c>
      <c r="E64" s="52">
        <v>44165</v>
      </c>
      <c r="F64" s="51">
        <v>1</v>
      </c>
      <c r="G64" s="51">
        <v>7</v>
      </c>
      <c r="H64" s="51">
        <v>3</v>
      </c>
      <c r="I64" s="51">
        <v>420</v>
      </c>
      <c r="J64" s="51">
        <v>50</v>
      </c>
      <c r="K64" s="51">
        <v>0.1</v>
      </c>
      <c r="L64" s="53">
        <f t="shared" si="19"/>
        <v>0.11904761904761904</v>
      </c>
      <c r="M64" s="51">
        <v>1.42</v>
      </c>
      <c r="N64" s="51">
        <v>1.6439999999999997</v>
      </c>
      <c r="O64" s="51">
        <f t="shared" si="35"/>
        <v>1.1577464788732392</v>
      </c>
      <c r="P64" s="54">
        <v>0.21</v>
      </c>
      <c r="Q64" s="51">
        <v>0.03</v>
      </c>
      <c r="R64" s="51">
        <f t="shared" si="20"/>
        <v>2.2040816326530615</v>
      </c>
      <c r="U64" s="51">
        <f t="shared" si="31"/>
        <v>0</v>
      </c>
      <c r="V64">
        <f t="shared" si="32"/>
        <v>0</v>
      </c>
      <c r="W64" s="51">
        <f t="shared" si="21"/>
        <v>3.1921006150113858</v>
      </c>
      <c r="X64" s="51">
        <f t="shared" si="22"/>
        <v>1.7348673849560945</v>
      </c>
      <c r="Y64" s="51">
        <f t="shared" si="23"/>
        <v>5.1759834368530013</v>
      </c>
      <c r="Z64" s="54">
        <f t="shared" si="24"/>
        <v>80.391198048029906</v>
      </c>
      <c r="AA64" s="55"/>
      <c r="AB64" s="54"/>
      <c r="AC64" s="54"/>
      <c r="AD64" s="54"/>
      <c r="AE64" s="54"/>
      <c r="AF64" s="54"/>
      <c r="AG64" s="51">
        <v>2.52E-2</v>
      </c>
      <c r="AH64" s="51">
        <v>20.974399999999999</v>
      </c>
      <c r="AI64" s="51">
        <v>1.24E-2</v>
      </c>
      <c r="AJ64" s="51">
        <v>0</v>
      </c>
      <c r="AK64" s="51">
        <v>1.7399999999999999E-2</v>
      </c>
      <c r="AL64" s="51">
        <v>0</v>
      </c>
      <c r="AM64" s="51">
        <v>1.1999999999999999E-3</v>
      </c>
      <c r="AN64" s="51">
        <v>25.291599999999999</v>
      </c>
      <c r="AO64" s="51">
        <f t="shared" si="13"/>
        <v>4.3171999999999997</v>
      </c>
      <c r="AP64" s="51">
        <v>0</v>
      </c>
      <c r="AQ64" s="51">
        <f t="shared" si="33"/>
        <v>9.4981237026512851E-3</v>
      </c>
      <c r="AR64" s="51">
        <f t="shared" si="25"/>
        <v>1.0196753127502071E-2</v>
      </c>
      <c r="AS64" s="51">
        <f t="shared" si="26"/>
        <v>0</v>
      </c>
      <c r="AT64" s="51">
        <f t="shared" si="27"/>
        <v>2.7349534367575784E-2</v>
      </c>
      <c r="AU64" s="51">
        <f t="shared" si="28"/>
        <v>0</v>
      </c>
      <c r="AV64" s="51">
        <f t="shared" si="29"/>
        <v>7.3584615376011647E-4</v>
      </c>
      <c r="AW64" s="51">
        <f t="shared" si="30"/>
        <v>0</v>
      </c>
      <c r="AX64" s="51">
        <f t="shared" si="34"/>
        <v>81.786323464223031</v>
      </c>
    </row>
    <row r="65" spans="1:54" s="51" customFormat="1" x14ac:dyDescent="0.2">
      <c r="A65" s="51">
        <v>8</v>
      </c>
      <c r="B65" s="51" t="s">
        <v>63</v>
      </c>
      <c r="C65" s="51" t="s">
        <v>54</v>
      </c>
      <c r="D65" s="51">
        <v>116</v>
      </c>
      <c r="E65" s="52">
        <v>44165</v>
      </c>
      <c r="F65" s="51">
        <v>1</v>
      </c>
      <c r="G65" s="51">
        <v>8</v>
      </c>
      <c r="H65" s="51">
        <v>4</v>
      </c>
      <c r="I65" s="51">
        <v>480</v>
      </c>
      <c r="J65" s="51">
        <v>50</v>
      </c>
      <c r="K65" s="51">
        <v>0.1</v>
      </c>
      <c r="L65" s="53">
        <f t="shared" si="19"/>
        <v>0.10416666666666667</v>
      </c>
      <c r="M65" s="51">
        <v>2.06</v>
      </c>
      <c r="N65" s="51">
        <v>1.8099999999999994</v>
      </c>
      <c r="O65" s="51">
        <f t="shared" si="35"/>
        <v>0.87864077669902885</v>
      </c>
      <c r="P65" s="54">
        <v>0.24</v>
      </c>
      <c r="Q65" s="51">
        <v>0.03</v>
      </c>
      <c r="R65" s="51">
        <f t="shared" si="20"/>
        <v>2.5714285714285712</v>
      </c>
      <c r="U65" s="51">
        <f t="shared" si="31"/>
        <v>0</v>
      </c>
      <c r="V65">
        <f t="shared" si="32"/>
        <v>0</v>
      </c>
      <c r="W65" s="51">
        <f t="shared" si="21"/>
        <v>2.959747434885557</v>
      </c>
      <c r="X65" s="51">
        <f t="shared" si="22"/>
        <v>1.3417731577150831</v>
      </c>
      <c r="Y65" s="51">
        <f t="shared" si="23"/>
        <v>4.5289855072463769</v>
      </c>
      <c r="Z65" s="54">
        <f t="shared" si="24"/>
        <v>93.020355180411201</v>
      </c>
      <c r="AA65" s="55"/>
      <c r="AB65" s="54"/>
      <c r="AC65" s="54"/>
      <c r="AD65" s="54"/>
      <c r="AE65" s="54"/>
      <c r="AF65" s="54"/>
      <c r="AG65" s="51">
        <v>3.15E-2</v>
      </c>
      <c r="AH65" s="51">
        <v>21.090299999999999</v>
      </c>
      <c r="AI65" s="51">
        <v>2.0999999999999999E-3</v>
      </c>
      <c r="AJ65" s="51">
        <v>0</v>
      </c>
      <c r="AK65" s="51">
        <v>0</v>
      </c>
      <c r="AL65" s="51">
        <v>0</v>
      </c>
      <c r="AM65" s="51">
        <v>0</v>
      </c>
      <c r="AN65" s="51">
        <v>25.291599999999999</v>
      </c>
      <c r="AO65" s="51">
        <f t="shared" si="13"/>
        <v>4.2012999999999998</v>
      </c>
      <c r="AP65" s="51">
        <v>0</v>
      </c>
      <c r="AQ65" s="51">
        <f t="shared" si="33"/>
        <v>9.4358086645468763E-3</v>
      </c>
      <c r="AR65" s="51">
        <f t="shared" si="25"/>
        <v>1.3724319054185814E-3</v>
      </c>
      <c r="AS65" s="51">
        <f t="shared" si="26"/>
        <v>0</v>
      </c>
      <c r="AT65" s="51">
        <f t="shared" si="27"/>
        <v>0</v>
      </c>
      <c r="AU65" s="51">
        <f t="shared" si="28"/>
        <v>0</v>
      </c>
      <c r="AV65" s="51">
        <f t="shared" si="29"/>
        <v>0</v>
      </c>
      <c r="AW65" s="51">
        <f t="shared" si="30"/>
        <v>0</v>
      </c>
      <c r="AX65" s="51">
        <f t="shared" si="34"/>
        <v>93.774731921297345</v>
      </c>
    </row>
    <row r="66" spans="1:54" x14ac:dyDescent="0.2">
      <c r="A66">
        <v>9</v>
      </c>
      <c r="B66" s="64" t="s">
        <v>63</v>
      </c>
      <c r="C66" t="s">
        <v>54</v>
      </c>
      <c r="D66">
        <v>116</v>
      </c>
      <c r="E66" s="1">
        <v>44173</v>
      </c>
      <c r="F66">
        <v>1</v>
      </c>
      <c r="G66">
        <v>1</v>
      </c>
      <c r="H66">
        <v>1</v>
      </c>
      <c r="I66">
        <v>470</v>
      </c>
      <c r="J66">
        <v>50</v>
      </c>
      <c r="K66">
        <v>0.1</v>
      </c>
      <c r="L66" s="2">
        <f t="shared" si="19"/>
        <v>0.10638297872340426</v>
      </c>
      <c r="M66">
        <v>1.58</v>
      </c>
      <c r="N66">
        <v>1.5139999999999987</v>
      </c>
      <c r="O66" s="51">
        <f>M66*1.033</f>
        <v>1.6321399999999999</v>
      </c>
      <c r="P66" s="4">
        <v>0.21</v>
      </c>
      <c r="Q66" s="4">
        <v>0.03</v>
      </c>
      <c r="R66">
        <f t="shared" si="20"/>
        <v>2.2040816326530615</v>
      </c>
      <c r="S66">
        <v>21.12</v>
      </c>
      <c r="T66">
        <v>20.440000000000001</v>
      </c>
      <c r="U66">
        <f t="shared" si="31"/>
        <v>8.3265306122448948</v>
      </c>
      <c r="V66">
        <f t="shared" si="32"/>
        <v>11.701468017995028</v>
      </c>
      <c r="W66">
        <f t="shared" si="21"/>
        <v>3.0974474165280972</v>
      </c>
      <c r="X66">
        <f t="shared" si="22"/>
        <v>1.4279785501174362</v>
      </c>
      <c r="Y66">
        <f t="shared" si="23"/>
        <v>4.6253469010175774</v>
      </c>
      <c r="Z66" s="4">
        <f t="shared" si="24"/>
        <v>90.136675102840954</v>
      </c>
      <c r="AA66" s="25">
        <v>1.9296153393935058E-2</v>
      </c>
      <c r="AB66" s="4">
        <v>11.393282346079287</v>
      </c>
      <c r="AC66" s="4">
        <v>4.129640786377939</v>
      </c>
      <c r="AD66" s="4">
        <v>1.5629885974836262</v>
      </c>
      <c r="AE66" s="4">
        <v>9.4665270235053587</v>
      </c>
      <c r="AF66" s="4">
        <v>31.876313723389103</v>
      </c>
      <c r="AG66">
        <v>1.4500000000000001E-2</v>
      </c>
      <c r="AH66">
        <v>21.852399999999999</v>
      </c>
      <c r="AI66">
        <v>1.67E-2</v>
      </c>
      <c r="AJ66">
        <v>0</v>
      </c>
      <c r="AK66">
        <v>1.17E-2</v>
      </c>
      <c r="AL66">
        <v>0</v>
      </c>
      <c r="AM66">
        <v>2.9999999999999997E-4</v>
      </c>
      <c r="AN66">
        <v>25.514500000000002</v>
      </c>
      <c r="AO66">
        <f t="shared" ref="AO66:AO81" si="36">AN66-AH66</f>
        <v>3.6621000000000024</v>
      </c>
      <c r="AP66">
        <v>0</v>
      </c>
      <c r="AQ66">
        <f t="shared" si="33"/>
        <v>5.3031346399046607E-3</v>
      </c>
      <c r="AR66">
        <f t="shared" si="25"/>
        <v>1.3325516803278812E-2</v>
      </c>
      <c r="AS66">
        <f t="shared" si="26"/>
        <v>0</v>
      </c>
      <c r="AT66">
        <f t="shared" si="27"/>
        <v>1.7844891870418187E-2</v>
      </c>
      <c r="AU66">
        <f t="shared" si="28"/>
        <v>0</v>
      </c>
      <c r="AV66">
        <f t="shared" si="29"/>
        <v>1.7850665148271648E-4</v>
      </c>
      <c r="AW66">
        <f t="shared" si="30"/>
        <v>0</v>
      </c>
      <c r="AX66">
        <f t="shared" si="34"/>
        <v>91.399522837109942</v>
      </c>
    </row>
    <row r="67" spans="1:54" x14ac:dyDescent="0.2">
      <c r="A67">
        <v>10</v>
      </c>
      <c r="B67" s="64" t="s">
        <v>63</v>
      </c>
      <c r="C67" t="s">
        <v>54</v>
      </c>
      <c r="D67">
        <v>116</v>
      </c>
      <c r="E67" s="1">
        <v>44173</v>
      </c>
      <c r="F67">
        <v>1</v>
      </c>
      <c r="G67">
        <v>2</v>
      </c>
      <c r="H67">
        <v>2</v>
      </c>
      <c r="I67">
        <v>480</v>
      </c>
      <c r="J67">
        <v>50</v>
      </c>
      <c r="K67">
        <v>0.1</v>
      </c>
      <c r="L67" s="2">
        <f t="shared" si="19"/>
        <v>0.10416666666666667</v>
      </c>
      <c r="M67">
        <v>1.6</v>
      </c>
      <c r="N67">
        <v>1.5360000000000014</v>
      </c>
      <c r="O67" s="51">
        <f t="shared" ref="O67:O69" si="37">M67*1.033</f>
        <v>1.6528</v>
      </c>
      <c r="P67" s="4">
        <v>0.22</v>
      </c>
      <c r="Q67" s="4">
        <v>0.03</v>
      </c>
      <c r="R67">
        <f t="shared" si="20"/>
        <v>2.3265306122448983</v>
      </c>
      <c r="S67">
        <v>21.12</v>
      </c>
      <c r="T67">
        <v>20.38</v>
      </c>
      <c r="U67">
        <f t="shared" si="31"/>
        <v>9.0612244897959435</v>
      </c>
      <c r="V67">
        <f t="shared" si="32"/>
        <v>12.290072278911587</v>
      </c>
      <c r="W67">
        <f t="shared" si="21"/>
        <v>3.1555590986394533</v>
      </c>
      <c r="X67">
        <f t="shared" si="22"/>
        <v>1.5596744237691138</v>
      </c>
      <c r="Y67">
        <f t="shared" si="23"/>
        <v>4.5289855072463778</v>
      </c>
      <c r="Z67" s="4">
        <f t="shared" si="24"/>
        <v>82.116973568061908</v>
      </c>
      <c r="AA67" s="25">
        <v>1.1999722722122548E-2</v>
      </c>
      <c r="AB67" s="4">
        <v>7.5924479327848493</v>
      </c>
      <c r="AC67" s="4">
        <v>2.3553373026955171</v>
      </c>
      <c r="AD67" s="4">
        <v>0.38986125811136813</v>
      </c>
      <c r="AE67" s="4">
        <v>7.6882901847279186</v>
      </c>
      <c r="AF67" s="4">
        <v>18.837211524040846</v>
      </c>
      <c r="AG67">
        <v>1.2699999999999999E-2</v>
      </c>
      <c r="AH67">
        <v>21.370200000000001</v>
      </c>
      <c r="AI67">
        <v>1.8700000000000001E-2</v>
      </c>
      <c r="AJ67">
        <v>0</v>
      </c>
      <c r="AK67">
        <v>3.0000000000000001E-3</v>
      </c>
      <c r="AL67">
        <v>0</v>
      </c>
      <c r="AM67">
        <v>5.9999999999999995E-4</v>
      </c>
      <c r="AN67">
        <v>25.514500000000002</v>
      </c>
      <c r="AO67">
        <f t="shared" si="36"/>
        <v>4.1443000000000012</v>
      </c>
      <c r="AP67">
        <v>0</v>
      </c>
      <c r="AQ67">
        <f t="shared" si="33"/>
        <v>4.4829062039504538E-3</v>
      </c>
      <c r="AR67">
        <f t="shared" si="25"/>
        <v>1.4401259518447007E-2</v>
      </c>
      <c r="AS67">
        <f t="shared" si="26"/>
        <v>0</v>
      </c>
      <c r="AT67">
        <f t="shared" si="27"/>
        <v>4.4161172310252473E-3</v>
      </c>
      <c r="AU67">
        <f t="shared" si="28"/>
        <v>0</v>
      </c>
      <c r="AV67">
        <f t="shared" si="29"/>
        <v>3.4456858469528862E-4</v>
      </c>
      <c r="AW67">
        <f t="shared" si="30"/>
        <v>0</v>
      </c>
      <c r="AX67">
        <f t="shared" si="34"/>
        <v>82.975183924402316</v>
      </c>
    </row>
    <row r="68" spans="1:54" x14ac:dyDescent="0.2">
      <c r="A68" s="51">
        <v>11</v>
      </c>
      <c r="B68" t="s">
        <v>63</v>
      </c>
      <c r="C68" t="s">
        <v>54</v>
      </c>
      <c r="D68">
        <v>116</v>
      </c>
      <c r="E68" s="1">
        <v>44173</v>
      </c>
      <c r="F68">
        <v>1</v>
      </c>
      <c r="G68">
        <v>3</v>
      </c>
      <c r="H68">
        <v>3</v>
      </c>
      <c r="I68">
        <v>500</v>
      </c>
      <c r="J68">
        <v>50</v>
      </c>
      <c r="K68">
        <v>0.1</v>
      </c>
      <c r="L68" s="2">
        <f t="shared" si="19"/>
        <v>0.1</v>
      </c>
      <c r="M68">
        <v>1.6800000000000002</v>
      </c>
      <c r="N68">
        <v>1.3600000000000023</v>
      </c>
      <c r="O68" s="51">
        <f t="shared" si="37"/>
        <v>1.7354400000000001</v>
      </c>
      <c r="P68" s="4">
        <v>0.22</v>
      </c>
      <c r="Q68" s="4">
        <v>0.03</v>
      </c>
      <c r="R68">
        <f t="shared" si="20"/>
        <v>2.3265306122448983</v>
      </c>
      <c r="S68">
        <v>21.12</v>
      </c>
      <c r="T68">
        <v>20.52</v>
      </c>
      <c r="U68">
        <f t="shared" si="31"/>
        <v>7.3469387755102211</v>
      </c>
      <c r="V68">
        <f t="shared" si="32"/>
        <v>10.804321728691484</v>
      </c>
      <c r="W68">
        <f t="shared" si="21"/>
        <v>3.4213685474189623</v>
      </c>
      <c r="X68">
        <f t="shared" si="22"/>
        <v>1.9623620813475193</v>
      </c>
      <c r="Y68">
        <f t="shared" si="23"/>
        <v>4.3478260869565224</v>
      </c>
      <c r="Z68" s="65">
        <f t="shared" si="24"/>
        <v>65.985058756677191</v>
      </c>
      <c r="AA68" s="25">
        <v>2.8038432368268522E-2</v>
      </c>
      <c r="AB68" s="4">
        <v>15.632338384797533</v>
      </c>
      <c r="AC68" s="4">
        <v>5.3730374639967398</v>
      </c>
      <c r="AD68" s="4">
        <v>4.0290525283203014</v>
      </c>
      <c r="AE68" s="4">
        <v>12.910323868150751</v>
      </c>
      <c r="AF68" s="4">
        <v>38.31978379642517</v>
      </c>
      <c r="AG68">
        <v>1.5100000000000001E-2</v>
      </c>
      <c r="AH68">
        <v>20.705300000000001</v>
      </c>
      <c r="AI68">
        <v>1.6299999999999999E-2</v>
      </c>
      <c r="AJ68">
        <v>0</v>
      </c>
      <c r="AK68">
        <v>1.23E-2</v>
      </c>
      <c r="AL68">
        <v>0</v>
      </c>
      <c r="AM68">
        <v>6.9999999999999999E-4</v>
      </c>
      <c r="AN68">
        <v>25.514500000000002</v>
      </c>
      <c r="AO68">
        <f t="shared" si="36"/>
        <v>4.8092000000000006</v>
      </c>
      <c r="AP68">
        <v>0</v>
      </c>
      <c r="AQ68">
        <f t="shared" si="33"/>
        <v>5.779049559904317E-3</v>
      </c>
      <c r="AR68">
        <f t="shared" si="25"/>
        <v>1.3610372606912375E-2</v>
      </c>
      <c r="AS68">
        <f t="shared" si="26"/>
        <v>0</v>
      </c>
      <c r="AT68">
        <f t="shared" si="27"/>
        <v>1.9631251675838526E-2</v>
      </c>
      <c r="AU68">
        <f t="shared" si="28"/>
        <v>0</v>
      </c>
      <c r="AV68">
        <f t="shared" si="29"/>
        <v>4.3585899089926359E-4</v>
      </c>
      <c r="AW68">
        <f t="shared" si="30"/>
        <v>0</v>
      </c>
      <c r="AX68">
        <f t="shared" si="34"/>
        <v>66.974609016904324</v>
      </c>
    </row>
    <row r="69" spans="1:54" x14ac:dyDescent="0.2">
      <c r="A69">
        <v>12</v>
      </c>
      <c r="B69" s="64" t="s">
        <v>63</v>
      </c>
      <c r="C69" t="s">
        <v>54</v>
      </c>
      <c r="D69">
        <v>116</v>
      </c>
      <c r="E69" s="1">
        <v>44173</v>
      </c>
      <c r="F69">
        <v>1</v>
      </c>
      <c r="G69">
        <v>4</v>
      </c>
      <c r="H69">
        <v>4</v>
      </c>
      <c r="I69">
        <v>490</v>
      </c>
      <c r="J69">
        <v>50</v>
      </c>
      <c r="K69">
        <v>0.1</v>
      </c>
      <c r="L69" s="2">
        <f t="shared" si="19"/>
        <v>0.10204081632653061</v>
      </c>
      <c r="M69">
        <v>1.6600000000000001</v>
      </c>
      <c r="N69">
        <v>1.5859999999999985</v>
      </c>
      <c r="O69" s="51">
        <f t="shared" si="37"/>
        <v>1.71478</v>
      </c>
      <c r="P69" s="4">
        <v>0.23</v>
      </c>
      <c r="Q69" s="4">
        <v>0.03</v>
      </c>
      <c r="R69">
        <f t="shared" si="20"/>
        <v>2.4489795918367352</v>
      </c>
      <c r="S69">
        <v>21.12</v>
      </c>
      <c r="T69">
        <v>20.6</v>
      </c>
      <c r="U69">
        <f t="shared" si="31"/>
        <v>6.3673469387755057</v>
      </c>
      <c r="V69">
        <f t="shared" si="32"/>
        <v>8.1933074333781697</v>
      </c>
      <c r="W69">
        <f t="shared" si="21"/>
        <v>3.1512720897608379</v>
      </c>
      <c r="X69">
        <f t="shared" si="22"/>
        <v>1.5160957433010103</v>
      </c>
      <c r="Y69">
        <f t="shared" si="23"/>
        <v>4.4365572315882877</v>
      </c>
      <c r="Z69" s="4">
        <f t="shared" si="24"/>
        <v>83.414139628896052</v>
      </c>
      <c r="AA69" s="25">
        <v>2.1743847341948553E-2</v>
      </c>
      <c r="AB69" s="4">
        <v>16.330885878169877</v>
      </c>
      <c r="AC69" s="4">
        <v>4.6394083665782517</v>
      </c>
      <c r="AD69" s="4">
        <v>3.6074392463589335</v>
      </c>
      <c r="AE69" s="4">
        <v>11.768378292430993</v>
      </c>
      <c r="AF69" s="4">
        <v>32.625371985122683</v>
      </c>
      <c r="AG69">
        <v>1.72E-2</v>
      </c>
      <c r="AH69">
        <v>21.2682</v>
      </c>
      <c r="AI69">
        <v>1.77E-2</v>
      </c>
      <c r="AJ69">
        <v>0</v>
      </c>
      <c r="AK69">
        <v>1.6299999999999999E-2</v>
      </c>
      <c r="AL69">
        <v>0</v>
      </c>
      <c r="AM69">
        <v>5.9999999999999995E-4</v>
      </c>
      <c r="AN69">
        <v>25.514500000000002</v>
      </c>
      <c r="AO69">
        <f t="shared" si="36"/>
        <v>4.2463000000000015</v>
      </c>
      <c r="AP69">
        <v>0</v>
      </c>
      <c r="AQ69">
        <f t="shared" si="33"/>
        <v>5.7599348104402058E-3</v>
      </c>
      <c r="AR69">
        <f t="shared" si="25"/>
        <v>1.2931989001105185E-2</v>
      </c>
      <c r="AS69">
        <f t="shared" si="26"/>
        <v>0</v>
      </c>
      <c r="AT69">
        <f t="shared" si="27"/>
        <v>2.2763557431553255E-2</v>
      </c>
      <c r="AU69">
        <f t="shared" si="28"/>
        <v>0</v>
      </c>
      <c r="AV69">
        <f t="shared" si="29"/>
        <v>3.2689544499593746E-4</v>
      </c>
      <c r="AW69">
        <f t="shared" si="30"/>
        <v>0</v>
      </c>
      <c r="AX69">
        <f t="shared" si="34"/>
        <v>84.735409223732205</v>
      </c>
    </row>
    <row r="70" spans="1:54" x14ac:dyDescent="0.2">
      <c r="A70">
        <v>13</v>
      </c>
      <c r="B70" s="21" t="s">
        <v>64</v>
      </c>
      <c r="C70" t="s">
        <v>54</v>
      </c>
      <c r="D70">
        <v>116</v>
      </c>
      <c r="E70" s="1">
        <v>44173</v>
      </c>
      <c r="F70">
        <v>1</v>
      </c>
      <c r="G70">
        <v>5</v>
      </c>
      <c r="H70">
        <v>1</v>
      </c>
      <c r="I70">
        <v>480</v>
      </c>
      <c r="J70">
        <v>50</v>
      </c>
      <c r="K70">
        <v>0.1</v>
      </c>
      <c r="L70" s="2">
        <f t="shared" si="19"/>
        <v>0.10416666666666667</v>
      </c>
      <c r="M70">
        <v>1.8199999999999998</v>
      </c>
      <c r="N70">
        <v>1.6120000000000005</v>
      </c>
      <c r="P70" s="4">
        <v>0.22</v>
      </c>
      <c r="Q70" s="4">
        <v>0.03</v>
      </c>
      <c r="R70">
        <f t="shared" si="20"/>
        <v>2.3265306122448983</v>
      </c>
      <c r="S70">
        <v>20.77</v>
      </c>
      <c r="T70">
        <v>19.84</v>
      </c>
      <c r="U70">
        <f t="shared" si="31"/>
        <v>11.387755102040813</v>
      </c>
      <c r="V70">
        <f t="shared" si="32"/>
        <v>14.717425431711138</v>
      </c>
      <c r="W70">
        <f t="shared" si="21"/>
        <v>3.0067858408872228</v>
      </c>
      <c r="X70">
        <f t="shared" si="22"/>
        <v>1.2600089253829718</v>
      </c>
      <c r="Y70">
        <f t="shared" si="23"/>
        <v>4.5289855072463769</v>
      </c>
      <c r="Z70" s="4">
        <f t="shared" si="24"/>
        <v>99.67880909842431</v>
      </c>
      <c r="AA70" s="25">
        <v>2.5138022335023914E-2</v>
      </c>
      <c r="AB70" s="4">
        <v>11.775913111848178</v>
      </c>
      <c r="AC70" s="4">
        <v>7.2736140327037715</v>
      </c>
      <c r="AD70" s="4">
        <v>1.4437178810612583</v>
      </c>
      <c r="AE70" s="4">
        <v>15.452138450662716</v>
      </c>
      <c r="AF70" s="4">
        <v>45.099600531841197</v>
      </c>
      <c r="AG70">
        <v>3.6600000000000001E-2</v>
      </c>
      <c r="AH70">
        <v>21.5716</v>
      </c>
      <c r="AI70">
        <v>6.8999999999999999E-3</v>
      </c>
      <c r="AJ70">
        <v>0</v>
      </c>
      <c r="AK70">
        <v>3.1199999999999999E-2</v>
      </c>
      <c r="AL70">
        <v>0</v>
      </c>
      <c r="AM70">
        <v>0</v>
      </c>
      <c r="AN70">
        <v>25.0853</v>
      </c>
      <c r="AO70">
        <f t="shared" si="36"/>
        <v>3.5137</v>
      </c>
      <c r="AP70">
        <v>0</v>
      </c>
      <c r="AQ70">
        <f t="shared" si="33"/>
        <v>1.2310145747992673E-2</v>
      </c>
      <c r="AR70">
        <f t="shared" si="25"/>
        <v>5.0633055851272155E-3</v>
      </c>
      <c r="AS70">
        <f t="shared" si="26"/>
        <v>0</v>
      </c>
      <c r="AT70">
        <f t="shared" si="27"/>
        <v>4.3762297205514736E-2</v>
      </c>
      <c r="AU70">
        <f t="shared" si="28"/>
        <v>0</v>
      </c>
      <c r="AV70">
        <f t="shared" si="29"/>
        <v>0</v>
      </c>
      <c r="AW70">
        <f t="shared" si="30"/>
        <v>0</v>
      </c>
      <c r="AX70">
        <f t="shared" si="34"/>
        <v>102.01444580301747</v>
      </c>
    </row>
    <row r="71" spans="1:54" x14ac:dyDescent="0.2">
      <c r="A71">
        <v>14</v>
      </c>
      <c r="B71" s="21" t="s">
        <v>64</v>
      </c>
      <c r="C71" t="s">
        <v>54</v>
      </c>
      <c r="D71">
        <v>116</v>
      </c>
      <c r="E71" s="1">
        <v>44173</v>
      </c>
      <c r="F71">
        <v>1</v>
      </c>
      <c r="G71">
        <v>6</v>
      </c>
      <c r="H71">
        <v>2</v>
      </c>
      <c r="I71">
        <v>490</v>
      </c>
      <c r="J71">
        <v>50</v>
      </c>
      <c r="K71">
        <v>0.1</v>
      </c>
      <c r="L71" s="2">
        <f t="shared" si="19"/>
        <v>0.10204081632653061</v>
      </c>
      <c r="M71">
        <v>1.94</v>
      </c>
      <c r="N71">
        <v>1.602000000000001</v>
      </c>
      <c r="P71" s="4">
        <v>0.21</v>
      </c>
      <c r="Q71" s="4">
        <v>0.03</v>
      </c>
      <c r="R71">
        <f t="shared" si="20"/>
        <v>2.2040816326530615</v>
      </c>
      <c r="S71">
        <v>20.47</v>
      </c>
      <c r="T71">
        <v>20.440000000000001</v>
      </c>
      <c r="U71">
        <f t="shared" si="31"/>
        <v>0.36734693877548064</v>
      </c>
      <c r="V71" s="59">
        <f t="shared" si="32"/>
        <v>0.46796980658804099</v>
      </c>
      <c r="W71">
        <f t="shared" si="21"/>
        <v>2.8078188395284722</v>
      </c>
      <c r="X71">
        <f t="shared" si="22"/>
        <v>1.2333744182430226</v>
      </c>
      <c r="Y71">
        <f t="shared" si="23"/>
        <v>4.4365572315882886</v>
      </c>
      <c r="Z71" s="4">
        <f t="shared" si="24"/>
        <v>97.893712889940105</v>
      </c>
      <c r="AA71" s="25">
        <v>1.8475409406540893E-2</v>
      </c>
      <c r="AB71" s="4">
        <v>9.4795460587293654</v>
      </c>
      <c r="AC71" s="4">
        <v>6.2876721516328073</v>
      </c>
      <c r="AD71" s="4">
        <v>1.3718297088711602</v>
      </c>
      <c r="AE71" s="4">
        <v>13.116102299925771</v>
      </c>
      <c r="AF71" s="4">
        <v>28.940061519397958</v>
      </c>
      <c r="AG71">
        <v>3.8600000000000002E-2</v>
      </c>
      <c r="AH71">
        <v>21.596</v>
      </c>
      <c r="AI71">
        <v>6.4999999999999997E-3</v>
      </c>
      <c r="AJ71">
        <v>0</v>
      </c>
      <c r="AK71">
        <v>5.3E-3</v>
      </c>
      <c r="AL71">
        <v>0</v>
      </c>
      <c r="AM71">
        <v>0</v>
      </c>
      <c r="AN71">
        <v>25.0853</v>
      </c>
      <c r="AO71">
        <f t="shared" si="36"/>
        <v>3.4893000000000001</v>
      </c>
      <c r="AP71">
        <v>0</v>
      </c>
      <c r="AQ71">
        <f t="shared" si="33"/>
        <v>1.2797263054946748E-2</v>
      </c>
      <c r="AR71">
        <f t="shared" si="25"/>
        <v>4.701604442624443E-3</v>
      </c>
      <c r="AS71">
        <f t="shared" si="26"/>
        <v>0</v>
      </c>
      <c r="AT71">
        <f t="shared" si="27"/>
        <v>7.3277234384224506E-3</v>
      </c>
      <c r="AU71">
        <f t="shared" si="28"/>
        <v>0</v>
      </c>
      <c r="AV71">
        <f t="shared" si="29"/>
        <v>0</v>
      </c>
      <c r="AW71">
        <f t="shared" si="30"/>
        <v>0</v>
      </c>
      <c r="AX71">
        <f t="shared" si="34"/>
        <v>99.31993346785606</v>
      </c>
    </row>
    <row r="72" spans="1:54" x14ac:dyDescent="0.2">
      <c r="A72" s="51">
        <v>15</v>
      </c>
      <c r="B72" t="s">
        <v>64</v>
      </c>
      <c r="C72" t="s">
        <v>54</v>
      </c>
      <c r="D72">
        <v>116</v>
      </c>
      <c r="E72" s="1">
        <v>44173</v>
      </c>
      <c r="F72">
        <v>1</v>
      </c>
      <c r="G72">
        <v>7</v>
      </c>
      <c r="H72">
        <v>3</v>
      </c>
      <c r="I72">
        <v>480</v>
      </c>
      <c r="J72">
        <v>50</v>
      </c>
      <c r="K72">
        <v>0.1</v>
      </c>
      <c r="L72" s="2">
        <f t="shared" si="19"/>
        <v>0.10416666666666667</v>
      </c>
      <c r="M72">
        <v>1.8199999999999998</v>
      </c>
      <c r="N72">
        <v>1.602000000000001</v>
      </c>
      <c r="P72" s="4">
        <v>0.2</v>
      </c>
      <c r="Q72" s="4">
        <v>0.03</v>
      </c>
      <c r="R72">
        <f t="shared" si="20"/>
        <v>2.081632653061225</v>
      </c>
      <c r="S72">
        <v>20.95</v>
      </c>
      <c r="T72">
        <v>19.86</v>
      </c>
      <c r="U72">
        <f t="shared" si="31"/>
        <v>13.346938775510202</v>
      </c>
      <c r="V72">
        <f t="shared" si="32"/>
        <v>17.357130117964775</v>
      </c>
      <c r="W72">
        <f t="shared" si="21"/>
        <v>2.7070753394990943</v>
      </c>
      <c r="X72">
        <f t="shared" si="22"/>
        <v>1.4042706628737749</v>
      </c>
      <c r="Y72">
        <f t="shared" si="23"/>
        <v>4.5289855072463769</v>
      </c>
      <c r="Z72" s="65">
        <f t="shared" si="24"/>
        <v>85.881601959568201</v>
      </c>
      <c r="AA72" s="25">
        <v>2.1777012131706856E-2</v>
      </c>
      <c r="AB72" s="4">
        <v>11.120193917487596</v>
      </c>
      <c r="AC72" s="4">
        <v>5.9911108109455373</v>
      </c>
      <c r="AD72" s="4">
        <v>1.2075337010572014</v>
      </c>
      <c r="AE72" s="4">
        <v>14.511797595175738</v>
      </c>
      <c r="AF72" s="4">
        <v>36.942910845322729</v>
      </c>
      <c r="AG72">
        <v>3.44E-2</v>
      </c>
      <c r="AH72">
        <v>21.1936</v>
      </c>
      <c r="AI72">
        <v>7.4999999999999997E-3</v>
      </c>
      <c r="AJ72">
        <v>0</v>
      </c>
      <c r="AK72">
        <v>3.3700000000000001E-2</v>
      </c>
      <c r="AL72">
        <v>0</v>
      </c>
      <c r="AM72">
        <v>0</v>
      </c>
      <c r="AN72">
        <v>25.0853</v>
      </c>
      <c r="AO72">
        <f t="shared" si="36"/>
        <v>3.8917000000000002</v>
      </c>
      <c r="AP72">
        <v>0</v>
      </c>
      <c r="AQ72">
        <f t="shared" si="33"/>
        <v>1.1642415050420032E-2</v>
      </c>
      <c r="AR72">
        <f t="shared" si="25"/>
        <v>5.537947540591291E-3</v>
      </c>
      <c r="AS72">
        <f t="shared" si="26"/>
        <v>0</v>
      </c>
      <c r="AT72">
        <f t="shared" si="27"/>
        <v>4.756395327777907E-2</v>
      </c>
      <c r="AU72">
        <f t="shared" si="28"/>
        <v>0</v>
      </c>
      <c r="AV72">
        <f t="shared" si="29"/>
        <v>0</v>
      </c>
      <c r="AW72">
        <f t="shared" si="30"/>
        <v>0</v>
      </c>
      <c r="AX72">
        <f t="shared" si="34"/>
        <v>88.036887312562087</v>
      </c>
    </row>
    <row r="73" spans="1:54" x14ac:dyDescent="0.2">
      <c r="A73">
        <v>16</v>
      </c>
      <c r="B73" s="21" t="s">
        <v>64</v>
      </c>
      <c r="C73" t="s">
        <v>54</v>
      </c>
      <c r="D73">
        <v>116</v>
      </c>
      <c r="E73" s="1">
        <v>44173</v>
      </c>
      <c r="F73">
        <v>1</v>
      </c>
      <c r="G73">
        <v>8</v>
      </c>
      <c r="H73">
        <v>4</v>
      </c>
      <c r="I73">
        <v>470</v>
      </c>
      <c r="J73">
        <v>50</v>
      </c>
      <c r="K73">
        <v>0.1</v>
      </c>
      <c r="L73" s="2">
        <f t="shared" si="19"/>
        <v>0.10638297872340426</v>
      </c>
      <c r="M73">
        <v>1.8199999999999998</v>
      </c>
      <c r="N73">
        <v>1.55</v>
      </c>
      <c r="P73" s="4">
        <v>0.22</v>
      </c>
      <c r="Q73" s="4">
        <v>0.03</v>
      </c>
      <c r="R73">
        <f t="shared" si="20"/>
        <v>2.3265306122448983</v>
      </c>
      <c r="S73">
        <v>21.21</v>
      </c>
      <c r="T73">
        <v>20.399999999999999</v>
      </c>
      <c r="U73">
        <f t="shared" si="31"/>
        <v>9.918367346938803</v>
      </c>
      <c r="V73">
        <f t="shared" si="32"/>
        <v>13.614780160519977</v>
      </c>
      <c r="W73">
        <f t="shared" si="21"/>
        <v>3.193590408023196</v>
      </c>
      <c r="X73">
        <f t="shared" si="22"/>
        <v>1.218770876864492</v>
      </c>
      <c r="Y73">
        <f t="shared" si="23"/>
        <v>4.6253469010175765</v>
      </c>
      <c r="Z73" s="4">
        <f t="shared" si="24"/>
        <v>106.92380683775991</v>
      </c>
      <c r="AA73" s="25">
        <v>1.862638622846326E-2</v>
      </c>
      <c r="AB73" s="4">
        <v>10.968393984304077</v>
      </c>
      <c r="AC73" s="4">
        <v>4.9154829697073366</v>
      </c>
      <c r="AD73" s="4">
        <v>1.8073979653884673</v>
      </c>
      <c r="AE73" s="4">
        <v>11.476501052108846</v>
      </c>
      <c r="AF73" s="4">
        <v>28.574021336727387</v>
      </c>
      <c r="AG73">
        <v>3.0700000000000002E-2</v>
      </c>
      <c r="AH73">
        <v>21.885400000000001</v>
      </c>
      <c r="AI73">
        <v>7.3000000000000001E-3</v>
      </c>
      <c r="AJ73">
        <v>0</v>
      </c>
      <c r="AK73">
        <v>0</v>
      </c>
      <c r="AL73">
        <v>0</v>
      </c>
      <c r="AM73">
        <v>0</v>
      </c>
      <c r="AN73">
        <v>25.0853</v>
      </c>
      <c r="AO73">
        <f t="shared" si="36"/>
        <v>3.1998999999999995</v>
      </c>
      <c r="AP73">
        <v>0</v>
      </c>
      <c r="AQ73">
        <f t="shared" si="33"/>
        <v>1.0967236370893901E-2</v>
      </c>
      <c r="AR73">
        <f t="shared" si="25"/>
        <v>5.6896378911801418E-3</v>
      </c>
      <c r="AS73">
        <f t="shared" si="26"/>
        <v>0</v>
      </c>
      <c r="AT73">
        <f t="shared" si="27"/>
        <v>0</v>
      </c>
      <c r="AU73">
        <f t="shared" si="28"/>
        <v>0</v>
      </c>
      <c r="AV73">
        <f t="shared" si="29"/>
        <v>0</v>
      </c>
      <c r="AW73">
        <f t="shared" si="30"/>
        <v>0</v>
      </c>
      <c r="AX73">
        <f t="shared" si="34"/>
        <v>108.05708427149855</v>
      </c>
    </row>
    <row r="74" spans="1:54" x14ac:dyDescent="0.2">
      <c r="A74" s="51">
        <v>17</v>
      </c>
      <c r="B74" t="s">
        <v>65</v>
      </c>
      <c r="C74" t="s">
        <v>54</v>
      </c>
      <c r="D74">
        <v>116</v>
      </c>
      <c r="E74" s="1">
        <v>44179</v>
      </c>
      <c r="F74">
        <v>1</v>
      </c>
      <c r="G74">
        <v>1</v>
      </c>
      <c r="H74">
        <v>1</v>
      </c>
      <c r="I74">
        <v>500</v>
      </c>
      <c r="J74">
        <v>50</v>
      </c>
      <c r="K74">
        <v>0.1</v>
      </c>
      <c r="L74" s="2">
        <f t="shared" si="19"/>
        <v>0.1</v>
      </c>
      <c r="M74">
        <v>2.16</v>
      </c>
      <c r="N74">
        <v>1.9620000000000004</v>
      </c>
      <c r="P74" s="4">
        <v>0.22</v>
      </c>
      <c r="Q74" s="4">
        <v>0.03</v>
      </c>
      <c r="R74">
        <f t="shared" si="20"/>
        <v>2.3265306122448983</v>
      </c>
      <c r="S74">
        <v>20.83</v>
      </c>
      <c r="T74">
        <v>20.58</v>
      </c>
      <c r="U74">
        <f t="shared" si="31"/>
        <v>3.0612244897959187</v>
      </c>
      <c r="V74">
        <f t="shared" si="32"/>
        <v>3.1205142607501712</v>
      </c>
      <c r="W74">
        <f t="shared" si="21"/>
        <v>2.3715908381701305</v>
      </c>
      <c r="X74">
        <f t="shared" si="22"/>
        <v>1.2973465885113495</v>
      </c>
      <c r="Y74">
        <f t="shared" si="23"/>
        <v>4.3478260869565224</v>
      </c>
      <c r="Z74" s="65">
        <f t="shared" si="24"/>
        <v>86.32256258826591</v>
      </c>
      <c r="AA74" s="25">
        <v>6.807355606211106E-2</v>
      </c>
      <c r="AB74" s="4">
        <v>36.448200812655806</v>
      </c>
      <c r="AC74" s="4">
        <v>15.512442204147325</v>
      </c>
      <c r="AD74" s="4">
        <v>13.290974942978767</v>
      </c>
      <c r="AE74" s="4">
        <v>134.97793256715116</v>
      </c>
      <c r="AF74" s="4">
        <v>66.891083460790782</v>
      </c>
      <c r="AG74">
        <v>3.2000000000000002E-3</v>
      </c>
      <c r="AH74">
        <v>20.4697</v>
      </c>
      <c r="AI74">
        <v>0</v>
      </c>
      <c r="AJ74">
        <v>0</v>
      </c>
      <c r="AK74">
        <v>2.63E-2</v>
      </c>
      <c r="AL74">
        <v>0</v>
      </c>
      <c r="AM74">
        <v>0</v>
      </c>
      <c r="AN74">
        <v>25.0565</v>
      </c>
      <c r="AO74">
        <f t="shared" si="36"/>
        <v>4.5868000000000002</v>
      </c>
      <c r="AP74">
        <v>0</v>
      </c>
      <c r="AQ74">
        <f t="shared" si="33"/>
        <v>8.4892506243472421E-4</v>
      </c>
      <c r="AR74">
        <f t="shared" si="25"/>
        <v>0</v>
      </c>
      <c r="AS74">
        <f t="shared" si="26"/>
        <v>0</v>
      </c>
      <c r="AT74">
        <f t="shared" si="27"/>
        <v>2.9096351406039687E-2</v>
      </c>
      <c r="AU74">
        <f t="shared" si="28"/>
        <v>0</v>
      </c>
      <c r="AV74">
        <f t="shared" si="29"/>
        <v>0</v>
      </c>
      <c r="AW74">
        <f t="shared" si="30"/>
        <v>0</v>
      </c>
      <c r="AX74">
        <f t="shared" si="34"/>
        <v>87.13558425555614</v>
      </c>
    </row>
    <row r="75" spans="1:54" x14ac:dyDescent="0.2">
      <c r="A75">
        <v>18</v>
      </c>
      <c r="B75" s="21" t="s">
        <v>65</v>
      </c>
      <c r="C75" t="s">
        <v>54</v>
      </c>
      <c r="D75">
        <v>116</v>
      </c>
      <c r="E75" s="1">
        <v>44179</v>
      </c>
      <c r="F75">
        <v>1</v>
      </c>
      <c r="G75">
        <v>2</v>
      </c>
      <c r="H75">
        <v>2</v>
      </c>
      <c r="I75">
        <v>490</v>
      </c>
      <c r="J75">
        <v>50</v>
      </c>
      <c r="K75">
        <v>0.1</v>
      </c>
      <c r="L75" s="2">
        <f t="shared" si="19"/>
        <v>0.10204081632653061</v>
      </c>
      <c r="M75">
        <v>2</v>
      </c>
      <c r="N75">
        <v>2.1039999999999992</v>
      </c>
      <c r="P75" s="4">
        <v>0.22</v>
      </c>
      <c r="Q75" s="4">
        <v>0.03</v>
      </c>
      <c r="R75">
        <f t="shared" si="20"/>
        <v>2.3265306122448983</v>
      </c>
      <c r="S75">
        <v>20.82</v>
      </c>
      <c r="T75">
        <v>20.47</v>
      </c>
      <c r="U75">
        <f t="shared" si="31"/>
        <v>4.2857142857143034</v>
      </c>
      <c r="V75">
        <f t="shared" si="32"/>
        <v>4.1570131583323358</v>
      </c>
      <c r="W75">
        <f t="shared" si="21"/>
        <v>2.2566642859518304</v>
      </c>
      <c r="X75">
        <f t="shared" si="22"/>
        <v>1.2196750426980469</v>
      </c>
      <c r="Y75">
        <f t="shared" si="23"/>
        <v>4.4365572315882877</v>
      </c>
      <c r="Z75" s="4">
        <f t="shared" si="24"/>
        <v>91.461814051908206</v>
      </c>
      <c r="AA75" s="25">
        <v>7.0800217705660667E-2</v>
      </c>
      <c r="AB75" s="4">
        <v>49.036253755983786</v>
      </c>
      <c r="AC75" s="4">
        <v>17.926814600318199</v>
      </c>
      <c r="AD75" s="4">
        <v>18.445692354124869</v>
      </c>
      <c r="AE75" s="4">
        <v>145.53155652121285</v>
      </c>
      <c r="AF75" s="4">
        <v>66.986998873780308</v>
      </c>
      <c r="AG75">
        <v>3.8E-3</v>
      </c>
      <c r="AH75">
        <v>20.524699999999999</v>
      </c>
      <c r="AI75">
        <v>0</v>
      </c>
      <c r="AJ75">
        <v>0</v>
      </c>
      <c r="AK75">
        <v>2.3999999999999998E-3</v>
      </c>
      <c r="AL75">
        <v>0</v>
      </c>
      <c r="AM75">
        <v>0</v>
      </c>
      <c r="AN75">
        <v>25.0565</v>
      </c>
      <c r="AO75">
        <f t="shared" si="36"/>
        <v>4.5318000000000005</v>
      </c>
      <c r="AP75">
        <v>0</v>
      </c>
      <c r="AQ75">
        <f t="shared" si="33"/>
        <v>9.592463722356366E-4</v>
      </c>
      <c r="AR75">
        <f t="shared" si="25"/>
        <v>0</v>
      </c>
      <c r="AS75">
        <f t="shared" si="26"/>
        <v>0</v>
      </c>
      <c r="AT75">
        <f t="shared" si="27"/>
        <v>2.5265111446343591E-3</v>
      </c>
      <c r="AU75">
        <f t="shared" si="28"/>
        <v>0</v>
      </c>
      <c r="AV75">
        <f t="shared" si="29"/>
        <v>0</v>
      </c>
      <c r="AW75">
        <f t="shared" si="30"/>
        <v>0</v>
      </c>
      <c r="AX75">
        <f t="shared" si="34"/>
        <v>91.609510503070751</v>
      </c>
    </row>
    <row r="76" spans="1:54" x14ac:dyDescent="0.2">
      <c r="A76">
        <v>19</v>
      </c>
      <c r="B76" s="21" t="s">
        <v>65</v>
      </c>
      <c r="C76" t="s">
        <v>54</v>
      </c>
      <c r="D76">
        <v>116</v>
      </c>
      <c r="E76" s="1">
        <v>44179</v>
      </c>
      <c r="F76">
        <v>1</v>
      </c>
      <c r="G76">
        <v>3</v>
      </c>
      <c r="H76">
        <v>3</v>
      </c>
      <c r="I76">
        <v>490</v>
      </c>
      <c r="J76">
        <v>50</v>
      </c>
      <c r="K76">
        <v>0.1</v>
      </c>
      <c r="L76" s="2">
        <f t="shared" si="19"/>
        <v>0.10204081632653061</v>
      </c>
      <c r="M76">
        <v>2.4</v>
      </c>
      <c r="N76">
        <v>2.4620000000000006</v>
      </c>
      <c r="P76" s="4">
        <v>0.23</v>
      </c>
      <c r="Q76" s="4">
        <v>0.03</v>
      </c>
      <c r="R76">
        <f t="shared" si="20"/>
        <v>2.4489795918367352</v>
      </c>
      <c r="S76">
        <v>20.83</v>
      </c>
      <c r="T76">
        <v>20.45</v>
      </c>
      <c r="U76">
        <f t="shared" si="31"/>
        <v>4.6530612244897842</v>
      </c>
      <c r="V76">
        <f t="shared" si="32"/>
        <v>3.857044401009452</v>
      </c>
      <c r="W76">
        <f t="shared" si="21"/>
        <v>2.030023368952349</v>
      </c>
      <c r="X76">
        <f t="shared" si="22"/>
        <v>0.97638031347910004</v>
      </c>
      <c r="Y76">
        <f t="shared" si="23"/>
        <v>4.4365572315882877</v>
      </c>
      <c r="Z76" s="4">
        <f t="shared" si="24"/>
        <v>110.38356863045351</v>
      </c>
      <c r="AA76" s="25">
        <v>5.1684196932328549E-2</v>
      </c>
      <c r="AB76" s="4">
        <v>32.543159112997643</v>
      </c>
      <c r="AC76" s="4">
        <v>18.510808978551211</v>
      </c>
      <c r="AD76" s="4">
        <v>9.6015935271907065</v>
      </c>
      <c r="AE76" s="4">
        <v>124.82051777296967</v>
      </c>
      <c r="AF76" s="4">
        <v>69.01690630307661</v>
      </c>
      <c r="AG76">
        <v>3.5000000000000001E-3</v>
      </c>
      <c r="AH76">
        <v>20.811399999999999</v>
      </c>
      <c r="AI76">
        <v>0</v>
      </c>
      <c r="AJ76">
        <v>0</v>
      </c>
      <c r="AK76">
        <v>3.4599999999999999E-2</v>
      </c>
      <c r="AL76">
        <v>0</v>
      </c>
      <c r="AM76">
        <v>0</v>
      </c>
      <c r="AN76">
        <v>25.0565</v>
      </c>
      <c r="AO76">
        <f t="shared" si="36"/>
        <v>4.2451000000000008</v>
      </c>
      <c r="AP76">
        <v>0</v>
      </c>
      <c r="AQ76">
        <f t="shared" si="33"/>
        <v>7.5504406827389204E-4</v>
      </c>
      <c r="AR76">
        <f t="shared" si="25"/>
        <v>0</v>
      </c>
      <c r="AS76">
        <f t="shared" si="26"/>
        <v>0</v>
      </c>
      <c r="AT76">
        <f t="shared" si="27"/>
        <v>3.112746562949327E-2</v>
      </c>
      <c r="AU76">
        <f t="shared" si="28"/>
        <v>0</v>
      </c>
      <c r="AV76">
        <f t="shared" si="29"/>
        <v>0</v>
      </c>
      <c r="AW76">
        <f t="shared" si="30"/>
        <v>0</v>
      </c>
      <c r="AX76">
        <f t="shared" si="34"/>
        <v>111.52358198294618</v>
      </c>
    </row>
    <row r="77" spans="1:54" x14ac:dyDescent="0.2">
      <c r="A77">
        <v>20</v>
      </c>
      <c r="B77" s="21" t="s">
        <v>65</v>
      </c>
      <c r="C77" t="s">
        <v>54</v>
      </c>
      <c r="D77">
        <v>116</v>
      </c>
      <c r="E77" s="1">
        <v>44179</v>
      </c>
      <c r="F77">
        <v>1</v>
      </c>
      <c r="G77">
        <v>4</v>
      </c>
      <c r="H77">
        <v>4</v>
      </c>
      <c r="I77">
        <v>480</v>
      </c>
      <c r="J77">
        <v>50</v>
      </c>
      <c r="K77">
        <v>0.1</v>
      </c>
      <c r="L77" s="2">
        <f t="shared" si="19"/>
        <v>0.10416666666666667</v>
      </c>
      <c r="M77">
        <v>2.48</v>
      </c>
      <c r="N77">
        <v>2.6900000000000004</v>
      </c>
      <c r="P77" s="4">
        <v>0.23</v>
      </c>
      <c r="Q77" s="4">
        <v>0.03</v>
      </c>
      <c r="R77">
        <f t="shared" si="20"/>
        <v>2.4489795918367352</v>
      </c>
      <c r="S77">
        <v>20.83</v>
      </c>
      <c r="T77">
        <v>20.62</v>
      </c>
      <c r="U77">
        <f t="shared" si="31"/>
        <v>2.5714285714285383</v>
      </c>
      <c r="V77">
        <f t="shared" si="32"/>
        <v>1.9915029208709247</v>
      </c>
      <c r="W77">
        <f t="shared" si="21"/>
        <v>1.8966694484485243</v>
      </c>
      <c r="X77">
        <f t="shared" si="22"/>
        <v>0.93452545498805561</v>
      </c>
      <c r="Y77">
        <f t="shared" si="23"/>
        <v>4.5289855072463769</v>
      </c>
      <c r="Z77" s="4">
        <f t="shared" si="24"/>
        <v>114.59746622198801</v>
      </c>
      <c r="AA77" s="25">
        <v>5.8375498470596636E-2</v>
      </c>
      <c r="AB77" s="4">
        <v>40.751204835431288</v>
      </c>
      <c r="AC77" s="4">
        <v>19.30164210884757</v>
      </c>
      <c r="AD77" s="4">
        <v>12.335699052587007</v>
      </c>
      <c r="AE77" s="4">
        <v>161.61768233579241</v>
      </c>
      <c r="AF77" s="4">
        <v>80.05395343915167</v>
      </c>
      <c r="AG77" s="30">
        <v>3.0000000000000001E-3</v>
      </c>
      <c r="AH77">
        <v>20.707699999999999</v>
      </c>
      <c r="AI77">
        <v>0</v>
      </c>
      <c r="AJ77">
        <v>0</v>
      </c>
      <c r="AK77">
        <v>2.5000000000000001E-3</v>
      </c>
      <c r="AL77">
        <v>0</v>
      </c>
      <c r="AM77">
        <v>0</v>
      </c>
      <c r="AN77">
        <v>25.0565</v>
      </c>
      <c r="AO77">
        <f t="shared" si="36"/>
        <v>4.3488000000000007</v>
      </c>
      <c r="AP77">
        <v>0</v>
      </c>
      <c r="AQ77">
        <f t="shared" si="33"/>
        <v>6.0466679705540227E-4</v>
      </c>
      <c r="AR77">
        <f t="shared" si="25"/>
        <v>0</v>
      </c>
      <c r="AS77">
        <f t="shared" si="26"/>
        <v>0</v>
      </c>
      <c r="AT77">
        <f t="shared" si="27"/>
        <v>2.1013494630900821E-3</v>
      </c>
      <c r="AU77">
        <f t="shared" si="28"/>
        <v>0</v>
      </c>
      <c r="AV77">
        <f t="shared" si="29"/>
        <v>0</v>
      </c>
      <c r="AW77">
        <f t="shared" si="30"/>
        <v>0</v>
      </c>
      <c r="AX77">
        <f t="shared" si="34"/>
        <v>114.73712176706914</v>
      </c>
    </row>
    <row r="78" spans="1:54" s="26" customFormat="1" x14ac:dyDescent="0.2">
      <c r="A78" s="26">
        <v>21</v>
      </c>
      <c r="B78" s="26" t="s">
        <v>66</v>
      </c>
      <c r="C78" s="26" t="s">
        <v>54</v>
      </c>
      <c r="D78" s="26">
        <v>116</v>
      </c>
      <c r="L78" s="27"/>
      <c r="P78" s="28"/>
      <c r="Z78" s="4"/>
      <c r="AA78" s="29"/>
      <c r="AB78" s="28"/>
      <c r="AC78" s="28"/>
      <c r="AD78" s="28"/>
      <c r="AE78" s="28"/>
      <c r="AF78" s="28"/>
      <c r="AG78" s="31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x14ac:dyDescent="0.2">
      <c r="A79">
        <v>22</v>
      </c>
      <c r="B79" s="64" t="s">
        <v>66</v>
      </c>
      <c r="C79" t="s">
        <v>54</v>
      </c>
      <c r="D79">
        <v>116</v>
      </c>
      <c r="E79" s="1">
        <v>44181</v>
      </c>
      <c r="F79">
        <v>1</v>
      </c>
      <c r="G79">
        <v>6</v>
      </c>
      <c r="H79">
        <v>1</v>
      </c>
      <c r="I79">
        <v>480</v>
      </c>
      <c r="J79">
        <v>50</v>
      </c>
      <c r="K79">
        <v>0.1</v>
      </c>
      <c r="L79" s="2">
        <f t="shared" si="19"/>
        <v>0.10416666666666667</v>
      </c>
      <c r="M79">
        <v>1.28</v>
      </c>
      <c r="N79">
        <v>1.4479999999999991</v>
      </c>
      <c r="P79" s="4">
        <v>0.2</v>
      </c>
      <c r="Q79" s="4">
        <v>0.04</v>
      </c>
      <c r="R79">
        <f t="shared" si="20"/>
        <v>1.9591836734693882</v>
      </c>
      <c r="S79">
        <v>20.89</v>
      </c>
      <c r="T79">
        <v>20.54</v>
      </c>
      <c r="U79">
        <f t="shared" si="31"/>
        <v>4.2857142857143034</v>
      </c>
      <c r="V79">
        <f t="shared" si="32"/>
        <v>6.1661404893449392</v>
      </c>
      <c r="W79">
        <f t="shared" si="21"/>
        <v>2.8188070808433898</v>
      </c>
      <c r="X79">
        <f t="shared" si="22"/>
        <v>1.0511296278127642</v>
      </c>
      <c r="Y79">
        <f t="shared" si="23"/>
        <v>4.5289855072463769</v>
      </c>
      <c r="Z79" s="4">
        <f t="shared" si="24"/>
        <v>116.50628672347752</v>
      </c>
      <c r="AA79" s="25">
        <v>1.7796980578099666E-2</v>
      </c>
      <c r="AB79" s="4">
        <v>9.3928992997141982</v>
      </c>
      <c r="AC79" s="4">
        <v>1.9216176837310417</v>
      </c>
      <c r="AD79" s="4">
        <v>2.0542991814184957</v>
      </c>
      <c r="AE79" s="4">
        <v>8.4663136141972952</v>
      </c>
      <c r="AF79" s="4">
        <v>29.704925975115572</v>
      </c>
      <c r="AG79" s="30">
        <v>1.2999999999999999E-2</v>
      </c>
      <c r="AH79">
        <v>22.7319</v>
      </c>
      <c r="AI79">
        <v>1.0699999999999999E-2</v>
      </c>
      <c r="AJ79">
        <v>0</v>
      </c>
      <c r="AK79">
        <v>1.5800000000000002E-2</v>
      </c>
      <c r="AL79">
        <v>0</v>
      </c>
      <c r="AM79">
        <v>1.9900000000000001E-2</v>
      </c>
      <c r="AN79">
        <v>25.364899999999999</v>
      </c>
      <c r="AO79">
        <f t="shared" si="36"/>
        <v>2.6329999999999991</v>
      </c>
      <c r="AP79">
        <v>0.2089</v>
      </c>
      <c r="AQ79">
        <f t="shared" si="33"/>
        <v>4.8676790729805328E-3</v>
      </c>
      <c r="AR79">
        <f>(AI79*1000/88.06)*$L79/$N79</f>
        <v>8.7410841595112043E-3</v>
      </c>
      <c r="AS79">
        <f>(AJ79*1000/60.052)*$L79/$N79</f>
        <v>0</v>
      </c>
      <c r="AT79">
        <f>(AK79*1000/46.07)*$L79/$N79</f>
        <v>2.4671700243164296E-2</v>
      </c>
      <c r="AU79">
        <f>(AL79*1000/92.09)*$L79/$N79</f>
        <v>0</v>
      </c>
      <c r="AV79">
        <f>(AM79*1000/118.09)*$L79/$N79</f>
        <v>1.2122722360992273E-2</v>
      </c>
      <c r="AW79">
        <f>(AP79*1000/118.09)*$L79/$N79</f>
        <v>0.12725812568900932</v>
      </c>
      <c r="AX79">
        <f t="shared" si="34"/>
        <v>129.02542525153103</v>
      </c>
    </row>
    <row r="80" spans="1:54" x14ac:dyDescent="0.2">
      <c r="A80">
        <v>23</v>
      </c>
      <c r="B80" s="64" t="s">
        <v>66</v>
      </c>
      <c r="C80" t="s">
        <v>54</v>
      </c>
      <c r="D80">
        <v>116</v>
      </c>
      <c r="E80" s="1">
        <v>44181</v>
      </c>
      <c r="F80">
        <v>1</v>
      </c>
      <c r="G80">
        <v>7</v>
      </c>
      <c r="H80">
        <v>2</v>
      </c>
      <c r="I80">
        <v>490</v>
      </c>
      <c r="J80">
        <v>50</v>
      </c>
      <c r="K80">
        <v>0.1</v>
      </c>
      <c r="L80" s="2">
        <f t="shared" si="19"/>
        <v>0.10204081632653061</v>
      </c>
      <c r="M80">
        <v>1.36</v>
      </c>
      <c r="N80">
        <v>1.4039999999999992</v>
      </c>
      <c r="P80" s="4">
        <v>0.21</v>
      </c>
      <c r="Q80" s="4">
        <v>0.03</v>
      </c>
      <c r="R80">
        <f t="shared" si="20"/>
        <v>2.2040816326530615</v>
      </c>
      <c r="S80">
        <v>20.89</v>
      </c>
      <c r="T80">
        <v>21.76</v>
      </c>
      <c r="U80">
        <f t="shared" si="31"/>
        <v>-10.653061224489809</v>
      </c>
      <c r="V80" s="59">
        <f t="shared" si="32"/>
        <v>-15.48500090774146</v>
      </c>
      <c r="W80">
        <f t="shared" si="21"/>
        <v>3.2037932912568508</v>
      </c>
      <c r="X80">
        <f t="shared" si="22"/>
        <v>1.2451360160255045</v>
      </c>
      <c r="Y80">
        <f t="shared" si="23"/>
        <v>4.4365572315882877</v>
      </c>
      <c r="Z80" s="4">
        <f t="shared" si="24"/>
        <v>102.26928925180489</v>
      </c>
      <c r="AA80" s="25">
        <v>1.8299122164079414E-2</v>
      </c>
      <c r="AB80" s="4">
        <v>11.819828177496907</v>
      </c>
      <c r="AC80" s="4">
        <v>2.3274955479170401</v>
      </c>
      <c r="AD80" s="4">
        <v>1.979853201450166</v>
      </c>
      <c r="AE80" s="4">
        <v>7.7261858630569096</v>
      </c>
      <c r="AF80" s="4">
        <v>27.530572246813939</v>
      </c>
      <c r="AG80">
        <v>4.8999999999999998E-3</v>
      </c>
      <c r="AH80">
        <v>22.277699999999999</v>
      </c>
      <c r="AI80">
        <v>1.18E-2</v>
      </c>
      <c r="AJ80">
        <v>0</v>
      </c>
      <c r="AK80">
        <v>2.3E-3</v>
      </c>
      <c r="AL80">
        <v>0</v>
      </c>
      <c r="AM80">
        <v>2.1299999999999999E-2</v>
      </c>
      <c r="AN80">
        <v>25.364899999999999</v>
      </c>
      <c r="AO80">
        <f t="shared" si="36"/>
        <v>3.0871999999999993</v>
      </c>
      <c r="AP80">
        <v>0.20069999999999999</v>
      </c>
      <c r="AQ80">
        <f t="shared" si="33"/>
        <v>1.8536224319988981E-3</v>
      </c>
      <c r="AR80">
        <f>(AI80*1000/88.06)*$L80/$N80</f>
        <v>9.7389052971285917E-3</v>
      </c>
      <c r="AS80">
        <f>(AJ80*1000/60.052)*$L80/$N80</f>
        <v>0</v>
      </c>
      <c r="AT80">
        <f>(AK80*1000/46.07)*$L80/$N80</f>
        <v>3.6284107108008638E-3</v>
      </c>
      <c r="AU80">
        <f>(AL80*1000/92.09)*$L80/$N80</f>
        <v>0</v>
      </c>
      <c r="AV80">
        <f>(AM80*1000/118.09)*$L80/$N80</f>
        <v>1.3109112706272266E-2</v>
      </c>
      <c r="AW80">
        <f t="shared" ref="AW80:AW81" si="38">(AP80*1000/118.09)*$L80/$N80</f>
        <v>0.12352107606332596</v>
      </c>
      <c r="AX80">
        <f t="shared" si="34"/>
        <v>111.87516220879333</v>
      </c>
    </row>
    <row r="81" spans="1:50" x14ac:dyDescent="0.2">
      <c r="A81">
        <v>24</v>
      </c>
      <c r="B81" s="64" t="s">
        <v>66</v>
      </c>
      <c r="C81" t="s">
        <v>54</v>
      </c>
      <c r="D81">
        <v>116</v>
      </c>
      <c r="E81" s="1">
        <v>44181</v>
      </c>
      <c r="F81">
        <v>1</v>
      </c>
      <c r="G81">
        <v>8</v>
      </c>
      <c r="H81">
        <v>3</v>
      </c>
      <c r="I81">
        <v>470</v>
      </c>
      <c r="J81">
        <v>50</v>
      </c>
      <c r="K81">
        <v>0.1</v>
      </c>
      <c r="L81" s="2">
        <f t="shared" si="19"/>
        <v>0.10638297872340426</v>
      </c>
      <c r="M81">
        <v>1.34</v>
      </c>
      <c r="N81">
        <v>1.5960000000000008</v>
      </c>
      <c r="P81" s="4">
        <v>0.21</v>
      </c>
      <c r="Q81" s="4">
        <v>0.04</v>
      </c>
      <c r="R81">
        <f t="shared" si="20"/>
        <v>2.0816326530612246</v>
      </c>
      <c r="S81">
        <v>20.9</v>
      </c>
      <c r="T81">
        <v>20.5</v>
      </c>
      <c r="U81">
        <f t="shared" si="31"/>
        <v>4.8979591836734517</v>
      </c>
      <c r="V81">
        <f t="shared" si="32"/>
        <v>6.5295675140956773</v>
      </c>
      <c r="W81">
        <f t="shared" si="21"/>
        <v>2.7750661934906726</v>
      </c>
      <c r="X81">
        <f t="shared" si="22"/>
        <v>1.1430653522369452</v>
      </c>
      <c r="Y81">
        <f t="shared" si="23"/>
        <v>4.6253469010175765</v>
      </c>
      <c r="Z81" s="4">
        <f t="shared" si="24"/>
        <v>107.90303284097536</v>
      </c>
      <c r="AA81" s="25">
        <v>1.6694023251189356E-2</v>
      </c>
      <c r="AB81" s="4">
        <v>10.021283256331222</v>
      </c>
      <c r="AC81" s="4">
        <v>1.2595507379809849</v>
      </c>
      <c r="AD81" s="4">
        <v>1.3722874672682983</v>
      </c>
      <c r="AE81" s="4">
        <v>9.9194402472960785</v>
      </c>
      <c r="AF81" s="4">
        <v>30.714760508919859</v>
      </c>
      <c r="AG81">
        <v>7.6E-3</v>
      </c>
      <c r="AH81">
        <v>22.274699999999999</v>
      </c>
      <c r="AI81" s="30">
        <v>0.01</v>
      </c>
      <c r="AJ81">
        <v>0</v>
      </c>
      <c r="AK81">
        <v>1.04E-2</v>
      </c>
      <c r="AL81">
        <v>0</v>
      </c>
      <c r="AM81">
        <v>1.6500000000000001E-2</v>
      </c>
      <c r="AN81">
        <v>25.364899999999999</v>
      </c>
      <c r="AO81">
        <f t="shared" si="36"/>
        <v>3.0901999999999994</v>
      </c>
      <c r="AP81">
        <v>0.18129999999999999</v>
      </c>
      <c r="AQ81">
        <f t="shared" si="33"/>
        <v>2.6367638242415911E-3</v>
      </c>
      <c r="AR81">
        <f>(AI81*1000/88.06)*$L81/$N81</f>
        <v>7.5693847043372259E-3</v>
      </c>
      <c r="AS81">
        <f>(AJ81*1000/60.052)*$L81/$N81</f>
        <v>0</v>
      </c>
      <c r="AT81">
        <f>(AK81*1000/46.07)*$L81/$N81</f>
        <v>1.5047154715573987E-2</v>
      </c>
      <c r="AU81">
        <f>(AL81*1000/92.09)*$L81/$N81</f>
        <v>0</v>
      </c>
      <c r="AV81">
        <f>(AM81*1000/118.09)*$L81/$N81</f>
        <v>9.3134391409560036E-3</v>
      </c>
      <c r="AW81">
        <f t="shared" si="38"/>
        <v>0.10233494037911052</v>
      </c>
      <c r="AX81">
        <f t="shared" si="34"/>
        <v>116.90735185243078</v>
      </c>
    </row>
    <row r="82" spans="1:50" x14ac:dyDescent="0.2">
      <c r="T82" t="s">
        <v>67</v>
      </c>
    </row>
  </sheetData>
  <mergeCells count="1">
    <mergeCell ref="AA49:AF53"/>
  </mergeCells>
  <phoneticPr fontId="5" type="noConversion"/>
  <pageMargins left="0.7" right="0.7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65B8-A712-4C11-AB93-FDEA7DB272DA}">
  <dimension ref="A1:AZ54"/>
  <sheetViews>
    <sheetView zoomScale="85" zoomScaleNormal="85" workbookViewId="0">
      <selection activeCell="F36" sqref="F36"/>
    </sheetView>
  </sheetViews>
  <sheetFormatPr baseColWidth="10" defaultColWidth="11" defaultRowHeight="16" x14ac:dyDescent="0.2"/>
  <cols>
    <col min="1" max="1" width="14.1640625" customWidth="1"/>
    <col min="2" max="2" width="21.1640625" customWidth="1"/>
    <col min="3" max="3" width="7.1640625" customWidth="1"/>
    <col min="4" max="4" width="6.6640625" customWidth="1"/>
    <col min="5" max="5" width="14.1640625" customWidth="1"/>
    <col min="9" max="9" width="17.33203125" customWidth="1"/>
    <col min="10" max="11" width="14" customWidth="1"/>
    <col min="12" max="12" width="13" customWidth="1"/>
    <col min="14" max="14" width="19.5" customWidth="1"/>
    <col min="20" max="20" width="17.5" customWidth="1"/>
    <col min="21" max="21" width="16" customWidth="1"/>
    <col min="22" max="22" width="15.33203125" customWidth="1"/>
    <col min="23" max="25" width="23" customWidth="1"/>
    <col min="26" max="26" width="11.33203125" customWidth="1"/>
    <col min="27" max="31" width="18.33203125" bestFit="1" customWidth="1"/>
    <col min="40" max="40" width="16.6640625" customWidth="1"/>
    <col min="41" max="42" width="15.1640625" customWidth="1"/>
    <col min="43" max="43" width="14.83203125" customWidth="1"/>
  </cols>
  <sheetData>
    <row r="1" spans="1:52" s="46" customFormat="1" ht="51" x14ac:dyDescent="0.2">
      <c r="A1" s="46" t="s">
        <v>0</v>
      </c>
      <c r="B1" s="47" t="s">
        <v>1</v>
      </c>
      <c r="C1" s="47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15</v>
      </c>
      <c r="P1" s="47" t="s">
        <v>16</v>
      </c>
      <c r="Q1" s="47" t="s">
        <v>17</v>
      </c>
      <c r="R1" s="47" t="s">
        <v>18</v>
      </c>
      <c r="S1" s="47" t="s">
        <v>19</v>
      </c>
      <c r="T1" s="47" t="s">
        <v>20</v>
      </c>
      <c r="U1" s="48" t="s">
        <v>21</v>
      </c>
      <c r="V1" s="48" t="s">
        <v>22</v>
      </c>
      <c r="W1" s="48" t="s">
        <v>23</v>
      </c>
      <c r="X1" s="48" t="s">
        <v>24</v>
      </c>
      <c r="Y1" s="42" t="s">
        <v>68</v>
      </c>
      <c r="Z1" s="46" t="s">
        <v>26</v>
      </c>
      <c r="AA1" s="46" t="s">
        <v>27</v>
      </c>
      <c r="AB1" s="46" t="s">
        <v>28</v>
      </c>
      <c r="AC1" s="46" t="s">
        <v>29</v>
      </c>
      <c r="AD1" s="46" t="s">
        <v>30</v>
      </c>
      <c r="AE1" s="46" t="s">
        <v>31</v>
      </c>
      <c r="AF1" s="60" t="s">
        <v>32</v>
      </c>
      <c r="AG1" s="60" t="s">
        <v>33</v>
      </c>
      <c r="AH1" s="60" t="s">
        <v>34</v>
      </c>
      <c r="AI1" s="60" t="s">
        <v>35</v>
      </c>
      <c r="AJ1" s="60" t="s">
        <v>36</v>
      </c>
      <c r="AK1" s="60" t="s">
        <v>37</v>
      </c>
      <c r="AL1" s="60" t="s">
        <v>38</v>
      </c>
      <c r="AM1" s="60"/>
      <c r="AN1" s="60" t="s">
        <v>39</v>
      </c>
      <c r="AO1" s="60" t="s">
        <v>40</v>
      </c>
      <c r="AP1" s="60" t="s">
        <v>42</v>
      </c>
      <c r="AQ1" s="60" t="s">
        <v>43</v>
      </c>
      <c r="AR1" s="60" t="s">
        <v>44</v>
      </c>
      <c r="AS1" s="60" t="s">
        <v>45</v>
      </c>
      <c r="AT1" s="60" t="s">
        <v>46</v>
      </c>
      <c r="AU1" s="60" t="s">
        <v>47</v>
      </c>
      <c r="AV1" s="60" t="s">
        <v>48</v>
      </c>
      <c r="AW1" s="42" t="s">
        <v>25</v>
      </c>
      <c r="AX1" s="46" t="s">
        <v>0</v>
      </c>
      <c r="AY1" s="46" t="s">
        <v>69</v>
      </c>
      <c r="AZ1" s="46" t="s">
        <v>70</v>
      </c>
    </row>
    <row r="2" spans="1:52" s="32" customFormat="1" x14ac:dyDescent="0.2">
      <c r="A2" s="32">
        <v>1</v>
      </c>
      <c r="B2" s="32" t="s">
        <v>50</v>
      </c>
      <c r="C2" s="32" t="s">
        <v>54</v>
      </c>
      <c r="D2" s="32">
        <v>116</v>
      </c>
      <c r="E2" s="33">
        <v>44529</v>
      </c>
      <c r="F2" s="32">
        <v>1</v>
      </c>
      <c r="G2" s="32">
        <v>1</v>
      </c>
      <c r="H2" s="32">
        <v>1</v>
      </c>
      <c r="I2" s="32">
        <v>480</v>
      </c>
      <c r="J2" s="32">
        <v>50</v>
      </c>
      <c r="K2" s="32">
        <v>0.1</v>
      </c>
      <c r="L2" s="34">
        <f t="shared" ref="L2:L14" si="0">J2/I2</f>
        <v>0.10416666666666667</v>
      </c>
      <c r="M2" s="32">
        <v>2.94</v>
      </c>
      <c r="N2" s="32">
        <v>1.9380000000000024</v>
      </c>
      <c r="O2" s="35">
        <v>0.2</v>
      </c>
      <c r="P2" s="35">
        <v>0.03</v>
      </c>
      <c r="Q2" s="32">
        <f t="shared" ref="Q2:Q24" si="1">(30/24.5)*(O2-P2)*0.01*1000</f>
        <v>2.081632653061225</v>
      </c>
      <c r="R2" s="32">
        <v>20.96</v>
      </c>
      <c r="S2" s="32">
        <v>20.55</v>
      </c>
      <c r="T2" s="32">
        <f>(30/24.5)*(R2-S2)*0.01*1000</f>
        <v>5.0204081632653068</v>
      </c>
      <c r="U2" s="32">
        <f>T2/(N2*I2)*1000</f>
        <v>5.3968956003453954</v>
      </c>
      <c r="V2" s="32">
        <f>Q2/(N2*I2)*1000</f>
        <v>2.2377372001432128</v>
      </c>
      <c r="W2" s="32">
        <f>(AO2*1000/180.2)*L2/N2</f>
        <v>1.3619341655699588</v>
      </c>
      <c r="X2" s="32">
        <f>N2/23*1000*L2/N2</f>
        <v>4.5289855072463778</v>
      </c>
      <c r="Y2" s="32">
        <f t="shared" ref="Y2:Y24" si="2">100*((V2+X2)/(6*W2))</f>
        <v>82.807755793856231</v>
      </c>
      <c r="Z2" s="36">
        <v>7.2752068227663391E-2</v>
      </c>
      <c r="AA2" s="37">
        <v>36.416852188926804</v>
      </c>
      <c r="AB2" s="37">
        <v>16.522123456018885</v>
      </c>
      <c r="AC2" s="37">
        <v>14.650451317038229</v>
      </c>
      <c r="AD2" s="37">
        <v>147.15130870047108</v>
      </c>
      <c r="AE2" s="37">
        <v>67.24628078796863</v>
      </c>
      <c r="AF2" s="32">
        <v>2.3999999999999998E-3</v>
      </c>
      <c r="AG2" s="32">
        <v>20.739599999999999</v>
      </c>
      <c r="AH2" s="32">
        <v>0</v>
      </c>
      <c r="AI2" s="32">
        <v>0</v>
      </c>
      <c r="AJ2" s="32">
        <v>5.5500000000000001E-2</v>
      </c>
      <c r="AK2" s="32">
        <v>0</v>
      </c>
      <c r="AL2" s="32">
        <v>0</v>
      </c>
      <c r="AN2" s="32">
        <v>25.305599999999998</v>
      </c>
      <c r="AO2" s="32">
        <f t="shared" ref="AO2:AO4" si="3">AN2-AG2</f>
        <v>4.5659999999999989</v>
      </c>
      <c r="AP2" s="49">
        <v>9.592463722356366E-4</v>
      </c>
      <c r="AQ2" s="49">
        <v>0</v>
      </c>
      <c r="AR2" s="49">
        <v>0</v>
      </c>
      <c r="AS2" s="49">
        <v>2.5265111446343591E-3</v>
      </c>
      <c r="AT2" s="49">
        <v>0</v>
      </c>
      <c r="AU2" s="49">
        <v>0</v>
      </c>
      <c r="AV2" s="49">
        <v>0</v>
      </c>
      <c r="AW2" s="32">
        <f>100*((V2+X2+AP2*6+AQ2*3+AR2*2+AS2*2+AT2*3+AU2*4+AV2*5)/(6*W2))</f>
        <v>82.940024797698015</v>
      </c>
      <c r="AX2" s="32">
        <v>1</v>
      </c>
      <c r="AY2" s="32">
        <v>219.73333333333301</v>
      </c>
      <c r="AZ2" s="32">
        <f>Z2*N2</f>
        <v>0.14099350822521184</v>
      </c>
    </row>
    <row r="3" spans="1:52" s="32" customFormat="1" x14ac:dyDescent="0.2">
      <c r="A3" s="32">
        <v>2</v>
      </c>
      <c r="B3" s="32" t="s">
        <v>50</v>
      </c>
      <c r="C3" s="32" t="s">
        <v>54</v>
      </c>
      <c r="D3" s="32">
        <v>116</v>
      </c>
      <c r="E3" s="33">
        <v>44529</v>
      </c>
      <c r="F3" s="32">
        <v>1</v>
      </c>
      <c r="G3" s="32">
        <v>2</v>
      </c>
      <c r="H3" s="32">
        <v>2</v>
      </c>
      <c r="I3" s="32">
        <v>500</v>
      </c>
      <c r="J3" s="32">
        <v>50</v>
      </c>
      <c r="K3" s="32">
        <v>0.1</v>
      </c>
      <c r="L3" s="34">
        <f t="shared" si="0"/>
        <v>0.1</v>
      </c>
      <c r="M3" s="32">
        <v>3.14</v>
      </c>
      <c r="N3" s="32">
        <v>1.9639999999999986</v>
      </c>
      <c r="O3" s="35">
        <v>0.21</v>
      </c>
      <c r="P3" s="35">
        <v>0.03</v>
      </c>
      <c r="Q3" s="32">
        <f t="shared" si="1"/>
        <v>2.2040816326530615</v>
      </c>
      <c r="R3" s="32">
        <v>20.96</v>
      </c>
      <c r="S3" s="32">
        <v>20.58</v>
      </c>
      <c r="T3" s="32">
        <f t="shared" ref="T3:T24" si="4">(30/24.5)*(R3-S3)*0.01*1000</f>
        <v>4.6530612244898277</v>
      </c>
      <c r="U3" s="32">
        <f t="shared" ref="U3:U24" si="5">T3/(N3*I3)*1000</f>
        <v>4.7383515524336364</v>
      </c>
      <c r="V3" s="32">
        <f>Q3/(N3*I3)*1000</f>
        <v>2.2444823143106545</v>
      </c>
      <c r="W3" s="32">
        <f>(AO3*1000/180.2)*L3/N3</f>
        <v>1.3534407345538231</v>
      </c>
      <c r="X3" s="32">
        <f>N3/23*1000*L3/N3</f>
        <v>4.3478260869565224</v>
      </c>
      <c r="Y3" s="32">
        <f t="shared" si="2"/>
        <v>81.179621599025353</v>
      </c>
      <c r="Z3" s="38">
        <v>8.5001607309299593E-2</v>
      </c>
      <c r="AA3" s="35">
        <v>43.706240553856752</v>
      </c>
      <c r="AB3" s="35">
        <v>18.722186309955411</v>
      </c>
      <c r="AC3" s="35">
        <v>19.473963986129874</v>
      </c>
      <c r="AD3" s="35">
        <v>183.78001995191417</v>
      </c>
      <c r="AE3" s="35">
        <v>68.203902709072352</v>
      </c>
      <c r="AF3" s="32">
        <v>4.7999999999999996E-3</v>
      </c>
      <c r="AG3" s="32">
        <v>20.515599999999999</v>
      </c>
      <c r="AH3" s="32">
        <v>0</v>
      </c>
      <c r="AI3" s="32">
        <v>0</v>
      </c>
      <c r="AJ3" s="32">
        <v>9.0399999999999994E-2</v>
      </c>
      <c r="AK3" s="32">
        <v>0</v>
      </c>
      <c r="AL3" s="32">
        <v>0</v>
      </c>
      <c r="AN3" s="32">
        <v>25.305599999999998</v>
      </c>
      <c r="AO3" s="32">
        <f t="shared" si="3"/>
        <v>4.7899999999999991</v>
      </c>
      <c r="AP3" s="49">
        <v>7.5504406827389204E-4</v>
      </c>
      <c r="AQ3" s="49">
        <v>0</v>
      </c>
      <c r="AR3" s="49">
        <v>0</v>
      </c>
      <c r="AS3" s="49">
        <v>3.112746562949327E-2</v>
      </c>
      <c r="AT3" s="49">
        <v>0</v>
      </c>
      <c r="AU3" s="49">
        <v>0</v>
      </c>
      <c r="AV3" s="49">
        <v>0</v>
      </c>
      <c r="AW3" s="32">
        <f t="shared" ref="AW3:AW24" si="6">100*((V3+X3+AP3*6+AQ3*3+AR3*2+AS3*2+AT3*3+AU3*4+AV3*5)/(6*W3))</f>
        <v>82.002034111121134</v>
      </c>
      <c r="AX3" s="32">
        <v>2</v>
      </c>
      <c r="AY3" s="32">
        <v>199.13333333333301</v>
      </c>
      <c r="AZ3" s="32">
        <f t="shared" ref="AZ3:AZ26" si="7">Z3*N3</f>
        <v>0.16694315675546428</v>
      </c>
    </row>
    <row r="4" spans="1:52" s="32" customFormat="1" x14ac:dyDescent="0.2">
      <c r="A4" s="32">
        <v>3</v>
      </c>
      <c r="B4" s="32" t="s">
        <v>50</v>
      </c>
      <c r="C4" s="32" t="s">
        <v>54</v>
      </c>
      <c r="D4" s="32">
        <v>116</v>
      </c>
      <c r="E4" s="33">
        <v>44529</v>
      </c>
      <c r="F4" s="32">
        <v>1</v>
      </c>
      <c r="G4" s="32">
        <v>3</v>
      </c>
      <c r="H4" s="32">
        <v>3</v>
      </c>
      <c r="I4" s="32">
        <v>460</v>
      </c>
      <c r="J4" s="32">
        <v>50</v>
      </c>
      <c r="K4" s="32">
        <v>0.1</v>
      </c>
      <c r="L4" s="34">
        <f t="shared" si="0"/>
        <v>0.10869565217391304</v>
      </c>
      <c r="M4" s="32">
        <v>3.06</v>
      </c>
      <c r="N4" s="32">
        <v>1.9820000000000022</v>
      </c>
      <c r="O4" s="35">
        <v>0.21</v>
      </c>
      <c r="P4" s="35">
        <v>0.03</v>
      </c>
      <c r="Q4" s="32">
        <f t="shared" si="1"/>
        <v>2.2040816326530615</v>
      </c>
      <c r="R4" s="32">
        <v>20.96</v>
      </c>
      <c r="S4" s="32">
        <v>20.49</v>
      </c>
      <c r="T4" s="32">
        <f t="shared" si="4"/>
        <v>5.7551020408163573</v>
      </c>
      <c r="U4" s="32">
        <f t="shared" si="5"/>
        <v>6.3123569087179732</v>
      </c>
      <c r="V4" s="32">
        <f>Q4/(N4*I4)*1000</f>
        <v>2.417498390572828</v>
      </c>
      <c r="W4" s="32">
        <f>(AO4*1000/180.2)*L4/N4</f>
        <v>1.3008550194037496</v>
      </c>
      <c r="X4" s="32">
        <f>N4/23*1000*L4/N4</f>
        <v>4.7258979206049148</v>
      </c>
      <c r="Y4" s="32">
        <f t="shared" si="2"/>
        <v>91.521809433356864</v>
      </c>
      <c r="Z4" s="38">
        <v>6.4145926745157608E-2</v>
      </c>
      <c r="AA4" s="35">
        <v>32.763108707443145</v>
      </c>
      <c r="AB4" s="35">
        <v>14.832882376275093</v>
      </c>
      <c r="AC4" s="35">
        <v>12.931729407271172</v>
      </c>
      <c r="AD4" s="35">
        <v>132.78494770063253</v>
      </c>
      <c r="AE4" s="35">
        <v>60.961785426183077</v>
      </c>
      <c r="AF4" s="32">
        <v>2.7000000000000001E-3</v>
      </c>
      <c r="AG4" s="32">
        <v>21.031199999999998</v>
      </c>
      <c r="AH4" s="32">
        <v>0</v>
      </c>
      <c r="AI4" s="32">
        <v>0</v>
      </c>
      <c r="AJ4" s="32">
        <v>0.17979999999999999</v>
      </c>
      <c r="AK4" s="32">
        <v>0</v>
      </c>
      <c r="AL4" s="32">
        <v>0</v>
      </c>
      <c r="AN4" s="32">
        <v>25.305599999999998</v>
      </c>
      <c r="AO4" s="32">
        <f t="shared" si="3"/>
        <v>4.2744</v>
      </c>
      <c r="AP4" s="49">
        <v>6.0466679705540227E-4</v>
      </c>
      <c r="AQ4" s="49">
        <v>0</v>
      </c>
      <c r="AR4" s="49">
        <v>0</v>
      </c>
      <c r="AS4" s="49">
        <v>2.1013494630900821E-3</v>
      </c>
      <c r="AT4" s="49">
        <v>0</v>
      </c>
      <c r="AU4" s="49">
        <v>0</v>
      </c>
      <c r="AV4" s="49">
        <v>0</v>
      </c>
      <c r="AW4" s="32">
        <f t="shared" si="6"/>
        <v>91.622137033175292</v>
      </c>
      <c r="AX4" s="32">
        <v>3</v>
      </c>
      <c r="AY4" s="32">
        <v>185.4</v>
      </c>
      <c r="AZ4" s="32">
        <f t="shared" si="7"/>
        <v>0.12713722680890252</v>
      </c>
    </row>
    <row r="5" spans="1:52" s="32" customFormat="1" x14ac:dyDescent="0.2">
      <c r="E5" s="33"/>
      <c r="K5" s="32" t="s">
        <v>50</v>
      </c>
      <c r="L5" s="32">
        <f t="shared" ref="L5:AN5" si="8">AVERAGE(L2:L4)</f>
        <v>0.10428743961352656</v>
      </c>
      <c r="M5" s="32">
        <f t="shared" si="8"/>
        <v>3.0466666666666669</v>
      </c>
      <c r="N5" s="32">
        <f t="shared" si="8"/>
        <v>1.9613333333333343</v>
      </c>
      <c r="O5" s="32">
        <f t="shared" si="8"/>
        <v>0.20666666666666667</v>
      </c>
      <c r="P5" s="32">
        <f t="shared" si="8"/>
        <v>0.03</v>
      </c>
      <c r="Q5" s="32">
        <f t="shared" si="8"/>
        <v>2.1632653061224492</v>
      </c>
      <c r="R5" s="32">
        <f t="shared" ref="R5:S5" si="9">AVERAGE(R2:R4)</f>
        <v>20.96</v>
      </c>
      <c r="S5" s="32">
        <f t="shared" si="9"/>
        <v>20.539999999999996</v>
      </c>
      <c r="T5" s="34">
        <f t="shared" ref="T5:U5" si="10">AVERAGE(T2:T4)</f>
        <v>5.1428571428571637</v>
      </c>
      <c r="U5" s="34">
        <f t="shared" si="10"/>
        <v>5.4825346871656677</v>
      </c>
      <c r="V5" s="32">
        <f t="shared" si="8"/>
        <v>2.2999059683422316</v>
      </c>
      <c r="W5" s="32">
        <f t="shared" si="8"/>
        <v>1.3387433065091772</v>
      </c>
      <c r="X5" s="32">
        <f t="shared" si="8"/>
        <v>4.5342365049359383</v>
      </c>
      <c r="Y5" s="34">
        <f t="shared" si="8"/>
        <v>85.169728942079473</v>
      </c>
      <c r="Z5" s="32">
        <f t="shared" si="8"/>
        <v>7.3966534094040193E-2</v>
      </c>
      <c r="AA5" s="32">
        <f t="shared" si="8"/>
        <v>37.628733816742233</v>
      </c>
      <c r="AB5" s="32">
        <f t="shared" si="8"/>
        <v>16.692397380749796</v>
      </c>
      <c r="AC5" s="32">
        <f t="shared" si="8"/>
        <v>15.685381570146426</v>
      </c>
      <c r="AD5" s="32">
        <f t="shared" si="8"/>
        <v>154.57209211767258</v>
      </c>
      <c r="AE5" s="32">
        <f t="shared" si="8"/>
        <v>65.470656307741351</v>
      </c>
      <c r="AF5" s="32">
        <f t="shared" si="8"/>
        <v>3.2999999999999995E-3</v>
      </c>
      <c r="AG5" s="32">
        <f t="shared" si="8"/>
        <v>20.762133333333335</v>
      </c>
      <c r="AH5" s="32">
        <f t="shared" si="8"/>
        <v>0</v>
      </c>
      <c r="AI5" s="32">
        <f t="shared" si="8"/>
        <v>0</v>
      </c>
      <c r="AJ5" s="32">
        <f t="shared" si="8"/>
        <v>0.10856666666666666</v>
      </c>
      <c r="AK5" s="32">
        <f t="shared" si="8"/>
        <v>0</v>
      </c>
      <c r="AL5" s="32">
        <f t="shared" si="8"/>
        <v>0</v>
      </c>
      <c r="AN5" s="32">
        <f t="shared" si="8"/>
        <v>25.305599999999998</v>
      </c>
      <c r="AO5" s="32">
        <f>AVERAGE(AO2:AO4)</f>
        <v>4.5434666666666663</v>
      </c>
      <c r="AP5" s="32">
        <f t="shared" ref="AP5:AV5" si="11">AVERAGE(AP2:AP4)</f>
        <v>7.7298574585497697E-4</v>
      </c>
      <c r="AQ5" s="32">
        <f t="shared" si="11"/>
        <v>0</v>
      </c>
      <c r="AR5" s="32">
        <f t="shared" si="11"/>
        <v>0</v>
      </c>
      <c r="AS5" s="32">
        <f t="shared" si="11"/>
        <v>1.1918442079072571E-2</v>
      </c>
      <c r="AT5" s="32">
        <f t="shared" si="11"/>
        <v>0</v>
      </c>
      <c r="AU5" s="32">
        <f t="shared" si="11"/>
        <v>0</v>
      </c>
      <c r="AV5" s="32">
        <f t="shared" si="11"/>
        <v>0</v>
      </c>
      <c r="AW5" s="34">
        <f t="shared" ref="AW5:AY5" si="12">AVERAGE(AW2:AW4)</f>
        <v>85.52139864733148</v>
      </c>
      <c r="AX5" s="34"/>
      <c r="AY5" s="34">
        <f t="shared" si="12"/>
        <v>201.42222222222199</v>
      </c>
      <c r="AZ5" s="34">
        <f t="shared" ref="AZ5" si="13">AVERAGE(AZ2:AZ4)</f>
        <v>0.14502463059652623</v>
      </c>
    </row>
    <row r="6" spans="1:52" s="32" customFormat="1" x14ac:dyDescent="0.2">
      <c r="E6" s="33"/>
      <c r="L6" s="32">
        <f t="shared" ref="L6:AN6" si="14">STDEV(L2:L4)</f>
        <v>4.3490839565291841E-3</v>
      </c>
      <c r="M6" s="32">
        <f t="shared" si="14"/>
        <v>0.10066445913694341</v>
      </c>
      <c r="N6" s="32">
        <f t="shared" si="14"/>
        <v>2.2120880030715766E-2</v>
      </c>
      <c r="O6" s="32">
        <f t="shared" si="14"/>
        <v>5.7735026918962467E-3</v>
      </c>
      <c r="P6" s="32">
        <f t="shared" si="14"/>
        <v>0</v>
      </c>
      <c r="Q6" s="32">
        <f t="shared" si="14"/>
        <v>7.0695951329341755E-2</v>
      </c>
      <c r="R6" s="32">
        <f t="shared" ref="R6:S6" si="15">STDEV(R2:R4)</f>
        <v>0</v>
      </c>
      <c r="S6" s="32">
        <f t="shared" si="15"/>
        <v>4.5825756949558587E-2</v>
      </c>
      <c r="T6" s="34">
        <f t="shared" ref="T6:U6" si="16">STDEV(T2:T4)</f>
        <v>0.5611317177496975</v>
      </c>
      <c r="U6" s="34">
        <f t="shared" si="16"/>
        <v>0.79048956684862048</v>
      </c>
      <c r="V6" s="32">
        <f t="shared" si="14"/>
        <v>0.10189385391586225</v>
      </c>
      <c r="W6" s="32">
        <f t="shared" si="14"/>
        <v>3.3085893027753478E-2</v>
      </c>
      <c r="X6" s="32">
        <f t="shared" si="14"/>
        <v>0.18909060680561646</v>
      </c>
      <c r="Y6" s="34">
        <f t="shared" si="14"/>
        <v>5.5609711530311348</v>
      </c>
      <c r="Z6" s="32">
        <f t="shared" si="14"/>
        <v>1.0480746559946385E-2</v>
      </c>
      <c r="AA6" s="32">
        <f t="shared" si="14"/>
        <v>5.571312813141498</v>
      </c>
      <c r="AB6" s="32">
        <f t="shared" si="14"/>
        <v>1.9502349035995001</v>
      </c>
      <c r="AC6" s="32">
        <f t="shared" si="14"/>
        <v>3.3916837695755979</v>
      </c>
      <c r="AD6" s="32">
        <f t="shared" si="14"/>
        <v>26.294968499165869</v>
      </c>
      <c r="AE6" s="32">
        <f t="shared" si="14"/>
        <v>3.9340433914571498</v>
      </c>
      <c r="AF6" s="32">
        <f t="shared" si="14"/>
        <v>1.3076696830622019E-3</v>
      </c>
      <c r="AG6" s="32">
        <f t="shared" si="14"/>
        <v>0.25853752790133411</v>
      </c>
      <c r="AH6" s="32">
        <f t="shared" si="14"/>
        <v>0</v>
      </c>
      <c r="AI6" s="32">
        <f t="shared" si="14"/>
        <v>0</v>
      </c>
      <c r="AJ6" s="32">
        <f t="shared" si="14"/>
        <v>6.4110399572404234E-2</v>
      </c>
      <c r="AK6" s="32">
        <f t="shared" si="14"/>
        <v>0</v>
      </c>
      <c r="AL6" s="32">
        <f t="shared" si="14"/>
        <v>0</v>
      </c>
      <c r="AN6" s="32">
        <f t="shared" si="14"/>
        <v>0</v>
      </c>
      <c r="AO6" s="32">
        <f>STDEV(AO2:AO4)</f>
        <v>0.25853752790133411</v>
      </c>
      <c r="AP6" s="32">
        <f t="shared" ref="AP6:AV6" si="17">STDEV(AP2:AP4)</f>
        <v>1.7796936991956388E-4</v>
      </c>
      <c r="AQ6" s="32">
        <f t="shared" si="17"/>
        <v>0</v>
      </c>
      <c r="AR6" s="32">
        <f t="shared" si="17"/>
        <v>0</v>
      </c>
      <c r="AS6" s="32">
        <f t="shared" si="17"/>
        <v>1.6636860579277754E-2</v>
      </c>
      <c r="AT6" s="32">
        <f t="shared" si="17"/>
        <v>0</v>
      </c>
      <c r="AU6" s="32">
        <f t="shared" si="17"/>
        <v>0</v>
      </c>
      <c r="AV6" s="32">
        <f t="shared" si="17"/>
        <v>0</v>
      </c>
      <c r="AW6" s="34">
        <f t="shared" ref="AW6:AY6" si="18">STDEV(AW2:AW4)</f>
        <v>5.3041694233317402</v>
      </c>
      <c r="AX6" s="34"/>
      <c r="AY6" s="34">
        <f t="shared" si="18"/>
        <v>17.280732151841786</v>
      </c>
      <c r="AZ6" s="34">
        <f t="shared" ref="AZ6" si="19">STDEV(AZ2:AZ4)</f>
        <v>2.0206817547724472E-2</v>
      </c>
    </row>
    <row r="7" spans="1:52" s="32" customFormat="1" x14ac:dyDescent="0.2">
      <c r="A7" s="32">
        <v>9</v>
      </c>
      <c r="B7" s="32" t="s">
        <v>63</v>
      </c>
      <c r="C7" s="32" t="s">
        <v>54</v>
      </c>
      <c r="D7" s="32">
        <v>116</v>
      </c>
      <c r="E7" s="33">
        <v>44538</v>
      </c>
      <c r="F7" s="32">
        <v>1</v>
      </c>
      <c r="G7" s="32">
        <v>1</v>
      </c>
      <c r="H7" s="32">
        <v>1</v>
      </c>
      <c r="I7" s="32">
        <v>470</v>
      </c>
      <c r="J7" s="32">
        <v>50</v>
      </c>
      <c r="K7" s="32">
        <v>0.1</v>
      </c>
      <c r="L7" s="34">
        <f t="shared" si="0"/>
        <v>0.10638297872340426</v>
      </c>
      <c r="M7" s="32">
        <v>1.58</v>
      </c>
      <c r="N7" s="32">
        <v>1.5139999999999987</v>
      </c>
      <c r="O7" s="35">
        <v>0.23</v>
      </c>
      <c r="P7" s="35">
        <v>0.03</v>
      </c>
      <c r="Q7" s="32">
        <f t="shared" si="1"/>
        <v>2.4489795918367352</v>
      </c>
      <c r="R7" s="32">
        <v>21.12</v>
      </c>
      <c r="S7" s="32">
        <v>20.440000000000001</v>
      </c>
      <c r="T7" s="32">
        <f t="shared" si="4"/>
        <v>8.3265306122448948</v>
      </c>
      <c r="U7" s="32">
        <f t="shared" si="5"/>
        <v>11.701468017995028</v>
      </c>
      <c r="V7" s="32">
        <f>Q7/(N7*I7)*1000</f>
        <v>3.4416082405867749</v>
      </c>
      <c r="W7" s="32">
        <f>(AO7*1000/180.2)*L7/N7</f>
        <v>1.4279785501174362</v>
      </c>
      <c r="X7" s="32">
        <f>N7/23*1000*L7/N7</f>
        <v>4.6253469010175774</v>
      </c>
      <c r="Y7" s="32">
        <f t="shared" si="2"/>
        <v>94.153551780603095</v>
      </c>
      <c r="Z7" s="38">
        <v>1.9296153393935058E-2</v>
      </c>
      <c r="AA7" s="35">
        <v>11.393282346079287</v>
      </c>
      <c r="AB7" s="35">
        <v>4.129640786377939</v>
      </c>
      <c r="AC7" s="35">
        <v>1.5629885974836262</v>
      </c>
      <c r="AD7" s="35">
        <v>9.4665270235053587</v>
      </c>
      <c r="AE7" s="35">
        <v>31.876313723389103</v>
      </c>
      <c r="AF7" s="32">
        <v>1.4500000000000001E-2</v>
      </c>
      <c r="AG7" s="32">
        <v>21.852399999999999</v>
      </c>
      <c r="AH7" s="32">
        <v>1.67E-2</v>
      </c>
      <c r="AI7" s="32">
        <v>0</v>
      </c>
      <c r="AJ7" s="32">
        <v>1.17E-2</v>
      </c>
      <c r="AK7" s="32">
        <v>0</v>
      </c>
      <c r="AL7" s="32">
        <v>2.9999999999999997E-4</v>
      </c>
      <c r="AN7" s="32">
        <v>25.514500000000002</v>
      </c>
      <c r="AO7" s="32">
        <f t="shared" ref="AO7:AO24" si="20">AN7-AG7</f>
        <v>3.6621000000000024</v>
      </c>
      <c r="AP7" s="49">
        <v>6.714359892999092E-4</v>
      </c>
      <c r="AQ7" s="49">
        <v>0</v>
      </c>
      <c r="AR7" s="49">
        <v>0</v>
      </c>
      <c r="AS7" s="49">
        <v>6.4751489802277296E-2</v>
      </c>
      <c r="AT7" s="49">
        <v>0</v>
      </c>
      <c r="AU7" s="49">
        <v>0</v>
      </c>
      <c r="AV7" s="49">
        <v>0</v>
      </c>
      <c r="AW7" s="32">
        <f t="shared" si="6"/>
        <v>95.712067202390216</v>
      </c>
      <c r="AX7" s="32">
        <v>9</v>
      </c>
      <c r="AY7" s="32">
        <v>226.6</v>
      </c>
      <c r="AZ7" s="32">
        <f t="shared" si="7"/>
        <v>2.9214376238417654E-2</v>
      </c>
    </row>
    <row r="8" spans="1:52" s="32" customFormat="1" x14ac:dyDescent="0.2">
      <c r="A8" s="32">
        <v>10</v>
      </c>
      <c r="B8" s="32" t="s">
        <v>63</v>
      </c>
      <c r="C8" s="32" t="s">
        <v>54</v>
      </c>
      <c r="D8" s="32">
        <v>116</v>
      </c>
      <c r="E8" s="33">
        <v>44538</v>
      </c>
      <c r="F8" s="32">
        <v>1</v>
      </c>
      <c r="G8" s="32">
        <v>2</v>
      </c>
      <c r="H8" s="32">
        <v>2</v>
      </c>
      <c r="I8" s="32">
        <v>480</v>
      </c>
      <c r="J8" s="32">
        <v>50</v>
      </c>
      <c r="K8" s="32">
        <v>0.1</v>
      </c>
      <c r="L8" s="34">
        <f t="shared" si="0"/>
        <v>0.10416666666666667</v>
      </c>
      <c r="M8" s="32">
        <v>1.6</v>
      </c>
      <c r="N8" s="32">
        <v>1.5360000000000014</v>
      </c>
      <c r="O8" s="35">
        <v>0.23</v>
      </c>
      <c r="P8" s="35">
        <v>0.03</v>
      </c>
      <c r="Q8" s="32">
        <f t="shared" si="1"/>
        <v>2.4489795918367352</v>
      </c>
      <c r="R8" s="32">
        <v>21.12</v>
      </c>
      <c r="S8" s="32">
        <v>20.38</v>
      </c>
      <c r="T8" s="32">
        <f t="shared" si="4"/>
        <v>9.0612244897959435</v>
      </c>
      <c r="U8" s="32">
        <f t="shared" si="5"/>
        <v>12.290072278911587</v>
      </c>
      <c r="V8" s="32">
        <f>Q8/(N8*I8)*1000</f>
        <v>3.3216411564625825</v>
      </c>
      <c r="W8" s="32">
        <f>(AO8*1000/180.2)*L8/N8</f>
        <v>1.5596744237691138</v>
      </c>
      <c r="X8" s="32">
        <f>N8/23*1000*L8/N8</f>
        <v>4.5289855072463778</v>
      </c>
      <c r="Y8" s="32">
        <f t="shared" si="2"/>
        <v>83.891724923131832</v>
      </c>
      <c r="Z8" s="38">
        <v>1.1999722722122548E-2</v>
      </c>
      <c r="AA8" s="35">
        <v>7.5924479327848493</v>
      </c>
      <c r="AB8" s="35">
        <v>2.3553373026955171</v>
      </c>
      <c r="AC8" s="35">
        <v>0.38986125811136813</v>
      </c>
      <c r="AD8" s="35">
        <v>7.6882901847279186</v>
      </c>
      <c r="AE8" s="35">
        <v>18.837211524040846</v>
      </c>
      <c r="AF8" s="32">
        <v>1.2699999999999999E-2</v>
      </c>
      <c r="AG8" s="32">
        <v>21.370200000000001</v>
      </c>
      <c r="AH8" s="32">
        <v>1.8700000000000001E-2</v>
      </c>
      <c r="AI8" s="32">
        <v>0</v>
      </c>
      <c r="AJ8" s="32">
        <v>3.0000000000000001E-3</v>
      </c>
      <c r="AK8" s="32">
        <v>0</v>
      </c>
      <c r="AL8" s="32">
        <v>5.9999999999999995E-4</v>
      </c>
      <c r="AN8" s="32">
        <v>25.514500000000002</v>
      </c>
      <c r="AO8" s="32">
        <f t="shared" si="20"/>
        <v>4.1443000000000012</v>
      </c>
      <c r="AP8" s="49">
        <v>1.2720908649416474E-3</v>
      </c>
      <c r="AQ8" s="49">
        <v>0</v>
      </c>
      <c r="AR8" s="49">
        <v>0</v>
      </c>
      <c r="AS8" s="49">
        <v>9.9909948422594388E-2</v>
      </c>
      <c r="AT8" s="49">
        <v>0</v>
      </c>
      <c r="AU8" s="49">
        <v>0</v>
      </c>
      <c r="AV8" s="49">
        <v>0</v>
      </c>
      <c r="AW8" s="32">
        <f t="shared" si="6"/>
        <v>86.108559826550419</v>
      </c>
      <c r="AX8" s="32">
        <v>10</v>
      </c>
      <c r="AY8" s="32">
        <v>252.34999999999997</v>
      </c>
      <c r="AZ8" s="32">
        <f t="shared" si="7"/>
        <v>1.8431574101180251E-2</v>
      </c>
    </row>
    <row r="9" spans="1:52" s="32" customFormat="1" x14ac:dyDescent="0.2">
      <c r="A9" s="32">
        <v>12</v>
      </c>
      <c r="B9" s="32" t="s">
        <v>63</v>
      </c>
      <c r="C9" s="32" t="s">
        <v>54</v>
      </c>
      <c r="D9" s="32">
        <v>116</v>
      </c>
      <c r="E9" s="33">
        <v>44538</v>
      </c>
      <c r="F9" s="32">
        <v>1</v>
      </c>
      <c r="G9" s="32">
        <v>4</v>
      </c>
      <c r="H9" s="32">
        <v>4</v>
      </c>
      <c r="I9" s="32">
        <v>490</v>
      </c>
      <c r="J9" s="32">
        <v>50</v>
      </c>
      <c r="K9" s="32">
        <v>0.1</v>
      </c>
      <c r="L9" s="34">
        <f t="shared" si="0"/>
        <v>0.10204081632653061</v>
      </c>
      <c r="M9" s="32">
        <v>1.6600000000000001</v>
      </c>
      <c r="N9" s="32">
        <v>1.5859999999999985</v>
      </c>
      <c r="O9" s="35">
        <v>0.23</v>
      </c>
      <c r="P9" s="35">
        <v>0.03</v>
      </c>
      <c r="Q9" s="32">
        <f t="shared" si="1"/>
        <v>2.4489795918367352</v>
      </c>
      <c r="R9" s="32">
        <v>21.12</v>
      </c>
      <c r="S9" s="32">
        <v>20.6</v>
      </c>
      <c r="T9" s="32">
        <f t="shared" si="4"/>
        <v>6.3673469387755057</v>
      </c>
      <c r="U9" s="32">
        <f t="shared" si="5"/>
        <v>8.1933074333781697</v>
      </c>
      <c r="V9" s="32">
        <f>Q9/(N9*I9)*1000</f>
        <v>3.1512720897608379</v>
      </c>
      <c r="W9" s="32">
        <f>(AO9*1000/180.2)*L9/N9</f>
        <v>1.5160957433010103</v>
      </c>
      <c r="X9" s="32">
        <f>N9/23*1000*L9/N9</f>
        <v>4.4365572315882877</v>
      </c>
      <c r="Y9" s="32">
        <f t="shared" si="2"/>
        <v>83.414139628896052</v>
      </c>
      <c r="Z9" s="38">
        <v>2.1743847341948553E-2</v>
      </c>
      <c r="AA9" s="35">
        <v>16.330885878169877</v>
      </c>
      <c r="AB9" s="35">
        <v>4.6394083665782517</v>
      </c>
      <c r="AC9" s="35">
        <v>3.6074392463589335</v>
      </c>
      <c r="AD9" s="35">
        <v>11.768378292430993</v>
      </c>
      <c r="AE9" s="35">
        <v>32.625371985122683</v>
      </c>
      <c r="AF9" s="32">
        <v>1.72E-2</v>
      </c>
      <c r="AG9" s="32">
        <v>21.2682</v>
      </c>
      <c r="AH9" s="32">
        <v>1.77E-2</v>
      </c>
      <c r="AI9" s="32">
        <v>0</v>
      </c>
      <c r="AJ9" s="32">
        <v>1.6299999999999999E-2</v>
      </c>
      <c r="AK9" s="32">
        <v>0</v>
      </c>
      <c r="AL9" s="32">
        <v>5.9999999999999995E-4</v>
      </c>
      <c r="AN9" s="32">
        <v>25.514500000000002</v>
      </c>
      <c r="AO9" s="32">
        <f t="shared" si="20"/>
        <v>4.2463000000000015</v>
      </c>
      <c r="AP9" s="49">
        <v>7.7070941903450746E-4</v>
      </c>
      <c r="AQ9" s="49">
        <v>0</v>
      </c>
      <c r="AR9" s="49">
        <v>0</v>
      </c>
      <c r="AS9" s="49">
        <v>0.21403263472478201</v>
      </c>
      <c r="AT9" s="49">
        <v>0</v>
      </c>
      <c r="AU9" s="49">
        <v>0</v>
      </c>
      <c r="AV9" s="49">
        <v>0</v>
      </c>
      <c r="AW9" s="32">
        <f t="shared" si="6"/>
        <v>88.170760133412827</v>
      </c>
      <c r="AX9" s="32">
        <v>12</v>
      </c>
      <c r="AY9" s="32">
        <v>236.8</v>
      </c>
      <c r="AZ9" s="32">
        <f t="shared" si="7"/>
        <v>3.4485741884330373E-2</v>
      </c>
    </row>
    <row r="10" spans="1:52" s="32" customFormat="1" x14ac:dyDescent="0.2">
      <c r="E10" s="33"/>
      <c r="K10" s="32" t="s">
        <v>63</v>
      </c>
      <c r="L10" s="34">
        <f>AVERAGE(L7:L9)</f>
        <v>0.10419682057220052</v>
      </c>
      <c r="M10" s="34">
        <f t="shared" ref="M10:AL10" si="21">AVERAGE(M7:M9)</f>
        <v>1.6133333333333333</v>
      </c>
      <c r="N10" s="34">
        <f t="shared" si="21"/>
        <v>1.5453333333333328</v>
      </c>
      <c r="O10" s="34">
        <f t="shared" si="21"/>
        <v>0.23</v>
      </c>
      <c r="P10" s="34">
        <f t="shared" si="21"/>
        <v>0.03</v>
      </c>
      <c r="Q10" s="34">
        <f t="shared" si="21"/>
        <v>2.4489795918367352</v>
      </c>
      <c r="R10" s="34">
        <f t="shared" ref="R10:S10" si="22">AVERAGE(R7:R9)</f>
        <v>21.12</v>
      </c>
      <c r="S10" s="34">
        <f t="shared" si="22"/>
        <v>20.473333333333333</v>
      </c>
      <c r="T10" s="34">
        <f t="shared" ref="T10:U10" si="23">AVERAGE(T7:T9)</f>
        <v>7.9183673469387807</v>
      </c>
      <c r="U10" s="34">
        <f t="shared" si="23"/>
        <v>10.728282576761595</v>
      </c>
      <c r="V10" s="34">
        <f t="shared" si="21"/>
        <v>3.3048404956033983</v>
      </c>
      <c r="W10" s="34">
        <f t="shared" si="21"/>
        <v>1.5012495723958532</v>
      </c>
      <c r="X10" s="34">
        <f t="shared" si="21"/>
        <v>4.5302965466174143</v>
      </c>
      <c r="Y10" s="34">
        <f t="shared" si="21"/>
        <v>87.153138777543674</v>
      </c>
      <c r="Z10" s="34">
        <f t="shared" si="21"/>
        <v>1.7679907819335386E-2</v>
      </c>
      <c r="AA10" s="34">
        <f t="shared" si="21"/>
        <v>11.772205385678005</v>
      </c>
      <c r="AB10" s="34">
        <f t="shared" si="21"/>
        <v>3.7081288185505694</v>
      </c>
      <c r="AC10" s="34">
        <f t="shared" si="21"/>
        <v>1.8534297006513094</v>
      </c>
      <c r="AD10" s="34">
        <f t="shared" si="21"/>
        <v>9.6410651668880902</v>
      </c>
      <c r="AE10" s="34">
        <f t="shared" si="21"/>
        <v>27.779632410850876</v>
      </c>
      <c r="AF10" s="34">
        <f t="shared" si="21"/>
        <v>1.4800000000000001E-2</v>
      </c>
      <c r="AG10" s="34">
        <f t="shared" si="21"/>
        <v>21.496933333333335</v>
      </c>
      <c r="AH10" s="34">
        <f t="shared" si="21"/>
        <v>1.77E-2</v>
      </c>
      <c r="AI10" s="34">
        <f t="shared" si="21"/>
        <v>0</v>
      </c>
      <c r="AJ10" s="34">
        <f t="shared" si="21"/>
        <v>1.0333333333333333E-2</v>
      </c>
      <c r="AK10" s="34">
        <f t="shared" si="21"/>
        <v>0</v>
      </c>
      <c r="AL10" s="34">
        <f t="shared" si="21"/>
        <v>5.0000000000000001E-4</v>
      </c>
      <c r="AM10" s="34"/>
      <c r="AN10" s="34">
        <f>AVERAGE(AN7:AN9)</f>
        <v>25.514500000000002</v>
      </c>
      <c r="AO10" s="34">
        <f t="shared" ref="AO10" si="24">AVERAGE(AO7:AO9)</f>
        <v>4.0175666666666681</v>
      </c>
      <c r="AP10" s="34">
        <f t="shared" ref="AP10:AV10" si="25">AVERAGE(AP7:AP9)</f>
        <v>9.0474542442535476E-4</v>
      </c>
      <c r="AQ10" s="34">
        <f t="shared" si="25"/>
        <v>0</v>
      </c>
      <c r="AR10" s="34">
        <f t="shared" si="25"/>
        <v>0</v>
      </c>
      <c r="AS10" s="34">
        <f t="shared" si="25"/>
        <v>0.12623135764988455</v>
      </c>
      <c r="AT10" s="34">
        <f t="shared" si="25"/>
        <v>0</v>
      </c>
      <c r="AU10" s="34">
        <f t="shared" si="25"/>
        <v>0</v>
      </c>
      <c r="AV10" s="34">
        <f t="shared" si="25"/>
        <v>0</v>
      </c>
      <c r="AW10" s="34">
        <f t="shared" ref="AW10:AY10" si="26">AVERAGE(AW7:AW9)</f>
        <v>89.997129054117821</v>
      </c>
      <c r="AX10" s="34"/>
      <c r="AY10" s="34">
        <f t="shared" si="26"/>
        <v>238.58333333333334</v>
      </c>
      <c r="AZ10" s="34">
        <f t="shared" ref="AZ10" si="27">AVERAGE(AZ7:AZ9)</f>
        <v>2.7377230741309422E-2</v>
      </c>
    </row>
    <row r="11" spans="1:52" s="32" customFormat="1" x14ac:dyDescent="0.2">
      <c r="E11" s="33"/>
      <c r="L11" s="34">
        <f>STDEV(L7:L9)</f>
        <v>2.1712382443481574E-3</v>
      </c>
      <c r="M11" s="34">
        <f t="shared" ref="M11:AL11" si="28">STDEV(M7:M9)</f>
        <v>4.1633319989322688E-2</v>
      </c>
      <c r="N11" s="34">
        <f t="shared" si="28"/>
        <v>3.6896250938724139E-2</v>
      </c>
      <c r="O11" s="34">
        <f t="shared" si="28"/>
        <v>0</v>
      </c>
      <c r="P11" s="34">
        <f t="shared" si="28"/>
        <v>0</v>
      </c>
      <c r="Q11" s="34">
        <f t="shared" si="28"/>
        <v>0</v>
      </c>
      <c r="R11" s="34">
        <f t="shared" ref="R11:S11" si="29">STDEV(R7:R9)</f>
        <v>0</v>
      </c>
      <c r="S11" s="34">
        <f t="shared" si="29"/>
        <v>0.11372481406154755</v>
      </c>
      <c r="T11" s="34">
        <f t="shared" ref="T11:U11" si="30">STDEV(T7:T9)</f>
        <v>1.3925487436107924</v>
      </c>
      <c r="U11" s="34">
        <f t="shared" si="30"/>
        <v>2.2149916426865137</v>
      </c>
      <c r="V11" s="34">
        <f t="shared" si="28"/>
        <v>0.14589539668229529</v>
      </c>
      <c r="W11" s="34">
        <f t="shared" si="28"/>
        <v>6.7091410606190852E-2</v>
      </c>
      <c r="X11" s="34">
        <f t="shared" si="28"/>
        <v>9.4401662797746436E-2</v>
      </c>
      <c r="Y11" s="34">
        <f t="shared" si="28"/>
        <v>6.0672364869329334</v>
      </c>
      <c r="Z11" s="34">
        <f t="shared" si="28"/>
        <v>5.0691398155638364E-3</v>
      </c>
      <c r="AA11" s="34">
        <f t="shared" si="28"/>
        <v>4.3815250123433369</v>
      </c>
      <c r="AB11" s="34">
        <f t="shared" si="28"/>
        <v>1.1989576349825219</v>
      </c>
      <c r="AC11" s="34">
        <f t="shared" si="28"/>
        <v>1.6283332132646429</v>
      </c>
      <c r="AD11" s="34">
        <f t="shared" si="28"/>
        <v>2.0456361881518994</v>
      </c>
      <c r="AE11" s="34">
        <f t="shared" si="28"/>
        <v>7.753414767540189</v>
      </c>
      <c r="AF11" s="34">
        <f t="shared" si="28"/>
        <v>2.2649503305812251E-3</v>
      </c>
      <c r="AG11" s="34">
        <f t="shared" si="28"/>
        <v>0.31203912147891488</v>
      </c>
      <c r="AH11" s="34">
        <f t="shared" si="28"/>
        <v>1.0000000000000009E-3</v>
      </c>
      <c r="AI11" s="34">
        <f t="shared" si="28"/>
        <v>0</v>
      </c>
      <c r="AJ11" s="34">
        <f t="shared" si="28"/>
        <v>6.7545046697247389E-3</v>
      </c>
      <c r="AK11" s="34">
        <f t="shared" si="28"/>
        <v>0</v>
      </c>
      <c r="AL11" s="34">
        <f t="shared" si="28"/>
        <v>1.732050807568877E-4</v>
      </c>
      <c r="AM11" s="34"/>
      <c r="AN11" s="34">
        <f>STDEV(AN7:AN9)</f>
        <v>0</v>
      </c>
      <c r="AO11" s="34">
        <f t="shared" ref="AO11" si="31">STDEV(AO7:AO9)</f>
        <v>0.31203912147891488</v>
      </c>
      <c r="AP11" s="34">
        <f t="shared" ref="AP11:AV11" si="32">STDEV(AP7:AP9)</f>
        <v>3.2197951482027459E-4</v>
      </c>
      <c r="AQ11" s="34">
        <f t="shared" si="32"/>
        <v>0</v>
      </c>
      <c r="AR11" s="34">
        <f t="shared" si="32"/>
        <v>0</v>
      </c>
      <c r="AS11" s="34">
        <f t="shared" si="32"/>
        <v>7.8043753722679937E-2</v>
      </c>
      <c r="AT11" s="34">
        <f t="shared" si="32"/>
        <v>0</v>
      </c>
      <c r="AU11" s="34">
        <f t="shared" si="32"/>
        <v>0</v>
      </c>
      <c r="AV11" s="34">
        <f t="shared" si="32"/>
        <v>0</v>
      </c>
      <c r="AW11" s="34">
        <f t="shared" ref="AW11:AY11" si="33">STDEV(AW7:AW9)</f>
        <v>5.0555470579691164</v>
      </c>
      <c r="AX11" s="34"/>
      <c r="AY11" s="34">
        <f t="shared" si="33"/>
        <v>12.967298613563772</v>
      </c>
      <c r="AZ11" s="34">
        <f t="shared" ref="AZ11" si="34">STDEV(AZ7:AZ9)</f>
        <v>8.1832391805166573E-3</v>
      </c>
    </row>
    <row r="12" spans="1:52" s="32" customFormat="1" x14ac:dyDescent="0.2">
      <c r="A12" s="32">
        <v>13</v>
      </c>
      <c r="B12" s="32" t="s">
        <v>64</v>
      </c>
      <c r="C12" s="32" t="s">
        <v>54</v>
      </c>
      <c r="D12" s="32">
        <v>116</v>
      </c>
      <c r="E12" s="33">
        <v>44538</v>
      </c>
      <c r="F12" s="32">
        <v>1</v>
      </c>
      <c r="G12" s="32">
        <v>5</v>
      </c>
      <c r="H12" s="32">
        <v>1</v>
      </c>
      <c r="I12" s="32">
        <v>480</v>
      </c>
      <c r="J12" s="32">
        <v>50</v>
      </c>
      <c r="K12" s="32">
        <v>0.1</v>
      </c>
      <c r="L12" s="34">
        <f t="shared" si="0"/>
        <v>0.10416666666666667</v>
      </c>
      <c r="M12" s="32">
        <v>1.8199999999999998</v>
      </c>
      <c r="N12" s="32">
        <v>1.6120000000000005</v>
      </c>
      <c r="O12" s="35">
        <v>0.22</v>
      </c>
      <c r="P12" s="35">
        <v>0.03</v>
      </c>
      <c r="Q12" s="32">
        <f t="shared" si="1"/>
        <v>2.3265306122448983</v>
      </c>
      <c r="R12" s="32">
        <v>20.77</v>
      </c>
      <c r="S12" s="32">
        <v>19.84</v>
      </c>
      <c r="T12" s="32">
        <f t="shared" si="4"/>
        <v>11.387755102040813</v>
      </c>
      <c r="U12" s="32">
        <f t="shared" si="5"/>
        <v>14.717425431711138</v>
      </c>
      <c r="V12" s="32">
        <f>Q12/(N12*I12)*1000</f>
        <v>3.0067858408872228</v>
      </c>
      <c r="W12" s="32">
        <f>(AO12*1000/180.2)*L12/N12</f>
        <v>1.2600089253829718</v>
      </c>
      <c r="X12" s="32">
        <f>N12/23*1000*L12/N12</f>
        <v>4.5289855072463769</v>
      </c>
      <c r="Y12" s="32">
        <f t="shared" si="2"/>
        <v>99.67880909842431</v>
      </c>
      <c r="Z12" s="38">
        <v>2.5138022335023914E-2</v>
      </c>
      <c r="AA12" s="35">
        <v>11.775913111848178</v>
      </c>
      <c r="AB12" s="35">
        <v>7.2736140327037715</v>
      </c>
      <c r="AC12" s="35">
        <v>1.4437178810612583</v>
      </c>
      <c r="AD12" s="35">
        <v>15.452138450662716</v>
      </c>
      <c r="AE12" s="35">
        <v>45.099600531841197</v>
      </c>
      <c r="AF12" s="32">
        <v>3.6600000000000001E-2</v>
      </c>
      <c r="AG12" s="32">
        <v>21.5716</v>
      </c>
      <c r="AH12" s="32">
        <v>6.8999999999999999E-3</v>
      </c>
      <c r="AI12" s="32">
        <v>0</v>
      </c>
      <c r="AJ12" s="32">
        <v>3.1199999999999999E-2</v>
      </c>
      <c r="AK12" s="32">
        <v>0</v>
      </c>
      <c r="AL12" s="32">
        <v>0</v>
      </c>
      <c r="AN12" s="32">
        <v>25.0853</v>
      </c>
      <c r="AO12" s="32">
        <f t="shared" si="20"/>
        <v>3.5137</v>
      </c>
      <c r="AP12" s="49">
        <v>5.3031346399046607E-3</v>
      </c>
      <c r="AQ12" s="49">
        <v>1.3325516803278812E-2</v>
      </c>
      <c r="AR12" s="49">
        <v>0</v>
      </c>
      <c r="AS12" s="49">
        <v>1.7844891870418187E-2</v>
      </c>
      <c r="AT12" s="49">
        <v>0</v>
      </c>
      <c r="AU12" s="49">
        <v>1.7850665148271648E-4</v>
      </c>
      <c r="AV12" s="49">
        <v>0</v>
      </c>
      <c r="AW12" s="32">
        <f t="shared" si="6"/>
        <v>101.11000489416236</v>
      </c>
      <c r="AX12" s="32">
        <v>13</v>
      </c>
      <c r="AY12" s="32">
        <v>188.83333333333331</v>
      </c>
      <c r="AZ12" s="32">
        <f t="shared" si="7"/>
        <v>4.0522492004058566E-2</v>
      </c>
    </row>
    <row r="13" spans="1:52" s="32" customFormat="1" x14ac:dyDescent="0.2">
      <c r="A13" s="32">
        <v>14</v>
      </c>
      <c r="B13" s="32" t="s">
        <v>64</v>
      </c>
      <c r="C13" s="32" t="s">
        <v>54</v>
      </c>
      <c r="D13" s="32">
        <v>116</v>
      </c>
      <c r="E13" s="33">
        <v>44538</v>
      </c>
      <c r="F13" s="32">
        <v>1</v>
      </c>
      <c r="G13" s="32">
        <v>6</v>
      </c>
      <c r="H13" s="32">
        <v>2</v>
      </c>
      <c r="I13" s="32">
        <v>490</v>
      </c>
      <c r="J13" s="32">
        <v>50</v>
      </c>
      <c r="K13" s="32">
        <v>0.1</v>
      </c>
      <c r="L13" s="34">
        <f t="shared" si="0"/>
        <v>0.10204081632653061</v>
      </c>
      <c r="M13" s="32">
        <v>1.94</v>
      </c>
      <c r="N13" s="32">
        <v>1.602000000000001</v>
      </c>
      <c r="O13" s="35">
        <v>0.21</v>
      </c>
      <c r="P13" s="35">
        <v>0.03</v>
      </c>
      <c r="Q13" s="32">
        <f t="shared" si="1"/>
        <v>2.2040816326530615</v>
      </c>
      <c r="R13" s="32">
        <v>20.95</v>
      </c>
      <c r="S13" s="32">
        <v>19.86</v>
      </c>
      <c r="T13" s="32">
        <f t="shared" si="4"/>
        <v>13.346938775510202</v>
      </c>
      <c r="U13" s="32">
        <f t="shared" si="5"/>
        <v>17.002902972700188</v>
      </c>
      <c r="V13" s="32">
        <f>Q13/(N13*I13)*1000</f>
        <v>2.8078188395284722</v>
      </c>
      <c r="W13" s="32">
        <f>(AO13*1000/180.2)*L13/N13</f>
        <v>1.2333744182430226</v>
      </c>
      <c r="X13" s="32">
        <f>N13/23*1000*L13/N13</f>
        <v>4.4365572315882886</v>
      </c>
      <c r="Y13" s="32">
        <f t="shared" si="2"/>
        <v>97.893712889940105</v>
      </c>
      <c r="Z13" s="38">
        <v>1.8475409406540893E-2</v>
      </c>
      <c r="AA13" s="35">
        <v>9.4795460587293654</v>
      </c>
      <c r="AB13" s="35">
        <v>6.2876721516328073</v>
      </c>
      <c r="AC13" s="35">
        <v>1.3718297088711602</v>
      </c>
      <c r="AD13" s="35">
        <v>13.116102299925771</v>
      </c>
      <c r="AE13" s="35">
        <v>28.940061519397958</v>
      </c>
      <c r="AF13" s="32">
        <v>3.8600000000000002E-2</v>
      </c>
      <c r="AG13" s="32">
        <v>21.596</v>
      </c>
      <c r="AH13" s="32">
        <v>6.4999999999999997E-3</v>
      </c>
      <c r="AI13" s="32">
        <v>0</v>
      </c>
      <c r="AJ13" s="32">
        <v>5.3E-3</v>
      </c>
      <c r="AK13" s="32">
        <v>0</v>
      </c>
      <c r="AL13" s="32">
        <v>0</v>
      </c>
      <c r="AN13" s="32">
        <v>25.0853</v>
      </c>
      <c r="AO13" s="32">
        <f t="shared" si="20"/>
        <v>3.4893000000000001</v>
      </c>
      <c r="AP13" s="49">
        <v>4.4829062039504538E-3</v>
      </c>
      <c r="AQ13" s="49">
        <v>1.4401259518447007E-2</v>
      </c>
      <c r="AR13" s="49">
        <v>0</v>
      </c>
      <c r="AS13" s="49">
        <v>4.4161172310252473E-3</v>
      </c>
      <c r="AT13" s="49">
        <v>0</v>
      </c>
      <c r="AU13" s="49">
        <v>3.4456858469528862E-4</v>
      </c>
      <c r="AV13" s="49">
        <v>0</v>
      </c>
      <c r="AW13" s="32">
        <f t="shared" si="6"/>
        <v>98.978970313152033</v>
      </c>
      <c r="AX13" s="32">
        <v>14</v>
      </c>
      <c r="AY13" s="32">
        <v>230.0333333333333</v>
      </c>
      <c r="AZ13" s="32">
        <f t="shared" si="7"/>
        <v>2.959760586927853E-2</v>
      </c>
    </row>
    <row r="14" spans="1:52" s="32" customFormat="1" x14ac:dyDescent="0.2">
      <c r="A14" s="32">
        <v>16</v>
      </c>
      <c r="B14" s="32" t="s">
        <v>64</v>
      </c>
      <c r="C14" s="32" t="s">
        <v>54</v>
      </c>
      <c r="D14" s="32">
        <v>116</v>
      </c>
      <c r="E14" s="33">
        <v>44538</v>
      </c>
      <c r="F14" s="32">
        <v>1</v>
      </c>
      <c r="G14" s="32">
        <v>8</v>
      </c>
      <c r="H14" s="32">
        <v>4</v>
      </c>
      <c r="I14" s="32">
        <v>470</v>
      </c>
      <c r="J14" s="32">
        <v>50</v>
      </c>
      <c r="K14" s="32">
        <v>0.1</v>
      </c>
      <c r="L14" s="34">
        <f t="shared" si="0"/>
        <v>0.10638297872340426</v>
      </c>
      <c r="M14" s="32">
        <v>1.8199999999999998</v>
      </c>
      <c r="N14" s="32">
        <v>1.55</v>
      </c>
      <c r="O14" s="35">
        <v>0.22</v>
      </c>
      <c r="P14" s="35">
        <v>0.03</v>
      </c>
      <c r="Q14" s="32">
        <f t="shared" si="1"/>
        <v>2.3265306122448983</v>
      </c>
      <c r="R14" s="32">
        <v>21.21</v>
      </c>
      <c r="S14" s="32">
        <v>20.399999999999999</v>
      </c>
      <c r="T14" s="32">
        <f t="shared" si="4"/>
        <v>9.918367346938803</v>
      </c>
      <c r="U14" s="32">
        <f t="shared" si="5"/>
        <v>13.614780160519977</v>
      </c>
      <c r="V14" s="32">
        <f>Q14/(N14*I14)*1000</f>
        <v>3.193590408023196</v>
      </c>
      <c r="W14" s="32">
        <f>(AO14*1000/180.2)*L14/N14</f>
        <v>1.218770876864492</v>
      </c>
      <c r="X14" s="32">
        <f>N14/23*1000*L14/N14</f>
        <v>4.6253469010175765</v>
      </c>
      <c r="Y14" s="32">
        <f t="shared" si="2"/>
        <v>106.92380683775991</v>
      </c>
      <c r="Z14" s="38">
        <v>1.862638622846326E-2</v>
      </c>
      <c r="AA14" s="35">
        <v>10.968393984304077</v>
      </c>
      <c r="AB14" s="35">
        <v>4.9154829697073366</v>
      </c>
      <c r="AC14" s="35">
        <v>1.8073979653884673</v>
      </c>
      <c r="AD14" s="35">
        <v>11.476501052108846</v>
      </c>
      <c r="AE14" s="35">
        <v>28.574021336727387</v>
      </c>
      <c r="AF14" s="32">
        <v>3.0700000000000002E-2</v>
      </c>
      <c r="AG14" s="32">
        <v>21.885400000000001</v>
      </c>
      <c r="AH14" s="32">
        <v>7.3000000000000001E-3</v>
      </c>
      <c r="AI14" s="32">
        <v>0</v>
      </c>
      <c r="AJ14" s="32">
        <v>0</v>
      </c>
      <c r="AK14" s="32">
        <v>0</v>
      </c>
      <c r="AL14" s="32">
        <v>0</v>
      </c>
      <c r="AN14" s="32">
        <v>25.0853</v>
      </c>
      <c r="AO14" s="32">
        <f t="shared" si="20"/>
        <v>3.1998999999999995</v>
      </c>
      <c r="AP14" s="49">
        <v>5.7599348104402058E-3</v>
      </c>
      <c r="AQ14" s="49">
        <v>1.2931989001105185E-2</v>
      </c>
      <c r="AR14" s="49">
        <v>0</v>
      </c>
      <c r="AS14" s="49">
        <v>2.2763557431553255E-2</v>
      </c>
      <c r="AT14" s="49">
        <v>0</v>
      </c>
      <c r="AU14" s="49">
        <v>3.2689544499593746E-4</v>
      </c>
      <c r="AV14" s="49">
        <v>0</v>
      </c>
      <c r="AW14" s="32">
        <f t="shared" si="6"/>
        <v>108.5674063415794</v>
      </c>
      <c r="AX14" s="32">
        <v>16</v>
      </c>
      <c r="AY14" s="32">
        <v>242.05</v>
      </c>
      <c r="AZ14" s="32">
        <f t="shared" si="7"/>
        <v>2.8870898654118054E-2</v>
      </c>
    </row>
    <row r="15" spans="1:52" s="32" customFormat="1" x14ac:dyDescent="0.2">
      <c r="E15" s="33"/>
      <c r="K15" s="32" t="s">
        <v>64</v>
      </c>
      <c r="L15" s="32">
        <f t="shared" ref="L15:AN15" si="35">AVERAGE(L12:L14)</f>
        <v>0.10419682057220052</v>
      </c>
      <c r="M15" s="32">
        <f t="shared" si="35"/>
        <v>1.86</v>
      </c>
      <c r="N15" s="32">
        <f t="shared" si="35"/>
        <v>1.5880000000000003</v>
      </c>
      <c r="O15" s="32">
        <f t="shared" si="35"/>
        <v>0.21666666666666667</v>
      </c>
      <c r="P15" s="32">
        <f t="shared" si="35"/>
        <v>0.03</v>
      </c>
      <c r="Q15" s="32">
        <f t="shared" si="35"/>
        <v>2.285714285714286</v>
      </c>
      <c r="R15" s="32">
        <f t="shared" ref="R15:S15" si="36">AVERAGE(R12:R14)</f>
        <v>20.976666666666667</v>
      </c>
      <c r="S15" s="32">
        <f t="shared" si="36"/>
        <v>20.033333333333335</v>
      </c>
      <c r="T15" s="34">
        <f t="shared" ref="T15:U15" si="37">AVERAGE(T12:T14)</f>
        <v>11.551020408163273</v>
      </c>
      <c r="U15" s="34">
        <f t="shared" si="37"/>
        <v>15.111702854977102</v>
      </c>
      <c r="V15" s="32">
        <f t="shared" si="35"/>
        <v>3.0027316961462969</v>
      </c>
      <c r="W15" s="32">
        <f t="shared" si="35"/>
        <v>1.2373847401634954</v>
      </c>
      <c r="X15" s="32">
        <f t="shared" si="35"/>
        <v>4.5302965466174143</v>
      </c>
      <c r="Y15" s="34">
        <f t="shared" si="35"/>
        <v>101.49877627537478</v>
      </c>
      <c r="Z15" s="32">
        <f t="shared" si="35"/>
        <v>2.0746605990009354E-2</v>
      </c>
      <c r="AA15" s="32">
        <f t="shared" si="35"/>
        <v>10.741284384960542</v>
      </c>
      <c r="AB15" s="32">
        <f t="shared" si="35"/>
        <v>6.1589230513479718</v>
      </c>
      <c r="AC15" s="32">
        <f t="shared" si="35"/>
        <v>1.5409818517736287</v>
      </c>
      <c r="AD15" s="32">
        <f t="shared" si="35"/>
        <v>13.348247267565776</v>
      </c>
      <c r="AE15" s="32">
        <f t="shared" si="35"/>
        <v>34.20456112932218</v>
      </c>
      <c r="AF15" s="32">
        <f t="shared" si="35"/>
        <v>3.5300000000000005E-2</v>
      </c>
      <c r="AG15" s="32">
        <f t="shared" si="35"/>
        <v>21.684333333333331</v>
      </c>
      <c r="AH15" s="32">
        <f t="shared" si="35"/>
        <v>6.8999999999999999E-3</v>
      </c>
      <c r="AI15" s="32">
        <f t="shared" si="35"/>
        <v>0</v>
      </c>
      <c r="AJ15" s="32">
        <f t="shared" si="35"/>
        <v>1.2166666666666666E-2</v>
      </c>
      <c r="AK15" s="32">
        <f t="shared" si="35"/>
        <v>0</v>
      </c>
      <c r="AL15" s="32">
        <f t="shared" si="35"/>
        <v>0</v>
      </c>
      <c r="AN15" s="32">
        <f t="shared" si="35"/>
        <v>25.0853</v>
      </c>
      <c r="AO15" s="32">
        <f>AVERAGE(AO12:AO14)</f>
        <v>3.4009666666666667</v>
      </c>
      <c r="AP15" s="32">
        <f t="shared" ref="AP15:AV15" si="38">AVERAGE(AP12:AP14)</f>
        <v>5.1819918847651062E-3</v>
      </c>
      <c r="AQ15" s="32">
        <f t="shared" si="38"/>
        <v>1.3552921774277001E-2</v>
      </c>
      <c r="AR15" s="32">
        <f t="shared" si="38"/>
        <v>0</v>
      </c>
      <c r="AS15" s="32">
        <f t="shared" si="38"/>
        <v>1.500818884433223E-2</v>
      </c>
      <c r="AT15" s="32">
        <f t="shared" si="38"/>
        <v>0</v>
      </c>
      <c r="AU15" s="32">
        <f t="shared" si="38"/>
        <v>2.8332356039131417E-4</v>
      </c>
      <c r="AV15" s="32">
        <f t="shared" si="38"/>
        <v>0</v>
      </c>
      <c r="AW15" s="34">
        <f t="shared" ref="AW15:AY15" si="39">AVERAGE(AW12:AW14)</f>
        <v>102.88546051629793</v>
      </c>
      <c r="AX15" s="34"/>
      <c r="AY15" s="34">
        <f t="shared" si="39"/>
        <v>220.30555555555554</v>
      </c>
      <c r="AZ15" s="34">
        <f t="shared" ref="AZ15" si="40">AVERAGE(AZ12:AZ14)</f>
        <v>3.2996998842485047E-2</v>
      </c>
    </row>
    <row r="16" spans="1:52" s="32" customFormat="1" x14ac:dyDescent="0.2">
      <c r="E16" s="33"/>
      <c r="L16" s="32">
        <f t="shared" ref="L16:AN16" si="41">STDEV(L12:L14)</f>
        <v>2.1712382443481574E-3</v>
      </c>
      <c r="M16" s="32">
        <f t="shared" si="41"/>
        <v>6.9282032302755162E-2</v>
      </c>
      <c r="N16" s="32">
        <f t="shared" si="41"/>
        <v>3.3286633954186857E-2</v>
      </c>
      <c r="O16" s="32">
        <f t="shared" si="41"/>
        <v>5.7735026918962632E-3</v>
      </c>
      <c r="P16" s="32">
        <f t="shared" si="41"/>
        <v>0</v>
      </c>
      <c r="Q16" s="32">
        <f t="shared" si="41"/>
        <v>7.0695951329342019E-2</v>
      </c>
      <c r="R16" s="32">
        <f t="shared" ref="R16:S16" si="42">STDEV(R12:R14)</f>
        <v>0.22120880030716145</v>
      </c>
      <c r="S16" s="32">
        <f t="shared" si="42"/>
        <v>0.31770006819850216</v>
      </c>
      <c r="T16" s="34">
        <f t="shared" ref="T16:U16" si="43">STDEV(T12:T14)</f>
        <v>1.7201067351596186</v>
      </c>
      <c r="U16" s="34">
        <f t="shared" si="43"/>
        <v>1.7281305108344449</v>
      </c>
      <c r="V16" s="32">
        <f t="shared" si="41"/>
        <v>0.1929177359184612</v>
      </c>
      <c r="W16" s="32">
        <f t="shared" si="41"/>
        <v>2.0909475670912749E-2</v>
      </c>
      <c r="X16" s="32">
        <f t="shared" si="41"/>
        <v>9.4401662797745547E-2</v>
      </c>
      <c r="Y16" s="34">
        <f t="shared" si="41"/>
        <v>4.7822441981245332</v>
      </c>
      <c r="Z16" s="32">
        <f t="shared" si="41"/>
        <v>3.8038272353821765E-3</v>
      </c>
      <c r="AA16" s="32">
        <f t="shared" si="41"/>
        <v>1.1649075020137354</v>
      </c>
      <c r="AB16" s="32">
        <f t="shared" si="41"/>
        <v>1.1843258739406519</v>
      </c>
      <c r="AC16" s="32">
        <f t="shared" si="41"/>
        <v>0.23350618090413366</v>
      </c>
      <c r="AD16" s="32">
        <f t="shared" si="41"/>
        <v>1.9979593703815797</v>
      </c>
      <c r="AE16" s="32">
        <f t="shared" si="41"/>
        <v>9.4371557707109925</v>
      </c>
      <c r="AF16" s="32">
        <f t="shared" si="41"/>
        <v>4.1073105555825698E-3</v>
      </c>
      <c r="AG16" s="32">
        <f t="shared" si="41"/>
        <v>0.17455570266632209</v>
      </c>
      <c r="AH16" s="32">
        <f t="shared" si="41"/>
        <v>4.0000000000000018E-4</v>
      </c>
      <c r="AI16" s="32">
        <f t="shared" si="41"/>
        <v>0</v>
      </c>
      <c r="AJ16" s="32">
        <f t="shared" si="41"/>
        <v>1.6695009234299132E-2</v>
      </c>
      <c r="AK16" s="32">
        <f t="shared" si="41"/>
        <v>0</v>
      </c>
      <c r="AL16" s="32">
        <f t="shared" si="41"/>
        <v>0</v>
      </c>
      <c r="AN16" s="32">
        <f t="shared" si="41"/>
        <v>0</v>
      </c>
      <c r="AO16" s="32">
        <f>STDEV(AO12:AO14)</f>
        <v>0.17455570266632209</v>
      </c>
      <c r="AP16" s="32">
        <f t="shared" ref="AP16:AV16" si="44">STDEV(AP12:AP14)</f>
        <v>6.4707587715073323E-4</v>
      </c>
      <c r="AQ16" s="32">
        <f t="shared" si="44"/>
        <v>7.6057460443305089E-4</v>
      </c>
      <c r="AR16" s="32">
        <f t="shared" si="44"/>
        <v>0</v>
      </c>
      <c r="AS16" s="32">
        <f t="shared" si="44"/>
        <v>9.4969628577583499E-3</v>
      </c>
      <c r="AT16" s="32">
        <f t="shared" si="44"/>
        <v>0</v>
      </c>
      <c r="AU16" s="32">
        <f t="shared" si="44"/>
        <v>9.1203197649935211E-5</v>
      </c>
      <c r="AV16" s="32">
        <f t="shared" si="44"/>
        <v>0</v>
      </c>
      <c r="AW16" s="34">
        <f t="shared" ref="AW16:AY16" si="45">STDEV(AW12:AW14)</f>
        <v>5.0347500799384868</v>
      </c>
      <c r="AX16" s="34"/>
      <c r="AY16" s="34">
        <f t="shared" si="45"/>
        <v>27.910135222677539</v>
      </c>
      <c r="AZ16" s="34">
        <f t="shared" ref="AZ16" si="46">STDEV(AZ12:AZ14)</f>
        <v>6.527389320226634E-3</v>
      </c>
    </row>
    <row r="17" spans="1:52" s="32" customFormat="1" x14ac:dyDescent="0.2">
      <c r="A17" s="32">
        <v>18</v>
      </c>
      <c r="B17" s="32" t="s">
        <v>65</v>
      </c>
      <c r="C17" s="32" t="s">
        <v>54</v>
      </c>
      <c r="D17" s="32">
        <v>116</v>
      </c>
      <c r="E17" s="33">
        <v>44544</v>
      </c>
      <c r="F17" s="32">
        <v>1</v>
      </c>
      <c r="G17" s="32">
        <v>2</v>
      </c>
      <c r="H17" s="32">
        <v>2</v>
      </c>
      <c r="I17" s="32">
        <v>490</v>
      </c>
      <c r="J17" s="32">
        <v>50</v>
      </c>
      <c r="K17" s="32">
        <v>0.1</v>
      </c>
      <c r="L17" s="34">
        <f t="shared" ref="L17:L24" si="47">J17/I17</f>
        <v>0.10204081632653061</v>
      </c>
      <c r="M17" s="32">
        <v>2</v>
      </c>
      <c r="N17" s="32">
        <v>2.1039999999999992</v>
      </c>
      <c r="O17" s="35">
        <v>0.22</v>
      </c>
      <c r="P17" s="35">
        <v>0.03</v>
      </c>
      <c r="Q17" s="32">
        <f t="shared" si="1"/>
        <v>2.3265306122448983</v>
      </c>
      <c r="R17" s="32">
        <v>20.82</v>
      </c>
      <c r="S17" s="32">
        <v>20.47</v>
      </c>
      <c r="T17" s="32">
        <f t="shared" si="4"/>
        <v>4.2857142857143034</v>
      </c>
      <c r="U17" s="32">
        <f t="shared" si="5"/>
        <v>4.1570131583323358</v>
      </c>
      <c r="V17" s="32">
        <f>Q17/(N17*I17)*1000</f>
        <v>2.2566642859518304</v>
      </c>
      <c r="W17" s="32">
        <f>(AO17*1000/180.2)*L17/N17</f>
        <v>1.2196750426980469</v>
      </c>
      <c r="X17" s="32">
        <f>N17/23*1000*L17/N17</f>
        <v>4.4365572315882877</v>
      </c>
      <c r="Y17" s="32">
        <f t="shared" si="2"/>
        <v>91.461814051908206</v>
      </c>
      <c r="Z17" s="38">
        <v>7.0800217705660667E-2</v>
      </c>
      <c r="AA17" s="35">
        <v>49.036253755983786</v>
      </c>
      <c r="AB17" s="35">
        <v>17.926814600318199</v>
      </c>
      <c r="AC17" s="35">
        <v>18.445692354124869</v>
      </c>
      <c r="AD17" s="35">
        <v>145.53155652121285</v>
      </c>
      <c r="AE17" s="35">
        <v>66.986998873780308</v>
      </c>
      <c r="AF17" s="32">
        <v>3.8E-3</v>
      </c>
      <c r="AG17" s="32">
        <v>20.524699999999999</v>
      </c>
      <c r="AH17" s="32">
        <v>0</v>
      </c>
      <c r="AI17" s="32">
        <v>0</v>
      </c>
      <c r="AJ17" s="32">
        <v>2.3999999999999998E-3</v>
      </c>
      <c r="AK17" s="32">
        <v>0</v>
      </c>
      <c r="AL17" s="32">
        <v>0</v>
      </c>
      <c r="AN17" s="32">
        <v>25.0565</v>
      </c>
      <c r="AO17" s="32">
        <f t="shared" si="20"/>
        <v>4.5318000000000005</v>
      </c>
      <c r="AP17" s="49">
        <v>1.2310145747992673E-2</v>
      </c>
      <c r="AQ17" s="49">
        <v>5.0633055851272155E-3</v>
      </c>
      <c r="AR17" s="49">
        <v>0</v>
      </c>
      <c r="AS17" s="49">
        <v>4.3762297205514736E-2</v>
      </c>
      <c r="AT17" s="49">
        <v>0</v>
      </c>
      <c r="AU17" s="49">
        <v>0</v>
      </c>
      <c r="AV17" s="49">
        <v>0</v>
      </c>
      <c r="AW17" s="32">
        <f t="shared" si="6"/>
        <v>93.874688785927034</v>
      </c>
      <c r="AX17" s="32">
        <v>18</v>
      </c>
      <c r="AY17" s="32">
        <v>190.55</v>
      </c>
      <c r="AZ17" s="32">
        <f t="shared" si="7"/>
        <v>0.14896365805270997</v>
      </c>
    </row>
    <row r="18" spans="1:52" s="32" customFormat="1" x14ac:dyDescent="0.2">
      <c r="A18" s="32">
        <v>19</v>
      </c>
      <c r="B18" s="32" t="s">
        <v>65</v>
      </c>
      <c r="C18" s="32" t="s">
        <v>54</v>
      </c>
      <c r="D18" s="32">
        <v>116</v>
      </c>
      <c r="E18" s="33">
        <v>44544</v>
      </c>
      <c r="F18" s="32">
        <v>1</v>
      </c>
      <c r="G18" s="32">
        <v>3</v>
      </c>
      <c r="H18" s="32">
        <v>3</v>
      </c>
      <c r="I18" s="32">
        <v>490</v>
      </c>
      <c r="J18" s="32">
        <v>50</v>
      </c>
      <c r="K18" s="32">
        <v>0.1</v>
      </c>
      <c r="L18" s="34">
        <f t="shared" si="47"/>
        <v>0.10204081632653061</v>
      </c>
      <c r="M18" s="32">
        <v>2.4</v>
      </c>
      <c r="N18" s="32">
        <v>2.4620000000000006</v>
      </c>
      <c r="O18" s="35">
        <v>0.23</v>
      </c>
      <c r="P18" s="35">
        <v>0.03</v>
      </c>
      <c r="Q18" s="32">
        <f t="shared" si="1"/>
        <v>2.4489795918367352</v>
      </c>
      <c r="R18" s="32">
        <v>20.83</v>
      </c>
      <c r="S18" s="32">
        <v>20.45</v>
      </c>
      <c r="T18" s="32">
        <f t="shared" si="4"/>
        <v>4.6530612244897842</v>
      </c>
      <c r="U18" s="32">
        <f t="shared" si="5"/>
        <v>3.857044401009452</v>
      </c>
      <c r="V18" s="32">
        <f>Q18/(N18*I18)*1000</f>
        <v>2.030023368952349</v>
      </c>
      <c r="W18" s="32">
        <f>(AO18*1000/180.2)*L18/N18</f>
        <v>0.97638031347910004</v>
      </c>
      <c r="X18" s="32">
        <f>N18/23*1000*L18/N18</f>
        <v>4.4365572315882877</v>
      </c>
      <c r="Y18" s="32">
        <f t="shared" si="2"/>
        <v>110.38356863045351</v>
      </c>
      <c r="Z18" s="38">
        <v>5.1684196932328549E-2</v>
      </c>
      <c r="AA18" s="35">
        <v>32.543159112997643</v>
      </c>
      <c r="AB18" s="35">
        <v>18.510808978551211</v>
      </c>
      <c r="AC18" s="35">
        <v>9.6015935271907065</v>
      </c>
      <c r="AD18" s="35">
        <v>124.82051777296967</v>
      </c>
      <c r="AE18" s="35">
        <v>69.01690630307661</v>
      </c>
      <c r="AF18" s="32">
        <v>3.5000000000000001E-3</v>
      </c>
      <c r="AG18" s="32">
        <v>20.811399999999999</v>
      </c>
      <c r="AH18" s="32">
        <v>0</v>
      </c>
      <c r="AI18" s="32">
        <v>0</v>
      </c>
      <c r="AJ18" s="32">
        <v>3.4599999999999999E-2</v>
      </c>
      <c r="AK18" s="32">
        <v>0</v>
      </c>
      <c r="AL18" s="32">
        <v>0</v>
      </c>
      <c r="AN18" s="32">
        <v>25.0565</v>
      </c>
      <c r="AO18" s="32">
        <f t="shared" si="20"/>
        <v>4.2451000000000008</v>
      </c>
      <c r="AP18" s="49">
        <v>1.2797263054946748E-2</v>
      </c>
      <c r="AQ18" s="49">
        <v>4.701604442624443E-3</v>
      </c>
      <c r="AR18" s="49">
        <v>0</v>
      </c>
      <c r="AS18" s="49">
        <v>7.3277234384224506E-3</v>
      </c>
      <c r="AT18" s="49">
        <v>0</v>
      </c>
      <c r="AU18" s="49">
        <v>0</v>
      </c>
      <c r="AV18" s="49">
        <v>0</v>
      </c>
      <c r="AW18" s="32">
        <f t="shared" si="6"/>
        <v>112.18518624941728</v>
      </c>
      <c r="AX18" s="32">
        <v>19</v>
      </c>
      <c r="AY18" s="32">
        <v>168.23333333333301</v>
      </c>
      <c r="AZ18" s="32">
        <f t="shared" si="7"/>
        <v>0.12724649284739292</v>
      </c>
    </row>
    <row r="19" spans="1:52" s="32" customFormat="1" x14ac:dyDescent="0.2">
      <c r="A19" s="32">
        <v>20</v>
      </c>
      <c r="B19" s="32" t="s">
        <v>65</v>
      </c>
      <c r="C19" s="32" t="s">
        <v>54</v>
      </c>
      <c r="D19" s="32">
        <v>116</v>
      </c>
      <c r="E19" s="33">
        <v>44544</v>
      </c>
      <c r="F19" s="32">
        <v>1</v>
      </c>
      <c r="G19" s="32">
        <v>4</v>
      </c>
      <c r="H19" s="32">
        <v>4</v>
      </c>
      <c r="I19" s="32">
        <v>480</v>
      </c>
      <c r="J19" s="32">
        <v>50</v>
      </c>
      <c r="K19" s="32">
        <v>0.1</v>
      </c>
      <c r="L19" s="34">
        <f t="shared" si="47"/>
        <v>0.10416666666666667</v>
      </c>
      <c r="M19" s="32">
        <v>2.48</v>
      </c>
      <c r="N19" s="32">
        <v>2.6900000000000004</v>
      </c>
      <c r="O19" s="35">
        <v>0.23</v>
      </c>
      <c r="P19" s="35">
        <v>0.03</v>
      </c>
      <c r="Q19" s="32">
        <f t="shared" si="1"/>
        <v>2.4489795918367352</v>
      </c>
      <c r="R19" s="32">
        <v>20.83</v>
      </c>
      <c r="S19" s="32">
        <v>20.62</v>
      </c>
      <c r="T19" s="32">
        <f t="shared" si="4"/>
        <v>2.5714285714285383</v>
      </c>
      <c r="U19" s="32">
        <f t="shared" si="5"/>
        <v>1.9915029208709247</v>
      </c>
      <c r="V19" s="32">
        <f>Q19/(N19*I19)*1000</f>
        <v>1.8966694484485243</v>
      </c>
      <c r="W19" s="32">
        <f>(AO19*1000/180.2)*L19/N19</f>
        <v>0.93452545498805561</v>
      </c>
      <c r="X19" s="32">
        <f>N19/23*1000*L19/N19</f>
        <v>4.5289855072463769</v>
      </c>
      <c r="Y19" s="32">
        <f t="shared" si="2"/>
        <v>114.59746622198801</v>
      </c>
      <c r="Z19" s="38">
        <v>5.8375498470596636E-2</v>
      </c>
      <c r="AA19" s="35">
        <v>40.751204835431288</v>
      </c>
      <c r="AB19" s="35">
        <v>19.30164210884757</v>
      </c>
      <c r="AC19" s="35">
        <v>12.335699052587007</v>
      </c>
      <c r="AD19" s="35">
        <v>161.61768233579241</v>
      </c>
      <c r="AE19" s="35">
        <v>80.05395343915167</v>
      </c>
      <c r="AF19" s="39">
        <v>3.0000000000000001E-3</v>
      </c>
      <c r="AG19" s="32">
        <v>20.707699999999999</v>
      </c>
      <c r="AH19" s="32">
        <v>0</v>
      </c>
      <c r="AI19" s="32">
        <v>0</v>
      </c>
      <c r="AJ19" s="32">
        <v>2.5000000000000001E-3</v>
      </c>
      <c r="AK19" s="32">
        <v>0</v>
      </c>
      <c r="AL19" s="32">
        <v>0</v>
      </c>
      <c r="AN19" s="32">
        <v>25.0565</v>
      </c>
      <c r="AO19" s="32">
        <f t="shared" si="20"/>
        <v>4.3488000000000007</v>
      </c>
      <c r="AP19" s="49">
        <v>1.0967236370893901E-2</v>
      </c>
      <c r="AQ19" s="49">
        <v>5.6896378911801418E-3</v>
      </c>
      <c r="AR19" s="49">
        <v>0</v>
      </c>
      <c r="AS19" s="49">
        <v>0</v>
      </c>
      <c r="AT19" s="49">
        <v>0</v>
      </c>
      <c r="AU19" s="49">
        <v>0</v>
      </c>
      <c r="AV19" s="49">
        <v>0</v>
      </c>
      <c r="AW19" s="32">
        <f t="shared" si="6"/>
        <v>116.07544151337915</v>
      </c>
      <c r="AX19" s="32">
        <v>20</v>
      </c>
      <c r="AY19" s="32">
        <v>142.48333333333301</v>
      </c>
      <c r="AZ19" s="32">
        <f t="shared" si="7"/>
        <v>0.15703009088590497</v>
      </c>
    </row>
    <row r="20" spans="1:52" s="32" customFormat="1" x14ac:dyDescent="0.2">
      <c r="E20" s="33"/>
      <c r="K20" s="32" t="s">
        <v>65</v>
      </c>
      <c r="L20" s="32">
        <f>AVERAGE(L17:L19)</f>
        <v>0.10274943310657597</v>
      </c>
      <c r="M20" s="32">
        <f>AVERAGE(M17:M19)</f>
        <v>2.2933333333333334</v>
      </c>
      <c r="N20" s="32">
        <f t="shared" ref="N20:AO20" si="48">AVERAGE(N17:N19)</f>
        <v>2.4186666666666667</v>
      </c>
      <c r="O20" s="32">
        <f t="shared" si="48"/>
        <v>0.22666666666666668</v>
      </c>
      <c r="P20" s="32">
        <f t="shared" si="48"/>
        <v>0.03</v>
      </c>
      <c r="Q20" s="32">
        <f t="shared" si="48"/>
        <v>2.4081632653061233</v>
      </c>
      <c r="R20" s="32">
        <f t="shared" ref="R20:S20" si="49">AVERAGE(R17:R19)</f>
        <v>20.826666666666664</v>
      </c>
      <c r="S20" s="32">
        <f t="shared" si="49"/>
        <v>20.513333333333335</v>
      </c>
      <c r="T20" s="34">
        <f t="shared" ref="T20:U20" si="50">AVERAGE(T17:T19)</f>
        <v>3.836734693877542</v>
      </c>
      <c r="U20" s="34">
        <f t="shared" si="50"/>
        <v>3.3351868267375711</v>
      </c>
      <c r="V20" s="32">
        <f t="shared" si="48"/>
        <v>2.0611190344509009</v>
      </c>
      <c r="W20" s="32">
        <f t="shared" si="48"/>
        <v>1.0435269370550675</v>
      </c>
      <c r="X20" s="32">
        <f t="shared" si="48"/>
        <v>4.4673666568076511</v>
      </c>
      <c r="Y20" s="34">
        <f t="shared" si="48"/>
        <v>105.48094963478324</v>
      </c>
      <c r="Z20" s="32">
        <f t="shared" si="48"/>
        <v>6.0286637702861946E-2</v>
      </c>
      <c r="AA20" s="32">
        <f t="shared" si="48"/>
        <v>40.77687256813757</v>
      </c>
      <c r="AB20" s="32">
        <f t="shared" si="48"/>
        <v>18.579755229238994</v>
      </c>
      <c r="AC20" s="32">
        <f t="shared" si="48"/>
        <v>13.460994977967525</v>
      </c>
      <c r="AD20" s="32">
        <f t="shared" si="48"/>
        <v>143.98991887665829</v>
      </c>
      <c r="AE20" s="32">
        <f t="shared" si="48"/>
        <v>72.019286205336186</v>
      </c>
      <c r="AF20" s="32">
        <f t="shared" si="48"/>
        <v>3.4333333333333334E-3</v>
      </c>
      <c r="AG20" s="32">
        <f t="shared" si="48"/>
        <v>20.681266666666669</v>
      </c>
      <c r="AH20" s="32">
        <f t="shared" si="48"/>
        <v>0</v>
      </c>
      <c r="AI20" s="32">
        <f t="shared" si="48"/>
        <v>0</v>
      </c>
      <c r="AJ20" s="32">
        <f t="shared" si="48"/>
        <v>1.3166666666666667E-2</v>
      </c>
      <c r="AK20" s="32">
        <f t="shared" si="48"/>
        <v>0</v>
      </c>
      <c r="AL20" s="32">
        <f t="shared" si="48"/>
        <v>0</v>
      </c>
      <c r="AN20" s="32">
        <f t="shared" si="48"/>
        <v>25.0565</v>
      </c>
      <c r="AO20" s="32">
        <f t="shared" si="48"/>
        <v>4.375233333333334</v>
      </c>
      <c r="AP20" s="32">
        <f t="shared" ref="AP20:AV20" si="51">AVERAGE(AP17:AP19)</f>
        <v>1.2024881724611108E-2</v>
      </c>
      <c r="AQ20" s="32">
        <f t="shared" si="51"/>
        <v>5.1515159729772671E-3</v>
      </c>
      <c r="AR20" s="32">
        <f t="shared" si="51"/>
        <v>0</v>
      </c>
      <c r="AS20" s="32">
        <f t="shared" si="51"/>
        <v>1.7030006881312395E-2</v>
      </c>
      <c r="AT20" s="32">
        <f t="shared" si="51"/>
        <v>0</v>
      </c>
      <c r="AU20" s="32">
        <f t="shared" si="51"/>
        <v>0</v>
      </c>
      <c r="AV20" s="32">
        <f t="shared" si="51"/>
        <v>0</v>
      </c>
      <c r="AW20" s="34">
        <f t="shared" ref="AW20:AY20" si="52">AVERAGE(AW17:AW19)</f>
        <v>107.37843884957448</v>
      </c>
      <c r="AX20" s="34"/>
      <c r="AY20" s="34">
        <f t="shared" si="52"/>
        <v>167.08888888888868</v>
      </c>
      <c r="AZ20" s="32">
        <f t="shared" si="7"/>
        <v>0.14581328105732211</v>
      </c>
    </row>
    <row r="21" spans="1:52" s="32" customFormat="1" x14ac:dyDescent="0.2">
      <c r="E21" s="33"/>
      <c r="L21" s="32">
        <f>STDEV(L17:L19)</f>
        <v>1.2273602661344099E-3</v>
      </c>
      <c r="M21" s="32">
        <f>STDEV(M17:M19)</f>
        <v>0.25716402029314545</v>
      </c>
      <c r="N21" s="32">
        <f t="shared" ref="N21:AO21" si="53">STDEV(N17:N19)</f>
        <v>0.29539352283578207</v>
      </c>
      <c r="O21" s="32">
        <f t="shared" si="53"/>
        <v>5.7735026918962632E-3</v>
      </c>
      <c r="P21" s="32">
        <f t="shared" si="53"/>
        <v>0</v>
      </c>
      <c r="Q21" s="32">
        <f t="shared" si="53"/>
        <v>7.0695951329342005E-2</v>
      </c>
      <c r="R21" s="32">
        <f t="shared" ref="R21:S21" si="54">STDEV(R17:R19)</f>
        <v>5.7735026918951087E-3</v>
      </c>
      <c r="S21" s="32">
        <f t="shared" si="54"/>
        <v>9.2915732431776768E-2</v>
      </c>
      <c r="T21" s="34">
        <f t="shared" ref="T21:U21" si="55">STDEV(T17:T19)</f>
        <v>1.1110740888829738</v>
      </c>
      <c r="U21" s="34">
        <f t="shared" si="55"/>
        <v>1.1732903063633666</v>
      </c>
      <c r="V21" s="32">
        <f t="shared" si="53"/>
        <v>0.18200075842384927</v>
      </c>
      <c r="W21" s="32">
        <f t="shared" si="53"/>
        <v>0.1539775101631228</v>
      </c>
      <c r="X21" s="32">
        <f t="shared" si="53"/>
        <v>5.3363489831930733E-2</v>
      </c>
      <c r="Y21" s="34">
        <f t="shared" si="53"/>
        <v>12.322392425834353</v>
      </c>
      <c r="Z21" s="32">
        <f t="shared" si="53"/>
        <v>9.7002526990509156E-3</v>
      </c>
      <c r="AA21" s="32">
        <f t="shared" si="53"/>
        <v>8.2465772809088307</v>
      </c>
      <c r="AB21" s="32">
        <f t="shared" si="53"/>
        <v>0.69000207149340975</v>
      </c>
      <c r="AC21" s="32">
        <f t="shared" si="53"/>
        <v>4.5281606867361912</v>
      </c>
      <c r="AD21" s="32">
        <f t="shared" si="53"/>
        <v>18.446959503836915</v>
      </c>
      <c r="AE21" s="32">
        <f t="shared" si="53"/>
        <v>7.0318588731208962</v>
      </c>
      <c r="AF21" s="32">
        <f t="shared" si="53"/>
        <v>4.0414518843273796E-4</v>
      </c>
      <c r="AG21" s="32">
        <f t="shared" si="53"/>
        <v>0.14516632988862566</v>
      </c>
      <c r="AH21" s="32">
        <f t="shared" si="53"/>
        <v>0</v>
      </c>
      <c r="AI21" s="32">
        <f t="shared" si="53"/>
        <v>0</v>
      </c>
      <c r="AJ21" s="32">
        <f t="shared" si="53"/>
        <v>1.8561878496890699E-2</v>
      </c>
      <c r="AK21" s="32">
        <f t="shared" si="53"/>
        <v>0</v>
      </c>
      <c r="AL21" s="32">
        <f t="shared" si="53"/>
        <v>0</v>
      </c>
      <c r="AN21" s="32">
        <f t="shared" si="53"/>
        <v>0</v>
      </c>
      <c r="AO21" s="32">
        <f t="shared" si="53"/>
        <v>0.14516632988862568</v>
      </c>
      <c r="AP21" s="32">
        <f t="shared" ref="AP21:AV21" si="56">STDEV(AP17:AP19)</f>
        <v>9.4777691909185243E-4</v>
      </c>
      <c r="AQ21" s="32">
        <f t="shared" si="56"/>
        <v>4.9988831578634541E-4</v>
      </c>
      <c r="AR21" s="32">
        <f t="shared" si="56"/>
        <v>0</v>
      </c>
      <c r="AS21" s="32">
        <f t="shared" si="56"/>
        <v>2.3438971653649464E-2</v>
      </c>
      <c r="AT21" s="32">
        <f t="shared" si="56"/>
        <v>0</v>
      </c>
      <c r="AU21" s="32">
        <f t="shared" si="56"/>
        <v>0</v>
      </c>
      <c r="AV21" s="32">
        <f t="shared" si="56"/>
        <v>0</v>
      </c>
      <c r="AW21" s="34">
        <f t="shared" ref="AW21:AY21" si="57">STDEV(AW17:AW19)</f>
        <v>11.855250770894292</v>
      </c>
      <c r="AX21" s="34"/>
      <c r="AY21" s="34">
        <f t="shared" si="57"/>
        <v>24.053761159659324</v>
      </c>
      <c r="AZ21" s="32">
        <f t="shared" si="7"/>
        <v>2.8653918171699534E-3</v>
      </c>
    </row>
    <row r="22" spans="1:52" s="32" customFormat="1" x14ac:dyDescent="0.2">
      <c r="A22" s="32">
        <v>22</v>
      </c>
      <c r="B22" s="32" t="s">
        <v>66</v>
      </c>
      <c r="C22" s="32" t="s">
        <v>54</v>
      </c>
      <c r="D22" s="32">
        <v>116</v>
      </c>
      <c r="E22" s="33">
        <v>44546</v>
      </c>
      <c r="F22" s="32">
        <v>1</v>
      </c>
      <c r="G22" s="32">
        <v>6</v>
      </c>
      <c r="H22" s="32">
        <v>1</v>
      </c>
      <c r="I22" s="32">
        <v>480</v>
      </c>
      <c r="J22" s="32">
        <v>50</v>
      </c>
      <c r="K22" s="32">
        <v>0.1</v>
      </c>
      <c r="L22" s="34">
        <f t="shared" si="47"/>
        <v>0.10416666666666667</v>
      </c>
      <c r="M22" s="32">
        <v>1.28</v>
      </c>
      <c r="N22" s="32">
        <v>1.4479999999999991</v>
      </c>
      <c r="O22" s="35">
        <v>0.2</v>
      </c>
      <c r="P22" s="35">
        <v>0.04</v>
      </c>
      <c r="Q22" s="32">
        <f t="shared" si="1"/>
        <v>1.9591836734693882</v>
      </c>
      <c r="R22" s="32">
        <v>20.89</v>
      </c>
      <c r="S22" s="32">
        <v>20.54</v>
      </c>
      <c r="T22" s="32">
        <f t="shared" si="4"/>
        <v>4.2857142857143034</v>
      </c>
      <c r="U22" s="32">
        <f t="shared" si="5"/>
        <v>6.1661404893449392</v>
      </c>
      <c r="V22" s="32">
        <f>Q22/(N22*I22)*1000</f>
        <v>2.8188070808433898</v>
      </c>
      <c r="W22" s="32">
        <f>(AO22*1000/180.2)*L22/N22</f>
        <v>1.0511296278127642</v>
      </c>
      <c r="X22" s="32">
        <f>N22/23*1000*L22/N22</f>
        <v>4.5289855072463769</v>
      </c>
      <c r="Y22" s="32">
        <f t="shared" si="2"/>
        <v>116.50628672347752</v>
      </c>
      <c r="Z22" s="38">
        <v>1.7796980578099666E-2</v>
      </c>
      <c r="AA22" s="35">
        <v>9.3928992997141982</v>
      </c>
      <c r="AB22" s="35">
        <v>1.9216176837310417</v>
      </c>
      <c r="AC22" s="35">
        <v>2.0542991814184957</v>
      </c>
      <c r="AD22" s="35">
        <v>8.4663136141972952</v>
      </c>
      <c r="AE22" s="35">
        <v>29.704925975115572</v>
      </c>
      <c r="AF22" s="39">
        <v>1.2999999999999999E-2</v>
      </c>
      <c r="AG22" s="32">
        <v>22.7319</v>
      </c>
      <c r="AH22" s="32">
        <v>1.0699999999999999E-2</v>
      </c>
      <c r="AI22" s="32">
        <v>0</v>
      </c>
      <c r="AJ22" s="32">
        <v>1.5800000000000002E-2</v>
      </c>
      <c r="AK22" s="32">
        <v>0</v>
      </c>
      <c r="AL22" s="32">
        <v>1.9900000000000001E-2</v>
      </c>
      <c r="AM22" s="32">
        <v>0.2089</v>
      </c>
      <c r="AN22" s="32">
        <v>25.364899999999999</v>
      </c>
      <c r="AO22" s="32">
        <f t="shared" si="20"/>
        <v>2.6329999999999991</v>
      </c>
      <c r="AP22" s="49">
        <v>4.8676790729805328E-3</v>
      </c>
      <c r="AQ22" s="49">
        <v>8.7410841595112043E-3</v>
      </c>
      <c r="AR22" s="49">
        <v>0</v>
      </c>
      <c r="AS22" s="49">
        <v>2.4671700243164296E-2</v>
      </c>
      <c r="AT22" s="49">
        <v>0</v>
      </c>
      <c r="AU22" s="49">
        <v>1.2122722360992273E-2</v>
      </c>
      <c r="AV22" s="49">
        <v>0.12725812568900932</v>
      </c>
      <c r="AW22" s="32">
        <f>100*((V22+X22+AP22*6+AQ22*3+AR22*2+AS22*2+AT22*3+AU22*4+AV22*5)/(6*W22))</f>
        <v>129.02542525153103</v>
      </c>
      <c r="AX22" s="32">
        <v>22</v>
      </c>
      <c r="AY22" s="32">
        <v>247.2</v>
      </c>
      <c r="AZ22" s="32">
        <f t="shared" si="7"/>
        <v>2.5770027877088299E-2</v>
      </c>
    </row>
    <row r="23" spans="1:52" s="32" customFormat="1" x14ac:dyDescent="0.2">
      <c r="A23" s="32">
        <v>23</v>
      </c>
      <c r="B23" s="32" t="s">
        <v>66</v>
      </c>
      <c r="C23" s="32" t="s">
        <v>54</v>
      </c>
      <c r="D23" s="32">
        <v>116</v>
      </c>
      <c r="E23" s="33">
        <v>44546</v>
      </c>
      <c r="F23" s="32">
        <v>1</v>
      </c>
      <c r="G23" s="32">
        <v>7</v>
      </c>
      <c r="H23" s="32">
        <v>2</v>
      </c>
      <c r="I23" s="32">
        <v>490</v>
      </c>
      <c r="J23" s="32">
        <v>50</v>
      </c>
      <c r="K23" s="32">
        <v>0.1</v>
      </c>
      <c r="L23" s="34">
        <f t="shared" si="47"/>
        <v>0.10204081632653061</v>
      </c>
      <c r="M23" s="32">
        <v>1.36</v>
      </c>
      <c r="N23" s="32">
        <v>1.4039999999999992</v>
      </c>
      <c r="O23" s="35">
        <v>0.21</v>
      </c>
      <c r="P23" s="35">
        <v>0.03</v>
      </c>
      <c r="Q23" s="32">
        <f t="shared" si="1"/>
        <v>2.2040816326530615</v>
      </c>
      <c r="V23" s="32">
        <f>Q23/(N23*I23)*1000</f>
        <v>3.2037932912568508</v>
      </c>
      <c r="W23" s="32">
        <f>(AO23*1000/180.2)*L23/N23</f>
        <v>1.2451360160255045</v>
      </c>
      <c r="X23" s="32">
        <f>N23/23*1000*L23/N23</f>
        <v>4.4365572315882877</v>
      </c>
      <c r="Y23" s="32">
        <f t="shared" si="2"/>
        <v>102.26928925180489</v>
      </c>
      <c r="Z23" s="38">
        <v>1.8299122164079414E-2</v>
      </c>
      <c r="AA23" s="35">
        <v>11.819828177496907</v>
      </c>
      <c r="AB23" s="35">
        <v>2.3274955479170401</v>
      </c>
      <c r="AC23" s="35">
        <v>1.979853201450166</v>
      </c>
      <c r="AD23" s="35">
        <v>7.7261858630569096</v>
      </c>
      <c r="AE23" s="35">
        <v>27.530572246813939</v>
      </c>
      <c r="AF23" s="32">
        <v>4.8999999999999998E-3</v>
      </c>
      <c r="AG23" s="32">
        <v>22.277699999999999</v>
      </c>
      <c r="AH23" s="32">
        <v>1.18E-2</v>
      </c>
      <c r="AI23" s="32">
        <v>0</v>
      </c>
      <c r="AJ23" s="32">
        <v>2.3E-3</v>
      </c>
      <c r="AK23" s="32">
        <v>0</v>
      </c>
      <c r="AL23" s="32">
        <v>2.1299999999999999E-2</v>
      </c>
      <c r="AM23" s="32">
        <v>0.20069999999999999</v>
      </c>
      <c r="AN23" s="32">
        <v>25.364899999999999</v>
      </c>
      <c r="AO23" s="32">
        <f t="shared" si="20"/>
        <v>3.0871999999999993</v>
      </c>
      <c r="AP23" s="49">
        <v>1.8536224319988981E-3</v>
      </c>
      <c r="AQ23" s="49">
        <v>9.7389052971285917E-3</v>
      </c>
      <c r="AR23" s="49">
        <v>0</v>
      </c>
      <c r="AS23" s="49">
        <v>3.6284107108008638E-3</v>
      </c>
      <c r="AT23" s="49">
        <v>0</v>
      </c>
      <c r="AU23" s="49">
        <v>1.3109112706272266E-2</v>
      </c>
      <c r="AV23" s="49">
        <v>0.12352107606332596</v>
      </c>
      <c r="AW23" s="32">
        <f t="shared" si="6"/>
        <v>111.87516220879333</v>
      </c>
      <c r="AX23" s="32">
        <v>23</v>
      </c>
      <c r="AY23" s="32">
        <v>245.48333333333301</v>
      </c>
      <c r="AZ23" s="32">
        <f t="shared" si="7"/>
        <v>2.5691967518367484E-2</v>
      </c>
    </row>
    <row r="24" spans="1:52" s="32" customFormat="1" x14ac:dyDescent="0.2">
      <c r="A24" s="32">
        <v>24</v>
      </c>
      <c r="B24" s="32" t="s">
        <v>66</v>
      </c>
      <c r="C24" s="32" t="s">
        <v>54</v>
      </c>
      <c r="D24" s="32">
        <v>116</v>
      </c>
      <c r="E24" s="33">
        <v>44546</v>
      </c>
      <c r="F24" s="32">
        <v>1</v>
      </c>
      <c r="G24" s="32">
        <v>8</v>
      </c>
      <c r="H24" s="32">
        <v>3</v>
      </c>
      <c r="I24" s="32">
        <v>470</v>
      </c>
      <c r="J24" s="32">
        <v>50</v>
      </c>
      <c r="K24" s="32">
        <v>0.1</v>
      </c>
      <c r="L24" s="34">
        <f t="shared" si="47"/>
        <v>0.10638297872340426</v>
      </c>
      <c r="M24" s="32">
        <v>1.34</v>
      </c>
      <c r="N24" s="32">
        <v>1.5960000000000008</v>
      </c>
      <c r="O24" s="35">
        <v>0.21</v>
      </c>
      <c r="P24" s="35">
        <v>0.04</v>
      </c>
      <c r="Q24" s="32">
        <f t="shared" si="1"/>
        <v>2.0816326530612246</v>
      </c>
      <c r="R24" s="32">
        <v>20.9</v>
      </c>
      <c r="S24" s="32">
        <v>20.5</v>
      </c>
      <c r="T24" s="32">
        <f t="shared" si="4"/>
        <v>4.8979591836734517</v>
      </c>
      <c r="U24" s="32">
        <f t="shared" si="5"/>
        <v>6.5295675140956773</v>
      </c>
      <c r="V24" s="32">
        <f>Q24/(N24*I24)*1000</f>
        <v>2.7750661934906726</v>
      </c>
      <c r="W24" s="32">
        <f>(AO24*1000/180.2)*L24/N24</f>
        <v>1.1430653522369452</v>
      </c>
      <c r="X24" s="32">
        <f>N24/23*1000*L24/N24</f>
        <v>4.6253469010175765</v>
      </c>
      <c r="Y24" s="32">
        <f t="shared" si="2"/>
        <v>107.90303284097536</v>
      </c>
      <c r="Z24" s="38">
        <v>1.6694023251189356E-2</v>
      </c>
      <c r="AA24" s="35">
        <v>10.021283256331222</v>
      </c>
      <c r="AB24" s="35">
        <v>1.2595507379809849</v>
      </c>
      <c r="AC24" s="35">
        <v>1.3722874672682983</v>
      </c>
      <c r="AD24" s="35">
        <v>9.9194402472960785</v>
      </c>
      <c r="AE24" s="35">
        <v>30.714760508919859</v>
      </c>
      <c r="AF24" s="32">
        <v>7.6E-3</v>
      </c>
      <c r="AG24" s="32">
        <v>22.274699999999999</v>
      </c>
      <c r="AH24" s="39">
        <v>0.01</v>
      </c>
      <c r="AI24" s="32">
        <v>0</v>
      </c>
      <c r="AJ24" s="32">
        <v>1.04E-2</v>
      </c>
      <c r="AK24" s="32">
        <v>0</v>
      </c>
      <c r="AL24" s="32">
        <v>1.6500000000000001E-2</v>
      </c>
      <c r="AM24" s="32">
        <v>0.18129999999999999</v>
      </c>
      <c r="AN24" s="32">
        <v>25.364899999999999</v>
      </c>
      <c r="AO24" s="32">
        <f t="shared" si="20"/>
        <v>3.0901999999999994</v>
      </c>
      <c r="AP24" s="49">
        <v>2.6367638242415911E-3</v>
      </c>
      <c r="AQ24" s="49">
        <v>7.5693847043372259E-3</v>
      </c>
      <c r="AR24" s="49">
        <v>0</v>
      </c>
      <c r="AS24" s="49">
        <v>1.5047154715573987E-2</v>
      </c>
      <c r="AT24" s="49">
        <v>0</v>
      </c>
      <c r="AU24" s="49">
        <v>9.3134391409560036E-3</v>
      </c>
      <c r="AV24" s="49">
        <v>0.10233494037911052</v>
      </c>
      <c r="AW24" s="32">
        <f t="shared" si="6"/>
        <v>116.90735185243078</v>
      </c>
      <c r="AX24" s="32">
        <v>24</v>
      </c>
      <c r="AY24" s="32">
        <v>262.64999999999998</v>
      </c>
      <c r="AZ24" s="32">
        <f t="shared" si="7"/>
        <v>2.6643661108898226E-2</v>
      </c>
    </row>
    <row r="25" spans="1:52" s="32" customFormat="1" x14ac:dyDescent="0.2">
      <c r="K25" s="32" t="s">
        <v>66</v>
      </c>
      <c r="L25" s="34">
        <f>AVERAGE(L22:L24)</f>
        <v>0.10419682057220052</v>
      </c>
      <c r="M25" s="34">
        <f t="shared" ref="M25:AL25" si="58">AVERAGE(M22:M24)</f>
        <v>1.3266666666666669</v>
      </c>
      <c r="N25" s="34">
        <f t="shared" si="58"/>
        <v>1.4826666666666666</v>
      </c>
      <c r="O25" s="34">
        <f t="shared" si="58"/>
        <v>0.20666666666666667</v>
      </c>
      <c r="P25" s="34">
        <f t="shared" si="58"/>
        <v>3.6666666666666674E-2</v>
      </c>
      <c r="Q25" s="34">
        <f t="shared" si="58"/>
        <v>2.0816326530612246</v>
      </c>
      <c r="R25" s="34">
        <f t="shared" ref="R25:T25" si="59">AVERAGE(R22:R24)</f>
        <v>20.895</v>
      </c>
      <c r="S25" s="34">
        <f t="shared" si="59"/>
        <v>20.52</v>
      </c>
      <c r="T25" s="34">
        <f t="shared" si="59"/>
        <v>4.591836734693878</v>
      </c>
      <c r="U25" s="34">
        <f t="shared" ref="U25" si="60">AVERAGE(U22:U24)</f>
        <v>6.3478540017203082</v>
      </c>
      <c r="V25" s="34">
        <f t="shared" si="58"/>
        <v>2.9325555218636379</v>
      </c>
      <c r="W25" s="34">
        <f t="shared" si="58"/>
        <v>1.1464436653584047</v>
      </c>
      <c r="X25" s="34">
        <f t="shared" si="58"/>
        <v>4.5302965466174134</v>
      </c>
      <c r="Y25" s="34">
        <f t="shared" si="58"/>
        <v>108.89286960541926</v>
      </c>
      <c r="Z25" s="34">
        <f t="shared" si="58"/>
        <v>1.7596708664456145E-2</v>
      </c>
      <c r="AA25" s="34">
        <f t="shared" si="58"/>
        <v>10.411336911180776</v>
      </c>
      <c r="AB25" s="34">
        <f t="shared" si="58"/>
        <v>1.8362213232096887</v>
      </c>
      <c r="AC25" s="34">
        <f t="shared" si="58"/>
        <v>1.8021466167123201</v>
      </c>
      <c r="AD25" s="34">
        <f t="shared" si="58"/>
        <v>8.7039799081834275</v>
      </c>
      <c r="AE25" s="34">
        <f t="shared" si="58"/>
        <v>29.316752910283125</v>
      </c>
      <c r="AF25" s="34">
        <f t="shared" si="58"/>
        <v>8.4999999999999989E-3</v>
      </c>
      <c r="AG25" s="34">
        <f t="shared" si="58"/>
        <v>22.428100000000001</v>
      </c>
      <c r="AH25" s="34">
        <f t="shared" si="58"/>
        <v>1.0833333333333334E-2</v>
      </c>
      <c r="AI25" s="34">
        <f t="shared" si="58"/>
        <v>0</v>
      </c>
      <c r="AJ25" s="34">
        <f t="shared" si="58"/>
        <v>9.4999999999999998E-3</v>
      </c>
      <c r="AK25" s="34">
        <f t="shared" si="58"/>
        <v>0</v>
      </c>
      <c r="AL25" s="34">
        <f t="shared" si="58"/>
        <v>1.9233333333333335E-2</v>
      </c>
      <c r="AM25" s="34">
        <f t="shared" ref="AM25" si="61">AVERAGE(AM22:AM24)</f>
        <v>0.19696666666666665</v>
      </c>
      <c r="AN25" s="34">
        <f t="shared" ref="AN25" si="62">AVERAGE(AN22:AN24)</f>
        <v>25.364899999999995</v>
      </c>
      <c r="AO25" s="34">
        <f t="shared" ref="AO25" si="63">AVERAGE(AO22:AO24)</f>
        <v>2.9367999999999994</v>
      </c>
      <c r="AP25" s="34">
        <f t="shared" ref="AP25:AV25" si="64">AVERAGE(AP22:AP24)</f>
        <v>3.1193551097403404E-3</v>
      </c>
      <c r="AQ25" s="34">
        <f t="shared" si="64"/>
        <v>8.6831247203256745E-3</v>
      </c>
      <c r="AR25" s="34">
        <f t="shared" si="64"/>
        <v>0</v>
      </c>
      <c r="AS25" s="34">
        <f t="shared" si="64"/>
        <v>1.444908855651305E-2</v>
      </c>
      <c r="AT25" s="34">
        <f t="shared" si="64"/>
        <v>0</v>
      </c>
      <c r="AU25" s="34">
        <f t="shared" si="64"/>
        <v>1.151509140274018E-2</v>
      </c>
      <c r="AV25" s="34">
        <f t="shared" si="64"/>
        <v>0.11770471404381526</v>
      </c>
      <c r="AW25" s="34">
        <f t="shared" ref="AW25:AY25" si="65">AVERAGE(AW22:AW24)</f>
        <v>119.26931310425171</v>
      </c>
      <c r="AX25" s="34"/>
      <c r="AY25" s="34">
        <f t="shared" si="65"/>
        <v>251.77777777777769</v>
      </c>
      <c r="AZ25" s="32">
        <f t="shared" si="7"/>
        <v>2.6090053379833642E-2</v>
      </c>
    </row>
    <row r="26" spans="1:52" s="32" customFormat="1" x14ac:dyDescent="0.2">
      <c r="L26" s="32">
        <f>STDEV(L22:L24)</f>
        <v>2.1712382443481574E-3</v>
      </c>
      <c r="M26" s="32">
        <f t="shared" ref="M26:AO26" si="66">STDEV(M22:M24)</f>
        <v>4.1633319989322688E-2</v>
      </c>
      <c r="N26" s="32">
        <f t="shared" si="66"/>
        <v>0.10058495580022646</v>
      </c>
      <c r="O26" s="32">
        <f t="shared" si="66"/>
        <v>5.7735026918962467E-3</v>
      </c>
      <c r="P26" s="32">
        <f t="shared" si="66"/>
        <v>5.7735026918962588E-3</v>
      </c>
      <c r="Q26" s="32">
        <f t="shared" si="66"/>
        <v>0.12244897959183665</v>
      </c>
      <c r="R26" s="32">
        <f t="shared" ref="R26:T26" si="67">STDEV(R22:R24)</f>
        <v>7.0710678118640685E-3</v>
      </c>
      <c r="S26" s="32">
        <f t="shared" si="67"/>
        <v>2.8284271247461298E-2</v>
      </c>
      <c r="T26" s="34">
        <f t="shared" si="67"/>
        <v>0.43292251909377966</v>
      </c>
      <c r="U26" s="34">
        <f t="shared" ref="U26" si="68">STDEV(U22:U24)</f>
        <v>0.25698171366769812</v>
      </c>
      <c r="V26" s="32">
        <f t="shared" si="66"/>
        <v>0.23591473452426648</v>
      </c>
      <c r="W26" s="32">
        <f t="shared" si="66"/>
        <v>9.7047305045004181E-2</v>
      </c>
      <c r="X26" s="32">
        <f t="shared" si="66"/>
        <v>9.4401662797745992E-2</v>
      </c>
      <c r="Y26" s="34">
        <f t="shared" si="66"/>
        <v>7.169927256763958</v>
      </c>
      <c r="Z26" s="32">
        <f t="shared" si="66"/>
        <v>8.2107689017901341E-4</v>
      </c>
      <c r="AA26" s="32">
        <f t="shared" si="66"/>
        <v>1.2596040388550804</v>
      </c>
      <c r="AB26" s="32">
        <f t="shared" si="66"/>
        <v>0.53906950670582277</v>
      </c>
      <c r="AC26" s="32">
        <f t="shared" si="66"/>
        <v>0.37412526946721181</v>
      </c>
      <c r="AD26" s="32">
        <f t="shared" si="66"/>
        <v>1.1157755818124571</v>
      </c>
      <c r="AE26" s="32">
        <f t="shared" si="66"/>
        <v>1.6271977348587177</v>
      </c>
      <c r="AF26" s="32">
        <f t="shared" si="66"/>
        <v>4.1243181254602577E-3</v>
      </c>
      <c r="AG26" s="32">
        <f t="shared" si="66"/>
        <v>0.26310279359976407</v>
      </c>
      <c r="AH26" s="32">
        <f t="shared" si="66"/>
        <v>9.073771725877464E-4</v>
      </c>
      <c r="AI26" s="32">
        <f t="shared" si="66"/>
        <v>0</v>
      </c>
      <c r="AJ26" s="32">
        <f t="shared" si="66"/>
        <v>6.7948509917436766E-3</v>
      </c>
      <c r="AK26" s="32">
        <f t="shared" si="66"/>
        <v>0</v>
      </c>
      <c r="AL26" s="32">
        <f t="shared" si="66"/>
        <v>2.4684678108764821E-3</v>
      </c>
      <c r="AM26" s="32">
        <f t="shared" ref="AM26" si="69">STDEV(AM22:AM24)</f>
        <v>1.4173684536257095E-2</v>
      </c>
      <c r="AN26" s="32">
        <f t="shared" si="66"/>
        <v>4.3511678576336583E-15</v>
      </c>
      <c r="AO26" s="32">
        <f t="shared" si="66"/>
        <v>0.26310279359976407</v>
      </c>
      <c r="AP26" s="32">
        <f t="shared" ref="AP26:AV26" si="70">STDEV(AP22:AP24)</f>
        <v>1.563907005032868E-3</v>
      </c>
      <c r="AQ26" s="32">
        <f t="shared" si="70"/>
        <v>1.0859209792058885E-3</v>
      </c>
      <c r="AR26" s="32">
        <f t="shared" si="70"/>
        <v>0</v>
      </c>
      <c r="AS26" s="32">
        <f t="shared" si="70"/>
        <v>1.0534385171127909E-2</v>
      </c>
      <c r="AT26" s="32">
        <f t="shared" si="70"/>
        <v>0</v>
      </c>
      <c r="AU26" s="32">
        <f t="shared" si="70"/>
        <v>1.9694405270735986E-3</v>
      </c>
      <c r="AV26" s="32">
        <f t="shared" si="70"/>
        <v>1.3441125021901765E-2</v>
      </c>
      <c r="AW26" s="34">
        <f t="shared" ref="AW26:AY26" si="71">STDEV(AW22:AW24)</f>
        <v>8.8157260804258968</v>
      </c>
      <c r="AX26" s="34"/>
      <c r="AY26" s="34">
        <f t="shared" si="71"/>
        <v>9.4546627728412407</v>
      </c>
      <c r="AZ26" s="32">
        <f t="shared" si="7"/>
        <v>8.2587982707243461E-5</v>
      </c>
    </row>
    <row r="29" spans="1:52" s="46" customFormat="1" ht="51" x14ac:dyDescent="0.2">
      <c r="A29" s="46" t="s">
        <v>0</v>
      </c>
      <c r="B29" s="47" t="s">
        <v>1</v>
      </c>
      <c r="C29" s="47" t="s">
        <v>2</v>
      </c>
      <c r="D29" s="47" t="s">
        <v>3</v>
      </c>
      <c r="E29" s="46" t="s">
        <v>4</v>
      </c>
      <c r="F29" s="46" t="s">
        <v>5</v>
      </c>
      <c r="G29" s="46" t="s">
        <v>6</v>
      </c>
      <c r="H29" s="46" t="s">
        <v>7</v>
      </c>
      <c r="I29" s="47" t="s">
        <v>8</v>
      </c>
      <c r="J29" s="47" t="s">
        <v>9</v>
      </c>
      <c r="K29" s="47" t="s">
        <v>10</v>
      </c>
      <c r="L29" s="47" t="s">
        <v>11</v>
      </c>
      <c r="M29" s="47" t="s">
        <v>12</v>
      </c>
      <c r="N29" s="47" t="s">
        <v>13</v>
      </c>
      <c r="O29" s="47" t="s">
        <v>15</v>
      </c>
      <c r="P29" s="47" t="s">
        <v>16</v>
      </c>
      <c r="Q29" s="47" t="s">
        <v>17</v>
      </c>
      <c r="R29" s="47" t="s">
        <v>18</v>
      </c>
      <c r="S29" s="47" t="s">
        <v>19</v>
      </c>
      <c r="T29" s="47" t="s">
        <v>20</v>
      </c>
      <c r="U29" s="48" t="s">
        <v>21</v>
      </c>
      <c r="V29" s="48" t="s">
        <v>22</v>
      </c>
      <c r="W29" s="48" t="s">
        <v>23</v>
      </c>
      <c r="X29" s="48" t="s">
        <v>24</v>
      </c>
      <c r="Y29" s="42" t="s">
        <v>68</v>
      </c>
      <c r="Z29" s="46" t="s">
        <v>26</v>
      </c>
      <c r="AA29" s="46" t="s">
        <v>27</v>
      </c>
      <c r="AB29" s="46" t="s">
        <v>28</v>
      </c>
      <c r="AC29" s="46" t="s">
        <v>29</v>
      </c>
      <c r="AD29" s="46" t="s">
        <v>30</v>
      </c>
      <c r="AE29" s="46" t="s">
        <v>31</v>
      </c>
      <c r="AF29" s="60" t="s">
        <v>32</v>
      </c>
      <c r="AG29" s="60" t="s">
        <v>33</v>
      </c>
      <c r="AH29" s="60" t="s">
        <v>34</v>
      </c>
      <c r="AI29" s="60" t="s">
        <v>35</v>
      </c>
      <c r="AJ29" s="60" t="s">
        <v>36</v>
      </c>
      <c r="AK29" s="60" t="s">
        <v>37</v>
      </c>
      <c r="AL29" s="60" t="s">
        <v>38</v>
      </c>
      <c r="AM29" s="60"/>
      <c r="AN29" s="60" t="s">
        <v>39</v>
      </c>
      <c r="AO29" s="60" t="s">
        <v>40</v>
      </c>
      <c r="AP29" s="60" t="s">
        <v>42</v>
      </c>
      <c r="AQ29" s="60" t="s">
        <v>43</v>
      </c>
      <c r="AR29" s="60" t="s">
        <v>44</v>
      </c>
      <c r="AS29" s="60" t="s">
        <v>45</v>
      </c>
      <c r="AT29" s="60" t="s">
        <v>46</v>
      </c>
      <c r="AU29" s="60" t="s">
        <v>47</v>
      </c>
      <c r="AV29" s="60" t="s">
        <v>48</v>
      </c>
      <c r="AW29" s="42" t="s">
        <v>25</v>
      </c>
    </row>
    <row r="30" spans="1:52" s="32" customFormat="1" x14ac:dyDescent="0.2">
      <c r="A30" s="32">
        <v>1</v>
      </c>
      <c r="B30" s="32" t="s">
        <v>50</v>
      </c>
      <c r="C30" s="32" t="s">
        <v>54</v>
      </c>
      <c r="D30" s="32">
        <v>116</v>
      </c>
      <c r="E30" s="33">
        <v>44529</v>
      </c>
      <c r="F30" s="32">
        <v>1</v>
      </c>
      <c r="G30" s="32">
        <v>1</v>
      </c>
      <c r="H30" s="32">
        <v>1</v>
      </c>
      <c r="I30" s="32">
        <v>480</v>
      </c>
      <c r="J30" s="32">
        <v>50</v>
      </c>
      <c r="K30" s="32">
        <v>0.1</v>
      </c>
      <c r="L30" s="34">
        <f t="shared" ref="L30:L32" si="72">J30/I30</f>
        <v>0.10416666666666667</v>
      </c>
      <c r="M30" s="32">
        <v>2.94</v>
      </c>
      <c r="N30" s="32">
        <v>1.9380000000000024</v>
      </c>
      <c r="O30" s="62">
        <v>0.21</v>
      </c>
      <c r="P30" s="35">
        <v>0.03</v>
      </c>
      <c r="Q30" s="32">
        <f t="shared" ref="Q30:Q32" si="73">(30/24.5)*(O30-P30)*0.01*1000</f>
        <v>2.2040816326530615</v>
      </c>
      <c r="R30" s="32">
        <v>20.96</v>
      </c>
      <c r="S30" s="32">
        <v>20.55</v>
      </c>
      <c r="T30" s="32">
        <f>(30/24.5)*(R30-S30)*0.01*1000</f>
        <v>5.0204081632653068</v>
      </c>
      <c r="U30" s="32">
        <f>T30/(N30*I30)*1000</f>
        <v>5.3968956003453954</v>
      </c>
      <c r="V30" s="32">
        <f>Q30/(N30*I30)*1000</f>
        <v>2.3693688001516371</v>
      </c>
      <c r="W30" s="32">
        <f>(AO30*1000/180.2)*L30/N30</f>
        <v>1.3619341655699588</v>
      </c>
      <c r="X30" s="32">
        <f>N30/23*1000*L30/N30</f>
        <v>4.5289855072463778</v>
      </c>
      <c r="Y30" s="32">
        <f t="shared" ref="Y30:Y32" si="74">100*((V30+X30)/(6*W30))</f>
        <v>84.418597239501509</v>
      </c>
      <c r="Z30" s="36">
        <v>7.2752068227663391E-2</v>
      </c>
      <c r="AA30" s="37">
        <v>36.416852188926804</v>
      </c>
      <c r="AB30" s="37">
        <v>16.522123456018885</v>
      </c>
      <c r="AC30" s="37">
        <v>14.650451317038229</v>
      </c>
      <c r="AD30" s="37">
        <v>147.15130870047108</v>
      </c>
      <c r="AE30" s="37">
        <v>67.24628078796863</v>
      </c>
      <c r="AF30" s="32">
        <v>2.3999999999999998E-3</v>
      </c>
      <c r="AG30" s="32">
        <v>20.739599999999999</v>
      </c>
      <c r="AH30" s="32">
        <v>0</v>
      </c>
      <c r="AI30" s="32">
        <v>0</v>
      </c>
      <c r="AJ30" s="32">
        <v>5.5500000000000001E-2</v>
      </c>
      <c r="AK30" s="32">
        <v>0</v>
      </c>
      <c r="AL30" s="32">
        <v>0</v>
      </c>
      <c r="AN30" s="32">
        <v>25.305599999999998</v>
      </c>
      <c r="AO30" s="32">
        <f t="shared" ref="AO30:AO32" si="75">AN30-AG30</f>
        <v>4.5659999999999989</v>
      </c>
      <c r="AP30" s="49">
        <v>9.592463722356366E-4</v>
      </c>
      <c r="AQ30" s="49">
        <v>0</v>
      </c>
      <c r="AR30" s="49">
        <v>0</v>
      </c>
      <c r="AS30" s="49">
        <v>2.5265111446343591E-3</v>
      </c>
      <c r="AT30" s="49">
        <v>0</v>
      </c>
      <c r="AU30" s="49">
        <v>0</v>
      </c>
      <c r="AV30" s="49">
        <v>0</v>
      </c>
      <c r="AW30" s="32">
        <f>100*((V30+X30+AP30*6+AQ30*3+AR30*2+AS30*2+AT30*3+AU30*4+AV30*5)/(6*W30))</f>
        <v>84.550866243343307</v>
      </c>
    </row>
    <row r="31" spans="1:52" s="32" customFormat="1" x14ac:dyDescent="0.2">
      <c r="A31" s="32">
        <v>2</v>
      </c>
      <c r="B31" s="32" t="s">
        <v>50</v>
      </c>
      <c r="C31" s="32" t="s">
        <v>54</v>
      </c>
      <c r="D31" s="32">
        <v>116</v>
      </c>
      <c r="E31" s="33">
        <v>44529</v>
      </c>
      <c r="F31" s="32">
        <v>1</v>
      </c>
      <c r="G31" s="32">
        <v>2</v>
      </c>
      <c r="H31" s="32">
        <v>2</v>
      </c>
      <c r="I31" s="32">
        <v>500</v>
      </c>
      <c r="J31" s="32">
        <v>50</v>
      </c>
      <c r="K31" s="32">
        <v>0.1</v>
      </c>
      <c r="L31" s="34">
        <f t="shared" si="72"/>
        <v>0.1</v>
      </c>
      <c r="M31" s="32">
        <v>3.14</v>
      </c>
      <c r="N31" s="32">
        <v>1.9639999999999986</v>
      </c>
      <c r="O31" s="62">
        <v>0.22</v>
      </c>
      <c r="P31" s="35">
        <v>0.03</v>
      </c>
      <c r="Q31" s="32">
        <f t="shared" si="73"/>
        <v>2.3265306122448983</v>
      </c>
      <c r="R31" s="32">
        <v>20.96</v>
      </c>
      <c r="S31" s="32">
        <v>20.58</v>
      </c>
      <c r="T31" s="32">
        <f t="shared" ref="T31:T32" si="76">(30/24.5)*(R31-S31)*0.01*1000</f>
        <v>4.6530612244898277</v>
      </c>
      <c r="U31" s="32">
        <f t="shared" ref="U31:U32" si="77">T31/(N31*I31)*1000</f>
        <v>4.7383515524336364</v>
      </c>
      <c r="V31" s="32">
        <f>Q31/(N31*I31)*1000</f>
        <v>2.3691757762168026</v>
      </c>
      <c r="W31" s="32">
        <f>(AO31*1000/180.2)*L31/N31</f>
        <v>1.3534407345538231</v>
      </c>
      <c r="X31" s="32">
        <f>N31/23*1000*L31/N31</f>
        <v>4.3478260869565224</v>
      </c>
      <c r="Y31" s="32">
        <f t="shared" si="74"/>
        <v>82.71513350733774</v>
      </c>
      <c r="Z31" s="38">
        <v>8.5001607309299593E-2</v>
      </c>
      <c r="AA31" s="35">
        <v>43.706240553856752</v>
      </c>
      <c r="AB31" s="35">
        <v>18.722186309955411</v>
      </c>
      <c r="AC31" s="35">
        <v>19.473963986129874</v>
      </c>
      <c r="AD31" s="35">
        <v>183.78001995191417</v>
      </c>
      <c r="AE31" s="35">
        <v>68.203902709072352</v>
      </c>
      <c r="AF31" s="32">
        <v>4.7999999999999996E-3</v>
      </c>
      <c r="AG31" s="32">
        <v>20.515599999999999</v>
      </c>
      <c r="AH31" s="32">
        <v>0</v>
      </c>
      <c r="AI31" s="32">
        <v>0</v>
      </c>
      <c r="AJ31" s="32">
        <v>9.0399999999999994E-2</v>
      </c>
      <c r="AK31" s="32">
        <v>0</v>
      </c>
      <c r="AL31" s="32">
        <v>0</v>
      </c>
      <c r="AN31" s="32">
        <v>25.305599999999998</v>
      </c>
      <c r="AO31" s="32">
        <f t="shared" si="75"/>
        <v>4.7899999999999991</v>
      </c>
      <c r="AP31" s="49">
        <v>7.5504406827389204E-4</v>
      </c>
      <c r="AQ31" s="49">
        <v>0</v>
      </c>
      <c r="AR31" s="49">
        <v>0</v>
      </c>
      <c r="AS31" s="49">
        <v>3.112746562949327E-2</v>
      </c>
      <c r="AT31" s="49">
        <v>0</v>
      </c>
      <c r="AU31" s="49">
        <v>0</v>
      </c>
      <c r="AV31" s="49">
        <v>0</v>
      </c>
      <c r="AW31" s="32">
        <f t="shared" ref="AW31:AW32" si="78">100*((V31+X31+AP31*6+AQ31*3+AR31*2+AS31*2+AT31*3+AU31*4+AV31*5)/(6*W31))</f>
        <v>83.537546019433535</v>
      </c>
    </row>
    <row r="32" spans="1:52" s="32" customFormat="1" x14ac:dyDescent="0.2">
      <c r="A32" s="32">
        <v>3</v>
      </c>
      <c r="B32" s="32" t="s">
        <v>50</v>
      </c>
      <c r="C32" s="32" t="s">
        <v>54</v>
      </c>
      <c r="D32" s="32">
        <v>116</v>
      </c>
      <c r="E32" s="33">
        <v>44529</v>
      </c>
      <c r="F32" s="32">
        <v>1</v>
      </c>
      <c r="G32" s="32">
        <v>3</v>
      </c>
      <c r="H32" s="32">
        <v>3</v>
      </c>
      <c r="I32" s="32">
        <v>460</v>
      </c>
      <c r="J32" s="32">
        <v>50</v>
      </c>
      <c r="K32" s="32">
        <v>0.1</v>
      </c>
      <c r="L32" s="34">
        <f t="shared" si="72"/>
        <v>0.10869565217391304</v>
      </c>
      <c r="M32" s="32">
        <v>3.06</v>
      </c>
      <c r="N32" s="32">
        <v>1.9820000000000022</v>
      </c>
      <c r="O32" s="62">
        <v>0.22</v>
      </c>
      <c r="P32" s="35">
        <v>0.03</v>
      </c>
      <c r="Q32" s="32">
        <f t="shared" si="73"/>
        <v>2.3265306122448983</v>
      </c>
      <c r="R32" s="32">
        <v>20.96</v>
      </c>
      <c r="S32" s="32">
        <v>20.49</v>
      </c>
      <c r="T32" s="32">
        <f t="shared" si="76"/>
        <v>5.7551020408163573</v>
      </c>
      <c r="U32" s="32">
        <f t="shared" si="77"/>
        <v>6.3123569087179732</v>
      </c>
      <c r="V32" s="32">
        <f>Q32/(N32*I32)*1000</f>
        <v>2.5518038567157633</v>
      </c>
      <c r="W32" s="32">
        <f>(AO32*1000/180.2)*L32/N32</f>
        <v>1.3008550194037496</v>
      </c>
      <c r="X32" s="32">
        <f>N32/23*1000*L32/N32</f>
        <v>4.7258979206049148</v>
      </c>
      <c r="Y32" s="32">
        <f t="shared" si="74"/>
        <v>93.242542645226678</v>
      </c>
      <c r="Z32" s="38">
        <v>6.4145926745157608E-2</v>
      </c>
      <c r="AA32" s="35">
        <v>32.763108707443145</v>
      </c>
      <c r="AB32" s="35">
        <v>14.832882376275093</v>
      </c>
      <c r="AC32" s="35">
        <v>12.931729407271172</v>
      </c>
      <c r="AD32" s="35">
        <v>132.78494770063253</v>
      </c>
      <c r="AE32" s="35">
        <v>60.961785426183077</v>
      </c>
      <c r="AF32" s="32">
        <v>2.7000000000000001E-3</v>
      </c>
      <c r="AG32" s="32">
        <v>21.031199999999998</v>
      </c>
      <c r="AH32" s="32">
        <v>0</v>
      </c>
      <c r="AI32" s="32">
        <v>0</v>
      </c>
      <c r="AJ32" s="32">
        <v>0.17979999999999999</v>
      </c>
      <c r="AK32" s="32">
        <v>0</v>
      </c>
      <c r="AL32" s="32">
        <v>0</v>
      </c>
      <c r="AN32" s="32">
        <v>25.305599999999998</v>
      </c>
      <c r="AO32" s="32">
        <f t="shared" si="75"/>
        <v>4.2744</v>
      </c>
      <c r="AP32" s="49">
        <v>6.0466679705540227E-4</v>
      </c>
      <c r="AQ32" s="49">
        <v>0</v>
      </c>
      <c r="AR32" s="49">
        <v>0</v>
      </c>
      <c r="AS32" s="49">
        <v>2.1013494630900821E-3</v>
      </c>
      <c r="AT32" s="49">
        <v>0</v>
      </c>
      <c r="AU32" s="49">
        <v>0</v>
      </c>
      <c r="AV32" s="49">
        <v>0</v>
      </c>
      <c r="AW32" s="32">
        <f t="shared" si="78"/>
        <v>93.342870245045106</v>
      </c>
    </row>
    <row r="33" spans="1:49" s="32" customFormat="1" x14ac:dyDescent="0.2">
      <c r="E33" s="33"/>
      <c r="K33" s="32" t="s">
        <v>50</v>
      </c>
      <c r="L33" s="32">
        <f t="shared" ref="L33:AL33" si="79">AVERAGE(L30:L32)</f>
        <v>0.10428743961352656</v>
      </c>
      <c r="M33" s="32">
        <f t="shared" si="79"/>
        <v>3.0466666666666669</v>
      </c>
      <c r="N33" s="32">
        <f t="shared" si="79"/>
        <v>1.9613333333333343</v>
      </c>
      <c r="O33" s="32">
        <f t="shared" si="79"/>
        <v>0.21666666666666667</v>
      </c>
      <c r="P33" s="32">
        <f t="shared" si="79"/>
        <v>0.03</v>
      </c>
      <c r="Q33" s="32">
        <f t="shared" si="79"/>
        <v>2.285714285714286</v>
      </c>
      <c r="R33" s="32">
        <f t="shared" si="79"/>
        <v>20.96</v>
      </c>
      <c r="S33" s="32">
        <f t="shared" si="79"/>
        <v>20.539999999999996</v>
      </c>
      <c r="T33" s="34">
        <f t="shared" si="79"/>
        <v>5.1428571428571637</v>
      </c>
      <c r="U33" s="34">
        <f t="shared" si="79"/>
        <v>5.4825346871656677</v>
      </c>
      <c r="V33" s="32">
        <f t="shared" si="79"/>
        <v>2.430116144361401</v>
      </c>
      <c r="W33" s="32">
        <f t="shared" si="79"/>
        <v>1.3387433065091772</v>
      </c>
      <c r="X33" s="32">
        <f t="shared" si="79"/>
        <v>4.5342365049359383</v>
      </c>
      <c r="Y33" s="34">
        <f t="shared" si="79"/>
        <v>86.792091130688661</v>
      </c>
      <c r="Z33" s="32">
        <f t="shared" si="79"/>
        <v>7.3966534094040193E-2</v>
      </c>
      <c r="AA33" s="32">
        <f t="shared" si="79"/>
        <v>37.628733816742233</v>
      </c>
      <c r="AB33" s="32">
        <f t="shared" si="79"/>
        <v>16.692397380749796</v>
      </c>
      <c r="AC33" s="32">
        <f t="shared" si="79"/>
        <v>15.685381570146426</v>
      </c>
      <c r="AD33" s="32">
        <f t="shared" si="79"/>
        <v>154.57209211767258</v>
      </c>
      <c r="AE33" s="32">
        <f t="shared" si="79"/>
        <v>65.470656307741351</v>
      </c>
      <c r="AF33" s="32">
        <f t="shared" si="79"/>
        <v>3.2999999999999995E-3</v>
      </c>
      <c r="AG33" s="32">
        <f t="shared" si="79"/>
        <v>20.762133333333335</v>
      </c>
      <c r="AH33" s="32">
        <f t="shared" si="79"/>
        <v>0</v>
      </c>
      <c r="AI33" s="32">
        <f t="shared" si="79"/>
        <v>0</v>
      </c>
      <c r="AJ33" s="32">
        <f t="shared" si="79"/>
        <v>0.10856666666666666</v>
      </c>
      <c r="AK33" s="32">
        <f t="shared" si="79"/>
        <v>0</v>
      </c>
      <c r="AL33" s="32">
        <f t="shared" si="79"/>
        <v>0</v>
      </c>
      <c r="AN33" s="32">
        <f t="shared" ref="AN33" si="80">AVERAGE(AN30:AN32)</f>
        <v>25.305599999999998</v>
      </c>
      <c r="AO33" s="32">
        <f>AVERAGE(AO30:AO32)</f>
        <v>4.5434666666666663</v>
      </c>
      <c r="AP33" s="32">
        <f t="shared" ref="AP33:AW33" si="81">AVERAGE(AP30:AP32)</f>
        <v>7.7298574585497697E-4</v>
      </c>
      <c r="AQ33" s="32">
        <f t="shared" si="81"/>
        <v>0</v>
      </c>
      <c r="AR33" s="32">
        <f t="shared" si="81"/>
        <v>0</v>
      </c>
      <c r="AS33" s="32">
        <f t="shared" si="81"/>
        <v>1.1918442079072571E-2</v>
      </c>
      <c r="AT33" s="32">
        <f t="shared" si="81"/>
        <v>0</v>
      </c>
      <c r="AU33" s="32">
        <f t="shared" si="81"/>
        <v>0</v>
      </c>
      <c r="AV33" s="32">
        <f t="shared" si="81"/>
        <v>0</v>
      </c>
      <c r="AW33" s="34">
        <f t="shared" si="81"/>
        <v>87.143760835940654</v>
      </c>
    </row>
    <row r="34" spans="1:49" s="32" customFormat="1" x14ac:dyDescent="0.2">
      <c r="E34" s="33"/>
      <c r="L34" s="32">
        <f t="shared" ref="L34:AL34" si="82">STDEV(L30:L32)</f>
        <v>4.3490839565291841E-3</v>
      </c>
      <c r="M34" s="32">
        <f t="shared" si="82"/>
        <v>0.10066445913694341</v>
      </c>
      <c r="N34" s="32">
        <f t="shared" si="82"/>
        <v>2.2120880030715766E-2</v>
      </c>
      <c r="O34" s="32">
        <f t="shared" si="82"/>
        <v>5.7735026918962632E-3</v>
      </c>
      <c r="P34" s="32">
        <f t="shared" si="82"/>
        <v>0</v>
      </c>
      <c r="Q34" s="32">
        <f t="shared" si="82"/>
        <v>7.0695951329342019E-2</v>
      </c>
      <c r="R34" s="32">
        <f t="shared" si="82"/>
        <v>0</v>
      </c>
      <c r="S34" s="32">
        <f t="shared" si="82"/>
        <v>4.5825756949558587E-2</v>
      </c>
      <c r="T34" s="34">
        <f t="shared" si="82"/>
        <v>0.5611317177496975</v>
      </c>
      <c r="U34" s="34">
        <f t="shared" si="82"/>
        <v>0.79048956684862048</v>
      </c>
      <c r="V34" s="32">
        <f t="shared" si="82"/>
        <v>0.10538469442043452</v>
      </c>
      <c r="W34" s="32">
        <f t="shared" si="82"/>
        <v>3.3085893027753478E-2</v>
      </c>
      <c r="X34" s="32">
        <f t="shared" si="82"/>
        <v>0.18909060680561646</v>
      </c>
      <c r="Y34" s="34">
        <f t="shared" si="82"/>
        <v>5.6508132802061208</v>
      </c>
      <c r="Z34" s="32">
        <f t="shared" si="82"/>
        <v>1.0480746559946385E-2</v>
      </c>
      <c r="AA34" s="32">
        <f t="shared" si="82"/>
        <v>5.571312813141498</v>
      </c>
      <c r="AB34" s="32">
        <f t="shared" si="82"/>
        <v>1.9502349035995001</v>
      </c>
      <c r="AC34" s="32">
        <f t="shared" si="82"/>
        <v>3.3916837695755979</v>
      </c>
      <c r="AD34" s="32">
        <f t="shared" si="82"/>
        <v>26.294968499165869</v>
      </c>
      <c r="AE34" s="32">
        <f t="shared" si="82"/>
        <v>3.9340433914571498</v>
      </c>
      <c r="AF34" s="32">
        <f t="shared" si="82"/>
        <v>1.3076696830622019E-3</v>
      </c>
      <c r="AG34" s="32">
        <f t="shared" si="82"/>
        <v>0.25853752790133411</v>
      </c>
      <c r="AH34" s="32">
        <f t="shared" si="82"/>
        <v>0</v>
      </c>
      <c r="AI34" s="32">
        <f t="shared" si="82"/>
        <v>0</v>
      </c>
      <c r="AJ34" s="32">
        <f t="shared" si="82"/>
        <v>6.4110399572404234E-2</v>
      </c>
      <c r="AK34" s="32">
        <f t="shared" si="82"/>
        <v>0</v>
      </c>
      <c r="AL34" s="32">
        <f t="shared" si="82"/>
        <v>0</v>
      </c>
      <c r="AN34" s="32">
        <f t="shared" ref="AN34" si="83">STDEV(AN30:AN32)</f>
        <v>0</v>
      </c>
      <c r="AO34" s="32">
        <f>STDEV(AO30:AO32)</f>
        <v>0.25853752790133411</v>
      </c>
      <c r="AP34" s="32">
        <f t="shared" ref="AP34:AW34" si="84">STDEV(AP30:AP32)</f>
        <v>1.7796936991956388E-4</v>
      </c>
      <c r="AQ34" s="32">
        <f t="shared" si="84"/>
        <v>0</v>
      </c>
      <c r="AR34" s="32">
        <f t="shared" si="84"/>
        <v>0</v>
      </c>
      <c r="AS34" s="32">
        <f t="shared" si="84"/>
        <v>1.6636860579277754E-2</v>
      </c>
      <c r="AT34" s="32">
        <f t="shared" si="84"/>
        <v>0</v>
      </c>
      <c r="AU34" s="32">
        <f t="shared" si="84"/>
        <v>0</v>
      </c>
      <c r="AV34" s="32">
        <f t="shared" si="84"/>
        <v>0</v>
      </c>
      <c r="AW34" s="34">
        <f t="shared" si="84"/>
        <v>5.3924412438692082</v>
      </c>
    </row>
    <row r="35" spans="1:49" s="32" customFormat="1" x14ac:dyDescent="0.2">
      <c r="A35" s="32">
        <v>9</v>
      </c>
      <c r="B35" s="32" t="s">
        <v>63</v>
      </c>
      <c r="C35" s="32" t="s">
        <v>54</v>
      </c>
      <c r="D35" s="32">
        <v>116</v>
      </c>
      <c r="E35" s="33">
        <v>44538</v>
      </c>
      <c r="F35" s="32">
        <v>1</v>
      </c>
      <c r="G35" s="32">
        <v>1</v>
      </c>
      <c r="H35" s="32">
        <v>1</v>
      </c>
      <c r="I35" s="32">
        <v>470</v>
      </c>
      <c r="J35" s="32">
        <v>50</v>
      </c>
      <c r="K35" s="32">
        <v>0.1</v>
      </c>
      <c r="L35" s="34">
        <f t="shared" ref="L35:L37" si="85">J35/I35</f>
        <v>0.10638297872340426</v>
      </c>
      <c r="M35" s="32">
        <v>1.58</v>
      </c>
      <c r="N35" s="61">
        <v>1.6321399999999999</v>
      </c>
      <c r="O35" s="35">
        <v>0.23</v>
      </c>
      <c r="P35" s="35">
        <v>0.03</v>
      </c>
      <c r="Q35" s="32">
        <f t="shared" ref="Q35:Q37" si="86">(30/24.5)*(O35-P35)*0.01*1000</f>
        <v>2.4489795918367352</v>
      </c>
      <c r="R35" s="32">
        <v>21.12</v>
      </c>
      <c r="S35" s="32">
        <v>20.440000000000001</v>
      </c>
      <c r="T35" s="32">
        <f t="shared" ref="T35:T37" si="87">(30/24.5)*(R35-S35)*0.01*1000</f>
        <v>8.3265306122448948</v>
      </c>
      <c r="U35" s="32">
        <f t="shared" ref="U35:U37" si="88">T35/(N35*I35)*1000</f>
        <v>10.854474848508374</v>
      </c>
      <c r="V35" s="32">
        <f>Q35/(N35*I35)*1000</f>
        <v>3.1924926025024649</v>
      </c>
      <c r="W35" s="32">
        <f>(AO35*1000/180.2)*L35/N35</f>
        <v>1.3246164697132579</v>
      </c>
      <c r="X35" s="32">
        <f>N35/23*1000*L35/N35</f>
        <v>4.6253469010175756</v>
      </c>
      <c r="Y35" s="32">
        <f t="shared" ref="Y35:Y37" si="89">100*((V35+X35)/(6*W35))</f>
        <v>98.366076549594055</v>
      </c>
      <c r="Z35" s="38">
        <v>1.9296153393935058E-2</v>
      </c>
      <c r="AA35" s="35">
        <v>11.393282346079287</v>
      </c>
      <c r="AB35" s="35">
        <v>4.129640786377939</v>
      </c>
      <c r="AC35" s="35">
        <v>1.5629885974836262</v>
      </c>
      <c r="AD35" s="35">
        <v>9.4665270235053587</v>
      </c>
      <c r="AE35" s="35">
        <v>31.876313723389103</v>
      </c>
      <c r="AF35" s="32">
        <v>1.4500000000000001E-2</v>
      </c>
      <c r="AG35" s="32">
        <v>21.852399999999999</v>
      </c>
      <c r="AH35" s="32">
        <v>1.67E-2</v>
      </c>
      <c r="AI35" s="32">
        <v>0</v>
      </c>
      <c r="AJ35" s="32">
        <v>1.17E-2</v>
      </c>
      <c r="AK35" s="32">
        <v>0</v>
      </c>
      <c r="AL35" s="32">
        <v>2.9999999999999997E-4</v>
      </c>
      <c r="AN35" s="32">
        <v>25.514500000000002</v>
      </c>
      <c r="AO35" s="32">
        <f t="shared" ref="AO35:AO37" si="90">AN35-AG35</f>
        <v>3.6621000000000024</v>
      </c>
      <c r="AP35" s="49">
        <v>6.714359892999092E-4</v>
      </c>
      <c r="AQ35" s="49">
        <v>0</v>
      </c>
      <c r="AR35" s="49">
        <v>0</v>
      </c>
      <c r="AS35" s="49">
        <v>6.4751489802277296E-2</v>
      </c>
      <c r="AT35" s="49">
        <v>0</v>
      </c>
      <c r="AU35" s="49">
        <v>0</v>
      </c>
      <c r="AV35" s="49">
        <v>0</v>
      </c>
      <c r="AW35" s="32">
        <f t="shared" ref="AW35:AW37" si="91">100*((V35+X35+AP35*6+AQ35*3+AR35*2+AS35*2+AT35*3+AU35*4+AV35*5)/(6*W35))</f>
        <v>100.04620558560174</v>
      </c>
    </row>
    <row r="36" spans="1:49" s="32" customFormat="1" x14ac:dyDescent="0.2">
      <c r="A36" s="32">
        <v>10</v>
      </c>
      <c r="B36" s="32" t="s">
        <v>63</v>
      </c>
      <c r="C36" s="32" t="s">
        <v>54</v>
      </c>
      <c r="D36" s="32">
        <v>116</v>
      </c>
      <c r="E36" s="33">
        <v>44538</v>
      </c>
      <c r="F36" s="32">
        <v>1</v>
      </c>
      <c r="G36" s="32">
        <v>2</v>
      </c>
      <c r="H36" s="32">
        <v>2</v>
      </c>
      <c r="I36" s="32">
        <v>480</v>
      </c>
      <c r="J36" s="32">
        <v>50</v>
      </c>
      <c r="K36" s="32">
        <v>0.1</v>
      </c>
      <c r="L36" s="34">
        <f t="shared" si="85"/>
        <v>0.10416666666666667</v>
      </c>
      <c r="M36" s="32">
        <v>1.6</v>
      </c>
      <c r="N36" s="61">
        <v>1.7354400000000001</v>
      </c>
      <c r="O36" s="35">
        <v>0.23</v>
      </c>
      <c r="P36" s="35">
        <v>0.03</v>
      </c>
      <c r="Q36" s="32">
        <f t="shared" si="86"/>
        <v>2.4489795918367352</v>
      </c>
      <c r="R36" s="32">
        <v>21.12</v>
      </c>
      <c r="S36" s="32">
        <v>20.38</v>
      </c>
      <c r="T36" s="32">
        <f t="shared" si="87"/>
        <v>9.0612244897959435</v>
      </c>
      <c r="U36" s="32">
        <f t="shared" si="88"/>
        <v>10.877674261517663</v>
      </c>
      <c r="V36" s="32">
        <f>Q36/(N36*I36)*1000</f>
        <v>2.9399119625723342</v>
      </c>
      <c r="W36" s="32">
        <f>(AO36*1000/180.2)*L36/N36</f>
        <v>1.3804337314510216</v>
      </c>
      <c r="X36" s="32">
        <f>N36/23*1000*L36/N36</f>
        <v>4.5289855072463769</v>
      </c>
      <c r="Y36" s="32">
        <f t="shared" si="89"/>
        <v>90.175733655922457</v>
      </c>
      <c r="Z36" s="38">
        <v>1.1999722722122548E-2</v>
      </c>
      <c r="AA36" s="35">
        <v>7.5924479327848493</v>
      </c>
      <c r="AB36" s="35">
        <v>2.3553373026955171</v>
      </c>
      <c r="AC36" s="35">
        <v>0.38986125811136813</v>
      </c>
      <c r="AD36" s="35">
        <v>7.6882901847279186</v>
      </c>
      <c r="AE36" s="35">
        <v>18.837211524040846</v>
      </c>
      <c r="AF36" s="32">
        <v>1.2699999999999999E-2</v>
      </c>
      <c r="AG36" s="32">
        <v>21.370200000000001</v>
      </c>
      <c r="AH36" s="32">
        <v>1.8700000000000001E-2</v>
      </c>
      <c r="AI36" s="32">
        <v>0</v>
      </c>
      <c r="AJ36" s="32">
        <v>3.0000000000000001E-3</v>
      </c>
      <c r="AK36" s="32">
        <v>0</v>
      </c>
      <c r="AL36" s="32">
        <v>5.9999999999999995E-4</v>
      </c>
      <c r="AN36" s="32">
        <v>25.514500000000002</v>
      </c>
      <c r="AO36" s="32">
        <f t="shared" si="90"/>
        <v>4.1443000000000012</v>
      </c>
      <c r="AP36" s="49">
        <v>1.2720908649416474E-3</v>
      </c>
      <c r="AQ36" s="49">
        <v>0</v>
      </c>
      <c r="AR36" s="49">
        <v>0</v>
      </c>
      <c r="AS36" s="49">
        <v>9.9909948422594388E-2</v>
      </c>
      <c r="AT36" s="49">
        <v>0</v>
      </c>
      <c r="AU36" s="49">
        <v>0</v>
      </c>
      <c r="AV36" s="49">
        <v>0</v>
      </c>
      <c r="AW36" s="32">
        <f t="shared" si="91"/>
        <v>92.680410716331806</v>
      </c>
    </row>
    <row r="37" spans="1:49" s="32" customFormat="1" x14ac:dyDescent="0.2">
      <c r="A37" s="32">
        <v>12</v>
      </c>
      <c r="B37" s="32" t="s">
        <v>63</v>
      </c>
      <c r="C37" s="32" t="s">
        <v>54</v>
      </c>
      <c r="D37" s="32">
        <v>116</v>
      </c>
      <c r="E37" s="33">
        <v>44538</v>
      </c>
      <c r="F37" s="32">
        <v>1</v>
      </c>
      <c r="G37" s="32">
        <v>4</v>
      </c>
      <c r="H37" s="32">
        <v>4</v>
      </c>
      <c r="I37" s="32">
        <v>490</v>
      </c>
      <c r="J37" s="32">
        <v>50</v>
      </c>
      <c r="K37" s="32">
        <v>0.1</v>
      </c>
      <c r="L37" s="34">
        <f t="shared" si="85"/>
        <v>0.10204081632653061</v>
      </c>
      <c r="M37" s="32">
        <v>1.6600000000000001</v>
      </c>
      <c r="N37" s="61">
        <v>1.71478</v>
      </c>
      <c r="O37" s="35">
        <v>0.23</v>
      </c>
      <c r="P37" s="35">
        <v>0.03</v>
      </c>
      <c r="Q37" s="32">
        <f t="shared" si="86"/>
        <v>2.4489795918367352</v>
      </c>
      <c r="R37" s="32">
        <v>21.12</v>
      </c>
      <c r="S37" s="32">
        <v>20.6</v>
      </c>
      <c r="T37" s="32">
        <f t="shared" si="87"/>
        <v>6.3673469387755057</v>
      </c>
      <c r="U37" s="32">
        <f t="shared" si="88"/>
        <v>7.5779899400143265</v>
      </c>
      <c r="V37" s="32">
        <f>Q37/(N37*I37)*1000</f>
        <v>2.9146115153901282</v>
      </c>
      <c r="W37" s="32">
        <f>(AO37*1000/180.2)*L37/N37</f>
        <v>1.4022369335281495</v>
      </c>
      <c r="X37" s="32">
        <f>N37/23*1000*L37/N37</f>
        <v>4.4365572315882869</v>
      </c>
      <c r="Y37" s="32">
        <f t="shared" si="89"/>
        <v>87.374306143853516</v>
      </c>
      <c r="Z37" s="38">
        <v>2.1743847341948553E-2</v>
      </c>
      <c r="AA37" s="35">
        <v>16.330885878169877</v>
      </c>
      <c r="AB37" s="35">
        <v>4.6394083665782517</v>
      </c>
      <c r="AC37" s="35">
        <v>3.6074392463589335</v>
      </c>
      <c r="AD37" s="35">
        <v>11.768378292430993</v>
      </c>
      <c r="AE37" s="35">
        <v>32.625371985122683</v>
      </c>
      <c r="AF37" s="32">
        <v>1.72E-2</v>
      </c>
      <c r="AG37" s="32">
        <v>21.2682</v>
      </c>
      <c r="AH37" s="32">
        <v>1.77E-2</v>
      </c>
      <c r="AI37" s="32">
        <v>0</v>
      </c>
      <c r="AJ37" s="32">
        <v>1.6299999999999999E-2</v>
      </c>
      <c r="AK37" s="32">
        <v>0</v>
      </c>
      <c r="AL37" s="32">
        <v>5.9999999999999995E-4</v>
      </c>
      <c r="AN37" s="32">
        <v>25.514500000000002</v>
      </c>
      <c r="AO37" s="32">
        <f t="shared" si="90"/>
        <v>4.2463000000000015</v>
      </c>
      <c r="AP37" s="49">
        <v>7.7070941903450746E-4</v>
      </c>
      <c r="AQ37" s="49">
        <v>0</v>
      </c>
      <c r="AR37" s="49">
        <v>0</v>
      </c>
      <c r="AS37" s="49">
        <v>0.21403263472478201</v>
      </c>
      <c r="AT37" s="49">
        <v>0</v>
      </c>
      <c r="AU37" s="49">
        <v>0</v>
      </c>
      <c r="AV37" s="49">
        <v>0</v>
      </c>
      <c r="AW37" s="32">
        <f t="shared" si="91"/>
        <v>92.517154636120409</v>
      </c>
    </row>
    <row r="38" spans="1:49" s="32" customFormat="1" x14ac:dyDescent="0.2">
      <c r="E38" s="33"/>
      <c r="K38" s="32" t="s">
        <v>63</v>
      </c>
      <c r="L38" s="34">
        <f>AVERAGE(L35:L37)</f>
        <v>0.10419682057220052</v>
      </c>
      <c r="M38" s="34">
        <f t="shared" ref="M38:AL38" si="92">AVERAGE(M35:M37)</f>
        <v>1.6133333333333333</v>
      </c>
      <c r="N38" s="34">
        <f t="shared" si="92"/>
        <v>1.6941200000000001</v>
      </c>
      <c r="O38" s="34">
        <f t="shared" si="92"/>
        <v>0.23</v>
      </c>
      <c r="P38" s="34">
        <f t="shared" si="92"/>
        <v>0.03</v>
      </c>
      <c r="Q38" s="34">
        <f t="shared" si="92"/>
        <v>2.4489795918367352</v>
      </c>
      <c r="R38" s="34">
        <f t="shared" si="92"/>
        <v>21.12</v>
      </c>
      <c r="S38" s="34">
        <f t="shared" si="92"/>
        <v>20.473333333333333</v>
      </c>
      <c r="T38" s="34">
        <f t="shared" si="92"/>
        <v>7.9183673469387807</v>
      </c>
      <c r="U38" s="34">
        <f t="shared" si="92"/>
        <v>9.7700463500134536</v>
      </c>
      <c r="V38" s="34">
        <f t="shared" si="92"/>
        <v>3.0156720268216421</v>
      </c>
      <c r="W38" s="34">
        <f t="shared" si="92"/>
        <v>1.3690957115641431</v>
      </c>
      <c r="X38" s="34">
        <f t="shared" si="92"/>
        <v>4.5302965466174134</v>
      </c>
      <c r="Y38" s="34">
        <f t="shared" si="92"/>
        <v>91.972038783123352</v>
      </c>
      <c r="Z38" s="34">
        <f t="shared" si="92"/>
        <v>1.7679907819335386E-2</v>
      </c>
      <c r="AA38" s="34">
        <f t="shared" si="92"/>
        <v>11.772205385678005</v>
      </c>
      <c r="AB38" s="34">
        <f t="shared" si="92"/>
        <v>3.7081288185505694</v>
      </c>
      <c r="AC38" s="34">
        <f t="shared" si="92"/>
        <v>1.8534297006513094</v>
      </c>
      <c r="AD38" s="34">
        <f t="shared" si="92"/>
        <v>9.6410651668880902</v>
      </c>
      <c r="AE38" s="34">
        <f t="shared" si="92"/>
        <v>27.779632410850876</v>
      </c>
      <c r="AF38" s="34">
        <f t="shared" si="92"/>
        <v>1.4800000000000001E-2</v>
      </c>
      <c r="AG38" s="34">
        <f t="shared" si="92"/>
        <v>21.496933333333335</v>
      </c>
      <c r="AH38" s="34">
        <f t="shared" si="92"/>
        <v>1.77E-2</v>
      </c>
      <c r="AI38" s="34">
        <f t="shared" si="92"/>
        <v>0</v>
      </c>
      <c r="AJ38" s="34">
        <f t="shared" si="92"/>
        <v>1.0333333333333333E-2</v>
      </c>
      <c r="AK38" s="34">
        <f t="shared" si="92"/>
        <v>0</v>
      </c>
      <c r="AL38" s="34">
        <f t="shared" si="92"/>
        <v>5.0000000000000001E-4</v>
      </c>
      <c r="AM38" s="34"/>
      <c r="AN38" s="34">
        <f>AVERAGE(AN35:AN37)</f>
        <v>25.514500000000002</v>
      </c>
      <c r="AO38" s="34">
        <f t="shared" ref="AO38:AW38" si="93">AVERAGE(AO35:AO37)</f>
        <v>4.0175666666666681</v>
      </c>
      <c r="AP38" s="34">
        <f t="shared" si="93"/>
        <v>9.0474542442535476E-4</v>
      </c>
      <c r="AQ38" s="34">
        <f t="shared" si="93"/>
        <v>0</v>
      </c>
      <c r="AR38" s="34">
        <f t="shared" si="93"/>
        <v>0</v>
      </c>
      <c r="AS38" s="34">
        <f t="shared" si="93"/>
        <v>0.12623135764988455</v>
      </c>
      <c r="AT38" s="34">
        <f t="shared" si="93"/>
        <v>0</v>
      </c>
      <c r="AU38" s="34">
        <f t="shared" si="93"/>
        <v>0</v>
      </c>
      <c r="AV38" s="34">
        <f t="shared" si="93"/>
        <v>0</v>
      </c>
      <c r="AW38" s="34">
        <f t="shared" si="93"/>
        <v>95.081256979351323</v>
      </c>
    </row>
    <row r="39" spans="1:49" s="32" customFormat="1" x14ac:dyDescent="0.2">
      <c r="E39" s="33"/>
      <c r="L39" s="34">
        <f>STDEV(L35:L37)</f>
        <v>2.1712382443481574E-3</v>
      </c>
      <c r="M39" s="34">
        <f t="shared" ref="M39:AL39" si="94">STDEV(M35:M37)</f>
        <v>4.1633319989322688E-2</v>
      </c>
      <c r="N39" s="34">
        <f t="shared" si="94"/>
        <v>5.4661222086594519E-2</v>
      </c>
      <c r="O39" s="34">
        <f t="shared" si="94"/>
        <v>0</v>
      </c>
      <c r="P39" s="34">
        <f t="shared" si="94"/>
        <v>0</v>
      </c>
      <c r="Q39" s="34">
        <f t="shared" si="94"/>
        <v>0</v>
      </c>
      <c r="R39" s="34">
        <f t="shared" si="94"/>
        <v>0</v>
      </c>
      <c r="S39" s="34">
        <f t="shared" si="94"/>
        <v>0.11372481406154755</v>
      </c>
      <c r="T39" s="34">
        <f t="shared" si="94"/>
        <v>1.3925487436107924</v>
      </c>
      <c r="U39" s="34">
        <f t="shared" si="94"/>
        <v>1.8984119762724623</v>
      </c>
      <c r="V39" s="34">
        <f t="shared" si="94"/>
        <v>0.15365274206787849</v>
      </c>
      <c r="W39" s="34">
        <f t="shared" si="94"/>
        <v>4.0033075349342896E-2</v>
      </c>
      <c r="X39" s="34">
        <f t="shared" si="94"/>
        <v>9.4401662797745978E-2</v>
      </c>
      <c r="Y39" s="34">
        <f t="shared" si="94"/>
        <v>5.7118112928942706</v>
      </c>
      <c r="Z39" s="34">
        <f t="shared" si="94"/>
        <v>5.0691398155638364E-3</v>
      </c>
      <c r="AA39" s="34">
        <f t="shared" si="94"/>
        <v>4.3815250123433369</v>
      </c>
      <c r="AB39" s="34">
        <f t="shared" si="94"/>
        <v>1.1989576349825219</v>
      </c>
      <c r="AC39" s="34">
        <f t="shared" si="94"/>
        <v>1.6283332132646429</v>
      </c>
      <c r="AD39" s="34">
        <f t="shared" si="94"/>
        <v>2.0456361881518994</v>
      </c>
      <c r="AE39" s="34">
        <f t="shared" si="94"/>
        <v>7.753414767540189</v>
      </c>
      <c r="AF39" s="34">
        <f t="shared" si="94"/>
        <v>2.2649503305812251E-3</v>
      </c>
      <c r="AG39" s="34">
        <f t="shared" si="94"/>
        <v>0.31203912147891488</v>
      </c>
      <c r="AH39" s="34">
        <f t="shared" si="94"/>
        <v>1.0000000000000009E-3</v>
      </c>
      <c r="AI39" s="34">
        <f t="shared" si="94"/>
        <v>0</v>
      </c>
      <c r="AJ39" s="34">
        <f t="shared" si="94"/>
        <v>6.7545046697247389E-3</v>
      </c>
      <c r="AK39" s="34">
        <f t="shared" si="94"/>
        <v>0</v>
      </c>
      <c r="AL39" s="34">
        <f t="shared" si="94"/>
        <v>1.732050807568877E-4</v>
      </c>
      <c r="AM39" s="34"/>
      <c r="AN39" s="34">
        <f>STDEV(AN35:AN37)</f>
        <v>0</v>
      </c>
      <c r="AO39" s="34">
        <f t="shared" ref="AO39:AW39" si="95">STDEV(AO35:AO37)</f>
        <v>0.31203912147891488</v>
      </c>
      <c r="AP39" s="34">
        <f t="shared" si="95"/>
        <v>3.2197951482027459E-4</v>
      </c>
      <c r="AQ39" s="34">
        <f t="shared" si="95"/>
        <v>0</v>
      </c>
      <c r="AR39" s="34">
        <f t="shared" si="95"/>
        <v>0</v>
      </c>
      <c r="AS39" s="34">
        <f t="shared" si="95"/>
        <v>7.8043753722679937E-2</v>
      </c>
      <c r="AT39" s="34">
        <f t="shared" si="95"/>
        <v>0</v>
      </c>
      <c r="AU39" s="34">
        <f t="shared" si="95"/>
        <v>0</v>
      </c>
      <c r="AV39" s="34">
        <f t="shared" si="95"/>
        <v>0</v>
      </c>
      <c r="AW39" s="34">
        <f t="shared" si="95"/>
        <v>4.3005463762134344</v>
      </c>
    </row>
    <row r="40" spans="1:49" s="32" customFormat="1" x14ac:dyDescent="0.2">
      <c r="A40" s="32">
        <v>13</v>
      </c>
      <c r="B40" s="32" t="s">
        <v>64</v>
      </c>
      <c r="C40" s="32" t="s">
        <v>54</v>
      </c>
      <c r="D40" s="32">
        <v>116</v>
      </c>
      <c r="E40" s="33">
        <v>44538</v>
      </c>
      <c r="F40" s="32">
        <v>1</v>
      </c>
      <c r="G40" s="32">
        <v>5</v>
      </c>
      <c r="H40" s="32">
        <v>1</v>
      </c>
      <c r="I40" s="32">
        <v>480</v>
      </c>
      <c r="J40" s="32">
        <v>50</v>
      </c>
      <c r="K40" s="32">
        <v>0.1</v>
      </c>
      <c r="L40" s="34">
        <f t="shared" ref="L40:L42" si="96">J40/I40</f>
        <v>0.10416666666666667</v>
      </c>
      <c r="M40" s="32">
        <v>1.8199999999999998</v>
      </c>
      <c r="N40" s="32">
        <v>1.6120000000000005</v>
      </c>
      <c r="O40" s="35">
        <v>0.22</v>
      </c>
      <c r="P40" s="35">
        <v>0.03</v>
      </c>
      <c r="Q40" s="32">
        <f t="shared" ref="Q40:Q42" si="97">(30/24.5)*(O40-P40)*0.01*1000</f>
        <v>2.3265306122448983</v>
      </c>
      <c r="R40" s="32">
        <v>20.77</v>
      </c>
      <c r="S40" s="32">
        <v>19.84</v>
      </c>
      <c r="T40" s="32">
        <f t="shared" ref="T40:T42" si="98">(30/24.5)*(R40-S40)*0.01*1000</f>
        <v>11.387755102040813</v>
      </c>
      <c r="U40" s="32">
        <f t="shared" ref="U40:U42" si="99">T40/(N40*I40)*1000</f>
        <v>14.717425431711138</v>
      </c>
      <c r="V40" s="32">
        <f>Q40/(N40*I40)*1000</f>
        <v>3.0067858408872228</v>
      </c>
      <c r="W40" s="32">
        <f>(AO40*1000/180.2)*L40/N40</f>
        <v>1.2600089253829718</v>
      </c>
      <c r="X40" s="32">
        <f>N40/23*1000*L40/N40</f>
        <v>4.5289855072463769</v>
      </c>
      <c r="Y40" s="32">
        <f t="shared" ref="Y40:Y42" si="100">100*((V40+X40)/(6*W40))</f>
        <v>99.67880909842431</v>
      </c>
      <c r="Z40" s="38">
        <v>2.5138022335023914E-2</v>
      </c>
      <c r="AA40" s="35">
        <v>11.775913111848178</v>
      </c>
      <c r="AB40" s="35">
        <v>7.2736140327037715</v>
      </c>
      <c r="AC40" s="35">
        <v>1.4437178810612583</v>
      </c>
      <c r="AD40" s="35">
        <v>15.452138450662716</v>
      </c>
      <c r="AE40" s="35">
        <v>45.099600531841197</v>
      </c>
      <c r="AF40" s="32">
        <v>3.6600000000000001E-2</v>
      </c>
      <c r="AG40" s="32">
        <v>21.5716</v>
      </c>
      <c r="AH40" s="32">
        <v>6.8999999999999999E-3</v>
      </c>
      <c r="AI40" s="32">
        <v>0</v>
      </c>
      <c r="AJ40" s="32">
        <v>3.1199999999999999E-2</v>
      </c>
      <c r="AK40" s="32">
        <v>0</v>
      </c>
      <c r="AL40" s="32">
        <v>0</v>
      </c>
      <c r="AN40" s="32">
        <v>25.0853</v>
      </c>
      <c r="AO40" s="32">
        <f t="shared" ref="AO40:AO42" si="101">AN40-AG40</f>
        <v>3.5137</v>
      </c>
      <c r="AP40" s="49">
        <v>5.3031346399046607E-3</v>
      </c>
      <c r="AQ40" s="49">
        <v>1.3325516803278812E-2</v>
      </c>
      <c r="AR40" s="49">
        <v>0</v>
      </c>
      <c r="AS40" s="49">
        <v>1.7844891870418187E-2</v>
      </c>
      <c r="AT40" s="49">
        <v>0</v>
      </c>
      <c r="AU40" s="49">
        <v>1.7850665148271648E-4</v>
      </c>
      <c r="AV40" s="49">
        <v>0</v>
      </c>
      <c r="AW40" s="32">
        <f t="shared" ref="AW40:AW42" si="102">100*((V40+X40+AP40*6+AQ40*3+AR40*2+AS40*2+AT40*3+AU40*4+AV40*5)/(6*W40))</f>
        <v>101.11000489416236</v>
      </c>
    </row>
    <row r="41" spans="1:49" s="32" customFormat="1" x14ac:dyDescent="0.2">
      <c r="A41" s="32">
        <v>14</v>
      </c>
      <c r="B41" s="32" t="s">
        <v>64</v>
      </c>
      <c r="C41" s="32" t="s">
        <v>54</v>
      </c>
      <c r="D41" s="32">
        <v>116</v>
      </c>
      <c r="E41" s="33">
        <v>44538</v>
      </c>
      <c r="F41" s="32">
        <v>1</v>
      </c>
      <c r="G41" s="32">
        <v>6</v>
      </c>
      <c r="H41" s="32">
        <v>2</v>
      </c>
      <c r="I41" s="32">
        <v>490</v>
      </c>
      <c r="J41" s="32">
        <v>50</v>
      </c>
      <c r="K41" s="32">
        <v>0.1</v>
      </c>
      <c r="L41" s="34">
        <f t="shared" si="96"/>
        <v>0.10204081632653061</v>
      </c>
      <c r="M41" s="32">
        <v>1.94</v>
      </c>
      <c r="N41" s="32">
        <v>1.602000000000001</v>
      </c>
      <c r="O41" s="35">
        <v>0.21</v>
      </c>
      <c r="P41" s="35">
        <v>0.03</v>
      </c>
      <c r="Q41" s="32">
        <f t="shared" si="97"/>
        <v>2.2040816326530615</v>
      </c>
      <c r="R41" s="32">
        <v>20.95</v>
      </c>
      <c r="S41" s="32">
        <v>19.86</v>
      </c>
      <c r="T41" s="32">
        <f t="shared" si="98"/>
        <v>13.346938775510202</v>
      </c>
      <c r="U41" s="32">
        <f t="shared" si="99"/>
        <v>17.002902972700188</v>
      </c>
      <c r="V41" s="32">
        <f>Q41/(N41*I41)*1000</f>
        <v>2.8078188395284722</v>
      </c>
      <c r="W41" s="32">
        <f>(AO41*1000/180.2)*L41/N41</f>
        <v>1.2333744182430226</v>
      </c>
      <c r="X41" s="32">
        <f>N41/23*1000*L41/N41</f>
        <v>4.4365572315882886</v>
      </c>
      <c r="Y41" s="32">
        <f t="shared" si="100"/>
        <v>97.893712889940105</v>
      </c>
      <c r="Z41" s="38">
        <v>1.8475409406540893E-2</v>
      </c>
      <c r="AA41" s="35">
        <v>9.4795460587293654</v>
      </c>
      <c r="AB41" s="35">
        <v>6.2876721516328073</v>
      </c>
      <c r="AC41" s="35">
        <v>1.3718297088711602</v>
      </c>
      <c r="AD41" s="35">
        <v>13.116102299925771</v>
      </c>
      <c r="AE41" s="35">
        <v>28.940061519397958</v>
      </c>
      <c r="AF41" s="32">
        <v>3.8600000000000002E-2</v>
      </c>
      <c r="AG41" s="32">
        <v>21.596</v>
      </c>
      <c r="AH41" s="32">
        <v>6.4999999999999997E-3</v>
      </c>
      <c r="AI41" s="32">
        <v>0</v>
      </c>
      <c r="AJ41" s="32">
        <v>5.3E-3</v>
      </c>
      <c r="AK41" s="32">
        <v>0</v>
      </c>
      <c r="AL41" s="32">
        <v>0</v>
      </c>
      <c r="AN41" s="32">
        <v>25.0853</v>
      </c>
      <c r="AO41" s="32">
        <f t="shared" si="101"/>
        <v>3.4893000000000001</v>
      </c>
      <c r="AP41" s="49">
        <v>4.4829062039504538E-3</v>
      </c>
      <c r="AQ41" s="49">
        <v>1.4401259518447007E-2</v>
      </c>
      <c r="AR41" s="49">
        <v>0</v>
      </c>
      <c r="AS41" s="49">
        <v>4.4161172310252473E-3</v>
      </c>
      <c r="AT41" s="49">
        <v>0</v>
      </c>
      <c r="AU41" s="49">
        <v>3.4456858469528862E-4</v>
      </c>
      <c r="AV41" s="49">
        <v>0</v>
      </c>
      <c r="AW41" s="32">
        <f t="shared" si="102"/>
        <v>98.978970313152033</v>
      </c>
    </row>
    <row r="42" spans="1:49" s="32" customFormat="1" x14ac:dyDescent="0.2">
      <c r="A42" s="32">
        <v>16</v>
      </c>
      <c r="B42" s="32" t="s">
        <v>64</v>
      </c>
      <c r="C42" s="32" t="s">
        <v>54</v>
      </c>
      <c r="D42" s="32">
        <v>116</v>
      </c>
      <c r="E42" s="33">
        <v>44538</v>
      </c>
      <c r="F42" s="32">
        <v>1</v>
      </c>
      <c r="G42" s="32">
        <v>8</v>
      </c>
      <c r="H42" s="32">
        <v>4</v>
      </c>
      <c r="I42" s="32">
        <v>470</v>
      </c>
      <c r="J42" s="32">
        <v>50</v>
      </c>
      <c r="K42" s="32">
        <v>0.1</v>
      </c>
      <c r="L42" s="34">
        <f t="shared" si="96"/>
        <v>0.10638297872340426</v>
      </c>
      <c r="M42" s="32">
        <v>1.8199999999999998</v>
      </c>
      <c r="N42" s="32">
        <v>1.55</v>
      </c>
      <c r="O42" s="35">
        <v>0.22</v>
      </c>
      <c r="P42" s="35">
        <v>0.03</v>
      </c>
      <c r="Q42" s="32">
        <f t="shared" si="97"/>
        <v>2.3265306122448983</v>
      </c>
      <c r="R42" s="32">
        <v>21.21</v>
      </c>
      <c r="S42" s="32">
        <v>20.399999999999999</v>
      </c>
      <c r="T42" s="32">
        <f t="shared" si="98"/>
        <v>9.918367346938803</v>
      </c>
      <c r="U42" s="32">
        <f t="shared" si="99"/>
        <v>13.614780160519977</v>
      </c>
      <c r="V42" s="32">
        <f>Q42/(N42*I42)*1000</f>
        <v>3.193590408023196</v>
      </c>
      <c r="W42" s="32">
        <f>(AO42*1000/180.2)*L42/N42</f>
        <v>1.218770876864492</v>
      </c>
      <c r="X42" s="32">
        <f>N42/23*1000*L42/N42</f>
        <v>4.6253469010175765</v>
      </c>
      <c r="Y42" s="32">
        <f t="shared" si="100"/>
        <v>106.92380683775991</v>
      </c>
      <c r="Z42" s="38">
        <v>1.862638622846326E-2</v>
      </c>
      <c r="AA42" s="35">
        <v>10.968393984304077</v>
      </c>
      <c r="AB42" s="35">
        <v>4.9154829697073366</v>
      </c>
      <c r="AC42" s="35">
        <v>1.8073979653884673</v>
      </c>
      <c r="AD42" s="35">
        <v>11.476501052108846</v>
      </c>
      <c r="AE42" s="35">
        <v>28.574021336727387</v>
      </c>
      <c r="AF42" s="32">
        <v>3.0700000000000002E-2</v>
      </c>
      <c r="AG42" s="32">
        <v>21.885400000000001</v>
      </c>
      <c r="AH42" s="32">
        <v>7.3000000000000001E-3</v>
      </c>
      <c r="AI42" s="32">
        <v>0</v>
      </c>
      <c r="AJ42" s="32">
        <v>0</v>
      </c>
      <c r="AK42" s="32">
        <v>0</v>
      </c>
      <c r="AL42" s="32">
        <v>0</v>
      </c>
      <c r="AN42" s="32">
        <v>25.0853</v>
      </c>
      <c r="AO42" s="32">
        <f t="shared" si="101"/>
        <v>3.1998999999999995</v>
      </c>
      <c r="AP42" s="49">
        <v>5.7599348104402058E-3</v>
      </c>
      <c r="AQ42" s="49">
        <v>1.2931989001105185E-2</v>
      </c>
      <c r="AR42" s="49">
        <v>0</v>
      </c>
      <c r="AS42" s="49">
        <v>2.2763557431553255E-2</v>
      </c>
      <c r="AT42" s="49">
        <v>0</v>
      </c>
      <c r="AU42" s="49">
        <v>3.2689544499593746E-4</v>
      </c>
      <c r="AV42" s="49">
        <v>0</v>
      </c>
      <c r="AW42" s="32">
        <f t="shared" si="102"/>
        <v>108.5674063415794</v>
      </c>
    </row>
    <row r="43" spans="1:49" s="32" customFormat="1" x14ac:dyDescent="0.2">
      <c r="E43" s="33"/>
      <c r="K43" s="32" t="s">
        <v>64</v>
      </c>
      <c r="L43" s="32">
        <f t="shared" ref="L43:AL43" si="103">AVERAGE(L40:L42)</f>
        <v>0.10419682057220052</v>
      </c>
      <c r="M43" s="32">
        <f t="shared" si="103"/>
        <v>1.86</v>
      </c>
      <c r="N43" s="32">
        <f t="shared" si="103"/>
        <v>1.5880000000000003</v>
      </c>
      <c r="O43" s="32">
        <f t="shared" si="103"/>
        <v>0.21666666666666667</v>
      </c>
      <c r="P43" s="32">
        <f t="shared" si="103"/>
        <v>0.03</v>
      </c>
      <c r="Q43" s="32">
        <f t="shared" si="103"/>
        <v>2.285714285714286</v>
      </c>
      <c r="R43" s="32">
        <f t="shared" si="103"/>
        <v>20.976666666666667</v>
      </c>
      <c r="S43" s="32">
        <f t="shared" si="103"/>
        <v>20.033333333333335</v>
      </c>
      <c r="T43" s="34">
        <f t="shared" si="103"/>
        <v>11.551020408163273</v>
      </c>
      <c r="U43" s="34">
        <f t="shared" si="103"/>
        <v>15.111702854977102</v>
      </c>
      <c r="V43" s="32">
        <f t="shared" si="103"/>
        <v>3.0027316961462969</v>
      </c>
      <c r="W43" s="32">
        <f t="shared" si="103"/>
        <v>1.2373847401634954</v>
      </c>
      <c r="X43" s="32">
        <f t="shared" si="103"/>
        <v>4.5302965466174143</v>
      </c>
      <c r="Y43" s="34">
        <f t="shared" si="103"/>
        <v>101.49877627537478</v>
      </c>
      <c r="Z43" s="32">
        <f t="shared" si="103"/>
        <v>2.0746605990009354E-2</v>
      </c>
      <c r="AA43" s="32">
        <f t="shared" si="103"/>
        <v>10.741284384960542</v>
      </c>
      <c r="AB43" s="32">
        <f t="shared" si="103"/>
        <v>6.1589230513479718</v>
      </c>
      <c r="AC43" s="32">
        <f t="shared" si="103"/>
        <v>1.5409818517736287</v>
      </c>
      <c r="AD43" s="32">
        <f t="shared" si="103"/>
        <v>13.348247267565776</v>
      </c>
      <c r="AE43" s="32">
        <f t="shared" si="103"/>
        <v>34.20456112932218</v>
      </c>
      <c r="AF43" s="32">
        <f t="shared" si="103"/>
        <v>3.5300000000000005E-2</v>
      </c>
      <c r="AG43" s="32">
        <f t="shared" si="103"/>
        <v>21.684333333333331</v>
      </c>
      <c r="AH43" s="32">
        <f t="shared" si="103"/>
        <v>6.8999999999999999E-3</v>
      </c>
      <c r="AI43" s="32">
        <f t="shared" si="103"/>
        <v>0</v>
      </c>
      <c r="AJ43" s="32">
        <f t="shared" si="103"/>
        <v>1.2166666666666666E-2</v>
      </c>
      <c r="AK43" s="32">
        <f t="shared" si="103"/>
        <v>0</v>
      </c>
      <c r="AL43" s="32">
        <f t="shared" si="103"/>
        <v>0</v>
      </c>
      <c r="AN43" s="32">
        <f t="shared" ref="AN43" si="104">AVERAGE(AN40:AN42)</f>
        <v>25.0853</v>
      </c>
      <c r="AO43" s="32">
        <f>AVERAGE(AO40:AO42)</f>
        <v>3.4009666666666667</v>
      </c>
      <c r="AP43" s="32">
        <f t="shared" ref="AP43:AW43" si="105">AVERAGE(AP40:AP42)</f>
        <v>5.1819918847651062E-3</v>
      </c>
      <c r="AQ43" s="32">
        <f t="shared" si="105"/>
        <v>1.3552921774277001E-2</v>
      </c>
      <c r="AR43" s="32">
        <f t="shared" si="105"/>
        <v>0</v>
      </c>
      <c r="AS43" s="32">
        <f t="shared" si="105"/>
        <v>1.500818884433223E-2</v>
      </c>
      <c r="AT43" s="32">
        <f t="shared" si="105"/>
        <v>0</v>
      </c>
      <c r="AU43" s="32">
        <f t="shared" si="105"/>
        <v>2.8332356039131417E-4</v>
      </c>
      <c r="AV43" s="32">
        <f t="shared" si="105"/>
        <v>0</v>
      </c>
      <c r="AW43" s="34">
        <f t="shared" si="105"/>
        <v>102.88546051629793</v>
      </c>
    </row>
    <row r="44" spans="1:49" s="32" customFormat="1" x14ac:dyDescent="0.2">
      <c r="E44" s="33"/>
      <c r="L44" s="32">
        <f t="shared" ref="L44:AL44" si="106">STDEV(L40:L42)</f>
        <v>2.1712382443481574E-3</v>
      </c>
      <c r="M44" s="32">
        <f t="shared" si="106"/>
        <v>6.9282032302755162E-2</v>
      </c>
      <c r="N44" s="32">
        <f t="shared" si="106"/>
        <v>3.3286633954186857E-2</v>
      </c>
      <c r="O44" s="32">
        <f t="shared" si="106"/>
        <v>5.7735026918962632E-3</v>
      </c>
      <c r="P44" s="32">
        <f t="shared" si="106"/>
        <v>0</v>
      </c>
      <c r="Q44" s="32">
        <f t="shared" si="106"/>
        <v>7.0695951329342019E-2</v>
      </c>
      <c r="R44" s="32">
        <f t="shared" si="106"/>
        <v>0.22120880030716145</v>
      </c>
      <c r="S44" s="32">
        <f t="shared" si="106"/>
        <v>0.31770006819850216</v>
      </c>
      <c r="T44" s="34">
        <f t="shared" si="106"/>
        <v>1.7201067351596186</v>
      </c>
      <c r="U44" s="34">
        <f t="shared" si="106"/>
        <v>1.7281305108344449</v>
      </c>
      <c r="V44" s="32">
        <f t="shared" si="106"/>
        <v>0.1929177359184612</v>
      </c>
      <c r="W44" s="32">
        <f t="shared" si="106"/>
        <v>2.0909475670912749E-2</v>
      </c>
      <c r="X44" s="32">
        <f t="shared" si="106"/>
        <v>9.4401662797745547E-2</v>
      </c>
      <c r="Y44" s="34">
        <f t="shared" si="106"/>
        <v>4.7822441981245332</v>
      </c>
      <c r="Z44" s="32">
        <f t="shared" si="106"/>
        <v>3.8038272353821765E-3</v>
      </c>
      <c r="AA44" s="32">
        <f t="shared" si="106"/>
        <v>1.1649075020137354</v>
      </c>
      <c r="AB44" s="32">
        <f t="shared" si="106"/>
        <v>1.1843258739406519</v>
      </c>
      <c r="AC44" s="32">
        <f t="shared" si="106"/>
        <v>0.23350618090413366</v>
      </c>
      <c r="AD44" s="32">
        <f t="shared" si="106"/>
        <v>1.9979593703815797</v>
      </c>
      <c r="AE44" s="32">
        <f t="shared" si="106"/>
        <v>9.4371557707109925</v>
      </c>
      <c r="AF44" s="32">
        <f t="shared" si="106"/>
        <v>4.1073105555825698E-3</v>
      </c>
      <c r="AG44" s="32">
        <f t="shared" si="106"/>
        <v>0.17455570266632209</v>
      </c>
      <c r="AH44" s="32">
        <f t="shared" si="106"/>
        <v>4.0000000000000018E-4</v>
      </c>
      <c r="AI44" s="32">
        <f t="shared" si="106"/>
        <v>0</v>
      </c>
      <c r="AJ44" s="32">
        <f t="shared" si="106"/>
        <v>1.6695009234299132E-2</v>
      </c>
      <c r="AK44" s="32">
        <f t="shared" si="106"/>
        <v>0</v>
      </c>
      <c r="AL44" s="32">
        <f t="shared" si="106"/>
        <v>0</v>
      </c>
      <c r="AN44" s="32">
        <f t="shared" ref="AN44" si="107">STDEV(AN40:AN42)</f>
        <v>0</v>
      </c>
      <c r="AO44" s="32">
        <f>STDEV(AO40:AO42)</f>
        <v>0.17455570266632209</v>
      </c>
      <c r="AP44" s="32">
        <f t="shared" ref="AP44:AW44" si="108">STDEV(AP40:AP42)</f>
        <v>6.4707587715073323E-4</v>
      </c>
      <c r="AQ44" s="32">
        <f t="shared" si="108"/>
        <v>7.6057460443305089E-4</v>
      </c>
      <c r="AR44" s="32">
        <f t="shared" si="108"/>
        <v>0</v>
      </c>
      <c r="AS44" s="32">
        <f t="shared" si="108"/>
        <v>9.4969628577583499E-3</v>
      </c>
      <c r="AT44" s="32">
        <f t="shared" si="108"/>
        <v>0</v>
      </c>
      <c r="AU44" s="32">
        <f t="shared" si="108"/>
        <v>9.1203197649935211E-5</v>
      </c>
      <c r="AV44" s="32">
        <f t="shared" si="108"/>
        <v>0</v>
      </c>
      <c r="AW44" s="34">
        <f t="shared" si="108"/>
        <v>5.0347500799384868</v>
      </c>
    </row>
    <row r="45" spans="1:49" s="32" customFormat="1" x14ac:dyDescent="0.2">
      <c r="A45" s="32">
        <v>18</v>
      </c>
      <c r="B45" s="32" t="s">
        <v>65</v>
      </c>
      <c r="C45" s="32" t="s">
        <v>54</v>
      </c>
      <c r="D45" s="32">
        <v>116</v>
      </c>
      <c r="E45" s="33">
        <v>44544</v>
      </c>
      <c r="F45" s="32">
        <v>1</v>
      </c>
      <c r="G45" s="32">
        <v>2</v>
      </c>
      <c r="H45" s="32">
        <v>2</v>
      </c>
      <c r="I45" s="32">
        <v>490</v>
      </c>
      <c r="J45" s="32">
        <v>50</v>
      </c>
      <c r="K45" s="32">
        <v>0.1</v>
      </c>
      <c r="L45" s="34">
        <f t="shared" ref="L45:L47" si="109">J45/I45</f>
        <v>0.10204081632653061</v>
      </c>
      <c r="M45" s="32">
        <v>2</v>
      </c>
      <c r="N45" s="32">
        <v>2.1039999999999992</v>
      </c>
      <c r="O45" s="35">
        <v>0.22</v>
      </c>
      <c r="P45" s="35">
        <v>0.03</v>
      </c>
      <c r="Q45" s="32">
        <f t="shared" ref="Q45:Q47" si="110">(30/24.5)*(O45-P45)*0.01*1000</f>
        <v>2.3265306122448983</v>
      </c>
      <c r="R45" s="32">
        <v>20.82</v>
      </c>
      <c r="S45" s="32">
        <v>20.47</v>
      </c>
      <c r="T45" s="32">
        <f t="shared" ref="T45:T47" si="111">(30/24.5)*(R45-S45)*0.01*1000</f>
        <v>4.2857142857143034</v>
      </c>
      <c r="U45" s="32">
        <f t="shared" ref="U45:U47" si="112">T45/(N45*I45)*1000</f>
        <v>4.1570131583323358</v>
      </c>
      <c r="V45" s="32">
        <f>Q45/(N45*I45)*1000</f>
        <v>2.2566642859518304</v>
      </c>
      <c r="W45" s="32">
        <f>(AO45*1000/180.2)*L45/N45</f>
        <v>1.2196750426980469</v>
      </c>
      <c r="X45" s="32">
        <f>N45/23*1000*L45/N45</f>
        <v>4.4365572315882877</v>
      </c>
      <c r="Y45" s="32">
        <f t="shared" ref="Y45:Y47" si="113">100*((V45+X45)/(6*W45))</f>
        <v>91.461814051908206</v>
      </c>
      <c r="Z45" s="38">
        <v>7.0800217705660667E-2</v>
      </c>
      <c r="AA45" s="35">
        <v>49.036253755983786</v>
      </c>
      <c r="AB45" s="35">
        <v>17.926814600318199</v>
      </c>
      <c r="AC45" s="35">
        <v>18.445692354124869</v>
      </c>
      <c r="AD45" s="35">
        <v>145.53155652121285</v>
      </c>
      <c r="AE45" s="35">
        <v>66.986998873780308</v>
      </c>
      <c r="AF45" s="32">
        <v>3.8E-3</v>
      </c>
      <c r="AG45" s="32">
        <v>20.524699999999999</v>
      </c>
      <c r="AH45" s="32">
        <v>0</v>
      </c>
      <c r="AI45" s="32">
        <v>0</v>
      </c>
      <c r="AJ45" s="32">
        <v>2.3999999999999998E-3</v>
      </c>
      <c r="AK45" s="32">
        <v>0</v>
      </c>
      <c r="AL45" s="32">
        <v>0</v>
      </c>
      <c r="AN45" s="32">
        <v>25.0565</v>
      </c>
      <c r="AO45" s="32">
        <f t="shared" ref="AO45:AO47" si="114">AN45-AG45</f>
        <v>4.5318000000000005</v>
      </c>
      <c r="AP45" s="49">
        <v>1.2310145747992673E-2</v>
      </c>
      <c r="AQ45" s="49">
        <v>5.0633055851272155E-3</v>
      </c>
      <c r="AR45" s="49">
        <v>0</v>
      </c>
      <c r="AS45" s="49">
        <v>4.3762297205514736E-2</v>
      </c>
      <c r="AT45" s="49">
        <v>0</v>
      </c>
      <c r="AU45" s="49">
        <v>0</v>
      </c>
      <c r="AV45" s="49">
        <v>0</v>
      </c>
      <c r="AW45" s="32">
        <f t="shared" ref="AW45:AW47" si="115">100*((V45+X45+AP45*6+AQ45*3+AR45*2+AS45*2+AT45*3+AU45*4+AV45*5)/(6*W45))</f>
        <v>93.874688785927034</v>
      </c>
    </row>
    <row r="46" spans="1:49" s="32" customFormat="1" x14ac:dyDescent="0.2">
      <c r="A46" s="32">
        <v>19</v>
      </c>
      <c r="B46" s="32" t="s">
        <v>65</v>
      </c>
      <c r="C46" s="32" t="s">
        <v>54</v>
      </c>
      <c r="D46" s="32">
        <v>116</v>
      </c>
      <c r="E46" s="33">
        <v>44544</v>
      </c>
      <c r="F46" s="32">
        <v>1</v>
      </c>
      <c r="G46" s="32">
        <v>3</v>
      </c>
      <c r="H46" s="32">
        <v>3</v>
      </c>
      <c r="I46" s="32">
        <v>490</v>
      </c>
      <c r="J46" s="32">
        <v>50</v>
      </c>
      <c r="K46" s="32">
        <v>0.1</v>
      </c>
      <c r="L46" s="34">
        <f t="shared" si="109"/>
        <v>0.10204081632653061</v>
      </c>
      <c r="M46" s="32">
        <v>2.4</v>
      </c>
      <c r="N46" s="32">
        <v>2.4620000000000006</v>
      </c>
      <c r="O46" s="35">
        <v>0.23</v>
      </c>
      <c r="P46" s="35">
        <v>0.03</v>
      </c>
      <c r="Q46" s="32">
        <f t="shared" si="110"/>
        <v>2.4489795918367352</v>
      </c>
      <c r="R46" s="32">
        <v>20.83</v>
      </c>
      <c r="S46" s="32">
        <v>20.45</v>
      </c>
      <c r="T46" s="32">
        <f t="shared" si="111"/>
        <v>4.6530612244897842</v>
      </c>
      <c r="U46" s="32">
        <f t="shared" si="112"/>
        <v>3.857044401009452</v>
      </c>
      <c r="V46" s="32">
        <f>Q46/(N46*I46)*1000</f>
        <v>2.030023368952349</v>
      </c>
      <c r="W46" s="32">
        <f>(AO46*1000/180.2)*L46/N46</f>
        <v>0.97638031347910004</v>
      </c>
      <c r="X46" s="32">
        <f>N46/23*1000*L46/N46</f>
        <v>4.4365572315882877</v>
      </c>
      <c r="Y46" s="32">
        <f t="shared" si="113"/>
        <v>110.38356863045351</v>
      </c>
      <c r="Z46" s="38">
        <v>5.1684196932328549E-2</v>
      </c>
      <c r="AA46" s="35">
        <v>32.543159112997643</v>
      </c>
      <c r="AB46" s="35">
        <v>18.510808978551211</v>
      </c>
      <c r="AC46" s="35">
        <v>9.6015935271907065</v>
      </c>
      <c r="AD46" s="35">
        <v>124.82051777296967</v>
      </c>
      <c r="AE46" s="35">
        <v>69.01690630307661</v>
      </c>
      <c r="AF46" s="32">
        <v>3.5000000000000001E-3</v>
      </c>
      <c r="AG46" s="32">
        <v>20.811399999999999</v>
      </c>
      <c r="AH46" s="32">
        <v>0</v>
      </c>
      <c r="AI46" s="32">
        <v>0</v>
      </c>
      <c r="AJ46" s="32">
        <v>3.4599999999999999E-2</v>
      </c>
      <c r="AK46" s="32">
        <v>0</v>
      </c>
      <c r="AL46" s="32">
        <v>0</v>
      </c>
      <c r="AN46" s="32">
        <v>25.0565</v>
      </c>
      <c r="AO46" s="32">
        <f t="shared" si="114"/>
        <v>4.2451000000000008</v>
      </c>
      <c r="AP46" s="49">
        <v>1.2797263054946748E-2</v>
      </c>
      <c r="AQ46" s="49">
        <v>4.701604442624443E-3</v>
      </c>
      <c r="AR46" s="49">
        <v>0</v>
      </c>
      <c r="AS46" s="49">
        <v>7.3277234384224506E-3</v>
      </c>
      <c r="AT46" s="49">
        <v>0</v>
      </c>
      <c r="AU46" s="49">
        <v>0</v>
      </c>
      <c r="AV46" s="49">
        <v>0</v>
      </c>
      <c r="AW46" s="32">
        <f t="shared" si="115"/>
        <v>112.18518624941728</v>
      </c>
    </row>
    <row r="47" spans="1:49" s="32" customFormat="1" x14ac:dyDescent="0.2">
      <c r="A47" s="32">
        <v>20</v>
      </c>
      <c r="B47" s="32" t="s">
        <v>65</v>
      </c>
      <c r="C47" s="32" t="s">
        <v>54</v>
      </c>
      <c r="D47" s="32">
        <v>116</v>
      </c>
      <c r="E47" s="33">
        <v>44544</v>
      </c>
      <c r="F47" s="32">
        <v>1</v>
      </c>
      <c r="G47" s="32">
        <v>4</v>
      </c>
      <c r="H47" s="32">
        <v>4</v>
      </c>
      <c r="I47" s="32">
        <v>480</v>
      </c>
      <c r="J47" s="32">
        <v>50</v>
      </c>
      <c r="K47" s="32">
        <v>0.1</v>
      </c>
      <c r="L47" s="34">
        <f t="shared" si="109"/>
        <v>0.10416666666666667</v>
      </c>
      <c r="M47" s="32">
        <v>2.48</v>
      </c>
      <c r="N47" s="32">
        <v>2.6900000000000004</v>
      </c>
      <c r="O47" s="35">
        <v>0.23</v>
      </c>
      <c r="P47" s="35">
        <v>0.03</v>
      </c>
      <c r="Q47" s="32">
        <f t="shared" si="110"/>
        <v>2.4489795918367352</v>
      </c>
      <c r="R47" s="32">
        <v>20.83</v>
      </c>
      <c r="S47" s="32">
        <v>20.62</v>
      </c>
      <c r="T47" s="32">
        <f t="shared" si="111"/>
        <v>2.5714285714285383</v>
      </c>
      <c r="U47" s="32">
        <f t="shared" si="112"/>
        <v>1.9915029208709247</v>
      </c>
      <c r="V47" s="32">
        <f>Q47/(N47*I47)*1000</f>
        <v>1.8966694484485243</v>
      </c>
      <c r="W47" s="32">
        <f>(AO47*1000/180.2)*L47/N47</f>
        <v>0.93452545498805561</v>
      </c>
      <c r="X47" s="32">
        <f>N47/23*1000*L47/N47</f>
        <v>4.5289855072463769</v>
      </c>
      <c r="Y47" s="32">
        <f t="shared" si="113"/>
        <v>114.59746622198801</v>
      </c>
      <c r="Z47" s="38">
        <v>5.8375498470596636E-2</v>
      </c>
      <c r="AA47" s="35">
        <v>40.751204835431288</v>
      </c>
      <c r="AB47" s="35">
        <v>19.30164210884757</v>
      </c>
      <c r="AC47" s="35">
        <v>12.335699052587007</v>
      </c>
      <c r="AD47" s="35">
        <v>161.61768233579241</v>
      </c>
      <c r="AE47" s="35">
        <v>80.05395343915167</v>
      </c>
      <c r="AF47" s="39">
        <v>3.0000000000000001E-3</v>
      </c>
      <c r="AG47" s="32">
        <v>20.707699999999999</v>
      </c>
      <c r="AH47" s="32">
        <v>0</v>
      </c>
      <c r="AI47" s="32">
        <v>0</v>
      </c>
      <c r="AJ47" s="32">
        <v>2.5000000000000001E-3</v>
      </c>
      <c r="AK47" s="32">
        <v>0</v>
      </c>
      <c r="AL47" s="32">
        <v>0</v>
      </c>
      <c r="AN47" s="32">
        <v>25.0565</v>
      </c>
      <c r="AO47" s="32">
        <f t="shared" si="114"/>
        <v>4.3488000000000007</v>
      </c>
      <c r="AP47" s="49">
        <v>1.0967236370893901E-2</v>
      </c>
      <c r="AQ47" s="49">
        <v>5.6896378911801418E-3</v>
      </c>
      <c r="AR47" s="49">
        <v>0</v>
      </c>
      <c r="AS47" s="49">
        <v>0</v>
      </c>
      <c r="AT47" s="49">
        <v>0</v>
      </c>
      <c r="AU47" s="49">
        <v>0</v>
      </c>
      <c r="AV47" s="49">
        <v>0</v>
      </c>
      <c r="AW47" s="32">
        <f t="shared" si="115"/>
        <v>116.07544151337915</v>
      </c>
    </row>
    <row r="48" spans="1:49" s="32" customFormat="1" x14ac:dyDescent="0.2">
      <c r="E48" s="33"/>
      <c r="K48" s="32" t="s">
        <v>65</v>
      </c>
      <c r="L48" s="32">
        <f>AVERAGE(L45:L47)</f>
        <v>0.10274943310657597</v>
      </c>
      <c r="M48" s="32">
        <f>AVERAGE(M45:M47)</f>
        <v>2.2933333333333334</v>
      </c>
      <c r="N48" s="32">
        <f t="shared" ref="N48:AL48" si="116">AVERAGE(N45:N47)</f>
        <v>2.4186666666666667</v>
      </c>
      <c r="O48" s="32">
        <f t="shared" si="116"/>
        <v>0.22666666666666668</v>
      </c>
      <c r="P48" s="32">
        <f t="shared" si="116"/>
        <v>0.03</v>
      </c>
      <c r="Q48" s="32">
        <f t="shared" si="116"/>
        <v>2.4081632653061233</v>
      </c>
      <c r="R48" s="32">
        <f t="shared" si="116"/>
        <v>20.826666666666664</v>
      </c>
      <c r="S48" s="32">
        <f t="shared" si="116"/>
        <v>20.513333333333335</v>
      </c>
      <c r="T48" s="34">
        <f t="shared" si="116"/>
        <v>3.836734693877542</v>
      </c>
      <c r="U48" s="34">
        <f t="shared" si="116"/>
        <v>3.3351868267375711</v>
      </c>
      <c r="V48" s="32">
        <f t="shared" si="116"/>
        <v>2.0611190344509009</v>
      </c>
      <c r="W48" s="32">
        <f t="shared" si="116"/>
        <v>1.0435269370550675</v>
      </c>
      <c r="X48" s="32">
        <f t="shared" si="116"/>
        <v>4.4673666568076511</v>
      </c>
      <c r="Y48" s="34">
        <f t="shared" si="116"/>
        <v>105.48094963478324</v>
      </c>
      <c r="Z48" s="32">
        <f t="shared" si="116"/>
        <v>6.0286637702861946E-2</v>
      </c>
      <c r="AA48" s="32">
        <f t="shared" si="116"/>
        <v>40.77687256813757</v>
      </c>
      <c r="AB48" s="32">
        <f t="shared" si="116"/>
        <v>18.579755229238994</v>
      </c>
      <c r="AC48" s="32">
        <f t="shared" si="116"/>
        <v>13.460994977967525</v>
      </c>
      <c r="AD48" s="32">
        <f t="shared" si="116"/>
        <v>143.98991887665829</v>
      </c>
      <c r="AE48" s="32">
        <f t="shared" si="116"/>
        <v>72.019286205336186</v>
      </c>
      <c r="AF48" s="32">
        <f t="shared" si="116"/>
        <v>3.4333333333333334E-3</v>
      </c>
      <c r="AG48" s="32">
        <f t="shared" si="116"/>
        <v>20.681266666666669</v>
      </c>
      <c r="AH48" s="32">
        <f t="shared" si="116"/>
        <v>0</v>
      </c>
      <c r="AI48" s="32">
        <f t="shared" si="116"/>
        <v>0</v>
      </c>
      <c r="AJ48" s="32">
        <f t="shared" si="116"/>
        <v>1.3166666666666667E-2</v>
      </c>
      <c r="AK48" s="32">
        <f t="shared" si="116"/>
        <v>0</v>
      </c>
      <c r="AL48" s="32">
        <f t="shared" si="116"/>
        <v>0</v>
      </c>
      <c r="AN48" s="32">
        <f t="shared" ref="AN48:AW48" si="117">AVERAGE(AN45:AN47)</f>
        <v>25.0565</v>
      </c>
      <c r="AO48" s="32">
        <f t="shared" si="117"/>
        <v>4.375233333333334</v>
      </c>
      <c r="AP48" s="32">
        <f t="shared" si="117"/>
        <v>1.2024881724611108E-2</v>
      </c>
      <c r="AQ48" s="32">
        <f t="shared" si="117"/>
        <v>5.1515159729772671E-3</v>
      </c>
      <c r="AR48" s="32">
        <f t="shared" si="117"/>
        <v>0</v>
      </c>
      <c r="AS48" s="32">
        <f t="shared" si="117"/>
        <v>1.7030006881312395E-2</v>
      </c>
      <c r="AT48" s="32">
        <f t="shared" si="117"/>
        <v>0</v>
      </c>
      <c r="AU48" s="32">
        <f t="shared" si="117"/>
        <v>0</v>
      </c>
      <c r="AV48" s="32">
        <f t="shared" si="117"/>
        <v>0</v>
      </c>
      <c r="AW48" s="34">
        <f t="shared" si="117"/>
        <v>107.37843884957448</v>
      </c>
    </row>
    <row r="49" spans="1:49" s="32" customFormat="1" x14ac:dyDescent="0.2">
      <c r="E49" s="33"/>
      <c r="L49" s="32">
        <f>STDEV(L45:L47)</f>
        <v>1.2273602661344099E-3</v>
      </c>
      <c r="M49" s="32">
        <f>STDEV(M45:M47)</f>
        <v>0.25716402029314545</v>
      </c>
      <c r="N49" s="32">
        <f t="shared" ref="N49:AL49" si="118">STDEV(N45:N47)</f>
        <v>0.29539352283578207</v>
      </c>
      <c r="O49" s="32">
        <f t="shared" si="118"/>
        <v>5.7735026918962632E-3</v>
      </c>
      <c r="P49" s="32">
        <f t="shared" si="118"/>
        <v>0</v>
      </c>
      <c r="Q49" s="32">
        <f t="shared" si="118"/>
        <v>7.0695951329342005E-2</v>
      </c>
      <c r="R49" s="32">
        <f t="shared" si="118"/>
        <v>5.7735026918951087E-3</v>
      </c>
      <c r="S49" s="32">
        <f t="shared" si="118"/>
        <v>9.2915732431776768E-2</v>
      </c>
      <c r="T49" s="34">
        <f t="shared" si="118"/>
        <v>1.1110740888829738</v>
      </c>
      <c r="U49" s="34">
        <f t="shared" si="118"/>
        <v>1.1732903063633666</v>
      </c>
      <c r="V49" s="32">
        <f t="shared" si="118"/>
        <v>0.18200075842384927</v>
      </c>
      <c r="W49" s="32">
        <f t="shared" si="118"/>
        <v>0.1539775101631228</v>
      </c>
      <c r="X49" s="32">
        <f t="shared" si="118"/>
        <v>5.3363489831930733E-2</v>
      </c>
      <c r="Y49" s="34">
        <f t="shared" si="118"/>
        <v>12.322392425834353</v>
      </c>
      <c r="Z49" s="32">
        <f t="shared" si="118"/>
        <v>9.7002526990509156E-3</v>
      </c>
      <c r="AA49" s="32">
        <f t="shared" si="118"/>
        <v>8.2465772809088307</v>
      </c>
      <c r="AB49" s="32">
        <f t="shared" si="118"/>
        <v>0.69000207149340975</v>
      </c>
      <c r="AC49" s="32">
        <f t="shared" si="118"/>
        <v>4.5281606867361912</v>
      </c>
      <c r="AD49" s="32">
        <f t="shared" si="118"/>
        <v>18.446959503836915</v>
      </c>
      <c r="AE49" s="32">
        <f t="shared" si="118"/>
        <v>7.0318588731208962</v>
      </c>
      <c r="AF49" s="32">
        <f t="shared" si="118"/>
        <v>4.0414518843273796E-4</v>
      </c>
      <c r="AG49" s="32">
        <f t="shared" si="118"/>
        <v>0.14516632988862566</v>
      </c>
      <c r="AH49" s="32">
        <f t="shared" si="118"/>
        <v>0</v>
      </c>
      <c r="AI49" s="32">
        <f t="shared" si="118"/>
        <v>0</v>
      </c>
      <c r="AJ49" s="32">
        <f t="shared" si="118"/>
        <v>1.8561878496890699E-2</v>
      </c>
      <c r="AK49" s="32">
        <f t="shared" si="118"/>
        <v>0</v>
      </c>
      <c r="AL49" s="32">
        <f t="shared" si="118"/>
        <v>0</v>
      </c>
      <c r="AN49" s="32">
        <f t="shared" ref="AN49:AW49" si="119">STDEV(AN45:AN47)</f>
        <v>0</v>
      </c>
      <c r="AO49" s="32">
        <f t="shared" si="119"/>
        <v>0.14516632988862568</v>
      </c>
      <c r="AP49" s="32">
        <f t="shared" si="119"/>
        <v>9.4777691909185243E-4</v>
      </c>
      <c r="AQ49" s="32">
        <f t="shared" si="119"/>
        <v>4.9988831578634541E-4</v>
      </c>
      <c r="AR49" s="32">
        <f t="shared" si="119"/>
        <v>0</v>
      </c>
      <c r="AS49" s="32">
        <f t="shared" si="119"/>
        <v>2.3438971653649464E-2</v>
      </c>
      <c r="AT49" s="32">
        <f t="shared" si="119"/>
        <v>0</v>
      </c>
      <c r="AU49" s="32">
        <f t="shared" si="119"/>
        <v>0</v>
      </c>
      <c r="AV49" s="32">
        <f t="shared" si="119"/>
        <v>0</v>
      </c>
      <c r="AW49" s="34">
        <f t="shared" si="119"/>
        <v>11.855250770894292</v>
      </c>
    </row>
    <row r="50" spans="1:49" s="32" customFormat="1" x14ac:dyDescent="0.2">
      <c r="A50" s="32">
        <v>22</v>
      </c>
      <c r="B50" s="32" t="s">
        <v>66</v>
      </c>
      <c r="C50" s="32" t="s">
        <v>54</v>
      </c>
      <c r="D50" s="32">
        <v>116</v>
      </c>
      <c r="E50" s="33">
        <v>44546</v>
      </c>
      <c r="F50" s="32">
        <v>1</v>
      </c>
      <c r="G50" s="32">
        <v>6</v>
      </c>
      <c r="H50" s="32">
        <v>1</v>
      </c>
      <c r="I50" s="32">
        <v>480</v>
      </c>
      <c r="J50" s="32">
        <v>50</v>
      </c>
      <c r="K50" s="32">
        <v>0.1</v>
      </c>
      <c r="L50" s="34">
        <f t="shared" ref="L50:L52" si="120">J50/I50</f>
        <v>0.10416666666666667</v>
      </c>
      <c r="M50" s="32">
        <v>1.28</v>
      </c>
      <c r="N50" s="32">
        <v>1.4479999999999991</v>
      </c>
      <c r="O50" s="35">
        <v>0.2</v>
      </c>
      <c r="P50" s="35">
        <v>0.04</v>
      </c>
      <c r="Q50" s="32">
        <f t="shared" ref="Q50:Q52" si="121">(30/24.5)*(O50-P50)*0.01*1000</f>
        <v>1.9591836734693882</v>
      </c>
      <c r="R50" s="32">
        <v>20.89</v>
      </c>
      <c r="S50" s="32">
        <v>20.54</v>
      </c>
      <c r="T50" s="32">
        <f t="shared" ref="T50" si="122">(30/24.5)*(R50-S50)*0.01*1000</f>
        <v>4.2857142857143034</v>
      </c>
      <c r="U50" s="32">
        <f t="shared" ref="U50" si="123">T50/(N50*I50)*1000</f>
        <v>6.1661404893449392</v>
      </c>
      <c r="V50" s="32">
        <f>Q50/(N50*I50)*1000</f>
        <v>2.8188070808433898</v>
      </c>
      <c r="W50" s="32">
        <f>(AO50*1000/180.2)*L50/N50</f>
        <v>1.0511296278127642</v>
      </c>
      <c r="X50" s="32">
        <f>N50/23*1000*L50/N50</f>
        <v>4.5289855072463769</v>
      </c>
      <c r="Y50" s="32">
        <f t="shared" ref="Y50:Y52" si="124">100*((V50+X50)/(6*W50))</f>
        <v>116.50628672347752</v>
      </c>
      <c r="Z50" s="38">
        <v>1.7796980578099666E-2</v>
      </c>
      <c r="AA50" s="35">
        <v>9.3928992997141982</v>
      </c>
      <c r="AB50" s="35">
        <v>1.9216176837310417</v>
      </c>
      <c r="AC50" s="35">
        <v>2.0542991814184957</v>
      </c>
      <c r="AD50" s="35">
        <v>8.4663136141972952</v>
      </c>
      <c r="AE50" s="35">
        <v>29.704925975115572</v>
      </c>
      <c r="AF50" s="39">
        <v>1.2999999999999999E-2</v>
      </c>
      <c r="AG50" s="32">
        <v>22.7319</v>
      </c>
      <c r="AH50" s="32">
        <v>1.0699999999999999E-2</v>
      </c>
      <c r="AI50" s="32">
        <v>0</v>
      </c>
      <c r="AJ50" s="32">
        <v>1.5800000000000002E-2</v>
      </c>
      <c r="AK50" s="32">
        <v>0</v>
      </c>
      <c r="AL50" s="32">
        <v>1.9900000000000001E-2</v>
      </c>
      <c r="AM50" s="32">
        <v>0.2089</v>
      </c>
      <c r="AN50" s="32">
        <v>25.364899999999999</v>
      </c>
      <c r="AO50" s="32">
        <f t="shared" ref="AO50:AO52" si="125">AN50-AG50</f>
        <v>2.6329999999999991</v>
      </c>
      <c r="AP50" s="49">
        <v>4.8676790729805328E-3</v>
      </c>
      <c r="AQ50" s="49">
        <v>8.7410841595112043E-3</v>
      </c>
      <c r="AR50" s="49">
        <v>0</v>
      </c>
      <c r="AS50" s="49">
        <v>2.4671700243164296E-2</v>
      </c>
      <c r="AT50" s="49">
        <v>0</v>
      </c>
      <c r="AU50" s="49">
        <v>1.2122722360992273E-2</v>
      </c>
      <c r="AV50" s="49">
        <v>0.12725812568900932</v>
      </c>
      <c r="AW50" s="32">
        <f>100*((V50+X50+AP50*6+AQ50*3+AR50*2+AS50*2+AT50*3+AU50*4+AV50*5)/(6*W50))</f>
        <v>129.02542525153103</v>
      </c>
    </row>
    <row r="51" spans="1:49" s="32" customFormat="1" x14ac:dyDescent="0.2">
      <c r="A51" s="32">
        <v>23</v>
      </c>
      <c r="B51" s="32" t="s">
        <v>66</v>
      </c>
      <c r="C51" s="32" t="s">
        <v>54</v>
      </c>
      <c r="D51" s="32">
        <v>116</v>
      </c>
      <c r="E51" s="33">
        <v>44546</v>
      </c>
      <c r="F51" s="32">
        <v>1</v>
      </c>
      <c r="G51" s="32">
        <v>7</v>
      </c>
      <c r="H51" s="32">
        <v>2</v>
      </c>
      <c r="I51" s="32">
        <v>490</v>
      </c>
      <c r="J51" s="32">
        <v>50</v>
      </c>
      <c r="K51" s="32">
        <v>0.1</v>
      </c>
      <c r="L51" s="34">
        <f t="shared" si="120"/>
        <v>0.10204081632653061</v>
      </c>
      <c r="M51" s="32">
        <v>1.36</v>
      </c>
      <c r="N51" s="32">
        <v>1.4039999999999992</v>
      </c>
      <c r="O51" s="35">
        <v>0.21</v>
      </c>
      <c r="P51" s="35">
        <v>0.03</v>
      </c>
      <c r="Q51" s="32">
        <f t="shared" si="121"/>
        <v>2.2040816326530615</v>
      </c>
      <c r="V51" s="32">
        <f>Q51/(N51*I51)*1000</f>
        <v>3.2037932912568508</v>
      </c>
      <c r="W51" s="32">
        <f>(AO51*1000/180.2)*L51/N51</f>
        <v>1.2451360160255045</v>
      </c>
      <c r="X51" s="32">
        <f>N51/23*1000*L51/N51</f>
        <v>4.4365572315882877</v>
      </c>
      <c r="Y51" s="32">
        <f t="shared" si="124"/>
        <v>102.26928925180489</v>
      </c>
      <c r="Z51" s="38">
        <v>1.8299122164079414E-2</v>
      </c>
      <c r="AA51" s="35">
        <v>11.819828177496907</v>
      </c>
      <c r="AB51" s="35">
        <v>2.3274955479170401</v>
      </c>
      <c r="AC51" s="35">
        <v>1.979853201450166</v>
      </c>
      <c r="AD51" s="35">
        <v>7.7261858630569096</v>
      </c>
      <c r="AE51" s="35">
        <v>27.530572246813939</v>
      </c>
      <c r="AF51" s="32">
        <v>4.8999999999999998E-3</v>
      </c>
      <c r="AG51" s="32">
        <v>22.277699999999999</v>
      </c>
      <c r="AH51" s="32">
        <v>1.18E-2</v>
      </c>
      <c r="AI51" s="32">
        <v>0</v>
      </c>
      <c r="AJ51" s="32">
        <v>2.3E-3</v>
      </c>
      <c r="AK51" s="32">
        <v>0</v>
      </c>
      <c r="AL51" s="32">
        <v>2.1299999999999999E-2</v>
      </c>
      <c r="AM51" s="32">
        <v>0.20069999999999999</v>
      </c>
      <c r="AN51" s="32">
        <v>25.364899999999999</v>
      </c>
      <c r="AO51" s="32">
        <f t="shared" si="125"/>
        <v>3.0871999999999993</v>
      </c>
      <c r="AP51" s="49">
        <v>1.8536224319988981E-3</v>
      </c>
      <c r="AQ51" s="49">
        <v>9.7389052971285917E-3</v>
      </c>
      <c r="AR51" s="49">
        <v>0</v>
      </c>
      <c r="AS51" s="49">
        <v>3.6284107108008638E-3</v>
      </c>
      <c r="AT51" s="49">
        <v>0</v>
      </c>
      <c r="AU51" s="49">
        <v>1.3109112706272266E-2</v>
      </c>
      <c r="AV51" s="49">
        <v>0.12352107606332596</v>
      </c>
      <c r="AW51" s="32">
        <f t="shared" ref="AW51:AW52" si="126">100*((V51+X51+AP51*6+AQ51*3+AR51*2+AS51*2+AT51*3+AU51*4+AV51*5)/(6*W51))</f>
        <v>111.87516220879333</v>
      </c>
    </row>
    <row r="52" spans="1:49" s="32" customFormat="1" x14ac:dyDescent="0.2">
      <c r="A52" s="32">
        <v>24</v>
      </c>
      <c r="B52" s="32" t="s">
        <v>66</v>
      </c>
      <c r="C52" s="32" t="s">
        <v>54</v>
      </c>
      <c r="D52" s="32">
        <v>116</v>
      </c>
      <c r="E52" s="33">
        <v>44546</v>
      </c>
      <c r="F52" s="32">
        <v>1</v>
      </c>
      <c r="G52" s="32">
        <v>8</v>
      </c>
      <c r="H52" s="32">
        <v>3</v>
      </c>
      <c r="I52" s="32">
        <v>470</v>
      </c>
      <c r="J52" s="32">
        <v>50</v>
      </c>
      <c r="K52" s="32">
        <v>0.1</v>
      </c>
      <c r="L52" s="34">
        <f t="shared" si="120"/>
        <v>0.10638297872340426</v>
      </c>
      <c r="M52" s="32">
        <v>1.34</v>
      </c>
      <c r="N52" s="32">
        <v>1.5960000000000008</v>
      </c>
      <c r="O52" s="35">
        <v>0.21</v>
      </c>
      <c r="P52" s="35">
        <v>0.04</v>
      </c>
      <c r="Q52" s="32">
        <f t="shared" si="121"/>
        <v>2.0816326530612246</v>
      </c>
      <c r="R52" s="32">
        <v>20.9</v>
      </c>
      <c r="S52" s="32">
        <v>20.5</v>
      </c>
      <c r="T52" s="32">
        <f t="shared" ref="T52" si="127">(30/24.5)*(R52-S52)*0.01*1000</f>
        <v>4.8979591836734517</v>
      </c>
      <c r="U52" s="32">
        <f t="shared" ref="U52" si="128">T52/(N52*I52)*1000</f>
        <v>6.5295675140956773</v>
      </c>
      <c r="V52" s="32">
        <f>Q52/(N52*I52)*1000</f>
        <v>2.7750661934906726</v>
      </c>
      <c r="W52" s="32">
        <f>(AO52*1000/180.2)*L52/N52</f>
        <v>1.1430653522369452</v>
      </c>
      <c r="X52" s="32">
        <f>N52/23*1000*L52/N52</f>
        <v>4.6253469010175765</v>
      </c>
      <c r="Y52" s="32">
        <f t="shared" si="124"/>
        <v>107.90303284097536</v>
      </c>
      <c r="Z52" s="38">
        <v>1.6694023251189356E-2</v>
      </c>
      <c r="AA52" s="35">
        <v>10.021283256331222</v>
      </c>
      <c r="AB52" s="35">
        <v>1.2595507379809849</v>
      </c>
      <c r="AC52" s="35">
        <v>1.3722874672682983</v>
      </c>
      <c r="AD52" s="35">
        <v>9.9194402472960785</v>
      </c>
      <c r="AE52" s="35">
        <v>30.714760508919859</v>
      </c>
      <c r="AF52" s="32">
        <v>7.6E-3</v>
      </c>
      <c r="AG52" s="32">
        <v>22.274699999999999</v>
      </c>
      <c r="AH52" s="39">
        <v>0.01</v>
      </c>
      <c r="AI52" s="32">
        <v>0</v>
      </c>
      <c r="AJ52" s="32">
        <v>1.04E-2</v>
      </c>
      <c r="AK52" s="32">
        <v>0</v>
      </c>
      <c r="AL52" s="32">
        <v>1.6500000000000001E-2</v>
      </c>
      <c r="AM52" s="32">
        <v>0.18129999999999999</v>
      </c>
      <c r="AN52" s="32">
        <v>25.364899999999999</v>
      </c>
      <c r="AO52" s="32">
        <f t="shared" si="125"/>
        <v>3.0901999999999994</v>
      </c>
      <c r="AP52" s="49">
        <v>2.6367638242415911E-3</v>
      </c>
      <c r="AQ52" s="49">
        <v>7.5693847043372259E-3</v>
      </c>
      <c r="AR52" s="49">
        <v>0</v>
      </c>
      <c r="AS52" s="49">
        <v>1.5047154715573987E-2</v>
      </c>
      <c r="AT52" s="49">
        <v>0</v>
      </c>
      <c r="AU52" s="49">
        <v>9.3134391409560036E-3</v>
      </c>
      <c r="AV52" s="49">
        <v>0.10233494037911052</v>
      </c>
      <c r="AW52" s="32">
        <f t="shared" si="126"/>
        <v>116.90735185243078</v>
      </c>
    </row>
    <row r="53" spans="1:49" s="32" customFormat="1" x14ac:dyDescent="0.2">
      <c r="K53" s="32" t="s">
        <v>66</v>
      </c>
      <c r="L53" s="34">
        <f>AVERAGE(L50:L52)</f>
        <v>0.10419682057220052</v>
      </c>
      <c r="M53" s="34">
        <f t="shared" ref="M53:AW53" si="129">AVERAGE(M50:M52)</f>
        <v>1.3266666666666669</v>
      </c>
      <c r="N53" s="34">
        <f t="shared" si="129"/>
        <v>1.4826666666666666</v>
      </c>
      <c r="O53" s="34">
        <f t="shared" si="129"/>
        <v>0.20666666666666667</v>
      </c>
      <c r="P53" s="34">
        <f t="shared" si="129"/>
        <v>3.6666666666666674E-2</v>
      </c>
      <c r="Q53" s="34">
        <f t="shared" si="129"/>
        <v>2.0816326530612246</v>
      </c>
      <c r="R53" s="34">
        <f t="shared" si="129"/>
        <v>20.895</v>
      </c>
      <c r="S53" s="34">
        <f t="shared" si="129"/>
        <v>20.52</v>
      </c>
      <c r="T53" s="34">
        <f t="shared" si="129"/>
        <v>4.591836734693878</v>
      </c>
      <c r="U53" s="34">
        <f t="shared" si="129"/>
        <v>6.3478540017203082</v>
      </c>
      <c r="V53" s="34">
        <f t="shared" si="129"/>
        <v>2.9325555218636379</v>
      </c>
      <c r="W53" s="34">
        <f t="shared" si="129"/>
        <v>1.1464436653584047</v>
      </c>
      <c r="X53" s="34">
        <f t="shared" si="129"/>
        <v>4.5302965466174134</v>
      </c>
      <c r="Y53" s="34">
        <f t="shared" si="129"/>
        <v>108.89286960541926</v>
      </c>
      <c r="Z53" s="34">
        <f t="shared" si="129"/>
        <v>1.7596708664456145E-2</v>
      </c>
      <c r="AA53" s="34">
        <f t="shared" si="129"/>
        <v>10.411336911180776</v>
      </c>
      <c r="AB53" s="34">
        <f t="shared" si="129"/>
        <v>1.8362213232096887</v>
      </c>
      <c r="AC53" s="34">
        <f t="shared" si="129"/>
        <v>1.8021466167123201</v>
      </c>
      <c r="AD53" s="34">
        <f t="shared" si="129"/>
        <v>8.7039799081834275</v>
      </c>
      <c r="AE53" s="34">
        <f t="shared" si="129"/>
        <v>29.316752910283125</v>
      </c>
      <c r="AF53" s="34">
        <f t="shared" si="129"/>
        <v>8.4999999999999989E-3</v>
      </c>
      <c r="AG53" s="34">
        <f t="shared" si="129"/>
        <v>22.428100000000001</v>
      </c>
      <c r="AH53" s="34">
        <f t="shared" si="129"/>
        <v>1.0833333333333334E-2</v>
      </c>
      <c r="AI53" s="34">
        <f t="shared" si="129"/>
        <v>0</v>
      </c>
      <c r="AJ53" s="34">
        <f t="shared" si="129"/>
        <v>9.4999999999999998E-3</v>
      </c>
      <c r="AK53" s="34">
        <f t="shared" si="129"/>
        <v>0</v>
      </c>
      <c r="AL53" s="34">
        <f t="shared" si="129"/>
        <v>1.9233333333333335E-2</v>
      </c>
      <c r="AM53" s="34">
        <f t="shared" si="129"/>
        <v>0.19696666666666665</v>
      </c>
      <c r="AN53" s="34">
        <f t="shared" si="129"/>
        <v>25.364899999999995</v>
      </c>
      <c r="AO53" s="34">
        <f t="shared" si="129"/>
        <v>2.9367999999999994</v>
      </c>
      <c r="AP53" s="34">
        <f t="shared" si="129"/>
        <v>3.1193551097403404E-3</v>
      </c>
      <c r="AQ53" s="34">
        <f t="shared" si="129"/>
        <v>8.6831247203256745E-3</v>
      </c>
      <c r="AR53" s="34">
        <f t="shared" si="129"/>
        <v>0</v>
      </c>
      <c r="AS53" s="34">
        <f t="shared" si="129"/>
        <v>1.444908855651305E-2</v>
      </c>
      <c r="AT53" s="34">
        <f t="shared" si="129"/>
        <v>0</v>
      </c>
      <c r="AU53" s="34">
        <f t="shared" si="129"/>
        <v>1.151509140274018E-2</v>
      </c>
      <c r="AV53" s="34">
        <f t="shared" si="129"/>
        <v>0.11770471404381526</v>
      </c>
      <c r="AW53" s="34">
        <f t="shared" si="129"/>
        <v>119.26931310425171</v>
      </c>
    </row>
    <row r="54" spans="1:49" s="32" customFormat="1" x14ac:dyDescent="0.2">
      <c r="L54" s="32">
        <f>STDEV(L50:L52)</f>
        <v>2.1712382443481574E-3</v>
      </c>
      <c r="M54" s="32">
        <f t="shared" ref="M54:AW54" si="130">STDEV(M50:M52)</f>
        <v>4.1633319989322688E-2</v>
      </c>
      <c r="N54" s="32">
        <f t="shared" si="130"/>
        <v>0.10058495580022646</v>
      </c>
      <c r="O54" s="32">
        <f t="shared" si="130"/>
        <v>5.7735026918962467E-3</v>
      </c>
      <c r="P54" s="32">
        <f t="shared" si="130"/>
        <v>5.7735026918962588E-3</v>
      </c>
      <c r="Q54" s="32">
        <f t="shared" si="130"/>
        <v>0.12244897959183665</v>
      </c>
      <c r="R54" s="32">
        <f t="shared" si="130"/>
        <v>7.0710678118640685E-3</v>
      </c>
      <c r="S54" s="32">
        <f t="shared" si="130"/>
        <v>2.8284271247461298E-2</v>
      </c>
      <c r="T54" s="34">
        <f t="shared" si="130"/>
        <v>0.43292251909377966</v>
      </c>
      <c r="U54" s="34">
        <f t="shared" si="130"/>
        <v>0.25698171366769812</v>
      </c>
      <c r="V54" s="32">
        <f t="shared" si="130"/>
        <v>0.23591473452426648</v>
      </c>
      <c r="W54" s="32">
        <f t="shared" si="130"/>
        <v>9.7047305045004181E-2</v>
      </c>
      <c r="X54" s="32">
        <f t="shared" si="130"/>
        <v>9.4401662797745992E-2</v>
      </c>
      <c r="Y54" s="34">
        <f t="shared" si="130"/>
        <v>7.169927256763958</v>
      </c>
      <c r="Z54" s="32">
        <f t="shared" si="130"/>
        <v>8.2107689017901341E-4</v>
      </c>
      <c r="AA54" s="32">
        <f t="shared" si="130"/>
        <v>1.2596040388550804</v>
      </c>
      <c r="AB54" s="32">
        <f t="shared" si="130"/>
        <v>0.53906950670582277</v>
      </c>
      <c r="AC54" s="32">
        <f t="shared" si="130"/>
        <v>0.37412526946721181</v>
      </c>
      <c r="AD54" s="32">
        <f t="shared" si="130"/>
        <v>1.1157755818124571</v>
      </c>
      <c r="AE54" s="32">
        <f t="shared" si="130"/>
        <v>1.6271977348587177</v>
      </c>
      <c r="AF54" s="32">
        <f t="shared" si="130"/>
        <v>4.1243181254602577E-3</v>
      </c>
      <c r="AG54" s="32">
        <f t="shared" si="130"/>
        <v>0.26310279359976407</v>
      </c>
      <c r="AH54" s="32">
        <f t="shared" si="130"/>
        <v>9.073771725877464E-4</v>
      </c>
      <c r="AI54" s="32">
        <f t="shared" si="130"/>
        <v>0</v>
      </c>
      <c r="AJ54" s="32">
        <f t="shared" si="130"/>
        <v>6.7948509917436766E-3</v>
      </c>
      <c r="AK54" s="32">
        <f t="shared" si="130"/>
        <v>0</v>
      </c>
      <c r="AL54" s="32">
        <f t="shared" si="130"/>
        <v>2.4684678108764821E-3</v>
      </c>
      <c r="AM54" s="32">
        <f t="shared" si="130"/>
        <v>1.4173684536257095E-2</v>
      </c>
      <c r="AN54" s="32">
        <f t="shared" si="130"/>
        <v>4.3511678576336583E-15</v>
      </c>
      <c r="AO54" s="32">
        <f t="shared" si="130"/>
        <v>0.26310279359976407</v>
      </c>
      <c r="AP54" s="32">
        <f t="shared" si="130"/>
        <v>1.563907005032868E-3</v>
      </c>
      <c r="AQ54" s="32">
        <f t="shared" si="130"/>
        <v>1.0859209792058885E-3</v>
      </c>
      <c r="AR54" s="32">
        <f t="shared" si="130"/>
        <v>0</v>
      </c>
      <c r="AS54" s="32">
        <f t="shared" si="130"/>
        <v>1.0534385171127909E-2</v>
      </c>
      <c r="AT54" s="32">
        <f t="shared" si="130"/>
        <v>0</v>
      </c>
      <c r="AU54" s="32">
        <f t="shared" si="130"/>
        <v>1.9694405270735986E-3</v>
      </c>
      <c r="AV54" s="32">
        <f t="shared" si="130"/>
        <v>1.3441125021901765E-2</v>
      </c>
      <c r="AW54" s="34">
        <f t="shared" si="130"/>
        <v>8.8157260804258968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D82-743E-4531-A6C7-AFFA05AD9981}">
  <dimension ref="A1:AQ17"/>
  <sheetViews>
    <sheetView workbookViewId="0">
      <selection activeCell="A3" sqref="A3"/>
    </sheetView>
  </sheetViews>
  <sheetFormatPr baseColWidth="10" defaultColWidth="9" defaultRowHeight="16" x14ac:dyDescent="0.2"/>
  <cols>
    <col min="1" max="1" width="9" style="40"/>
    <col min="2" max="2" width="92" style="40" customWidth="1"/>
    <col min="3" max="4" width="9" style="40"/>
    <col min="5" max="5" width="13.6640625" style="40" customWidth="1"/>
    <col min="6" max="6" width="9" style="40"/>
    <col min="7" max="7" width="18.83203125" style="40" customWidth="1"/>
    <col min="8" max="8" width="11.5" style="40" customWidth="1"/>
    <col min="9" max="9" width="12.33203125" style="40" customWidth="1"/>
    <col min="10" max="14" width="9" style="40"/>
    <col min="15" max="15" width="12.33203125" style="40" customWidth="1"/>
    <col min="16" max="16" width="15.1640625" style="40" customWidth="1"/>
    <col min="17" max="24" width="14.5" style="40" customWidth="1"/>
    <col min="25" max="26" width="12.1640625" style="40" customWidth="1"/>
    <col min="27" max="27" width="11.1640625" style="40" customWidth="1"/>
    <col min="28" max="28" width="11" style="40" customWidth="1"/>
    <col min="29" max="16384" width="9" style="40"/>
  </cols>
  <sheetData>
    <row r="1" spans="1:43" x14ac:dyDescent="0.2">
      <c r="D1" s="41" t="s">
        <v>71</v>
      </c>
      <c r="E1" s="94" t="s">
        <v>72</v>
      </c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</row>
    <row r="2" spans="1:43" s="42" customFormat="1" ht="79.5" customHeight="1" x14ac:dyDescent="0.2">
      <c r="D2" s="42" t="s">
        <v>73</v>
      </c>
      <c r="E2" s="42" t="s">
        <v>11</v>
      </c>
      <c r="F2" s="42" t="s">
        <v>12</v>
      </c>
      <c r="G2" s="42" t="s">
        <v>74</v>
      </c>
      <c r="H2" s="42" t="s">
        <v>15</v>
      </c>
      <c r="I2" s="42" t="s">
        <v>16</v>
      </c>
      <c r="J2" s="42" t="s">
        <v>17</v>
      </c>
      <c r="K2" s="56" t="s">
        <v>18</v>
      </c>
      <c r="L2" s="56" t="s">
        <v>19</v>
      </c>
      <c r="M2" s="56" t="s">
        <v>20</v>
      </c>
      <c r="N2" s="42" t="s">
        <v>21</v>
      </c>
      <c r="O2" s="42" t="s">
        <v>22</v>
      </c>
      <c r="P2" s="42" t="s">
        <v>23</v>
      </c>
      <c r="Q2" s="42" t="s">
        <v>24</v>
      </c>
      <c r="R2" s="42" t="s">
        <v>42</v>
      </c>
      <c r="S2" s="42" t="s">
        <v>43</v>
      </c>
      <c r="T2" s="42" t="s">
        <v>44</v>
      </c>
      <c r="U2" s="42" t="s">
        <v>45</v>
      </c>
      <c r="V2" s="42" t="s">
        <v>46</v>
      </c>
      <c r="W2" s="42" t="s">
        <v>47</v>
      </c>
      <c r="X2" s="42" t="s">
        <v>48</v>
      </c>
      <c r="Y2" s="42" t="s">
        <v>68</v>
      </c>
      <c r="Z2" s="42" t="s">
        <v>25</v>
      </c>
      <c r="AA2" s="42" t="s">
        <v>75</v>
      </c>
      <c r="AB2" s="42" t="s">
        <v>76</v>
      </c>
      <c r="AC2" s="42" t="s">
        <v>28</v>
      </c>
      <c r="AD2" s="42" t="s">
        <v>29</v>
      </c>
      <c r="AE2" s="42" t="s">
        <v>30</v>
      </c>
      <c r="AF2" s="42" t="s">
        <v>31</v>
      </c>
      <c r="AG2" s="43" t="s">
        <v>33</v>
      </c>
      <c r="AH2" s="43" t="s">
        <v>32</v>
      </c>
      <c r="AI2" s="43" t="s">
        <v>34</v>
      </c>
      <c r="AJ2" s="43" t="s">
        <v>35</v>
      </c>
      <c r="AK2" s="43" t="s">
        <v>36</v>
      </c>
      <c r="AL2" s="43" t="s">
        <v>37</v>
      </c>
      <c r="AM2" s="43" t="s">
        <v>38</v>
      </c>
      <c r="AN2" s="57" t="s">
        <v>41</v>
      </c>
      <c r="AO2" s="43" t="s">
        <v>39</v>
      </c>
      <c r="AP2" s="43" t="s">
        <v>77</v>
      </c>
      <c r="AQ2" s="42" t="s">
        <v>78</v>
      </c>
    </row>
    <row r="3" spans="1:43" x14ac:dyDescent="0.2">
      <c r="A3" s="40" t="s">
        <v>65</v>
      </c>
      <c r="B3" s="45" t="s">
        <v>79</v>
      </c>
      <c r="C3" s="40" t="s">
        <v>80</v>
      </c>
      <c r="D3" s="44">
        <v>0.28511388888888889</v>
      </c>
      <c r="E3" s="44">
        <v>0.10274943310657597</v>
      </c>
      <c r="F3" s="44">
        <v>2.2933333333333334</v>
      </c>
      <c r="G3" s="44">
        <v>2.4186666666666667</v>
      </c>
      <c r="H3" s="44">
        <v>0.22666666666666668</v>
      </c>
      <c r="I3" s="44">
        <v>0.03</v>
      </c>
      <c r="J3" s="44">
        <v>2.4081632653061233</v>
      </c>
      <c r="K3" s="44">
        <v>20.826666666666664</v>
      </c>
      <c r="L3" s="44">
        <v>20.513333333333335</v>
      </c>
      <c r="M3" s="44">
        <v>3.836734693877542</v>
      </c>
      <c r="N3" s="44">
        <v>2.3173276402759639</v>
      </c>
      <c r="O3" s="44">
        <v>2.0611190344509009</v>
      </c>
      <c r="P3" s="44">
        <v>1.0435269370550675</v>
      </c>
      <c r="Q3" s="44">
        <v>4.4673666568076511</v>
      </c>
      <c r="R3" s="50">
        <v>7.7298574585497697E-4</v>
      </c>
      <c r="S3" s="50">
        <v>0</v>
      </c>
      <c r="T3" s="50">
        <v>0</v>
      </c>
      <c r="U3" s="50">
        <v>1.1918442079072571E-2</v>
      </c>
      <c r="V3" s="50">
        <v>0</v>
      </c>
      <c r="W3" s="50">
        <v>0</v>
      </c>
      <c r="X3" s="50">
        <v>0</v>
      </c>
      <c r="Y3" s="44">
        <v>105.48094963478324</v>
      </c>
      <c r="Z3" s="44">
        <v>105.956738084362</v>
      </c>
      <c r="AA3" s="44">
        <v>6.0286637702861946E-2</v>
      </c>
      <c r="AB3" s="44">
        <v>40.77687256813757</v>
      </c>
      <c r="AC3" s="44">
        <v>18.579755229238994</v>
      </c>
      <c r="AD3" s="44">
        <v>13.460994977967525</v>
      </c>
      <c r="AE3" s="44">
        <v>143.98991887665829</v>
      </c>
      <c r="AF3" s="44">
        <v>72.019286205336186</v>
      </c>
      <c r="AG3" s="44">
        <v>20.681266666666669</v>
      </c>
      <c r="AH3" s="44">
        <v>3.4333333333333334E-3</v>
      </c>
      <c r="AI3" s="44">
        <v>0</v>
      </c>
      <c r="AJ3" s="44">
        <v>0</v>
      </c>
      <c r="AK3" s="44">
        <v>1.3166666666666667E-2</v>
      </c>
      <c r="AL3" s="44">
        <v>0</v>
      </c>
      <c r="AM3" s="44">
        <v>0</v>
      </c>
      <c r="AN3" s="44">
        <v>0</v>
      </c>
      <c r="AO3" s="44">
        <v>25.0565</v>
      </c>
      <c r="AP3" s="44">
        <v>4.375233333333334</v>
      </c>
      <c r="AQ3" s="44">
        <v>167.08888888888887</v>
      </c>
    </row>
    <row r="4" spans="1:43" x14ac:dyDescent="0.2">
      <c r="B4" s="45"/>
      <c r="C4" s="40" t="s">
        <v>81</v>
      </c>
      <c r="D4" s="44">
        <v>6.4791336190653959E-3</v>
      </c>
      <c r="E4" s="44">
        <v>1.2273602661344099E-3</v>
      </c>
      <c r="F4" s="44">
        <v>0.25716402029314545</v>
      </c>
      <c r="G4" s="44">
        <v>0.29539352283578207</v>
      </c>
      <c r="H4" s="44">
        <v>5.7735026918962632E-3</v>
      </c>
      <c r="I4" s="44">
        <v>0</v>
      </c>
      <c r="J4" s="44">
        <v>7.0695951329342005E-2</v>
      </c>
      <c r="K4" s="44">
        <v>5.7735026918951087E-3</v>
      </c>
      <c r="L4" s="44">
        <v>9.2915732431776768E-2</v>
      </c>
      <c r="M4" s="44">
        <v>1.1110740888829738</v>
      </c>
      <c r="N4" s="44">
        <v>0.71836419419863573</v>
      </c>
      <c r="O4" s="44">
        <v>0.18200075842384927</v>
      </c>
      <c r="P4" s="44">
        <v>0.1539775101631228</v>
      </c>
      <c r="Q4" s="44">
        <v>5.3363489831930733E-2</v>
      </c>
      <c r="R4" s="50">
        <v>1.7796936991956388E-4</v>
      </c>
      <c r="S4" s="50">
        <v>0</v>
      </c>
      <c r="T4" s="50">
        <v>0</v>
      </c>
      <c r="U4" s="50">
        <v>1.6636860579277754E-2</v>
      </c>
      <c r="V4" s="50">
        <v>0</v>
      </c>
      <c r="W4" s="50">
        <v>0</v>
      </c>
      <c r="X4" s="50">
        <v>0</v>
      </c>
      <c r="Y4" s="44">
        <v>12.322392425834353</v>
      </c>
      <c r="Z4" s="44">
        <v>12.528524012750227</v>
      </c>
      <c r="AA4" s="44">
        <v>9.7002526990509156E-3</v>
      </c>
      <c r="AB4" s="44">
        <v>8.2465772809088307</v>
      </c>
      <c r="AC4" s="44">
        <v>0.69000207149340975</v>
      </c>
      <c r="AD4" s="44">
        <v>4.5281606867361912</v>
      </c>
      <c r="AE4" s="44">
        <v>18.446959503836915</v>
      </c>
      <c r="AF4" s="44">
        <v>7.0318588731208962</v>
      </c>
      <c r="AG4" s="44">
        <v>0.14516632988862566</v>
      </c>
      <c r="AH4" s="44">
        <v>4.0414518843273796E-4</v>
      </c>
      <c r="AI4" s="44">
        <v>0</v>
      </c>
      <c r="AJ4" s="44">
        <v>0</v>
      </c>
      <c r="AK4" s="44">
        <v>1.8561878496890699E-2</v>
      </c>
      <c r="AL4" s="44">
        <v>0</v>
      </c>
      <c r="AM4" s="44">
        <v>0</v>
      </c>
      <c r="AN4" s="44">
        <v>0</v>
      </c>
      <c r="AO4" s="44">
        <v>0</v>
      </c>
      <c r="AP4" s="44">
        <v>0.14516632988862568</v>
      </c>
      <c r="AQ4" s="44">
        <v>24.053761159659171</v>
      </c>
    </row>
    <row r="5" spans="1:43" x14ac:dyDescent="0.2">
      <c r="A5" s="40" t="s">
        <v>50</v>
      </c>
      <c r="B5" s="45" t="s">
        <v>82</v>
      </c>
      <c r="C5" s="40" t="s">
        <v>80</v>
      </c>
      <c r="D5" s="44">
        <v>0.28438472222222222</v>
      </c>
      <c r="E5" s="44">
        <v>0.10428743961352656</v>
      </c>
      <c r="F5" s="44">
        <v>3.0466666666666669</v>
      </c>
      <c r="G5" s="44">
        <v>1.9613333333333343</v>
      </c>
      <c r="H5" s="44">
        <v>0.20666666666666667</v>
      </c>
      <c r="I5" s="44">
        <v>0.03</v>
      </c>
      <c r="J5" s="44">
        <v>2.1632653061224492</v>
      </c>
      <c r="K5" s="44">
        <v>20.96</v>
      </c>
      <c r="L5" s="44">
        <v>20.539999999999996</v>
      </c>
      <c r="M5" s="44">
        <v>5.1428571428571637</v>
      </c>
      <c r="N5" s="44">
        <v>6.3868296243536635</v>
      </c>
      <c r="O5" s="44">
        <v>2.2999059683422316</v>
      </c>
      <c r="P5" s="44">
        <v>1.3387433065091772</v>
      </c>
      <c r="Q5" s="44">
        <v>4.5342365049359383</v>
      </c>
      <c r="R5" s="50">
        <v>9.0474542442535476E-4</v>
      </c>
      <c r="S5" s="50">
        <v>0</v>
      </c>
      <c r="T5" s="50">
        <v>0</v>
      </c>
      <c r="U5" s="50">
        <v>0.12623135764988455</v>
      </c>
      <c r="V5" s="50">
        <v>0</v>
      </c>
      <c r="W5" s="50">
        <v>0</v>
      </c>
      <c r="X5" s="50">
        <v>0</v>
      </c>
      <c r="Y5" s="44">
        <v>85.169728942079473</v>
      </c>
      <c r="Z5" s="44">
        <v>88.413855089759281</v>
      </c>
      <c r="AA5" s="44">
        <v>7.3966534094040193E-2</v>
      </c>
      <c r="AB5" s="44">
        <v>37.628733816742233</v>
      </c>
      <c r="AC5" s="44">
        <v>16.692397380749796</v>
      </c>
      <c r="AD5" s="44">
        <v>15.685381570146426</v>
      </c>
      <c r="AE5" s="44">
        <v>154.57209211767258</v>
      </c>
      <c r="AF5" s="44">
        <v>65.470656307741351</v>
      </c>
      <c r="AG5" s="44">
        <v>20.762133333333335</v>
      </c>
      <c r="AH5" s="44">
        <v>3.2999999999999995E-3</v>
      </c>
      <c r="AI5" s="44">
        <v>0</v>
      </c>
      <c r="AJ5" s="44">
        <v>0</v>
      </c>
      <c r="AK5" s="44">
        <v>0.10856666666666666</v>
      </c>
      <c r="AL5" s="44">
        <v>0</v>
      </c>
      <c r="AM5" s="44">
        <v>0</v>
      </c>
      <c r="AN5" s="44">
        <v>0</v>
      </c>
      <c r="AO5" s="44">
        <v>25.305599999999998</v>
      </c>
      <c r="AP5" s="44">
        <v>4.5434666666666663</v>
      </c>
      <c r="AQ5" s="44">
        <v>201.42222222222219</v>
      </c>
    </row>
    <row r="6" spans="1:43" x14ac:dyDescent="0.2">
      <c r="B6" s="45"/>
      <c r="C6" s="40" t="s">
        <v>81</v>
      </c>
      <c r="D6" s="44">
        <v>1.1040022938449084E-2</v>
      </c>
      <c r="E6" s="44">
        <v>4.3490839565291841E-3</v>
      </c>
      <c r="F6" s="44">
        <v>0.10066445913694341</v>
      </c>
      <c r="G6" s="44">
        <v>2.2120880030715766E-2</v>
      </c>
      <c r="H6" s="44">
        <v>5.7735026918962467E-3</v>
      </c>
      <c r="I6" s="44">
        <v>0</v>
      </c>
      <c r="J6" s="44">
        <v>7.0695951329341755E-2</v>
      </c>
      <c r="K6" s="44">
        <v>0</v>
      </c>
      <c r="L6" s="44">
        <v>4.5825756949558587E-2</v>
      </c>
      <c r="M6" s="44">
        <v>0.5611317177496975</v>
      </c>
      <c r="N6" s="44">
        <v>0.59531089603939313</v>
      </c>
      <c r="O6" s="44">
        <v>0.10189385391586225</v>
      </c>
      <c r="P6" s="44">
        <v>3.3085893027753478E-2</v>
      </c>
      <c r="Q6" s="44">
        <v>0.18909060680561646</v>
      </c>
      <c r="R6" s="50">
        <v>3.2197951482027459E-4</v>
      </c>
      <c r="S6" s="50">
        <v>0</v>
      </c>
      <c r="T6" s="50">
        <v>0</v>
      </c>
      <c r="U6" s="50">
        <v>7.8043753722679937E-2</v>
      </c>
      <c r="V6" s="50">
        <v>0</v>
      </c>
      <c r="W6" s="50">
        <v>0</v>
      </c>
      <c r="X6" s="50">
        <v>0</v>
      </c>
      <c r="Y6" s="44">
        <v>5.5609711530311348</v>
      </c>
      <c r="Z6" s="44">
        <v>7.500862486619992</v>
      </c>
      <c r="AA6" s="44">
        <v>1.0480746559946385E-2</v>
      </c>
      <c r="AB6" s="44">
        <v>5.571312813141498</v>
      </c>
      <c r="AC6" s="44">
        <v>1.9502349035995001</v>
      </c>
      <c r="AD6" s="44">
        <v>3.3916837695755979</v>
      </c>
      <c r="AE6" s="44">
        <v>26.294968499165869</v>
      </c>
      <c r="AF6" s="44">
        <v>3.9340433914571498</v>
      </c>
      <c r="AG6" s="44">
        <v>0.25853752790133411</v>
      </c>
      <c r="AH6" s="44">
        <v>1.3076696830622019E-3</v>
      </c>
      <c r="AI6" s="44">
        <v>0</v>
      </c>
      <c r="AJ6" s="44">
        <v>0</v>
      </c>
      <c r="AK6" s="44">
        <v>6.4110399572404234E-2</v>
      </c>
      <c r="AL6" s="44">
        <v>0</v>
      </c>
      <c r="AM6" s="44">
        <v>0</v>
      </c>
      <c r="AN6" s="44">
        <v>0</v>
      </c>
      <c r="AO6" s="44">
        <v>0</v>
      </c>
      <c r="AP6" s="44">
        <v>0.25853752790133411</v>
      </c>
      <c r="AQ6" s="44">
        <v>17.280732151841917</v>
      </c>
    </row>
    <row r="7" spans="1:43" x14ac:dyDescent="0.2">
      <c r="A7" s="40" t="s">
        <v>111</v>
      </c>
      <c r="B7" s="45" t="s">
        <v>83</v>
      </c>
      <c r="C7" s="40" t="s">
        <v>80</v>
      </c>
      <c r="D7" s="44">
        <v>0.19837222222222226</v>
      </c>
      <c r="E7" s="44">
        <v>0.10419682057220052</v>
      </c>
      <c r="F7" s="44">
        <v>1.6133333333333333</v>
      </c>
      <c r="G7" s="44">
        <v>1.5453333333333328</v>
      </c>
      <c r="H7" s="44">
        <v>0.22</v>
      </c>
      <c r="I7" s="44">
        <v>0.03</v>
      </c>
      <c r="J7" s="44">
        <v>2.3265306122448983</v>
      </c>
      <c r="K7" s="44">
        <v>21.12</v>
      </c>
      <c r="L7" s="44">
        <v>20.473333333333333</v>
      </c>
      <c r="M7" s="44">
        <v>7.9183673469387807</v>
      </c>
      <c r="N7" s="44">
        <v>4.819766280324977</v>
      </c>
      <c r="O7" s="44">
        <v>3.1347595349761295</v>
      </c>
      <c r="P7" s="44">
        <v>1.5012495723958532</v>
      </c>
      <c r="Q7" s="44">
        <v>4.5302965466174143</v>
      </c>
      <c r="R7" s="50">
        <v>5.1819918847651062E-3</v>
      </c>
      <c r="S7" s="50">
        <v>1.3552921774277001E-2</v>
      </c>
      <c r="T7" s="50">
        <v>0</v>
      </c>
      <c r="U7" s="50">
        <v>1.500818884433223E-2</v>
      </c>
      <c r="V7" s="50">
        <v>0</v>
      </c>
      <c r="W7" s="50">
        <v>2.8332356039131417E-4</v>
      </c>
      <c r="X7" s="50">
        <v>0</v>
      </c>
      <c r="Y7" s="44">
        <v>85.222596099932971</v>
      </c>
      <c r="Z7" s="44">
        <v>86.37003866174814</v>
      </c>
      <c r="AA7" s="44">
        <v>1.7679907819335386E-2</v>
      </c>
      <c r="AB7" s="44">
        <v>11.772205385678005</v>
      </c>
      <c r="AC7" s="44">
        <v>3.7081288185505694</v>
      </c>
      <c r="AD7" s="44">
        <v>1.8534297006513094</v>
      </c>
      <c r="AE7" s="44">
        <v>9.6410651668880902</v>
      </c>
      <c r="AF7" s="44">
        <v>27.779632410850876</v>
      </c>
      <c r="AG7" s="44">
        <v>21.496933333333335</v>
      </c>
      <c r="AH7" s="44">
        <v>1.4800000000000001E-2</v>
      </c>
      <c r="AI7" s="44">
        <v>1.77E-2</v>
      </c>
      <c r="AJ7" s="44">
        <v>0</v>
      </c>
      <c r="AK7" s="44">
        <v>1.0333333333333333E-2</v>
      </c>
      <c r="AL7" s="44">
        <v>0</v>
      </c>
      <c r="AM7" s="44">
        <v>5.0000000000000001E-4</v>
      </c>
      <c r="AN7" s="44">
        <v>0</v>
      </c>
      <c r="AO7" s="44">
        <v>25.514500000000002</v>
      </c>
      <c r="AP7" s="44">
        <v>4.0175666666666681</v>
      </c>
      <c r="AQ7" s="44">
        <v>238.58333333333334</v>
      </c>
    </row>
    <row r="8" spans="1:43" ht="21" customHeight="1" x14ac:dyDescent="0.2">
      <c r="B8" s="45"/>
      <c r="C8" s="40" t="s">
        <v>81</v>
      </c>
      <c r="D8" s="44">
        <v>1.417596773919132E-2</v>
      </c>
      <c r="E8" s="44">
        <v>2.1712382443481574E-3</v>
      </c>
      <c r="F8" s="44">
        <v>4.1633319989322688E-2</v>
      </c>
      <c r="G8" s="44">
        <v>3.6896250938724139E-2</v>
      </c>
      <c r="H8" s="44">
        <v>1.0000000000000009E-2</v>
      </c>
      <c r="I8" s="44">
        <v>0</v>
      </c>
      <c r="J8" s="44">
        <v>0.12244897959183687</v>
      </c>
      <c r="K8" s="44">
        <v>0</v>
      </c>
      <c r="L8" s="44">
        <v>0.11372481406154755</v>
      </c>
      <c r="M8" s="44">
        <v>1.3925487436107924</v>
      </c>
      <c r="N8" s="44">
        <v>1.0162552383933128</v>
      </c>
      <c r="O8" s="44">
        <v>3.2384259271925994E-2</v>
      </c>
      <c r="P8" s="44">
        <v>6.7091410606190852E-2</v>
      </c>
      <c r="Q8" s="44">
        <v>9.4401662797746436E-2</v>
      </c>
      <c r="R8" s="50">
        <v>6.4707587715073323E-4</v>
      </c>
      <c r="S8" s="50">
        <v>7.6057460443305089E-4</v>
      </c>
      <c r="T8" s="50">
        <v>0</v>
      </c>
      <c r="U8" s="50">
        <v>9.4969628577583499E-3</v>
      </c>
      <c r="V8" s="50">
        <v>0</v>
      </c>
      <c r="W8" s="50">
        <v>9.1203197649935211E-5</v>
      </c>
      <c r="X8" s="50">
        <v>0</v>
      </c>
      <c r="Y8" s="44">
        <v>4.3048564764067132</v>
      </c>
      <c r="Z8" s="44">
        <v>4.4436900858139543</v>
      </c>
      <c r="AA8" s="44">
        <v>5.0691398155638364E-3</v>
      </c>
      <c r="AB8" s="44">
        <v>4.3815250123433369</v>
      </c>
      <c r="AC8" s="44">
        <v>1.1989576349825219</v>
      </c>
      <c r="AD8" s="44">
        <v>1.6283332132646429</v>
      </c>
      <c r="AE8" s="44">
        <v>2.0456361881518994</v>
      </c>
      <c r="AF8" s="44">
        <v>7.753414767540189</v>
      </c>
      <c r="AG8" s="44">
        <v>0.31203912147891488</v>
      </c>
      <c r="AH8" s="44">
        <v>2.2649503305812251E-3</v>
      </c>
      <c r="AI8" s="44">
        <v>1.0000000000000009E-3</v>
      </c>
      <c r="AJ8" s="44">
        <v>0</v>
      </c>
      <c r="AK8" s="44">
        <v>6.7545046697247389E-3</v>
      </c>
      <c r="AL8" s="44">
        <v>0</v>
      </c>
      <c r="AM8" s="44">
        <v>1.732050807568877E-4</v>
      </c>
      <c r="AN8" s="44">
        <v>0</v>
      </c>
      <c r="AO8" s="44">
        <v>0</v>
      </c>
      <c r="AP8" s="44">
        <v>0.31203912147891488</v>
      </c>
      <c r="AQ8" s="44">
        <v>12.967298613563784</v>
      </c>
    </row>
    <row r="9" spans="1:43" x14ac:dyDescent="0.2">
      <c r="A9" s="40" t="s">
        <v>64</v>
      </c>
      <c r="B9" s="45" t="s">
        <v>84</v>
      </c>
      <c r="C9" s="40" t="s">
        <v>80</v>
      </c>
      <c r="D9" s="44">
        <v>0.2364111111111111</v>
      </c>
      <c r="E9" s="44">
        <v>0.10419682057220052</v>
      </c>
      <c r="F9" s="44">
        <v>1.86</v>
      </c>
      <c r="G9" s="44">
        <v>1.5880000000000003</v>
      </c>
      <c r="H9" s="44">
        <v>0.21666666666666667</v>
      </c>
      <c r="I9" s="44">
        <v>0.03</v>
      </c>
      <c r="J9" s="44">
        <v>2.285714285714286</v>
      </c>
      <c r="K9" s="44">
        <v>20.976666666666667</v>
      </c>
      <c r="L9" s="44">
        <v>20.033333333333335</v>
      </c>
      <c r="M9" s="44">
        <v>11.551020408163273</v>
      </c>
      <c r="N9" s="44">
        <v>7.0082396453822584</v>
      </c>
      <c r="O9" s="44">
        <v>3.0027316961462969</v>
      </c>
      <c r="P9" s="44">
        <v>1.2373847401634954</v>
      </c>
      <c r="Q9" s="44">
        <v>4.5302965466174143</v>
      </c>
      <c r="R9" s="50">
        <v>1.2024881724611108E-2</v>
      </c>
      <c r="S9" s="50">
        <v>5.1515159729772671E-3</v>
      </c>
      <c r="T9" s="50">
        <v>0</v>
      </c>
      <c r="U9" s="50">
        <v>1.7030006881312395E-2</v>
      </c>
      <c r="V9" s="50">
        <v>0</v>
      </c>
      <c r="W9" s="50">
        <v>0</v>
      </c>
      <c r="X9" s="50">
        <v>0</v>
      </c>
      <c r="Y9" s="44">
        <v>101.49877627537478</v>
      </c>
      <c r="Z9" s="44">
        <v>103.13048784745736</v>
      </c>
      <c r="AA9" s="44">
        <v>2.0746605990009354E-2</v>
      </c>
      <c r="AB9" s="44">
        <v>10.741284384960542</v>
      </c>
      <c r="AC9" s="44">
        <v>6.1589230513479718</v>
      </c>
      <c r="AD9" s="44">
        <v>1.5409818517736287</v>
      </c>
      <c r="AE9" s="44">
        <v>13.348247267565776</v>
      </c>
      <c r="AF9" s="44">
        <v>34.20456112932218</v>
      </c>
      <c r="AG9" s="44">
        <v>21.684333333333331</v>
      </c>
      <c r="AH9" s="44">
        <v>3.5300000000000005E-2</v>
      </c>
      <c r="AI9" s="44">
        <v>6.8999999999999999E-3</v>
      </c>
      <c r="AJ9" s="44">
        <v>0</v>
      </c>
      <c r="AK9" s="44">
        <v>1.2166666666666666E-2</v>
      </c>
      <c r="AL9" s="44">
        <v>0</v>
      </c>
      <c r="AM9" s="44">
        <v>0</v>
      </c>
      <c r="AN9" s="44">
        <v>0</v>
      </c>
      <c r="AO9" s="44">
        <v>25.0853</v>
      </c>
      <c r="AP9" s="44">
        <v>3.4009666666666667</v>
      </c>
      <c r="AQ9" s="44">
        <v>220.30555555555554</v>
      </c>
    </row>
    <row r="10" spans="1:43" x14ac:dyDescent="0.2">
      <c r="B10" s="45"/>
      <c r="C10" s="40" t="s">
        <v>81</v>
      </c>
      <c r="D10" s="44">
        <v>3.836303951625728E-3</v>
      </c>
      <c r="E10" s="44">
        <v>2.1712382443481574E-3</v>
      </c>
      <c r="F10" s="44">
        <v>6.9282032302755162E-2</v>
      </c>
      <c r="G10" s="44">
        <v>3.3286633954186857E-2</v>
      </c>
      <c r="H10" s="44">
        <v>5.7735026918962632E-3</v>
      </c>
      <c r="I10" s="44">
        <v>0</v>
      </c>
      <c r="J10" s="44">
        <v>7.0695951329342019E-2</v>
      </c>
      <c r="K10" s="44">
        <v>0.22120880030716145</v>
      </c>
      <c r="L10" s="44">
        <v>0.31770006819850216</v>
      </c>
      <c r="M10" s="44">
        <v>1.7201067351596186</v>
      </c>
      <c r="N10" s="44">
        <v>1.2553080169709803</v>
      </c>
      <c r="O10" s="44">
        <v>0.1929177359184612</v>
      </c>
      <c r="P10" s="44">
        <v>2.0909475670912749E-2</v>
      </c>
      <c r="Q10" s="44">
        <v>9.4401662797745547E-2</v>
      </c>
      <c r="R10" s="50">
        <v>9.4777691909185243E-4</v>
      </c>
      <c r="S10" s="50">
        <v>4.9988831578634541E-4</v>
      </c>
      <c r="T10" s="50">
        <v>0</v>
      </c>
      <c r="U10" s="50">
        <v>2.3438971653649464E-2</v>
      </c>
      <c r="V10" s="50">
        <v>0</v>
      </c>
      <c r="W10" s="50">
        <v>0</v>
      </c>
      <c r="X10" s="50">
        <v>0</v>
      </c>
      <c r="Y10" s="44">
        <v>4.7822441981245332</v>
      </c>
      <c r="Z10" s="44">
        <v>4.4742165152254145</v>
      </c>
      <c r="AA10" s="44">
        <v>3.8038272353821765E-3</v>
      </c>
      <c r="AB10" s="44">
        <v>1.1649075020137354</v>
      </c>
      <c r="AC10" s="44">
        <v>1.1843258739406519</v>
      </c>
      <c r="AD10" s="44">
        <v>0.23350618090413366</v>
      </c>
      <c r="AE10" s="44">
        <v>1.9979593703815797</v>
      </c>
      <c r="AF10" s="44">
        <v>9.4371557707109925</v>
      </c>
      <c r="AG10" s="44">
        <v>0.17455570266632209</v>
      </c>
      <c r="AH10" s="44">
        <v>4.1073105555825698E-3</v>
      </c>
      <c r="AI10" s="44">
        <v>4.0000000000000018E-4</v>
      </c>
      <c r="AJ10" s="44">
        <v>0</v>
      </c>
      <c r="AK10" s="44">
        <v>1.6695009234299132E-2</v>
      </c>
      <c r="AL10" s="44">
        <v>0</v>
      </c>
      <c r="AM10" s="44">
        <v>0</v>
      </c>
      <c r="AN10" s="44">
        <v>0</v>
      </c>
      <c r="AO10" s="44">
        <v>0</v>
      </c>
      <c r="AP10" s="44">
        <v>0.17455570266632209</v>
      </c>
      <c r="AQ10" s="44">
        <v>27.910135222677539</v>
      </c>
    </row>
    <row r="11" spans="1:43" ht="20.25" customHeight="1" x14ac:dyDescent="0.2">
      <c r="A11" s="40" t="s">
        <v>113</v>
      </c>
      <c r="B11" s="45" t="s">
        <v>85</v>
      </c>
      <c r="C11" s="40" t="s">
        <v>80</v>
      </c>
      <c r="D11" s="44">
        <v>0.16973888888888888</v>
      </c>
      <c r="E11" s="44">
        <v>0.10419682057220052</v>
      </c>
      <c r="F11" s="44">
        <v>1.3266666666666669</v>
      </c>
      <c r="G11" s="44">
        <v>1.4826666666666666</v>
      </c>
      <c r="H11" s="44">
        <v>0.20666666666666667</v>
      </c>
      <c r="I11" s="44">
        <v>3.6666666666666674E-2</v>
      </c>
      <c r="J11" s="44">
        <v>2.0816326530612246</v>
      </c>
      <c r="K11" s="44">
        <v>20.895</v>
      </c>
      <c r="L11" s="44">
        <v>20.52</v>
      </c>
      <c r="M11" s="44">
        <v>4.591836734693878</v>
      </c>
      <c r="N11" s="44">
        <v>2.7201165239439442</v>
      </c>
      <c r="O11" s="44">
        <v>2.9325555218636379</v>
      </c>
      <c r="P11" s="44">
        <v>1.1464436653584047</v>
      </c>
      <c r="Q11" s="44">
        <v>4.5302965466174134</v>
      </c>
      <c r="R11" s="50">
        <v>3.1193551097403404E-3</v>
      </c>
      <c r="S11" s="50">
        <v>8.6831247203256745E-3</v>
      </c>
      <c r="T11" s="50">
        <v>0</v>
      </c>
      <c r="U11" s="50">
        <v>1.444908855651305E-2</v>
      </c>
      <c r="V11" s="50">
        <v>0</v>
      </c>
      <c r="W11" s="50">
        <v>1.151509140274018E-2</v>
      </c>
      <c r="X11" s="50">
        <v>0.11770471404381526</v>
      </c>
      <c r="Y11" s="44">
        <v>108.89286960541926</v>
      </c>
      <c r="Z11" s="44">
        <v>119.26931310425171</v>
      </c>
      <c r="AA11" s="44">
        <v>1.7596708664456145E-2</v>
      </c>
      <c r="AB11" s="44">
        <v>10.411336911180776</v>
      </c>
      <c r="AC11" s="44">
        <v>1.8362213232096887</v>
      </c>
      <c r="AD11" s="44">
        <v>1.8021466167123201</v>
      </c>
      <c r="AE11" s="44">
        <v>8.7039799081834275</v>
      </c>
      <c r="AF11" s="44">
        <v>29.316752910283125</v>
      </c>
      <c r="AG11" s="44">
        <v>22.428100000000001</v>
      </c>
      <c r="AH11" s="44">
        <v>8.4999999999999989E-3</v>
      </c>
      <c r="AI11" s="44">
        <v>1.0833333333333334E-2</v>
      </c>
      <c r="AJ11" s="44">
        <v>0</v>
      </c>
      <c r="AK11" s="44">
        <v>9.4999999999999998E-3</v>
      </c>
      <c r="AL11" s="44">
        <v>0</v>
      </c>
      <c r="AM11" s="44">
        <v>1.9233333333333335E-2</v>
      </c>
      <c r="AN11" s="44">
        <v>0.19696666666666665</v>
      </c>
      <c r="AO11" s="44">
        <v>25.364899999999995</v>
      </c>
      <c r="AP11" s="44">
        <v>2.9367999999999994</v>
      </c>
      <c r="AQ11" s="44">
        <v>251.7777777777778</v>
      </c>
    </row>
    <row r="12" spans="1:43" x14ac:dyDescent="0.2">
      <c r="C12" s="40" t="s">
        <v>81</v>
      </c>
      <c r="D12" s="44">
        <v>3.5493053490293226E-2</v>
      </c>
      <c r="E12" s="44">
        <v>2.1712382443481574E-3</v>
      </c>
      <c r="F12" s="44">
        <v>4.1633319989322688E-2</v>
      </c>
      <c r="G12" s="44">
        <v>0.10058495580022646</v>
      </c>
      <c r="H12" s="44">
        <v>5.7735026918962467E-3</v>
      </c>
      <c r="I12" s="44">
        <v>5.7735026918962588E-3</v>
      </c>
      <c r="J12" s="44">
        <v>0.12244897959183665</v>
      </c>
      <c r="K12" s="44">
        <v>7.0710678118640685E-3</v>
      </c>
      <c r="L12" s="44">
        <v>2.8284271247461298E-2</v>
      </c>
      <c r="M12" s="44">
        <v>0.43292251909377966</v>
      </c>
      <c r="N12" s="44">
        <v>0.29994174487345887</v>
      </c>
      <c r="O12" s="44">
        <v>0.23591473452426648</v>
      </c>
      <c r="P12" s="44">
        <v>9.7047305045004181E-2</v>
      </c>
      <c r="Q12" s="44">
        <v>9.4401662797745992E-2</v>
      </c>
      <c r="R12" s="50">
        <v>1.563907005032868E-3</v>
      </c>
      <c r="S12" s="50">
        <v>1.0859209792058885E-3</v>
      </c>
      <c r="T12" s="50">
        <v>0</v>
      </c>
      <c r="U12" s="50">
        <v>1.0534385171127909E-2</v>
      </c>
      <c r="V12" s="50">
        <v>0</v>
      </c>
      <c r="W12" s="50">
        <v>1.9694405270735986E-3</v>
      </c>
      <c r="X12" s="50">
        <v>1.3441125021901765E-2</v>
      </c>
      <c r="Y12" s="44">
        <v>7.169927256763958</v>
      </c>
      <c r="Z12" s="44">
        <v>8.8157260804258968</v>
      </c>
      <c r="AA12" s="44">
        <v>8.2107689017901341E-4</v>
      </c>
      <c r="AB12" s="44">
        <v>1.2596040388550804</v>
      </c>
      <c r="AC12" s="44">
        <v>0.53906950670582277</v>
      </c>
      <c r="AD12" s="44">
        <v>0.37412526946721181</v>
      </c>
      <c r="AE12" s="44">
        <v>1.1157755818124571</v>
      </c>
      <c r="AF12" s="44">
        <v>1.6271977348587177</v>
      </c>
      <c r="AG12" s="44">
        <v>0.26310279359976407</v>
      </c>
      <c r="AH12" s="44">
        <v>4.1243181254602577E-3</v>
      </c>
      <c r="AI12" s="44">
        <v>9.073771725877464E-4</v>
      </c>
      <c r="AJ12" s="44">
        <v>0</v>
      </c>
      <c r="AK12" s="44">
        <v>6.7948509917436766E-3</v>
      </c>
      <c r="AL12" s="44">
        <v>0</v>
      </c>
      <c r="AM12" s="44">
        <v>2.4684678108764821E-3</v>
      </c>
      <c r="AN12" s="44">
        <v>1.4173684536257095E-2</v>
      </c>
      <c r="AO12" s="44">
        <v>4.3511678576336583E-15</v>
      </c>
      <c r="AP12" s="44">
        <v>0.26310279359976407</v>
      </c>
      <c r="AQ12" s="44">
        <v>9.4546627728411075</v>
      </c>
    </row>
    <row r="16" spans="1:43" x14ac:dyDescent="0.2">
      <c r="J16" s="58"/>
      <c r="K16" s="58"/>
      <c r="L16" s="58"/>
      <c r="M16" s="58"/>
      <c r="N16" s="58"/>
      <c r="P16" s="58"/>
      <c r="Y16" s="58"/>
      <c r="AB16" s="58"/>
      <c r="AD16" s="58"/>
      <c r="AE16" s="58"/>
      <c r="AI16" s="58"/>
      <c r="AJ16" s="58"/>
      <c r="AK16" s="58"/>
      <c r="AM16" s="58"/>
      <c r="AN16" s="58"/>
    </row>
    <row r="17" spans="10:40" x14ac:dyDescent="0.2">
      <c r="J17" s="58"/>
      <c r="K17" s="58"/>
      <c r="L17" s="58"/>
      <c r="M17" s="58"/>
      <c r="N17" s="58"/>
      <c r="P17" s="58"/>
      <c r="Y17" s="58"/>
      <c r="AB17" s="58"/>
      <c r="AD17" s="58"/>
      <c r="AE17" s="58"/>
      <c r="AI17" s="58"/>
      <c r="AJ17" s="58"/>
      <c r="AK17" s="58"/>
      <c r="AM17" s="58"/>
      <c r="AN17" s="58"/>
    </row>
  </sheetData>
  <mergeCells count="1">
    <mergeCell ref="E1:AQ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91A5-D565-44FE-96A8-63723AA2633C}">
  <dimension ref="A1:E6"/>
  <sheetViews>
    <sheetView workbookViewId="0">
      <selection activeCell="C11" sqref="C11"/>
    </sheetView>
  </sheetViews>
  <sheetFormatPr baseColWidth="10" defaultColWidth="8.83203125" defaultRowHeight="16" x14ac:dyDescent="0.2"/>
  <cols>
    <col min="2" max="2" width="18" customWidth="1"/>
    <col min="3" max="3" width="14.1640625" customWidth="1"/>
    <col min="4" max="4" width="25.33203125" customWidth="1"/>
    <col min="5" max="5" width="21.83203125" customWidth="1"/>
  </cols>
  <sheetData>
    <row r="1" spans="1:5" x14ac:dyDescent="0.2">
      <c r="B1" t="s">
        <v>86</v>
      </c>
      <c r="E1" t="s">
        <v>87</v>
      </c>
    </row>
    <row r="2" spans="1:5" x14ac:dyDescent="0.2">
      <c r="B2" t="s">
        <v>88</v>
      </c>
      <c r="C2" t="s">
        <v>89</v>
      </c>
      <c r="D2" t="s">
        <v>90</v>
      </c>
      <c r="E2" t="s">
        <v>91</v>
      </c>
    </row>
    <row r="3" spans="1:5" x14ac:dyDescent="0.2">
      <c r="A3" t="s">
        <v>92</v>
      </c>
      <c r="B3" t="s">
        <v>93</v>
      </c>
      <c r="C3" t="s">
        <v>94</v>
      </c>
      <c r="D3" t="s">
        <v>95</v>
      </c>
      <c r="E3" s="63" t="s">
        <v>96</v>
      </c>
    </row>
    <row r="4" spans="1:5" x14ac:dyDescent="0.2">
      <c r="A4" t="s">
        <v>97</v>
      </c>
      <c r="B4" t="s">
        <v>98</v>
      </c>
      <c r="C4" t="s">
        <v>99</v>
      </c>
      <c r="D4" t="s">
        <v>100</v>
      </c>
      <c r="E4" s="63" t="s">
        <v>101</v>
      </c>
    </row>
    <row r="5" spans="1:5" x14ac:dyDescent="0.2">
      <c r="A5" t="s">
        <v>102</v>
      </c>
      <c r="B5" t="s">
        <v>103</v>
      </c>
      <c r="C5" t="s">
        <v>104</v>
      </c>
      <c r="D5" t="s">
        <v>105</v>
      </c>
      <c r="E5" s="63" t="s">
        <v>106</v>
      </c>
    </row>
    <row r="6" spans="1:5" x14ac:dyDescent="0.2">
      <c r="A6" t="s">
        <v>107</v>
      </c>
      <c r="B6" t="s">
        <v>108</v>
      </c>
      <c r="C6" t="s">
        <v>58</v>
      </c>
      <c r="D6" t="s">
        <v>109</v>
      </c>
      <c r="E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3B3-B78B-47EC-A810-2BADC07D61FC}">
  <dimension ref="A1:BC31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1" sqref="A1:XFD1048576"/>
    </sheetView>
  </sheetViews>
  <sheetFormatPr baseColWidth="10" defaultColWidth="11" defaultRowHeight="16" x14ac:dyDescent="0.2"/>
  <cols>
    <col min="1" max="1" width="14.1640625" customWidth="1"/>
    <col min="2" max="2" width="21" customWidth="1"/>
    <col min="3" max="3" width="21.1640625" customWidth="1"/>
    <col min="4" max="4" width="14.33203125" customWidth="1"/>
    <col min="5" max="5" width="14.1640625" customWidth="1"/>
    <col min="9" max="9" width="17.33203125" customWidth="1"/>
    <col min="10" max="10" width="14" customWidth="1"/>
    <col min="11" max="11" width="16.5" customWidth="1"/>
    <col min="12" max="12" width="13" customWidth="1"/>
    <col min="14" max="14" width="19.5" customWidth="1"/>
    <col min="22" max="22" width="22.5" customWidth="1"/>
    <col min="23" max="25" width="23" customWidth="1"/>
    <col min="26" max="26" width="11.33203125" customWidth="1"/>
    <col min="27" max="31" width="18.33203125" bestFit="1" customWidth="1"/>
    <col min="32" max="32" width="18.33203125" customWidth="1"/>
    <col min="40" max="40" width="16.6640625" customWidth="1"/>
    <col min="41" max="54" width="15.1640625" customWidth="1"/>
    <col min="55" max="55" width="31.1640625" customWidth="1"/>
    <col min="56" max="56" width="26.1640625" customWidth="1"/>
  </cols>
  <sheetData>
    <row r="1" spans="1:55" s="46" customFormat="1" ht="34" x14ac:dyDescent="0.2">
      <c r="A1" s="46" t="s">
        <v>0</v>
      </c>
      <c r="B1" s="47" t="s">
        <v>1</v>
      </c>
      <c r="C1" s="47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15</v>
      </c>
      <c r="P1" s="47" t="s">
        <v>16</v>
      </c>
      <c r="Q1" s="47" t="s">
        <v>17</v>
      </c>
      <c r="R1" s="47" t="s">
        <v>18</v>
      </c>
      <c r="S1" s="47" t="s">
        <v>19</v>
      </c>
      <c r="T1" s="47" t="s">
        <v>20</v>
      </c>
      <c r="U1" s="48" t="s">
        <v>21</v>
      </c>
      <c r="V1" s="48" t="s">
        <v>22</v>
      </c>
      <c r="W1" s="48" t="s">
        <v>23</v>
      </c>
      <c r="X1" s="48" t="s">
        <v>24</v>
      </c>
      <c r="Y1" s="48" t="s">
        <v>25</v>
      </c>
      <c r="Z1" s="46" t="s">
        <v>122</v>
      </c>
      <c r="AA1" s="46" t="s">
        <v>27</v>
      </c>
      <c r="AB1" s="46" t="s">
        <v>28</v>
      </c>
      <c r="AC1" s="46" t="s">
        <v>29</v>
      </c>
      <c r="AD1" s="46" t="s">
        <v>30</v>
      </c>
      <c r="AE1" s="46" t="s">
        <v>31</v>
      </c>
      <c r="AF1" s="46" t="s">
        <v>121</v>
      </c>
      <c r="AG1" s="60" t="s">
        <v>32</v>
      </c>
      <c r="AH1" s="60" t="s">
        <v>33</v>
      </c>
      <c r="AI1" s="60" t="s">
        <v>34</v>
      </c>
      <c r="AJ1" s="60" t="s">
        <v>35</v>
      </c>
      <c r="AK1" s="60" t="s">
        <v>36</v>
      </c>
      <c r="AL1" s="60" t="s">
        <v>37</v>
      </c>
      <c r="AM1" s="60" t="s">
        <v>38</v>
      </c>
      <c r="AN1" s="60" t="s">
        <v>39</v>
      </c>
      <c r="AO1" s="60" t="s">
        <v>40</v>
      </c>
      <c r="AP1" s="60" t="s">
        <v>41</v>
      </c>
      <c r="AQ1" s="60" t="s">
        <v>42</v>
      </c>
      <c r="AR1" s="60" t="s">
        <v>43</v>
      </c>
      <c r="AS1" s="60" t="s">
        <v>44</v>
      </c>
      <c r="AT1" s="60" t="s">
        <v>45</v>
      </c>
      <c r="AU1" s="60" t="s">
        <v>46</v>
      </c>
      <c r="AV1" s="60" t="s">
        <v>47</v>
      </c>
      <c r="AW1" s="60" t="s">
        <v>48</v>
      </c>
      <c r="AX1" s="60" t="s">
        <v>25</v>
      </c>
      <c r="AY1" t="s">
        <v>126</v>
      </c>
      <c r="AZ1" t="s">
        <v>127</v>
      </c>
      <c r="BA1" t="s">
        <v>128</v>
      </c>
      <c r="BC1" s="47" t="s">
        <v>49</v>
      </c>
    </row>
    <row r="2" spans="1:55" x14ac:dyDescent="0.2">
      <c r="A2">
        <v>25</v>
      </c>
      <c r="B2" t="s">
        <v>111</v>
      </c>
      <c r="C2" t="s">
        <v>54</v>
      </c>
      <c r="D2">
        <v>3</v>
      </c>
      <c r="E2" s="1">
        <v>44234</v>
      </c>
      <c r="F2">
        <v>2</v>
      </c>
      <c r="G2">
        <v>1</v>
      </c>
      <c r="H2">
        <v>1</v>
      </c>
      <c r="I2">
        <v>500</v>
      </c>
      <c r="J2">
        <v>50</v>
      </c>
      <c r="K2">
        <v>0.1</v>
      </c>
      <c r="L2" s="2">
        <f t="shared" ref="L2:L13" si="0">J2/I2</f>
        <v>0.1</v>
      </c>
      <c r="M2">
        <f>0.122*1000/20</f>
        <v>6.1</v>
      </c>
      <c r="N2" s="4">
        <v>3.3600000000000003</v>
      </c>
      <c r="O2" s="66">
        <v>0.37</v>
      </c>
      <c r="P2" s="66">
        <v>0.04</v>
      </c>
      <c r="Q2" s="66">
        <f t="shared" ref="Q2:Q10" si="1">(30/24.5)*(O2-P2)*0.01*1000</f>
        <v>4.0408163265306127</v>
      </c>
      <c r="R2" s="66">
        <v>21.12</v>
      </c>
      <c r="S2" s="66">
        <v>20.73</v>
      </c>
      <c r="T2" s="4">
        <f t="shared" ref="T2:T10" si="2">(30/24.5)*(R2-S2)*0.01*1000</f>
        <v>4.7755102040816402</v>
      </c>
      <c r="U2" s="4">
        <f t="shared" ref="U2:U8" si="3">T2/(N2*I2)*1000</f>
        <v>2.8425655976676425</v>
      </c>
      <c r="V2" s="4">
        <f t="shared" ref="V2:V16" si="4">Q2/(N2*I2)*1000</f>
        <v>2.4052478134110786</v>
      </c>
      <c r="W2" s="4">
        <f t="shared" ref="W2:W16" si="5">(AO2*1000/180.2)*L2/N2</f>
        <v>1.2131361978753767</v>
      </c>
      <c r="X2" s="4">
        <f t="shared" ref="X2:X16" si="6">N2/23*1000*L2/N2</f>
        <v>4.3478260869565224</v>
      </c>
      <c r="Y2" s="4">
        <f t="shared" ref="Y2:Y10" si="7">100*((V2+X2)/(6*W2))</f>
        <v>92.77707801474368</v>
      </c>
      <c r="Z2" s="4">
        <v>2.33614421652213</v>
      </c>
      <c r="AA2" s="4">
        <v>8.68</v>
      </c>
      <c r="AB2" s="4">
        <v>10.43</v>
      </c>
      <c r="AC2" s="4">
        <v>0.42</v>
      </c>
      <c r="AD2" s="4">
        <v>44.2</v>
      </c>
      <c r="AE2" s="4">
        <v>36.28</v>
      </c>
      <c r="AF2" s="4">
        <f t="shared" ref="AF2:AF16" si="8">Z2*N2/AO2</f>
        <v>1.0686495354128351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7.3452000000000002</v>
      </c>
      <c r="AO2" s="4">
        <f t="shared" ref="AO2:AO10" si="9">AN2-AH2</f>
        <v>7.3452000000000002</v>
      </c>
      <c r="AP2" s="4"/>
      <c r="AQ2" s="4">
        <f t="shared" ref="AQ2:AQ10" si="10">(AG2*1000/192.124)*$L2/$N2</f>
        <v>0</v>
      </c>
      <c r="AR2" s="4">
        <f t="shared" ref="AR2:AR10" si="11">(AI2*1000/88.06)*$L2/$N2</f>
        <v>0</v>
      </c>
      <c r="AS2" s="4">
        <f t="shared" ref="AS2:AS10" si="12">(AJ2*1000/60.052)*$L2/$N2</f>
        <v>0</v>
      </c>
      <c r="AT2" s="4">
        <f t="shared" ref="AT2:AT10" si="13">(AK2*1000/46.07)*$L2/$N2</f>
        <v>0</v>
      </c>
      <c r="AU2" s="4">
        <f t="shared" ref="AU2:AU10" si="14">(AL2*1000/92.09)*$L2/$N2</f>
        <v>0</v>
      </c>
      <c r="AV2" s="4">
        <f t="shared" ref="AV2:AV10" si="15">(AM2*1000/118.09)*$L2/$N2</f>
        <v>0</v>
      </c>
      <c r="AW2" s="4">
        <f t="shared" ref="AW2:AW10" si="16">(AP2*1000/118.09)*$L2/$N2</f>
        <v>0</v>
      </c>
      <c r="AX2" s="4">
        <f t="shared" ref="AX2:AX10" si="17">100*((V2+X2+AQ2*6+AR2*3+AS2*2+AT2*2+AU2*3+AV2*4+AW2*5)/(6*W2))</f>
        <v>92.77707801474368</v>
      </c>
      <c r="AY2" s="68">
        <f t="shared" ref="AY2:AY16" si="18">AO2*L2/N2</f>
        <v>0.21860714285714286</v>
      </c>
      <c r="AZ2" s="67">
        <f t="shared" ref="AZ2:AZ16" si="19">(AA2+AC2)/(AB2+AD2+AE2)</f>
        <v>0.1000989990100099</v>
      </c>
      <c r="BA2" s="67">
        <f t="shared" ref="BA2:BA16" si="20">(AA2+AB2)/(AC2+AD2+AE2)</f>
        <v>0.23621755253399257</v>
      </c>
    </row>
    <row r="3" spans="1:55" x14ac:dyDescent="0.2">
      <c r="A3">
        <v>27</v>
      </c>
      <c r="B3" t="s">
        <v>111</v>
      </c>
      <c r="C3" t="s">
        <v>54</v>
      </c>
      <c r="D3">
        <v>3</v>
      </c>
      <c r="E3" s="1">
        <v>44234</v>
      </c>
      <c r="F3">
        <v>2</v>
      </c>
      <c r="G3">
        <v>3</v>
      </c>
      <c r="H3">
        <v>3</v>
      </c>
      <c r="I3">
        <v>470</v>
      </c>
      <c r="J3">
        <v>50</v>
      </c>
      <c r="K3">
        <v>0.1</v>
      </c>
      <c r="L3" s="2">
        <f t="shared" si="0"/>
        <v>0.10638297872340426</v>
      </c>
      <c r="M3">
        <f>0.12*1000/20</f>
        <v>6</v>
      </c>
      <c r="N3" s="4">
        <v>3.6</v>
      </c>
      <c r="O3" s="66">
        <v>0.34</v>
      </c>
      <c r="P3" s="66">
        <v>0.04</v>
      </c>
      <c r="Q3" s="66">
        <f t="shared" si="1"/>
        <v>3.6734693877551026</v>
      </c>
      <c r="R3" s="66">
        <v>21.04</v>
      </c>
      <c r="S3" s="66">
        <v>20.74</v>
      </c>
      <c r="T3" s="4">
        <f t="shared" si="2"/>
        <v>3.6734693877551106</v>
      </c>
      <c r="U3" s="4">
        <f t="shared" si="3"/>
        <v>2.1710811984368266</v>
      </c>
      <c r="V3" s="4">
        <f t="shared" si="4"/>
        <v>2.1710811984368217</v>
      </c>
      <c r="W3" s="4">
        <f t="shared" si="5"/>
        <v>1.2045323950535656</v>
      </c>
      <c r="X3" s="4">
        <f t="shared" si="6"/>
        <v>4.6253469010175765</v>
      </c>
      <c r="Y3" s="4">
        <f t="shared" si="7"/>
        <v>94.039647354221643</v>
      </c>
      <c r="Z3" s="4">
        <v>2.3093917440502301</v>
      </c>
      <c r="AA3" s="4">
        <v>8.25</v>
      </c>
      <c r="AB3" s="4">
        <v>11.43</v>
      </c>
      <c r="AC3" s="4">
        <v>0.3</v>
      </c>
      <c r="AD3" s="4">
        <v>42.4</v>
      </c>
      <c r="AE3" s="4">
        <v>37.619999999999997</v>
      </c>
      <c r="AF3" s="4">
        <f t="shared" si="8"/>
        <v>1.1318698304444845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7.3452000000000002</v>
      </c>
      <c r="AO3" s="4">
        <f t="shared" si="9"/>
        <v>7.3452000000000002</v>
      </c>
      <c r="AP3" s="4"/>
      <c r="AQ3" s="4">
        <f t="shared" si="10"/>
        <v>0</v>
      </c>
      <c r="AR3" s="4">
        <f t="shared" si="11"/>
        <v>0</v>
      </c>
      <c r="AS3" s="4">
        <f t="shared" si="12"/>
        <v>0</v>
      </c>
      <c r="AT3" s="4">
        <f t="shared" si="13"/>
        <v>0</v>
      </c>
      <c r="AU3" s="4">
        <f t="shared" si="14"/>
        <v>0</v>
      </c>
      <c r="AV3" s="4">
        <f t="shared" si="15"/>
        <v>0</v>
      </c>
      <c r="AW3" s="4">
        <f t="shared" si="16"/>
        <v>0</v>
      </c>
      <c r="AX3" s="4">
        <f t="shared" si="17"/>
        <v>94.039647354221643</v>
      </c>
      <c r="AY3" s="68">
        <f t="shared" si="18"/>
        <v>0.21705673758865246</v>
      </c>
      <c r="AZ3" s="67">
        <f t="shared" si="19"/>
        <v>9.3493712411153659E-2</v>
      </c>
      <c r="BA3" s="67">
        <f t="shared" si="20"/>
        <v>0.2450199203187251</v>
      </c>
    </row>
    <row r="4" spans="1:55" x14ac:dyDescent="0.2">
      <c r="A4">
        <v>28</v>
      </c>
      <c r="B4" t="s">
        <v>111</v>
      </c>
      <c r="C4" t="s">
        <v>54</v>
      </c>
      <c r="D4">
        <v>3</v>
      </c>
      <c r="E4" s="1">
        <v>44234</v>
      </c>
      <c r="F4">
        <v>2</v>
      </c>
      <c r="G4">
        <v>4</v>
      </c>
      <c r="H4">
        <v>4</v>
      </c>
      <c r="I4">
        <v>480</v>
      </c>
      <c r="J4">
        <v>50</v>
      </c>
      <c r="K4">
        <v>0.1</v>
      </c>
      <c r="L4" s="2">
        <f t="shared" si="0"/>
        <v>0.10416666666666667</v>
      </c>
      <c r="M4">
        <f>0.122*1000/20</f>
        <v>6.1</v>
      </c>
      <c r="N4" s="4">
        <v>3.6</v>
      </c>
      <c r="O4" s="66">
        <v>0.35</v>
      </c>
      <c r="P4" s="66">
        <v>0.04</v>
      </c>
      <c r="Q4" s="66">
        <f t="shared" si="1"/>
        <v>3.795918367346939</v>
      </c>
      <c r="R4" s="66">
        <v>21.13</v>
      </c>
      <c r="S4" s="66">
        <v>20.65</v>
      </c>
      <c r="T4" s="4">
        <f t="shared" si="2"/>
        <v>5.877551020408168</v>
      </c>
      <c r="U4" s="4">
        <f t="shared" si="3"/>
        <v>3.40136054421769</v>
      </c>
      <c r="V4" s="4">
        <f t="shared" si="4"/>
        <v>2.1967120181405897</v>
      </c>
      <c r="W4" s="4">
        <f t="shared" si="5"/>
        <v>1.1794379701566162</v>
      </c>
      <c r="X4" s="4">
        <f t="shared" si="6"/>
        <v>4.5289855072463769</v>
      </c>
      <c r="Y4" s="4">
        <f t="shared" si="7"/>
        <v>95.040995451049014</v>
      </c>
      <c r="Z4" s="4">
        <v>2.8536994415010399</v>
      </c>
      <c r="AA4" s="4">
        <v>8.1300000000000008</v>
      </c>
      <c r="AB4" s="4">
        <v>11.36</v>
      </c>
      <c r="AC4" s="4">
        <v>0.3</v>
      </c>
      <c r="AD4" s="4">
        <v>42.34</v>
      </c>
      <c r="AE4" s="4">
        <v>37.869999999999997</v>
      </c>
      <c r="AF4" s="4">
        <f t="shared" si="8"/>
        <v>1.3986437386869988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7.3452000000000002</v>
      </c>
      <c r="AO4" s="4">
        <f t="shared" si="9"/>
        <v>7.3452000000000002</v>
      </c>
      <c r="AP4" s="4"/>
      <c r="AQ4" s="4">
        <f t="shared" si="10"/>
        <v>0</v>
      </c>
      <c r="AR4" s="4">
        <f t="shared" si="11"/>
        <v>0</v>
      </c>
      <c r="AS4" s="4">
        <f t="shared" si="12"/>
        <v>0</v>
      </c>
      <c r="AT4" s="4">
        <f t="shared" si="13"/>
        <v>0</v>
      </c>
      <c r="AU4" s="4">
        <f t="shared" si="14"/>
        <v>0</v>
      </c>
      <c r="AV4" s="4">
        <f t="shared" si="15"/>
        <v>0</v>
      </c>
      <c r="AW4" s="4">
        <f t="shared" si="16"/>
        <v>0</v>
      </c>
      <c r="AX4" s="4">
        <f t="shared" si="17"/>
        <v>95.040995451049014</v>
      </c>
      <c r="AY4" s="68">
        <f t="shared" si="18"/>
        <v>0.21253472222222222</v>
      </c>
      <c r="AZ4" s="67">
        <f t="shared" si="19"/>
        <v>9.2060718575952841E-2</v>
      </c>
      <c r="BA4" s="67">
        <f t="shared" si="20"/>
        <v>0.24208172897776678</v>
      </c>
    </row>
    <row r="5" spans="1:55" x14ac:dyDescent="0.2">
      <c r="A5">
        <v>37</v>
      </c>
      <c r="B5" t="s">
        <v>111</v>
      </c>
      <c r="C5" t="s">
        <v>51</v>
      </c>
      <c r="D5">
        <v>3</v>
      </c>
      <c r="E5" s="1">
        <v>44241</v>
      </c>
      <c r="F5">
        <v>2</v>
      </c>
      <c r="G5">
        <v>1</v>
      </c>
      <c r="H5">
        <v>1</v>
      </c>
      <c r="I5">
        <v>460</v>
      </c>
      <c r="J5">
        <v>50</v>
      </c>
      <c r="K5">
        <v>0.1</v>
      </c>
      <c r="L5" s="2">
        <f t="shared" si="0"/>
        <v>0.10869565217391304</v>
      </c>
      <c r="M5">
        <f>0.118*1000/20</f>
        <v>5.9</v>
      </c>
      <c r="N5" s="4">
        <v>3.7399999999999998</v>
      </c>
      <c r="O5" s="66">
        <v>0.42</v>
      </c>
      <c r="P5" s="66">
        <v>0.03</v>
      </c>
      <c r="Q5" s="66">
        <f t="shared" si="1"/>
        <v>4.7755102040816331</v>
      </c>
      <c r="R5" s="66">
        <v>21.03</v>
      </c>
      <c r="S5" s="66">
        <v>20.72</v>
      </c>
      <c r="T5" s="4">
        <f t="shared" si="2"/>
        <v>3.795918367346967</v>
      </c>
      <c r="U5" s="4">
        <f t="shared" si="3"/>
        <v>2.2064161633032824</v>
      </c>
      <c r="V5" s="4">
        <f t="shared" si="4"/>
        <v>2.7758138828653993</v>
      </c>
      <c r="W5" s="4">
        <f t="shared" si="5"/>
        <v>1.1943090177774007</v>
      </c>
      <c r="X5" s="4">
        <f t="shared" si="6"/>
        <v>4.7258979206049148</v>
      </c>
      <c r="Y5" s="4">
        <f t="shared" si="7"/>
        <v>104.68691787198898</v>
      </c>
      <c r="Z5" s="4">
        <v>2.1057028876435901</v>
      </c>
      <c r="AA5" s="4">
        <v>8.4600000000000009</v>
      </c>
      <c r="AB5" s="4">
        <v>12.24</v>
      </c>
      <c r="AC5" s="4">
        <v>0.18</v>
      </c>
      <c r="AD5" s="4">
        <v>40.78</v>
      </c>
      <c r="AE5" s="4">
        <v>38.33</v>
      </c>
      <c r="AF5" s="4">
        <f t="shared" si="8"/>
        <v>1.0635006684294643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7.4051</v>
      </c>
      <c r="AO5" s="4">
        <f t="shared" si="9"/>
        <v>7.4051</v>
      </c>
      <c r="AP5" s="4"/>
      <c r="AQ5" s="4">
        <f t="shared" si="10"/>
        <v>0</v>
      </c>
      <c r="AR5" s="4">
        <f t="shared" si="11"/>
        <v>0</v>
      </c>
      <c r="AS5" s="4">
        <f t="shared" si="12"/>
        <v>0</v>
      </c>
      <c r="AT5" s="4">
        <f t="shared" si="13"/>
        <v>0</v>
      </c>
      <c r="AU5" s="4">
        <f t="shared" si="14"/>
        <v>0</v>
      </c>
      <c r="AV5" s="4">
        <f t="shared" si="15"/>
        <v>0</v>
      </c>
      <c r="AW5" s="4">
        <f t="shared" si="16"/>
        <v>0</v>
      </c>
      <c r="AX5" s="4">
        <f t="shared" si="17"/>
        <v>104.68691787198898</v>
      </c>
      <c r="AY5" s="68">
        <f t="shared" si="18"/>
        <v>0.21521448500348755</v>
      </c>
      <c r="AZ5" s="67">
        <f t="shared" si="19"/>
        <v>9.4581280788177347E-2</v>
      </c>
      <c r="BA5" s="67">
        <f t="shared" si="20"/>
        <v>0.26106696935300799</v>
      </c>
    </row>
    <row r="6" spans="1:55" x14ac:dyDescent="0.2">
      <c r="A6">
        <v>38</v>
      </c>
      <c r="B6" t="s">
        <v>111</v>
      </c>
      <c r="C6" t="s">
        <v>51</v>
      </c>
      <c r="D6">
        <v>3</v>
      </c>
      <c r="E6" s="1">
        <v>44241</v>
      </c>
      <c r="F6">
        <v>2</v>
      </c>
      <c r="G6">
        <v>2</v>
      </c>
      <c r="H6">
        <v>2</v>
      </c>
      <c r="I6">
        <v>480</v>
      </c>
      <c r="J6">
        <v>50</v>
      </c>
      <c r="K6">
        <v>0.1</v>
      </c>
      <c r="L6" s="2">
        <f t="shared" si="0"/>
        <v>0.10416666666666667</v>
      </c>
      <c r="M6">
        <f>0.123*1000/20</f>
        <v>6.15</v>
      </c>
      <c r="N6" s="4">
        <v>3.8600000000000003</v>
      </c>
      <c r="O6" s="66">
        <v>0.4</v>
      </c>
      <c r="P6" s="66">
        <v>0.03</v>
      </c>
      <c r="Q6" s="66">
        <f t="shared" si="1"/>
        <v>4.5306122448979593</v>
      </c>
      <c r="R6" s="66">
        <v>21.02</v>
      </c>
      <c r="S6" s="66">
        <v>20.75</v>
      </c>
      <c r="T6" s="4">
        <f t="shared" si="2"/>
        <v>3.3061224489795866</v>
      </c>
      <c r="U6" s="4">
        <f t="shared" si="3"/>
        <v>1.7843925134820737</v>
      </c>
      <c r="V6" s="4">
        <f t="shared" si="4"/>
        <v>2.4452786295865496</v>
      </c>
      <c r="W6" s="4">
        <f t="shared" si="5"/>
        <v>1.1089643966883851</v>
      </c>
      <c r="X6" s="4">
        <f t="shared" si="6"/>
        <v>4.5289855072463778</v>
      </c>
      <c r="Y6" s="4">
        <f t="shared" si="7"/>
        <v>104.8164719814215</v>
      </c>
      <c r="Z6" s="4">
        <v>2.1484616148578102</v>
      </c>
      <c r="AA6" s="4">
        <v>8.09</v>
      </c>
      <c r="AB6" s="4">
        <v>12.56</v>
      </c>
      <c r="AC6" s="4">
        <v>0.22</v>
      </c>
      <c r="AD6" s="4">
        <v>40.299999999999997</v>
      </c>
      <c r="AE6" s="4">
        <v>38.840000000000003</v>
      </c>
      <c r="AF6" s="4">
        <f t="shared" si="8"/>
        <v>1.1199122001527526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7.4051</v>
      </c>
      <c r="AO6" s="4">
        <f t="shared" si="9"/>
        <v>7.4051</v>
      </c>
      <c r="AP6" s="4"/>
      <c r="AQ6" s="4">
        <f t="shared" si="10"/>
        <v>0</v>
      </c>
      <c r="AR6" s="4">
        <f t="shared" si="11"/>
        <v>0</v>
      </c>
      <c r="AS6" s="4">
        <f t="shared" si="12"/>
        <v>0</v>
      </c>
      <c r="AT6" s="4">
        <f t="shared" si="13"/>
        <v>0</v>
      </c>
      <c r="AU6" s="4">
        <f t="shared" si="14"/>
        <v>0</v>
      </c>
      <c r="AV6" s="4">
        <f t="shared" si="15"/>
        <v>0</v>
      </c>
      <c r="AW6" s="4">
        <f t="shared" si="16"/>
        <v>0</v>
      </c>
      <c r="AX6" s="4">
        <f t="shared" si="17"/>
        <v>104.8164719814215</v>
      </c>
      <c r="AY6" s="68">
        <f t="shared" si="18"/>
        <v>0.19983538428324696</v>
      </c>
      <c r="AZ6" s="67">
        <f t="shared" si="19"/>
        <v>9.0621592148309713E-2</v>
      </c>
      <c r="BA6" s="67">
        <f t="shared" si="20"/>
        <v>0.26020665322580644</v>
      </c>
    </row>
    <row r="7" spans="1:55" x14ac:dyDescent="0.2">
      <c r="A7">
        <v>40</v>
      </c>
      <c r="B7" t="s">
        <v>111</v>
      </c>
      <c r="C7" t="s">
        <v>51</v>
      </c>
      <c r="D7">
        <v>3</v>
      </c>
      <c r="E7" s="1">
        <v>44241</v>
      </c>
      <c r="F7">
        <v>2</v>
      </c>
      <c r="G7">
        <v>4</v>
      </c>
      <c r="H7">
        <v>4</v>
      </c>
      <c r="I7">
        <v>500</v>
      </c>
      <c r="J7">
        <v>50</v>
      </c>
      <c r="K7">
        <v>0.1</v>
      </c>
      <c r="L7" s="2">
        <f t="shared" si="0"/>
        <v>0.1</v>
      </c>
      <c r="M7">
        <f>0.119*1000/20</f>
        <v>5.95</v>
      </c>
      <c r="N7" s="4">
        <v>3.7600000000000002</v>
      </c>
      <c r="O7" s="66">
        <v>0.43</v>
      </c>
      <c r="P7" s="66">
        <v>0.04</v>
      </c>
      <c r="Q7" s="66">
        <f t="shared" si="1"/>
        <v>4.7755102040816331</v>
      </c>
      <c r="R7" s="66">
        <v>21</v>
      </c>
      <c r="S7" s="66">
        <v>20.68</v>
      </c>
      <c r="T7" s="4">
        <f t="shared" si="2"/>
        <v>3.9183673469387799</v>
      </c>
      <c r="U7" s="4">
        <f t="shared" si="3"/>
        <v>2.0842379504993507</v>
      </c>
      <c r="V7" s="4">
        <f t="shared" si="4"/>
        <v>2.5401650021710811</v>
      </c>
      <c r="W7" s="4">
        <f t="shared" si="5"/>
        <v>1.0929198054171489</v>
      </c>
      <c r="X7" s="4">
        <f t="shared" si="6"/>
        <v>4.3478260869565224</v>
      </c>
      <c r="Y7" s="4">
        <f t="shared" si="7"/>
        <v>105.03959294766638</v>
      </c>
      <c r="Z7" s="4">
        <v>2.2122171728752802</v>
      </c>
      <c r="AA7" s="4">
        <v>8.2799999999999994</v>
      </c>
      <c r="AB7" s="4">
        <v>12.35</v>
      </c>
      <c r="AC7" s="4">
        <v>0.24</v>
      </c>
      <c r="AD7" s="4">
        <v>40.67</v>
      </c>
      <c r="AE7" s="4">
        <v>38.46</v>
      </c>
      <c r="AF7" s="4">
        <f t="shared" si="8"/>
        <v>1.1232713359726478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7.4051</v>
      </c>
      <c r="AO7" s="4">
        <f t="shared" si="9"/>
        <v>7.4051</v>
      </c>
      <c r="AP7" s="4"/>
      <c r="AQ7" s="4">
        <f t="shared" si="10"/>
        <v>0</v>
      </c>
      <c r="AR7" s="4">
        <f t="shared" si="11"/>
        <v>0</v>
      </c>
      <c r="AS7" s="4">
        <f t="shared" si="12"/>
        <v>0</v>
      </c>
      <c r="AT7" s="4">
        <f t="shared" si="13"/>
        <v>0</v>
      </c>
      <c r="AU7" s="4">
        <f t="shared" si="14"/>
        <v>0</v>
      </c>
      <c r="AV7" s="4">
        <f t="shared" si="15"/>
        <v>0</v>
      </c>
      <c r="AW7" s="4">
        <f t="shared" si="16"/>
        <v>0</v>
      </c>
      <c r="AX7" s="4">
        <f t="shared" si="17"/>
        <v>105.03959294766638</v>
      </c>
      <c r="AY7" s="68">
        <f t="shared" si="18"/>
        <v>0.19694414893617021</v>
      </c>
      <c r="AZ7" s="67">
        <f t="shared" si="19"/>
        <v>9.3135111499781362E-2</v>
      </c>
      <c r="BA7" s="67">
        <f t="shared" si="20"/>
        <v>0.25992188484313972</v>
      </c>
    </row>
    <row r="8" spans="1:55" x14ac:dyDescent="0.2">
      <c r="A8">
        <v>41</v>
      </c>
      <c r="B8" t="s">
        <v>111</v>
      </c>
      <c r="C8" t="s">
        <v>51</v>
      </c>
      <c r="D8">
        <v>116</v>
      </c>
      <c r="E8" s="1">
        <v>44241</v>
      </c>
      <c r="F8">
        <v>2</v>
      </c>
      <c r="G8">
        <v>5</v>
      </c>
      <c r="H8">
        <v>1</v>
      </c>
      <c r="I8">
        <v>480</v>
      </c>
      <c r="J8">
        <v>50</v>
      </c>
      <c r="K8">
        <v>0.1</v>
      </c>
      <c r="L8" s="2">
        <f t="shared" si="0"/>
        <v>0.10416666666666667</v>
      </c>
      <c r="M8">
        <f>0.081*1000/50</f>
        <v>1.62</v>
      </c>
      <c r="N8" s="4">
        <v>1.42</v>
      </c>
      <c r="O8" s="4">
        <v>0.25</v>
      </c>
      <c r="P8" s="4">
        <v>0.03</v>
      </c>
      <c r="Q8" s="4">
        <f t="shared" si="1"/>
        <v>2.6938775510204085</v>
      </c>
      <c r="R8" s="4">
        <v>20.96</v>
      </c>
      <c r="S8" s="4">
        <v>20.68</v>
      </c>
      <c r="T8" s="4">
        <f t="shared" si="2"/>
        <v>3.4285714285714426</v>
      </c>
      <c r="U8" s="4">
        <f t="shared" si="3"/>
        <v>5.0301810865191365</v>
      </c>
      <c r="V8" s="4">
        <f t="shared" si="4"/>
        <v>3.9522851394078766</v>
      </c>
      <c r="W8" s="4">
        <f t="shared" si="5"/>
        <v>1.5781890752580612</v>
      </c>
      <c r="X8" s="4">
        <f t="shared" si="6"/>
        <v>4.5289855072463769</v>
      </c>
      <c r="Y8" s="4">
        <f t="shared" si="7"/>
        <v>89.567538512112051</v>
      </c>
      <c r="Z8" s="4">
        <v>8.6478806128069099</v>
      </c>
      <c r="AA8" s="4">
        <v>18.059999999999999</v>
      </c>
      <c r="AB8" s="4">
        <v>10.6</v>
      </c>
      <c r="AC8" s="4">
        <v>2.25</v>
      </c>
      <c r="AD8" s="4">
        <v>16.02</v>
      </c>
      <c r="AE8" s="4">
        <v>53.07</v>
      </c>
      <c r="AF8" s="4">
        <f t="shared" si="8"/>
        <v>3.1675584167833786</v>
      </c>
      <c r="AG8" s="4">
        <v>0</v>
      </c>
      <c r="AH8" s="4">
        <v>20.826899999999998</v>
      </c>
      <c r="AI8" s="4">
        <v>3.0499999999999999E-2</v>
      </c>
      <c r="AJ8" s="4">
        <v>0</v>
      </c>
      <c r="AK8" s="4">
        <v>0</v>
      </c>
      <c r="AL8" s="4">
        <v>0</v>
      </c>
      <c r="AM8" s="4">
        <v>0</v>
      </c>
      <c r="AN8" s="4">
        <v>24.703700000000001</v>
      </c>
      <c r="AO8" s="4">
        <f t="shared" si="9"/>
        <v>3.8768000000000029</v>
      </c>
      <c r="AP8" s="4"/>
      <c r="AQ8" s="4">
        <f t="shared" si="10"/>
        <v>0</v>
      </c>
      <c r="AR8" s="4">
        <f t="shared" si="11"/>
        <v>2.5407479322143781E-2</v>
      </c>
      <c r="AS8" s="4">
        <f t="shared" si="12"/>
        <v>0</v>
      </c>
      <c r="AT8" s="4">
        <f t="shared" si="13"/>
        <v>0</v>
      </c>
      <c r="AU8" s="4">
        <f t="shared" si="14"/>
        <v>0</v>
      </c>
      <c r="AV8" s="4">
        <f t="shared" si="15"/>
        <v>0</v>
      </c>
      <c r="AW8" s="4">
        <f t="shared" si="16"/>
        <v>0</v>
      </c>
      <c r="AX8" s="4">
        <f t="shared" si="17"/>
        <v>90.37249527301185</v>
      </c>
      <c r="AY8" s="68">
        <f t="shared" si="18"/>
        <v>0.28438967136150256</v>
      </c>
      <c r="AZ8" s="67">
        <f t="shared" si="19"/>
        <v>0.25486259254611621</v>
      </c>
      <c r="BA8" s="67">
        <f t="shared" si="20"/>
        <v>0.40173815531258755</v>
      </c>
    </row>
    <row r="9" spans="1:55" x14ac:dyDescent="0.2">
      <c r="A9">
        <v>43</v>
      </c>
      <c r="B9" t="s">
        <v>111</v>
      </c>
      <c r="C9" t="s">
        <v>51</v>
      </c>
      <c r="D9">
        <v>116</v>
      </c>
      <c r="E9" s="1">
        <v>44241</v>
      </c>
      <c r="F9">
        <v>2</v>
      </c>
      <c r="G9">
        <v>7</v>
      </c>
      <c r="H9">
        <v>3</v>
      </c>
      <c r="I9">
        <v>460</v>
      </c>
      <c r="J9">
        <v>50</v>
      </c>
      <c r="K9">
        <v>0.1</v>
      </c>
      <c r="L9" s="2">
        <f t="shared" si="0"/>
        <v>0.10869565217391304</v>
      </c>
      <c r="M9">
        <f>0.095*1000/50</f>
        <v>1.9</v>
      </c>
      <c r="N9" s="4">
        <v>1.6800000000000002</v>
      </c>
      <c r="O9" s="4">
        <v>0.23</v>
      </c>
      <c r="P9" s="4">
        <v>0.03</v>
      </c>
      <c r="Q9" s="4">
        <f t="shared" si="1"/>
        <v>2.4489795918367352</v>
      </c>
      <c r="R9" s="65"/>
      <c r="S9" s="65"/>
      <c r="T9" s="65"/>
      <c r="U9" s="65"/>
      <c r="V9" s="4">
        <f t="shared" si="4"/>
        <v>3.1689694511344917</v>
      </c>
      <c r="W9" s="4">
        <f t="shared" si="5"/>
        <v>1.3638658909010692</v>
      </c>
      <c r="X9" s="4">
        <f t="shared" si="6"/>
        <v>4.7258979206049148</v>
      </c>
      <c r="Y9" s="4">
        <f t="shared" si="7"/>
        <v>96.476584494235979</v>
      </c>
      <c r="Z9" s="4">
        <v>6.9697409396905003</v>
      </c>
      <c r="AA9" s="4">
        <v>18.53</v>
      </c>
      <c r="AB9" s="4">
        <v>10.31</v>
      </c>
      <c r="AC9" s="4">
        <v>2.29</v>
      </c>
      <c r="AD9" s="4">
        <v>16.399999999999999</v>
      </c>
      <c r="AE9" s="4">
        <v>52.47</v>
      </c>
      <c r="AF9" s="4">
        <f t="shared" si="8"/>
        <v>3.082494808266214</v>
      </c>
      <c r="AG9" s="4">
        <v>0</v>
      </c>
      <c r="AH9" s="4">
        <v>20.905100000000001</v>
      </c>
      <c r="AI9" s="4">
        <v>3.78E-2</v>
      </c>
      <c r="AJ9" s="4">
        <v>0</v>
      </c>
      <c r="AK9" s="4">
        <v>0</v>
      </c>
      <c r="AL9" s="4">
        <v>0</v>
      </c>
      <c r="AM9" s="4">
        <v>0</v>
      </c>
      <c r="AN9" s="4">
        <v>24.703700000000001</v>
      </c>
      <c r="AO9" s="4">
        <f t="shared" si="9"/>
        <v>3.7986000000000004</v>
      </c>
      <c r="AP9" s="4"/>
      <c r="AQ9" s="4">
        <f t="shared" si="10"/>
        <v>0</v>
      </c>
      <c r="AR9" s="4">
        <f t="shared" si="11"/>
        <v>2.7772566135737482E-2</v>
      </c>
      <c r="AS9" s="4">
        <f t="shared" si="12"/>
        <v>0</v>
      </c>
      <c r="AT9" s="4">
        <f t="shared" si="13"/>
        <v>0</v>
      </c>
      <c r="AU9" s="4">
        <f t="shared" si="14"/>
        <v>0</v>
      </c>
      <c r="AV9" s="4">
        <f t="shared" si="15"/>
        <v>0</v>
      </c>
      <c r="AW9" s="4">
        <f t="shared" si="16"/>
        <v>0</v>
      </c>
      <c r="AX9" s="4">
        <f t="shared" si="17"/>
        <v>97.494740543192847</v>
      </c>
      <c r="AY9" s="68">
        <f t="shared" si="18"/>
        <v>0.24576863354037268</v>
      </c>
      <c r="AZ9" s="67">
        <f t="shared" si="19"/>
        <v>0.262945188178833</v>
      </c>
      <c r="BA9" s="67">
        <f t="shared" si="20"/>
        <v>0.40528386734120297</v>
      </c>
    </row>
    <row r="10" spans="1:55" x14ac:dyDescent="0.2">
      <c r="A10">
        <v>44</v>
      </c>
      <c r="B10" t="s">
        <v>111</v>
      </c>
      <c r="C10" t="s">
        <v>51</v>
      </c>
      <c r="D10">
        <v>116</v>
      </c>
      <c r="E10" s="1">
        <v>44241</v>
      </c>
      <c r="F10">
        <v>2</v>
      </c>
      <c r="G10">
        <v>8</v>
      </c>
      <c r="H10">
        <v>4</v>
      </c>
      <c r="I10">
        <v>490</v>
      </c>
      <c r="J10">
        <v>50</v>
      </c>
      <c r="K10">
        <v>0.1</v>
      </c>
      <c r="L10" s="2">
        <f t="shared" si="0"/>
        <v>0.10204081632653061</v>
      </c>
      <c r="M10">
        <f>0.096*1000/50</f>
        <v>1.92</v>
      </c>
      <c r="N10" s="4">
        <v>1.6600000000000001</v>
      </c>
      <c r="O10" s="4">
        <v>0.23</v>
      </c>
      <c r="P10" s="4">
        <v>0.03</v>
      </c>
      <c r="Q10" s="4">
        <f t="shared" si="1"/>
        <v>2.4489795918367352</v>
      </c>
      <c r="R10" s="4">
        <v>20.96</v>
      </c>
      <c r="S10" s="4">
        <v>20.67</v>
      </c>
      <c r="T10" s="4">
        <f t="shared" si="2"/>
        <v>3.551020408163255</v>
      </c>
      <c r="U10" s="4">
        <f t="shared" ref="U10:U16" si="21">T10/(N10*I10)*1000</f>
        <v>4.3656508583270899</v>
      </c>
      <c r="V10" s="4">
        <f t="shared" si="4"/>
        <v>3.0107936953980019</v>
      </c>
      <c r="W10" s="4">
        <f t="shared" si="5"/>
        <v>1.3543607941016831</v>
      </c>
      <c r="X10" s="4">
        <f t="shared" si="6"/>
        <v>4.4365572315882869</v>
      </c>
      <c r="Y10" s="4">
        <f t="shared" si="7"/>
        <v>91.646565664283813</v>
      </c>
      <c r="Z10" s="4">
        <v>9.4622460337255205</v>
      </c>
      <c r="AA10" s="4">
        <v>17.54</v>
      </c>
      <c r="AB10" s="4">
        <v>10.73</v>
      </c>
      <c r="AC10" s="4">
        <v>2.1800000000000002</v>
      </c>
      <c r="AD10" s="4">
        <v>16.27</v>
      </c>
      <c r="AE10" s="4">
        <v>53.29</v>
      </c>
      <c r="AF10" s="4">
        <f t="shared" si="8"/>
        <v>3.9562069405295213</v>
      </c>
      <c r="AG10" s="4">
        <v>0</v>
      </c>
      <c r="AH10" s="4">
        <v>20.7334</v>
      </c>
      <c r="AI10" s="4">
        <v>2.7900000000000001E-2</v>
      </c>
      <c r="AJ10" s="4">
        <v>0</v>
      </c>
      <c r="AK10" s="4">
        <v>0</v>
      </c>
      <c r="AL10" s="4">
        <v>0</v>
      </c>
      <c r="AM10" s="4">
        <v>0</v>
      </c>
      <c r="AN10" s="4">
        <v>24.703700000000001</v>
      </c>
      <c r="AO10" s="4">
        <f t="shared" si="9"/>
        <v>3.9703000000000017</v>
      </c>
      <c r="AP10" s="4"/>
      <c r="AQ10" s="4">
        <f t="shared" si="10"/>
        <v>0</v>
      </c>
      <c r="AR10" s="4">
        <f t="shared" si="11"/>
        <v>1.9475622970032781E-2</v>
      </c>
      <c r="AS10" s="4">
        <f t="shared" si="12"/>
        <v>0</v>
      </c>
      <c r="AT10" s="4">
        <f t="shared" si="13"/>
        <v>0</v>
      </c>
      <c r="AU10" s="4">
        <f t="shared" si="14"/>
        <v>0</v>
      </c>
      <c r="AV10" s="4">
        <f t="shared" si="15"/>
        <v>0</v>
      </c>
      <c r="AW10" s="4">
        <f t="shared" si="16"/>
        <v>0</v>
      </c>
      <c r="AX10" s="4">
        <f t="shared" si="17"/>
        <v>92.365562517074082</v>
      </c>
      <c r="AY10" s="68">
        <f t="shared" si="18"/>
        <v>0.24405581509712329</v>
      </c>
      <c r="AZ10" s="67">
        <f t="shared" si="19"/>
        <v>0.24560966496450368</v>
      </c>
      <c r="BA10" s="67">
        <f t="shared" si="20"/>
        <v>0.39406189015890719</v>
      </c>
    </row>
    <row r="11" spans="1:55" s="69" customFormat="1" x14ac:dyDescent="0.2">
      <c r="A11" s="69">
        <v>9</v>
      </c>
      <c r="B11" s="69" t="s">
        <v>111</v>
      </c>
      <c r="C11" s="69" t="s">
        <v>54</v>
      </c>
      <c r="D11" s="69">
        <v>116</v>
      </c>
      <c r="E11" s="70">
        <v>44173</v>
      </c>
      <c r="F11" s="69">
        <v>1</v>
      </c>
      <c r="G11" s="69">
        <v>1</v>
      </c>
      <c r="H11" s="69">
        <v>1</v>
      </c>
      <c r="I11" s="69">
        <v>470</v>
      </c>
      <c r="J11" s="69">
        <v>50</v>
      </c>
      <c r="K11" s="69">
        <v>0.1</v>
      </c>
      <c r="L11" s="71">
        <f t="shared" si="0"/>
        <v>0.10638297872340426</v>
      </c>
      <c r="M11" s="69">
        <v>1.58</v>
      </c>
      <c r="N11" s="22">
        <v>1.5139999999999987</v>
      </c>
      <c r="O11" s="22">
        <v>0.21</v>
      </c>
      <c r="P11" s="22">
        <v>0.03</v>
      </c>
      <c r="Q11" s="22">
        <f t="shared" ref="Q11:Q16" si="22">(30/24.5)*(O11-P11)*0.01*1000</f>
        <v>2.2040816326530615</v>
      </c>
      <c r="R11" s="22">
        <v>20.93</v>
      </c>
      <c r="S11" s="22">
        <v>20.57</v>
      </c>
      <c r="T11" s="22">
        <f t="shared" ref="T11:T16" si="23">(30/24.5)*(R11-S11)*0.01*1000</f>
        <v>4.4081632653061149</v>
      </c>
      <c r="U11" s="22">
        <f t="shared" si="21"/>
        <v>6.1948948330561837</v>
      </c>
      <c r="V11" s="22">
        <f t="shared" si="4"/>
        <v>3.0974474165280972</v>
      </c>
      <c r="W11" s="22">
        <f t="shared" si="5"/>
        <v>1.4279785501174362</v>
      </c>
      <c r="X11" s="22">
        <f t="shared" si="6"/>
        <v>4.6253469010175774</v>
      </c>
      <c r="Y11" s="22">
        <f t="shared" ref="Y11:Y16" si="24">100*((V11+X11)/(6*W11))</f>
        <v>90.136675102840954</v>
      </c>
      <c r="Z11" s="22">
        <v>1.92961533939351</v>
      </c>
      <c r="AA11" s="22">
        <v>11.393282346079287</v>
      </c>
      <c r="AB11" s="22">
        <v>4.129640786377939</v>
      </c>
      <c r="AC11" s="22">
        <v>1.5629885974836262</v>
      </c>
      <c r="AD11" s="22">
        <v>9.4665270235053587</v>
      </c>
      <c r="AE11" s="22">
        <v>31.876313723389103</v>
      </c>
      <c r="AF11" s="22">
        <f t="shared" si="8"/>
        <v>0.79774927605520596</v>
      </c>
      <c r="AG11" s="22">
        <v>1.4500000000000001E-2</v>
      </c>
      <c r="AH11" s="22">
        <v>21.852399999999999</v>
      </c>
      <c r="AI11" s="22">
        <v>1.67E-2</v>
      </c>
      <c r="AJ11" s="22">
        <v>0</v>
      </c>
      <c r="AK11" s="22">
        <v>1.17E-2</v>
      </c>
      <c r="AL11" s="22">
        <v>0</v>
      </c>
      <c r="AM11" s="22">
        <v>2.9999999999999997E-4</v>
      </c>
      <c r="AN11" s="22">
        <v>25.514500000000002</v>
      </c>
      <c r="AO11" s="22">
        <f t="shared" ref="AO11:AO16" si="25">AN11-AH11</f>
        <v>3.6621000000000024</v>
      </c>
      <c r="AP11" s="22">
        <v>0</v>
      </c>
      <c r="AQ11" s="22">
        <f t="shared" ref="AQ11:AQ16" si="26">(AG11*1000/192.124)*$L11/$N11</f>
        <v>5.3031346399046607E-3</v>
      </c>
      <c r="AR11" s="22">
        <f t="shared" ref="AR11:AR13" si="27">(AI11*1000/88.06)*$L11/$N11</f>
        <v>1.3325516803278812E-2</v>
      </c>
      <c r="AS11" s="22">
        <f t="shared" ref="AS11:AS13" si="28">(AJ11*1000/60.052)*$L11/$N11</f>
        <v>0</v>
      </c>
      <c r="AT11" s="22">
        <f t="shared" ref="AT11:AT13" si="29">(AK11*1000/46.07)*$L11/$N11</f>
        <v>1.7844891870418187E-2</v>
      </c>
      <c r="AU11" s="22">
        <f t="shared" ref="AU11:AU13" si="30">(AL11*1000/92.09)*$L11/$N11</f>
        <v>0</v>
      </c>
      <c r="AV11" s="22">
        <f t="shared" ref="AV11:AV13" si="31">(AM11*1000/118.09)*$L11/$N11</f>
        <v>1.7850665148271648E-4</v>
      </c>
      <c r="AW11" s="22">
        <f t="shared" ref="AW11:AW13" si="32">(AP11*1000/118.09)*$L11/$N11</f>
        <v>0</v>
      </c>
      <c r="AX11" s="22">
        <f t="shared" ref="AX11:AX16" si="33">100*((V11+X11+AQ11*6+AR11*3+AS11*2+AT11*2+AU11*3+AV11*4+AW11*5)/(6*W11))</f>
        <v>91.399522837109942</v>
      </c>
      <c r="AY11" s="22">
        <f t="shared" si="18"/>
        <v>0.25732173473116204</v>
      </c>
      <c r="AZ11" s="71">
        <f t="shared" si="19"/>
        <v>0.28492553092979445</v>
      </c>
      <c r="BA11" s="71">
        <f t="shared" si="20"/>
        <v>0.36179053917975784</v>
      </c>
    </row>
    <row r="12" spans="1:55" s="69" customFormat="1" x14ac:dyDescent="0.2">
      <c r="A12" s="69">
        <v>10</v>
      </c>
      <c r="B12" s="69" t="s">
        <v>111</v>
      </c>
      <c r="C12" s="69" t="s">
        <v>54</v>
      </c>
      <c r="D12" s="69">
        <v>116</v>
      </c>
      <c r="E12" s="70">
        <v>44173</v>
      </c>
      <c r="F12" s="69">
        <v>1</v>
      </c>
      <c r="G12" s="69">
        <v>2</v>
      </c>
      <c r="H12" s="69">
        <v>2</v>
      </c>
      <c r="I12" s="69">
        <v>480</v>
      </c>
      <c r="J12" s="69">
        <v>50</v>
      </c>
      <c r="K12" s="69">
        <v>0.1</v>
      </c>
      <c r="L12" s="71">
        <f t="shared" si="0"/>
        <v>0.10416666666666667</v>
      </c>
      <c r="M12" s="69">
        <v>1.6</v>
      </c>
      <c r="N12" s="22">
        <v>1.5360000000000014</v>
      </c>
      <c r="O12" s="22">
        <v>0.22</v>
      </c>
      <c r="P12" s="22">
        <v>0.03</v>
      </c>
      <c r="Q12" s="22">
        <f t="shared" si="22"/>
        <v>2.3265306122448983</v>
      </c>
      <c r="R12" s="22">
        <v>20.93</v>
      </c>
      <c r="S12" s="22">
        <v>20.59</v>
      </c>
      <c r="T12" s="22">
        <f t="shared" si="23"/>
        <v>4.1632653061224474</v>
      </c>
      <c r="U12" s="22">
        <f t="shared" si="21"/>
        <v>5.6467899659863878</v>
      </c>
      <c r="V12" s="22">
        <f t="shared" si="4"/>
        <v>3.1555590986394533</v>
      </c>
      <c r="W12" s="22">
        <f t="shared" si="5"/>
        <v>1.5596744237691138</v>
      </c>
      <c r="X12" s="22">
        <f t="shared" si="6"/>
        <v>4.5289855072463778</v>
      </c>
      <c r="Y12" s="22">
        <f t="shared" si="24"/>
        <v>82.116973568061908</v>
      </c>
      <c r="Z12" s="22">
        <v>1.1999722722122548</v>
      </c>
      <c r="AA12" s="22">
        <v>7.5924479327848493</v>
      </c>
      <c r="AB12" s="22">
        <v>2.3553373026955171</v>
      </c>
      <c r="AC12" s="22">
        <v>0.38986125811136813</v>
      </c>
      <c r="AD12" s="22">
        <v>7.6882901847279186</v>
      </c>
      <c r="AE12" s="22">
        <v>18.837211524040846</v>
      </c>
      <c r="AF12" s="22">
        <f t="shared" si="8"/>
        <v>0.44474517050358914</v>
      </c>
      <c r="AG12" s="22">
        <v>1.2699999999999999E-2</v>
      </c>
      <c r="AH12" s="22">
        <v>21.370200000000001</v>
      </c>
      <c r="AI12" s="22">
        <v>1.8700000000000001E-2</v>
      </c>
      <c r="AJ12" s="22">
        <v>0</v>
      </c>
      <c r="AK12" s="22">
        <v>3.0000000000000001E-3</v>
      </c>
      <c r="AL12" s="22">
        <v>0</v>
      </c>
      <c r="AM12" s="22">
        <v>5.9999999999999995E-4</v>
      </c>
      <c r="AN12" s="22">
        <v>25.514500000000002</v>
      </c>
      <c r="AO12" s="22">
        <f t="shared" si="25"/>
        <v>4.1443000000000012</v>
      </c>
      <c r="AP12" s="22">
        <v>0</v>
      </c>
      <c r="AQ12" s="22">
        <f t="shared" si="26"/>
        <v>4.4829062039504538E-3</v>
      </c>
      <c r="AR12" s="22">
        <f t="shared" si="27"/>
        <v>1.4401259518447007E-2</v>
      </c>
      <c r="AS12" s="22">
        <f t="shared" si="28"/>
        <v>0</v>
      </c>
      <c r="AT12" s="22">
        <f t="shared" si="29"/>
        <v>4.4161172310252473E-3</v>
      </c>
      <c r="AU12" s="22">
        <f t="shared" si="30"/>
        <v>0</v>
      </c>
      <c r="AV12" s="22">
        <f t="shared" si="31"/>
        <v>3.4456858469528862E-4</v>
      </c>
      <c r="AW12" s="22">
        <f t="shared" si="32"/>
        <v>0</v>
      </c>
      <c r="AX12" s="22">
        <f t="shared" si="33"/>
        <v>82.975183924402316</v>
      </c>
      <c r="AY12" s="22">
        <f t="shared" si="18"/>
        <v>0.28105333116319425</v>
      </c>
      <c r="AZ12" s="71">
        <f t="shared" si="19"/>
        <v>0.27638771808975604</v>
      </c>
      <c r="BA12" s="71">
        <f t="shared" si="20"/>
        <v>0.36959506166501666</v>
      </c>
    </row>
    <row r="13" spans="1:55" s="69" customFormat="1" x14ac:dyDescent="0.2">
      <c r="A13" s="69">
        <v>12</v>
      </c>
      <c r="B13" s="69" t="s">
        <v>111</v>
      </c>
      <c r="C13" s="69" t="s">
        <v>54</v>
      </c>
      <c r="D13" s="69">
        <v>116</v>
      </c>
      <c r="E13" s="70">
        <v>44173</v>
      </c>
      <c r="F13" s="69">
        <v>1</v>
      </c>
      <c r="G13" s="69">
        <v>4</v>
      </c>
      <c r="H13" s="69">
        <v>4</v>
      </c>
      <c r="I13" s="69">
        <v>490</v>
      </c>
      <c r="J13" s="69">
        <v>50</v>
      </c>
      <c r="K13" s="69">
        <v>0.1</v>
      </c>
      <c r="L13" s="71">
        <f t="shared" si="0"/>
        <v>0.10204081632653061</v>
      </c>
      <c r="M13" s="69">
        <v>1.6600000000000001</v>
      </c>
      <c r="N13" s="22">
        <v>1.5859999999999985</v>
      </c>
      <c r="O13" s="22">
        <v>0.23</v>
      </c>
      <c r="P13" s="22">
        <v>0.03</v>
      </c>
      <c r="Q13" s="22">
        <f t="shared" si="22"/>
        <v>2.4489795918367352</v>
      </c>
      <c r="R13" s="22">
        <v>20.87</v>
      </c>
      <c r="S13" s="22">
        <v>20.57</v>
      </c>
      <c r="T13" s="22">
        <f t="shared" si="23"/>
        <v>3.6734693877551106</v>
      </c>
      <c r="U13" s="22">
        <f t="shared" si="21"/>
        <v>4.726908134641266</v>
      </c>
      <c r="V13" s="22">
        <f t="shared" si="4"/>
        <v>3.1512720897608379</v>
      </c>
      <c r="W13" s="22">
        <f t="shared" si="5"/>
        <v>1.5160957433010103</v>
      </c>
      <c r="X13" s="22">
        <f t="shared" si="6"/>
        <v>4.4365572315882877</v>
      </c>
      <c r="Y13" s="22">
        <f t="shared" si="24"/>
        <v>83.414139628896052</v>
      </c>
      <c r="Z13" s="22">
        <v>2.1743847341948555</v>
      </c>
      <c r="AA13" s="22">
        <v>16.330885878169877</v>
      </c>
      <c r="AB13" s="22">
        <v>4.6394083665782517</v>
      </c>
      <c r="AC13" s="22">
        <v>3.6074392463589335</v>
      </c>
      <c r="AD13" s="22">
        <v>11.768378292430993</v>
      </c>
      <c r="AE13" s="22">
        <v>32.625371985122683</v>
      </c>
      <c r="AF13" s="22">
        <f t="shared" si="8"/>
        <v>0.81213625707864168</v>
      </c>
      <c r="AG13" s="22">
        <v>1.72E-2</v>
      </c>
      <c r="AH13" s="22">
        <v>21.2682</v>
      </c>
      <c r="AI13" s="22">
        <v>1.77E-2</v>
      </c>
      <c r="AJ13" s="22">
        <v>0</v>
      </c>
      <c r="AK13" s="22">
        <v>1.6299999999999999E-2</v>
      </c>
      <c r="AL13" s="22">
        <v>0</v>
      </c>
      <c r="AM13" s="22">
        <v>5.9999999999999995E-4</v>
      </c>
      <c r="AN13" s="22">
        <v>25.514500000000002</v>
      </c>
      <c r="AO13" s="22">
        <f t="shared" si="25"/>
        <v>4.2463000000000015</v>
      </c>
      <c r="AP13" s="22">
        <v>0</v>
      </c>
      <c r="AQ13" s="22">
        <f t="shared" si="26"/>
        <v>5.7599348104402058E-3</v>
      </c>
      <c r="AR13" s="22">
        <f t="shared" si="27"/>
        <v>1.2931989001105185E-2</v>
      </c>
      <c r="AS13" s="22">
        <f t="shared" si="28"/>
        <v>0</v>
      </c>
      <c r="AT13" s="22">
        <f t="shared" si="29"/>
        <v>2.2763557431553255E-2</v>
      </c>
      <c r="AU13" s="22">
        <f t="shared" si="30"/>
        <v>0</v>
      </c>
      <c r="AV13" s="22">
        <f t="shared" si="31"/>
        <v>3.2689544499593746E-4</v>
      </c>
      <c r="AW13" s="22">
        <f t="shared" si="32"/>
        <v>0</v>
      </c>
      <c r="AX13" s="22">
        <f t="shared" si="33"/>
        <v>84.735409223732205</v>
      </c>
      <c r="AY13" s="22">
        <f t="shared" si="18"/>
        <v>0.27320045294284206</v>
      </c>
      <c r="AZ13" s="71">
        <f t="shared" si="19"/>
        <v>0.40662942539017805</v>
      </c>
      <c r="BA13" s="71">
        <f t="shared" si="20"/>
        <v>0.43687030368906621</v>
      </c>
    </row>
    <row r="14" spans="1:55" x14ac:dyDescent="0.2">
      <c r="A14">
        <v>22</v>
      </c>
      <c r="B14" t="s">
        <v>112</v>
      </c>
      <c r="C14" t="s">
        <v>54</v>
      </c>
      <c r="D14">
        <v>116</v>
      </c>
      <c r="E14" s="1">
        <v>44181</v>
      </c>
      <c r="F14">
        <v>1</v>
      </c>
      <c r="G14">
        <v>6</v>
      </c>
      <c r="H14">
        <v>1</v>
      </c>
      <c r="I14">
        <v>480</v>
      </c>
      <c r="J14">
        <v>50</v>
      </c>
      <c r="K14">
        <v>0.1</v>
      </c>
      <c r="L14" s="2">
        <f t="shared" ref="L14:L16" si="34">J14/I14</f>
        <v>0.10416666666666667</v>
      </c>
      <c r="M14">
        <v>1.28</v>
      </c>
      <c r="N14" s="4">
        <v>1.4479999999999991</v>
      </c>
      <c r="O14" s="66">
        <v>0.2</v>
      </c>
      <c r="P14" s="66">
        <v>0.04</v>
      </c>
      <c r="Q14" s="66">
        <f t="shared" si="22"/>
        <v>1.9591836734693882</v>
      </c>
      <c r="R14" s="66">
        <v>20.89</v>
      </c>
      <c r="S14" s="66">
        <v>20.54</v>
      </c>
      <c r="T14" s="4">
        <f t="shared" si="23"/>
        <v>4.2857142857143034</v>
      </c>
      <c r="U14" s="4">
        <f t="shared" si="21"/>
        <v>6.1661404893449392</v>
      </c>
      <c r="V14" s="4">
        <f t="shared" si="4"/>
        <v>2.8188070808433898</v>
      </c>
      <c r="W14" s="4">
        <f t="shared" si="5"/>
        <v>1.0511296278127642</v>
      </c>
      <c r="X14" s="4">
        <f t="shared" si="6"/>
        <v>4.5289855072463769</v>
      </c>
      <c r="Y14" s="4">
        <f t="shared" si="24"/>
        <v>116.50628672347752</v>
      </c>
      <c r="Z14" s="4">
        <v>1.7796980578099666</v>
      </c>
      <c r="AA14" s="4">
        <v>9.3928992997141982</v>
      </c>
      <c r="AB14" s="4">
        <v>1.9216176837310417</v>
      </c>
      <c r="AC14" s="4">
        <v>2.0542991814184957</v>
      </c>
      <c r="AD14" s="4">
        <v>8.4663136141972952</v>
      </c>
      <c r="AE14" s="4">
        <v>29.704925975115572</v>
      </c>
      <c r="AF14" s="4">
        <f t="shared" si="8"/>
        <v>0.9787325437557276</v>
      </c>
      <c r="AG14" s="4">
        <v>1.2999999999999999E-2</v>
      </c>
      <c r="AH14" s="4">
        <v>22.7319</v>
      </c>
      <c r="AI14" s="4">
        <v>1.0699999999999999E-2</v>
      </c>
      <c r="AJ14" s="4">
        <v>0</v>
      </c>
      <c r="AK14" s="4">
        <v>1.5800000000000002E-2</v>
      </c>
      <c r="AL14" s="4">
        <v>0</v>
      </c>
      <c r="AM14" s="4">
        <v>1.9900000000000001E-2</v>
      </c>
      <c r="AN14" s="4">
        <v>25.364899999999999</v>
      </c>
      <c r="AO14" s="4">
        <f t="shared" si="25"/>
        <v>2.6329999999999991</v>
      </c>
      <c r="AP14" s="4">
        <v>0.2089</v>
      </c>
      <c r="AQ14" s="4">
        <f t="shared" si="26"/>
        <v>4.8676790729805328E-3</v>
      </c>
      <c r="AR14" s="4">
        <f>(AI14*1000/88.06)*$L14/$N14</f>
        <v>8.7410841595112043E-3</v>
      </c>
      <c r="AS14" s="4">
        <f>(AJ14*1000/60.052)*$L14/$N14</f>
        <v>0</v>
      </c>
      <c r="AT14" s="4">
        <f>(AK14*1000/46.07)*$L14/$N14</f>
        <v>2.4671700243164296E-2</v>
      </c>
      <c r="AU14" s="4">
        <f>(AL14*1000/92.09)*$L14/$N14</f>
        <v>0</v>
      </c>
      <c r="AV14" s="4">
        <f>(AM14*1000/118.09)*$L14/$N14</f>
        <v>1.2122722360992273E-2</v>
      </c>
      <c r="AW14" s="4">
        <f>(AP14*1000/118.09)*$L14/$N14</f>
        <v>0.12725812568900932</v>
      </c>
      <c r="AX14" s="4">
        <f t="shared" si="33"/>
        <v>129.02542525153103</v>
      </c>
      <c r="AY14" s="68">
        <f t="shared" si="18"/>
        <v>0.1894135589318601</v>
      </c>
      <c r="AZ14" s="67">
        <f t="shared" si="19"/>
        <v>0.285517153421468</v>
      </c>
      <c r="BA14" s="67">
        <f t="shared" si="20"/>
        <v>0.28127695313003076</v>
      </c>
    </row>
    <row r="15" spans="1:55" x14ac:dyDescent="0.2">
      <c r="A15">
        <v>23</v>
      </c>
      <c r="B15" t="s">
        <v>112</v>
      </c>
      <c r="C15" t="s">
        <v>54</v>
      </c>
      <c r="D15">
        <v>116</v>
      </c>
      <c r="E15" s="1">
        <v>44181</v>
      </c>
      <c r="F15">
        <v>1</v>
      </c>
      <c r="G15" s="6">
        <v>7</v>
      </c>
      <c r="H15">
        <v>2</v>
      </c>
      <c r="I15">
        <v>490</v>
      </c>
      <c r="J15">
        <v>50</v>
      </c>
      <c r="K15">
        <v>0.1</v>
      </c>
      <c r="L15" s="2">
        <f t="shared" si="34"/>
        <v>0.10204081632653061</v>
      </c>
      <c r="M15">
        <v>1.36</v>
      </c>
      <c r="N15" s="4">
        <v>1.4039999999999992</v>
      </c>
      <c r="O15" s="66">
        <v>0.21</v>
      </c>
      <c r="P15" s="66">
        <v>0.03</v>
      </c>
      <c r="Q15" s="66">
        <f t="shared" si="22"/>
        <v>2.2040816326530615</v>
      </c>
      <c r="R15" s="65">
        <v>20.89</v>
      </c>
      <c r="S15" s="65">
        <v>21.76</v>
      </c>
      <c r="T15" s="65">
        <f t="shared" si="23"/>
        <v>-10.653061224489809</v>
      </c>
      <c r="U15" s="65">
        <f t="shared" si="21"/>
        <v>-15.48500090774146</v>
      </c>
      <c r="V15" s="4">
        <f t="shared" si="4"/>
        <v>3.2037932912568508</v>
      </c>
      <c r="W15" s="4">
        <f t="shared" si="5"/>
        <v>1.2451360160255045</v>
      </c>
      <c r="X15" s="4">
        <f t="shared" si="6"/>
        <v>4.4365572315882877</v>
      </c>
      <c r="Y15" s="4">
        <f t="shared" si="24"/>
        <v>102.26928925180489</v>
      </c>
      <c r="Z15" s="4">
        <v>1.8299122164079413</v>
      </c>
      <c r="AA15" s="4">
        <v>11.819828177496907</v>
      </c>
      <c r="AB15" s="4">
        <v>2.3274955479170401</v>
      </c>
      <c r="AC15" s="4">
        <v>1.979853201450166</v>
      </c>
      <c r="AD15" s="4">
        <v>7.7261858630569096</v>
      </c>
      <c r="AE15" s="4">
        <v>27.530572246813939</v>
      </c>
      <c r="AF15" s="4">
        <f t="shared" si="8"/>
        <v>0.83220936506761756</v>
      </c>
      <c r="AG15" s="4">
        <v>4.8999999999999998E-3</v>
      </c>
      <c r="AH15" s="4">
        <v>22.277699999999999</v>
      </c>
      <c r="AI15" s="4">
        <v>1.18E-2</v>
      </c>
      <c r="AJ15" s="4">
        <v>0</v>
      </c>
      <c r="AK15" s="4">
        <v>2.3E-3</v>
      </c>
      <c r="AL15" s="4">
        <v>0</v>
      </c>
      <c r="AM15" s="4">
        <v>2.1299999999999999E-2</v>
      </c>
      <c r="AN15" s="4">
        <v>25.364899999999999</v>
      </c>
      <c r="AO15" s="4">
        <f t="shared" si="25"/>
        <v>3.0871999999999993</v>
      </c>
      <c r="AP15" s="4">
        <v>0.20069999999999999</v>
      </c>
      <c r="AQ15" s="4">
        <f t="shared" si="26"/>
        <v>1.8536224319988981E-3</v>
      </c>
      <c r="AR15" s="4">
        <f>(AI15*1000/88.06)*$L15/$N15</f>
        <v>9.7389052971285917E-3</v>
      </c>
      <c r="AS15" s="4">
        <f>(AJ15*1000/60.052)*$L15/$N15</f>
        <v>0</v>
      </c>
      <c r="AT15" s="4">
        <f>(AK15*1000/46.07)*$L15/$N15</f>
        <v>3.6284107108008638E-3</v>
      </c>
      <c r="AU15" s="4">
        <f>(AL15*1000/92.09)*$L15/$N15</f>
        <v>0</v>
      </c>
      <c r="AV15" s="4">
        <f>(AM15*1000/118.09)*$L15/$N15</f>
        <v>1.3109112706272266E-2</v>
      </c>
      <c r="AW15" s="4">
        <f t="shared" ref="AW15:AW16" si="35">(AP15*1000/118.09)*$L15/$N15</f>
        <v>0.12352107606332596</v>
      </c>
      <c r="AX15" s="4">
        <f t="shared" si="33"/>
        <v>111.87516220879333</v>
      </c>
      <c r="AY15" s="68">
        <f t="shared" si="18"/>
        <v>0.22437351008779588</v>
      </c>
      <c r="AZ15" s="67">
        <f t="shared" si="19"/>
        <v>0.3671665667381856</v>
      </c>
      <c r="BA15" s="67">
        <f t="shared" si="20"/>
        <v>0.37993048312408467</v>
      </c>
    </row>
    <row r="16" spans="1:55" x14ac:dyDescent="0.2">
      <c r="A16">
        <v>24</v>
      </c>
      <c r="B16" t="s">
        <v>112</v>
      </c>
      <c r="C16" t="s">
        <v>54</v>
      </c>
      <c r="D16">
        <v>116</v>
      </c>
      <c r="E16" s="1">
        <v>44181</v>
      </c>
      <c r="F16">
        <v>1</v>
      </c>
      <c r="G16">
        <v>8</v>
      </c>
      <c r="H16">
        <v>3</v>
      </c>
      <c r="I16">
        <v>470</v>
      </c>
      <c r="J16">
        <v>50</v>
      </c>
      <c r="K16">
        <v>0.1</v>
      </c>
      <c r="L16" s="2">
        <f t="shared" si="34"/>
        <v>0.10638297872340426</v>
      </c>
      <c r="M16">
        <v>1.34</v>
      </c>
      <c r="N16" s="4">
        <v>1.5960000000000008</v>
      </c>
      <c r="O16" s="66">
        <v>0.21</v>
      </c>
      <c r="P16" s="66">
        <v>0.04</v>
      </c>
      <c r="Q16" s="66">
        <f t="shared" si="22"/>
        <v>2.0816326530612246</v>
      </c>
      <c r="R16" s="66">
        <v>20.9</v>
      </c>
      <c r="S16" s="66">
        <v>20.5</v>
      </c>
      <c r="T16" s="4">
        <f t="shared" si="23"/>
        <v>4.8979591836734517</v>
      </c>
      <c r="U16" s="4">
        <f t="shared" si="21"/>
        <v>6.5295675140956773</v>
      </c>
      <c r="V16" s="4">
        <f t="shared" si="4"/>
        <v>2.7750661934906726</v>
      </c>
      <c r="W16" s="4">
        <f t="shared" si="5"/>
        <v>1.1430653522369452</v>
      </c>
      <c r="X16" s="4">
        <f t="shared" si="6"/>
        <v>4.6253469010175765</v>
      </c>
      <c r="Y16" s="4">
        <f t="shared" si="24"/>
        <v>107.90303284097536</v>
      </c>
      <c r="Z16" s="4">
        <v>1.6694023251189356</v>
      </c>
      <c r="AA16" s="4">
        <v>10.021283256331222</v>
      </c>
      <c r="AB16" s="4">
        <v>1.2595507379809849</v>
      </c>
      <c r="AC16" s="4">
        <v>1.3722874672682983</v>
      </c>
      <c r="AD16" s="4">
        <v>9.9194402472960785</v>
      </c>
      <c r="AE16" s="4">
        <v>30.714760508919859</v>
      </c>
      <c r="AF16" s="4">
        <f t="shared" si="8"/>
        <v>0.86219859908414442</v>
      </c>
      <c r="AG16" s="4">
        <v>7.6E-3</v>
      </c>
      <c r="AH16" s="4">
        <v>22.274699999999999</v>
      </c>
      <c r="AI16" s="4">
        <v>0.01</v>
      </c>
      <c r="AJ16" s="4">
        <v>0</v>
      </c>
      <c r="AK16" s="4">
        <v>1.04E-2</v>
      </c>
      <c r="AL16" s="4">
        <v>0</v>
      </c>
      <c r="AM16" s="4">
        <v>1.6500000000000001E-2</v>
      </c>
      <c r="AN16" s="4">
        <v>25.364899999999999</v>
      </c>
      <c r="AO16" s="4">
        <f t="shared" si="25"/>
        <v>3.0901999999999994</v>
      </c>
      <c r="AP16" s="4">
        <v>0.18129999999999999</v>
      </c>
      <c r="AQ16" s="4">
        <f t="shared" si="26"/>
        <v>2.6367638242415911E-3</v>
      </c>
      <c r="AR16" s="4">
        <f>(AI16*1000/88.06)*$L16/$N16</f>
        <v>7.5693847043372259E-3</v>
      </c>
      <c r="AS16" s="4">
        <f>(AJ16*1000/60.052)*$L16/$N16</f>
        <v>0</v>
      </c>
      <c r="AT16" s="4">
        <f>(AK16*1000/46.07)*$L16/$N16</f>
        <v>1.5047154715573987E-2</v>
      </c>
      <c r="AU16" s="4">
        <f>(AL16*1000/92.09)*$L16/$N16</f>
        <v>0</v>
      </c>
      <c r="AV16" s="4">
        <f>(AM16*1000/118.09)*$L16/$N16</f>
        <v>9.3134391409560036E-3</v>
      </c>
      <c r="AW16" s="4">
        <f t="shared" si="35"/>
        <v>0.10233494037911052</v>
      </c>
      <c r="AX16" s="4">
        <f t="shared" si="33"/>
        <v>116.90735185243078</v>
      </c>
      <c r="AY16" s="68">
        <f t="shared" si="18"/>
        <v>0.20598037647309753</v>
      </c>
      <c r="AZ16" s="67">
        <f t="shared" si="19"/>
        <v>0.27196348661154746</v>
      </c>
      <c r="BA16" s="67">
        <f t="shared" si="20"/>
        <v>0.26854979959989894</v>
      </c>
    </row>
    <row r="17" spans="1:53" x14ac:dyDescent="0.2">
      <c r="A17" t="s">
        <v>0</v>
      </c>
      <c r="B17" t="s">
        <v>1</v>
      </c>
      <c r="C17" t="s">
        <v>2</v>
      </c>
      <c r="D17" t="s">
        <v>3</v>
      </c>
      <c r="E17" t="s">
        <v>124</v>
      </c>
      <c r="I17" t="s">
        <v>8</v>
      </c>
      <c r="J17" t="s">
        <v>9</v>
      </c>
      <c r="L17" t="s">
        <v>125</v>
      </c>
      <c r="M17" t="s">
        <v>12</v>
      </c>
      <c r="N17" t="s">
        <v>13</v>
      </c>
      <c r="O17" t="s">
        <v>15</v>
      </c>
      <c r="P17" t="s">
        <v>16</v>
      </c>
      <c r="Q17" t="s">
        <v>17</v>
      </c>
      <c r="V17" t="s">
        <v>22</v>
      </c>
      <c r="W17" t="s">
        <v>23</v>
      </c>
      <c r="X17" t="s">
        <v>24</v>
      </c>
      <c r="Y17" t="s">
        <v>25</v>
      </c>
      <c r="Z17" t="s">
        <v>122</v>
      </c>
      <c r="AA17" t="s">
        <v>27</v>
      </c>
      <c r="AB17" t="s">
        <v>28</v>
      </c>
      <c r="AC17" t="s">
        <v>29</v>
      </c>
      <c r="AD17" t="s">
        <v>30</v>
      </c>
      <c r="AE17" t="s">
        <v>31</v>
      </c>
      <c r="AF17" t="s">
        <v>121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Y17" t="s">
        <v>126</v>
      </c>
      <c r="AZ17" t="s">
        <v>127</v>
      </c>
      <c r="BA17" t="s">
        <v>128</v>
      </c>
    </row>
    <row r="18" spans="1:53" s="69" customFormat="1" x14ac:dyDescent="0.2">
      <c r="A18" s="69">
        <v>75</v>
      </c>
      <c r="B18" s="69" t="s">
        <v>55</v>
      </c>
      <c r="C18" s="69" t="s">
        <v>54</v>
      </c>
      <c r="D18" s="69">
        <v>116</v>
      </c>
      <c r="E18" s="69">
        <v>0.1</v>
      </c>
      <c r="I18" s="69">
        <v>470</v>
      </c>
      <c r="J18" s="69">
        <v>50</v>
      </c>
      <c r="K18" s="69">
        <v>0.1</v>
      </c>
      <c r="L18" s="22">
        <f>J18/I18</f>
        <v>0.10638297872340426</v>
      </c>
      <c r="M18" s="22">
        <v>1.5</v>
      </c>
      <c r="N18" s="22">
        <v>1.24</v>
      </c>
      <c r="O18" s="22">
        <v>0.21</v>
      </c>
      <c r="P18" s="69">
        <v>0.03</v>
      </c>
      <c r="Q18" s="22">
        <f t="shared" ref="Q18:Q19" si="36">(30/24.5)*(O18-P18)*0.01*1000</f>
        <v>2.2040816326530615</v>
      </c>
      <c r="V18" s="22">
        <f>Q18/(N18*I18)*1000</f>
        <v>3.7818833779222061</v>
      </c>
      <c r="W18" s="22">
        <f>(AO18*1000/180.2)*L18/N18</f>
        <v>1.4433364286002668</v>
      </c>
      <c r="X18" s="22">
        <f>N18/23*1000*L18/N18</f>
        <v>4.6253469010175765</v>
      </c>
      <c r="Y18" s="72">
        <f>100*((V18+X18)/(6*W18))</f>
        <v>97.080972857370355</v>
      </c>
      <c r="Z18" s="73">
        <v>5.2495057488951202</v>
      </c>
      <c r="AA18" s="69">
        <v>18.510000000000002</v>
      </c>
      <c r="AB18" s="69">
        <v>9.24</v>
      </c>
      <c r="AC18" s="69">
        <v>1.7</v>
      </c>
      <c r="AD18" s="69">
        <v>17.579999999999998</v>
      </c>
      <c r="AE18" s="69">
        <v>52.96</v>
      </c>
      <c r="AF18" s="22">
        <f>Z18*N18/AO18</f>
        <v>2.1471787599386287</v>
      </c>
      <c r="AG18" s="22">
        <v>0</v>
      </c>
      <c r="AH18" s="22">
        <v>21.607199999999999</v>
      </c>
      <c r="AI18" s="22">
        <v>7.2700000000000001E-2</v>
      </c>
      <c r="AJ18" s="22">
        <v>0</v>
      </c>
      <c r="AK18" s="22">
        <v>0</v>
      </c>
      <c r="AL18" s="22">
        <v>0</v>
      </c>
      <c r="AM18" s="22">
        <v>0</v>
      </c>
      <c r="AN18" s="22">
        <v>24.6388</v>
      </c>
      <c r="AO18" s="22">
        <f t="shared" ref="AO18:AO19" si="37">AN18-AH18</f>
        <v>3.031600000000001</v>
      </c>
      <c r="AY18" s="22">
        <f>AO18*L18/N18</f>
        <v>0.26008922443376814</v>
      </c>
      <c r="AZ18" s="71">
        <f>(AA18+AC18)/(AB18+AD18+AE18)</f>
        <v>0.25332163449486089</v>
      </c>
      <c r="BA18" s="71">
        <f>(AA18+AB18)/(AC18+AD18+AE18)</f>
        <v>0.38413621262458475</v>
      </c>
    </row>
    <row r="19" spans="1:53" s="69" customFormat="1" x14ac:dyDescent="0.2">
      <c r="A19" s="69">
        <v>76</v>
      </c>
      <c r="B19" s="69" t="s">
        <v>55</v>
      </c>
      <c r="C19" s="69" t="s">
        <v>54</v>
      </c>
      <c r="D19" s="69">
        <v>116</v>
      </c>
      <c r="E19" s="69">
        <v>0.1</v>
      </c>
      <c r="I19" s="69">
        <v>470</v>
      </c>
      <c r="J19" s="69">
        <v>50</v>
      </c>
      <c r="K19" s="69">
        <v>0.1</v>
      </c>
      <c r="L19" s="22">
        <f>J19/I19</f>
        <v>0.10638297872340426</v>
      </c>
      <c r="M19" s="22">
        <v>1.73</v>
      </c>
      <c r="N19" s="22">
        <v>1.42</v>
      </c>
      <c r="O19" s="22">
        <v>0.21</v>
      </c>
      <c r="P19" s="69">
        <v>0.03</v>
      </c>
      <c r="Q19" s="22">
        <f t="shared" si="36"/>
        <v>2.2040816326530615</v>
      </c>
      <c r="V19" s="22">
        <f>Q19/(N19*I19)*1000</f>
        <v>3.3024897102982642</v>
      </c>
      <c r="W19" s="22">
        <f>(AO19*1000/180.2)*L19/N19</f>
        <v>1.251689179638247</v>
      </c>
      <c r="X19" s="22">
        <f>N19/23*1000*L19/N19</f>
        <v>4.6253469010175765</v>
      </c>
      <c r="Y19" s="72">
        <f>100*((V19+X19)/(6*W19))</f>
        <v>105.56183782525362</v>
      </c>
      <c r="Z19" s="73">
        <v>6.5403549328781603</v>
      </c>
      <c r="AA19" s="69">
        <v>16.91</v>
      </c>
      <c r="AB19" s="69">
        <v>10.41</v>
      </c>
      <c r="AC19" s="69">
        <v>1.61</v>
      </c>
      <c r="AD19" s="69">
        <v>18.27</v>
      </c>
      <c r="AE19" s="69">
        <v>52.8</v>
      </c>
      <c r="AF19" s="22">
        <f>Z19*N19/AO19</f>
        <v>3.0847656706702717</v>
      </c>
      <c r="AG19" s="22">
        <v>4.4000000000000003E-3</v>
      </c>
      <c r="AH19" s="22">
        <v>21.6281</v>
      </c>
      <c r="AI19" s="22">
        <v>6.9500000000000006E-2</v>
      </c>
      <c r="AJ19" s="22">
        <v>0</v>
      </c>
      <c r="AK19" s="22">
        <v>0</v>
      </c>
      <c r="AL19" s="22">
        <v>0</v>
      </c>
      <c r="AM19" s="22">
        <v>0</v>
      </c>
      <c r="AN19" s="22">
        <v>24.6388</v>
      </c>
      <c r="AO19" s="22">
        <f t="shared" si="37"/>
        <v>3.0106999999999999</v>
      </c>
      <c r="AY19" s="22">
        <f>AO19*L19/N19</f>
        <v>0.22555439017081211</v>
      </c>
      <c r="AZ19" s="71">
        <f>(AA19+AC19)/(AB19+AD19+AE19)</f>
        <v>0.22729504172803144</v>
      </c>
      <c r="BA19" s="71">
        <f>(AA19+AB19)/(AC19+AD19+AE19)</f>
        <v>0.37589433131535505</v>
      </c>
    </row>
    <row r="20" spans="1:53" x14ac:dyDescent="0.2">
      <c r="A20" t="s">
        <v>135</v>
      </c>
    </row>
    <row r="21" spans="1:53" x14ac:dyDescent="0.2">
      <c r="A21" s="3" t="s">
        <v>120</v>
      </c>
    </row>
    <row r="22" spans="1:53" x14ac:dyDescent="0.2">
      <c r="A22" t="s">
        <v>129</v>
      </c>
      <c r="B22" t="s">
        <v>130</v>
      </c>
      <c r="C22" t="s">
        <v>90</v>
      </c>
      <c r="D22" t="s">
        <v>131</v>
      </c>
      <c r="E22" t="s">
        <v>132</v>
      </c>
      <c r="F22" t="s">
        <v>114</v>
      </c>
      <c r="G22" t="s">
        <v>117</v>
      </c>
    </row>
    <row r="23" spans="1:53" x14ac:dyDescent="0.2">
      <c r="A23" t="s">
        <v>92</v>
      </c>
      <c r="B23" t="s">
        <v>93</v>
      </c>
      <c r="C23" t="s">
        <v>95</v>
      </c>
      <c r="D23" t="s">
        <v>96</v>
      </c>
      <c r="E23">
        <v>76.357668669999995</v>
      </c>
      <c r="F23" t="s">
        <v>115</v>
      </c>
      <c r="G23" t="s">
        <v>118</v>
      </c>
    </row>
    <row r="24" spans="1:53" x14ac:dyDescent="0.2">
      <c r="A24" t="s">
        <v>97</v>
      </c>
      <c r="B24" t="s">
        <v>98</v>
      </c>
      <c r="C24" t="s">
        <v>100</v>
      </c>
      <c r="D24" t="s">
        <v>101</v>
      </c>
      <c r="E24">
        <v>123.241112</v>
      </c>
    </row>
    <row r="25" spans="1:53" x14ac:dyDescent="0.2">
      <c r="A25" t="s">
        <v>102</v>
      </c>
      <c r="B25" t="s">
        <v>103</v>
      </c>
      <c r="C25" t="s">
        <v>105</v>
      </c>
      <c r="D25" t="s">
        <v>106</v>
      </c>
      <c r="E25">
        <v>135.70506800000001</v>
      </c>
      <c r="F25" t="s">
        <v>116</v>
      </c>
      <c r="G25" t="s">
        <v>119</v>
      </c>
      <c r="AA25" s="25"/>
    </row>
    <row r="26" spans="1:53" x14ac:dyDescent="0.2">
      <c r="A26" t="s">
        <v>107</v>
      </c>
      <c r="B26" t="s">
        <v>108</v>
      </c>
      <c r="C26" t="s">
        <v>109</v>
      </c>
      <c r="D26" t="s">
        <v>110</v>
      </c>
      <c r="E26">
        <v>308.41123470000002</v>
      </c>
      <c r="AA26" s="25"/>
    </row>
    <row r="27" spans="1:53" x14ac:dyDescent="0.2">
      <c r="A27" t="s">
        <v>133</v>
      </c>
      <c r="C27" t="s">
        <v>137</v>
      </c>
      <c r="P27" t="s">
        <v>123</v>
      </c>
      <c r="AA27" s="25"/>
    </row>
    <row r="28" spans="1:53" x14ac:dyDescent="0.2">
      <c r="A28" t="s">
        <v>134</v>
      </c>
      <c r="C28" t="s">
        <v>136</v>
      </c>
      <c r="AA28" s="25"/>
    </row>
    <row r="29" spans="1:53" x14ac:dyDescent="0.2">
      <c r="AA29" s="25"/>
    </row>
    <row r="30" spans="1:53" x14ac:dyDescent="0.2">
      <c r="A30" s="40" t="s">
        <v>111</v>
      </c>
      <c r="B30" s="45" t="s">
        <v>83</v>
      </c>
      <c r="AA30" s="25"/>
    </row>
    <row r="31" spans="1:53" x14ac:dyDescent="0.2">
      <c r="A31" s="40" t="s">
        <v>113</v>
      </c>
      <c r="B31" s="45" t="s">
        <v>85</v>
      </c>
    </row>
  </sheetData>
  <phoneticPr fontId="5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for_calculation</vt:lpstr>
      <vt:lpstr>Sheet1</vt:lpstr>
      <vt:lpstr>fba</vt:lpstr>
      <vt:lpstr>Raw data</vt:lpstr>
      <vt:lpstr>Calculation</vt:lpstr>
      <vt:lpstr>Final(to be updated)</vt:lpstr>
      <vt:lpstr>Lipid 4 genes</vt:lpstr>
      <vt:lpstr>For IA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2021-01-14T10:26:03Z</dcterms:created>
  <dcterms:modified xsi:type="dcterms:W3CDTF">2022-10-25T03:22:05Z</dcterms:modified>
  <cp:category/>
  <cp:contentStatus/>
</cp:coreProperties>
</file>