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240" windowHeight="1278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H58" i="1"/>
  <c r="H57"/>
  <c r="H56"/>
  <c r="H52"/>
  <c r="H51"/>
  <c r="H50"/>
  <c r="H49"/>
  <c r="H47"/>
  <c r="H46"/>
  <c r="H44" l="1"/>
  <c r="H35"/>
  <c r="H33"/>
  <c r="H32"/>
  <c r="H42"/>
  <c r="H41"/>
  <c r="H40"/>
  <c r="H39"/>
  <c r="H24"/>
  <c r="H22"/>
  <c r="H23"/>
  <c r="H19"/>
  <c r="H30" s="1"/>
  <c r="H17"/>
  <c r="H28"/>
  <c r="H12"/>
  <c r="H9"/>
  <c r="H7"/>
  <c r="H6"/>
  <c r="H5"/>
  <c r="H4"/>
  <c r="H3"/>
  <c r="H2"/>
</calcChain>
</file>

<file path=xl/sharedStrings.xml><?xml version="1.0" encoding="utf-8"?>
<sst xmlns="http://schemas.openxmlformats.org/spreadsheetml/2006/main" count="176" uniqueCount="119">
  <si>
    <t>S</t>
  </si>
  <si>
    <t>U</t>
  </si>
  <si>
    <t>n</t>
  </si>
  <si>
    <t>m</t>
  </si>
  <si>
    <t>cos(fi)</t>
  </si>
  <si>
    <t>f</t>
  </si>
  <si>
    <t>horizontální</t>
  </si>
  <si>
    <t>generátor</t>
  </si>
  <si>
    <t>[kVA]</t>
  </si>
  <si>
    <t>[ot/min]</t>
  </si>
  <si>
    <t>[-]</t>
  </si>
  <si>
    <t>[V]</t>
  </si>
  <si>
    <t>[Hz]</t>
  </si>
  <si>
    <t>Základní hodnoty</t>
  </si>
  <si>
    <t>P</t>
  </si>
  <si>
    <t>Uf</t>
  </si>
  <si>
    <t>p</t>
  </si>
  <si>
    <t>2p</t>
  </si>
  <si>
    <t>I1</t>
  </si>
  <si>
    <t>A</t>
  </si>
  <si>
    <t>B𝜎</t>
  </si>
  <si>
    <t>𝛼</t>
  </si>
  <si>
    <t>tp</t>
  </si>
  <si>
    <t>Činný výkon</t>
  </si>
  <si>
    <t>Fázové napětí</t>
  </si>
  <si>
    <t>Počet pólů</t>
  </si>
  <si>
    <t>Fázový proud</t>
  </si>
  <si>
    <t>Počet pólpárů</t>
  </si>
  <si>
    <t>Průměr kotvy</t>
  </si>
  <si>
    <t>D1_emp</t>
  </si>
  <si>
    <t>D1_tab</t>
  </si>
  <si>
    <t>Obvodová proudová hustota</t>
  </si>
  <si>
    <t>Indukce ve vzduchové mezeře</t>
  </si>
  <si>
    <t>Mezipólová rozteč</t>
  </si>
  <si>
    <t>Činitel pólového krytí</t>
  </si>
  <si>
    <t>[kW]</t>
  </si>
  <si>
    <t>[A]</t>
  </si>
  <si>
    <t>[m]</t>
  </si>
  <si>
    <t>[A/m]</t>
  </si>
  <si>
    <t>[T]</t>
  </si>
  <si>
    <t>Návrh vinutí kotvy (statoru)</t>
  </si>
  <si>
    <t>td1</t>
  </si>
  <si>
    <t>Q</t>
  </si>
  <si>
    <t>q</t>
  </si>
  <si>
    <t>Qf</t>
  </si>
  <si>
    <t>c</t>
  </si>
  <si>
    <t>k</t>
  </si>
  <si>
    <t>ns</t>
  </si>
  <si>
    <t>Qpř</t>
  </si>
  <si>
    <t>Ns</t>
  </si>
  <si>
    <t>nd</t>
  </si>
  <si>
    <t>a_st</t>
  </si>
  <si>
    <t>nd_final</t>
  </si>
  <si>
    <t>Mezidrážková rozteč</t>
  </si>
  <si>
    <t>[mm]</t>
  </si>
  <si>
    <t>Počet drážek induktu</t>
  </si>
  <si>
    <t>Počet drážek na pól a fázi</t>
  </si>
  <si>
    <t xml:space="preserve">Počet drážek v každé fázi </t>
  </si>
  <si>
    <t>Čitatel</t>
  </si>
  <si>
    <t>Jmenovatel</t>
  </si>
  <si>
    <t>Překladové číslo</t>
  </si>
  <si>
    <t>Počet segmentů</t>
  </si>
  <si>
    <t>Počet drážek na překlad</t>
  </si>
  <si>
    <t>Počet závitů jedné fáze v sérii</t>
  </si>
  <si>
    <t>Počet vodičů v drážce</t>
  </si>
  <si>
    <t>Počet paralelních větví</t>
  </si>
  <si>
    <t>Q_final</t>
  </si>
  <si>
    <t>q_final</t>
  </si>
  <si>
    <t>Qf_kontrola</t>
  </si>
  <si>
    <t>Počet závitů v sérii jedné fáze</t>
  </si>
  <si>
    <t>A_real</t>
  </si>
  <si>
    <t>m'</t>
  </si>
  <si>
    <t>Matematický počet fází</t>
  </si>
  <si>
    <t>Qp</t>
  </si>
  <si>
    <t>Počet drážek na pól</t>
  </si>
  <si>
    <t>y1d</t>
  </si>
  <si>
    <t>Cívkový krok</t>
  </si>
  <si>
    <t>𝛽</t>
  </si>
  <si>
    <t>Poměrné zkrácení kroku</t>
  </si>
  <si>
    <t>yk</t>
  </si>
  <si>
    <t>Krok na komutátoru</t>
  </si>
  <si>
    <t>𝜀</t>
  </si>
  <si>
    <t>vlnové / smyčkové</t>
  </si>
  <si>
    <t>a_ss</t>
  </si>
  <si>
    <t>sériové / paralelní</t>
  </si>
  <si>
    <t>"+/-"</t>
  </si>
  <si>
    <t>křížené / nekřížené</t>
  </si>
  <si>
    <t>+</t>
  </si>
  <si>
    <t>Počet skupin vinutí</t>
  </si>
  <si>
    <t>Počet skupin v jedné fázi</t>
  </si>
  <si>
    <t>Počet cívek ve skupině</t>
  </si>
  <si>
    <t>Přední cívkový krok</t>
  </si>
  <si>
    <t>Zadní cívkový krok</t>
  </si>
  <si>
    <t>y1</t>
  </si>
  <si>
    <t>y2</t>
  </si>
  <si>
    <t>2u</t>
  </si>
  <si>
    <t>Vrstev vinutí</t>
  </si>
  <si>
    <t>𝜐</t>
  </si>
  <si>
    <t>Řád harmonické</t>
  </si>
  <si>
    <t xml:space="preserve">Činitel základní harmonické </t>
  </si>
  <si>
    <t>k𝜐1</t>
  </si>
  <si>
    <t>k𝜐n</t>
  </si>
  <si>
    <t xml:space="preserve">Činitel random harmonické </t>
  </si>
  <si>
    <t>Essonův činitel</t>
  </si>
  <si>
    <t>C</t>
  </si>
  <si>
    <r>
      <t>[kVA/m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ot/min]</t>
    </r>
  </si>
  <si>
    <t>le</t>
  </si>
  <si>
    <t>Efektivní délka stroje</t>
  </si>
  <si>
    <t>šp</t>
  </si>
  <si>
    <t>Šířka paketu</t>
  </si>
  <si>
    <t>šk</t>
  </si>
  <si>
    <t>Šířka kanálu</t>
  </si>
  <si>
    <t>i</t>
  </si>
  <si>
    <t>Počet paketů</t>
  </si>
  <si>
    <t>L</t>
  </si>
  <si>
    <t>Celková délka kotvy</t>
  </si>
  <si>
    <t>ik</t>
  </si>
  <si>
    <t>Počet kanálů</t>
  </si>
  <si>
    <t>le_final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</si>
</sst>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Font="1"/>
    <xf numFmtId="0" fontId="0" fillId="0" borderId="0" xfId="0" applyFont="1" applyFill="1" applyBorder="1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 applyAlignment="1">
      <alignment horizontal="right"/>
    </xf>
    <xf numFmtId="0" fontId="0" fillId="0" borderId="0" xfId="0" applyFont="1" applyAlignment="1">
      <alignment wrapText="1"/>
    </xf>
    <xf numFmtId="0" fontId="0" fillId="4" borderId="0" xfId="0" applyFill="1"/>
    <xf numFmtId="0" fontId="0" fillId="4" borderId="0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justify" wrapText="1"/>
    </xf>
    <xf numFmtId="0" fontId="2" fillId="0" borderId="0" xfId="0" applyFont="1"/>
    <xf numFmtId="0" fontId="0" fillId="0" borderId="0" xfId="0" applyFill="1" applyBorder="1"/>
    <xf numFmtId="0" fontId="0" fillId="5" borderId="0" xfId="0" applyFill="1"/>
    <xf numFmtId="0" fontId="2" fillId="5" borderId="0" xfId="0" applyFont="1" applyFill="1"/>
    <xf numFmtId="0" fontId="0" fillId="5" borderId="0" xfId="0" applyFill="1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8"/>
  <sheetViews>
    <sheetView tabSelected="1" topLeftCell="A27" zoomScale="115" zoomScaleNormal="115" workbookViewId="0">
      <selection activeCell="K37" sqref="K37"/>
    </sheetView>
  </sheetViews>
  <sheetFormatPr defaultRowHeight="15"/>
  <cols>
    <col min="1" max="1" width="11.5703125" bestFit="1" customWidth="1"/>
    <col min="5" max="5" width="11.5703125" bestFit="1" customWidth="1"/>
    <col min="6" max="6" width="28.140625" bestFit="1" customWidth="1"/>
    <col min="7" max="7" width="15.85546875" bestFit="1" customWidth="1"/>
  </cols>
  <sheetData>
    <row r="1" spans="1:8">
      <c r="A1" s="2" t="s">
        <v>0</v>
      </c>
      <c r="B1" s="3" t="s">
        <v>8</v>
      </c>
      <c r="C1" s="4">
        <v>700</v>
      </c>
      <c r="E1" s="21" t="s">
        <v>13</v>
      </c>
      <c r="F1" s="21"/>
      <c r="G1" s="21"/>
      <c r="H1" s="21"/>
    </row>
    <row r="2" spans="1:8">
      <c r="A2" s="5" t="s">
        <v>2</v>
      </c>
      <c r="B2" s="1" t="s">
        <v>9</v>
      </c>
      <c r="C2" s="6">
        <v>1000</v>
      </c>
      <c r="E2" t="s">
        <v>14</v>
      </c>
      <c r="F2" s="11" t="s">
        <v>23</v>
      </c>
      <c r="G2" s="12" t="s">
        <v>35</v>
      </c>
      <c r="H2">
        <f>C1*C5</f>
        <v>560</v>
      </c>
    </row>
    <row r="3" spans="1:8">
      <c r="A3" s="5" t="s">
        <v>3</v>
      </c>
      <c r="B3" s="1" t="s">
        <v>10</v>
      </c>
      <c r="C3" s="6">
        <v>3</v>
      </c>
      <c r="E3" t="s">
        <v>15</v>
      </c>
      <c r="F3" s="11" t="s">
        <v>24</v>
      </c>
      <c r="G3" s="12" t="s">
        <v>11</v>
      </c>
      <c r="H3">
        <f>C4/SQRT(3)</f>
        <v>1732.0508075688774</v>
      </c>
    </row>
    <row r="4" spans="1:8">
      <c r="A4" s="5" t="s">
        <v>1</v>
      </c>
      <c r="B4" s="1" t="s">
        <v>11</v>
      </c>
      <c r="C4" s="6">
        <v>3000</v>
      </c>
      <c r="E4" t="s">
        <v>16</v>
      </c>
      <c r="F4" s="11" t="s">
        <v>27</v>
      </c>
      <c r="G4" s="12" t="s">
        <v>10</v>
      </c>
      <c r="H4">
        <f>(60*C6)/C2</f>
        <v>3</v>
      </c>
    </row>
    <row r="5" spans="1:8">
      <c r="A5" s="5" t="s">
        <v>4</v>
      </c>
      <c r="B5" s="1" t="s">
        <v>10</v>
      </c>
      <c r="C5" s="6">
        <v>0.8</v>
      </c>
      <c r="E5" t="s">
        <v>17</v>
      </c>
      <c r="F5" s="11" t="s">
        <v>25</v>
      </c>
      <c r="G5" s="12" t="s">
        <v>10</v>
      </c>
      <c r="H5">
        <f>2*H4</f>
        <v>6</v>
      </c>
    </row>
    <row r="6" spans="1:8">
      <c r="A6" s="5" t="s">
        <v>5</v>
      </c>
      <c r="B6" s="1" t="s">
        <v>12</v>
      </c>
      <c r="C6" s="6">
        <v>50</v>
      </c>
      <c r="E6" t="s">
        <v>18</v>
      </c>
      <c r="F6" s="11" t="s">
        <v>26</v>
      </c>
      <c r="G6" s="12" t="s">
        <v>36</v>
      </c>
      <c r="H6">
        <f>(C1*(10^3))/(C4*SQRT(3))</f>
        <v>134.71506281091268</v>
      </c>
    </row>
    <row r="7" spans="1:8">
      <c r="A7" s="5" t="s">
        <v>6</v>
      </c>
      <c r="B7" s="1"/>
      <c r="C7" s="7"/>
      <c r="E7" t="s">
        <v>29</v>
      </c>
      <c r="F7" s="11" t="s">
        <v>28</v>
      </c>
      <c r="G7" s="12" t="s">
        <v>37</v>
      </c>
      <c r="H7">
        <f>(0.08*(H5)^0.625)*(C1^0.185)</f>
        <v>0.8237162921046749</v>
      </c>
    </row>
    <row r="8" spans="1:8" ht="15.75" thickBot="1">
      <c r="A8" s="8" t="s">
        <v>7</v>
      </c>
      <c r="B8" s="9"/>
      <c r="C8" s="10"/>
      <c r="E8" s="13" t="s">
        <v>30</v>
      </c>
      <c r="F8" s="14" t="s">
        <v>28</v>
      </c>
      <c r="G8" s="12" t="s">
        <v>37</v>
      </c>
      <c r="H8">
        <v>0.8</v>
      </c>
    </row>
    <row r="9" spans="1:8">
      <c r="E9" s="13" t="s">
        <v>19</v>
      </c>
      <c r="F9" s="13" t="s">
        <v>31</v>
      </c>
      <c r="G9" s="12" t="s">
        <v>38</v>
      </c>
      <c r="H9">
        <f>32*10^3</f>
        <v>32000</v>
      </c>
    </row>
    <row r="10" spans="1:8">
      <c r="E10" s="13" t="s">
        <v>20</v>
      </c>
      <c r="F10" s="14" t="s">
        <v>32</v>
      </c>
      <c r="G10" s="12" t="s">
        <v>39</v>
      </c>
      <c r="H10">
        <v>0.68</v>
      </c>
    </row>
    <row r="11" spans="1:8">
      <c r="E11" t="s">
        <v>21</v>
      </c>
      <c r="F11" s="11" t="s">
        <v>34</v>
      </c>
      <c r="G11" s="12" t="s">
        <v>10</v>
      </c>
      <c r="H11">
        <v>0.65</v>
      </c>
    </row>
    <row r="12" spans="1:8">
      <c r="E12" t="s">
        <v>22</v>
      </c>
      <c r="F12" s="11" t="s">
        <v>33</v>
      </c>
      <c r="G12" s="12" t="s">
        <v>37</v>
      </c>
      <c r="H12">
        <f>(PI()*H8)/H5</f>
        <v>0.41887902047863906</v>
      </c>
    </row>
    <row r="15" spans="1:8">
      <c r="E15" s="21" t="s">
        <v>40</v>
      </c>
      <c r="F15" s="21"/>
      <c r="G15" s="21"/>
      <c r="H15" s="21"/>
    </row>
    <row r="16" spans="1:8">
      <c r="E16" s="15" t="s">
        <v>41</v>
      </c>
      <c r="F16" s="16" t="s">
        <v>53</v>
      </c>
      <c r="G16" s="15" t="s">
        <v>54</v>
      </c>
      <c r="H16">
        <v>30</v>
      </c>
    </row>
    <row r="17" spans="5:8">
      <c r="E17" t="s">
        <v>42</v>
      </c>
      <c r="F17" s="11" t="s">
        <v>55</v>
      </c>
      <c r="G17" t="s">
        <v>10</v>
      </c>
      <c r="H17">
        <f>(PI()*H8*(10^3))/H16</f>
        <v>83.775804095727821</v>
      </c>
    </row>
    <row r="18" spans="5:8">
      <c r="E18" s="13" t="s">
        <v>66</v>
      </c>
      <c r="F18" s="14" t="s">
        <v>55</v>
      </c>
      <c r="G18" s="13" t="s">
        <v>10</v>
      </c>
      <c r="H18" s="13">
        <v>81</v>
      </c>
    </row>
    <row r="19" spans="5:8">
      <c r="E19" t="s">
        <v>43</v>
      </c>
      <c r="F19" s="11" t="s">
        <v>56</v>
      </c>
      <c r="G19" t="s">
        <v>10</v>
      </c>
      <c r="H19">
        <f>H18/(H5*C3)</f>
        <v>4.5</v>
      </c>
    </row>
    <row r="20" spans="5:8">
      <c r="E20" t="s">
        <v>2</v>
      </c>
      <c r="F20" s="11" t="s">
        <v>58</v>
      </c>
      <c r="G20" t="s">
        <v>10</v>
      </c>
      <c r="H20">
        <v>9</v>
      </c>
    </row>
    <row r="21" spans="5:8">
      <c r="E21" t="s">
        <v>45</v>
      </c>
      <c r="F21" s="11" t="s">
        <v>59</v>
      </c>
      <c r="G21" t="s">
        <v>10</v>
      </c>
      <c r="H21">
        <v>2</v>
      </c>
    </row>
    <row r="22" spans="5:8">
      <c r="E22" s="13" t="s">
        <v>67</v>
      </c>
      <c r="F22" s="13" t="s">
        <v>56</v>
      </c>
      <c r="G22" s="13" t="s">
        <v>10</v>
      </c>
      <c r="H22" s="13">
        <f>H20/H21</f>
        <v>4.5</v>
      </c>
    </row>
    <row r="23" spans="5:8">
      <c r="E23" t="s">
        <v>44</v>
      </c>
      <c r="F23" s="11" t="s">
        <v>57</v>
      </c>
      <c r="G23" t="s">
        <v>10</v>
      </c>
      <c r="H23">
        <f>H18/C3</f>
        <v>27</v>
      </c>
    </row>
    <row r="24" spans="5:8">
      <c r="E24" t="s">
        <v>68</v>
      </c>
      <c r="F24" s="11" t="s">
        <v>57</v>
      </c>
      <c r="G24" t="s">
        <v>10</v>
      </c>
      <c r="H24">
        <f>H5*(H20/H21)</f>
        <v>27</v>
      </c>
    </row>
    <row r="25" spans="5:8">
      <c r="E25" t="s">
        <v>46</v>
      </c>
      <c r="F25" s="11" t="s">
        <v>60</v>
      </c>
      <c r="G25" t="s">
        <v>10</v>
      </c>
      <c r="H25">
        <v>3</v>
      </c>
    </row>
    <row r="26" spans="5:8">
      <c r="E26" t="s">
        <v>47</v>
      </c>
      <c r="F26" s="11" t="s">
        <v>61</v>
      </c>
      <c r="G26" t="s">
        <v>10</v>
      </c>
      <c r="H26">
        <v>9</v>
      </c>
    </row>
    <row r="27" spans="5:8">
      <c r="E27" t="s">
        <v>48</v>
      </c>
      <c r="F27" s="11" t="s">
        <v>62</v>
      </c>
      <c r="G27" t="s">
        <v>10</v>
      </c>
      <c r="H27">
        <v>3</v>
      </c>
    </row>
    <row r="28" spans="5:8">
      <c r="E28" t="s">
        <v>49</v>
      </c>
      <c r="F28" s="11" t="s">
        <v>63</v>
      </c>
      <c r="G28" t="s">
        <v>10</v>
      </c>
      <c r="H28">
        <f>(PI()*H8*H9)/(2*C3*H6)</f>
        <v>99.499850837991374</v>
      </c>
    </row>
    <row r="29" spans="5:8">
      <c r="E29" t="s">
        <v>51</v>
      </c>
      <c r="F29" s="11" t="s">
        <v>65</v>
      </c>
      <c r="G29" t="s">
        <v>10</v>
      </c>
      <c r="H29">
        <v>3</v>
      </c>
    </row>
    <row r="30" spans="5:8">
      <c r="E30" t="s">
        <v>50</v>
      </c>
      <c r="F30" s="11" t="s">
        <v>64</v>
      </c>
      <c r="G30" t="s">
        <v>10</v>
      </c>
      <c r="H30">
        <f>(H29*H28)/(H4*H19)</f>
        <v>22.111077963998081</v>
      </c>
    </row>
    <row r="31" spans="5:8">
      <c r="E31" s="13" t="s">
        <v>52</v>
      </c>
      <c r="F31" s="14" t="s">
        <v>64</v>
      </c>
      <c r="G31" s="13" t="s">
        <v>10</v>
      </c>
      <c r="H31" s="13">
        <v>22</v>
      </c>
    </row>
    <row r="32" spans="5:8">
      <c r="E32" t="s">
        <v>49</v>
      </c>
      <c r="F32" s="11" t="s">
        <v>69</v>
      </c>
      <c r="G32" t="s">
        <v>10</v>
      </c>
      <c r="H32">
        <f>(H31*H4*H19)/H29</f>
        <v>99</v>
      </c>
    </row>
    <row r="33" spans="5:8">
      <c r="E33" t="s">
        <v>70</v>
      </c>
      <c r="F33" s="15" t="s">
        <v>31</v>
      </c>
      <c r="G33" s="12" t="s">
        <v>38</v>
      </c>
      <c r="H33">
        <f>((2*C3*H6)/(PI()*H8))*H28</f>
        <v>32000.000000000004</v>
      </c>
    </row>
    <row r="34" spans="5:8">
      <c r="E34" t="s">
        <v>71</v>
      </c>
      <c r="F34" s="15" t="s">
        <v>72</v>
      </c>
      <c r="G34" s="12" t="s">
        <v>10</v>
      </c>
      <c r="H34">
        <v>6</v>
      </c>
    </row>
    <row r="35" spans="5:8">
      <c r="E35" t="s">
        <v>73</v>
      </c>
      <c r="F35" s="15" t="s">
        <v>74</v>
      </c>
      <c r="G35" s="12" t="s">
        <v>10</v>
      </c>
      <c r="H35">
        <f>H18/H5</f>
        <v>13.5</v>
      </c>
    </row>
    <row r="36" spans="5:8">
      <c r="E36" t="s">
        <v>81</v>
      </c>
      <c r="F36" s="15" t="s">
        <v>82</v>
      </c>
      <c r="G36" s="12" t="s">
        <v>10</v>
      </c>
      <c r="H36">
        <v>0</v>
      </c>
    </row>
    <row r="37" spans="5:8">
      <c r="E37" t="s">
        <v>83</v>
      </c>
      <c r="F37" s="15" t="s">
        <v>84</v>
      </c>
      <c r="G37" s="12" t="s">
        <v>10</v>
      </c>
      <c r="H37">
        <v>3</v>
      </c>
    </row>
    <row r="38" spans="5:8">
      <c r="E38" t="s">
        <v>85</v>
      </c>
      <c r="F38" s="15" t="s">
        <v>86</v>
      </c>
      <c r="G38" s="12" t="s">
        <v>10</v>
      </c>
      <c r="H38" s="17" t="s">
        <v>87</v>
      </c>
    </row>
    <row r="39" spans="5:8">
      <c r="E39" t="s">
        <v>79</v>
      </c>
      <c r="F39" s="15" t="s">
        <v>80</v>
      </c>
      <c r="G39" s="12" t="s">
        <v>10</v>
      </c>
      <c r="H39">
        <f>H37/H4</f>
        <v>1</v>
      </c>
    </row>
    <row r="40" spans="5:8">
      <c r="F40" s="15" t="s">
        <v>88</v>
      </c>
      <c r="G40" s="12" t="s">
        <v>10</v>
      </c>
      <c r="H40">
        <f>H34*H37</f>
        <v>18</v>
      </c>
    </row>
    <row r="41" spans="5:8">
      <c r="F41" s="18" t="s">
        <v>89</v>
      </c>
      <c r="G41" s="12" t="s">
        <v>10</v>
      </c>
      <c r="H41">
        <f>H40/C3</f>
        <v>6</v>
      </c>
    </row>
    <row r="42" spans="5:8">
      <c r="F42" s="11" t="s">
        <v>90</v>
      </c>
      <c r="G42" s="12" t="s">
        <v>10</v>
      </c>
      <c r="H42">
        <f>H18/H40</f>
        <v>4.5</v>
      </c>
    </row>
    <row r="43" spans="5:8">
      <c r="E43" s="19" t="s">
        <v>75</v>
      </c>
      <c r="F43" s="19" t="s">
        <v>76</v>
      </c>
      <c r="G43" s="20" t="s">
        <v>10</v>
      </c>
      <c r="H43" s="19">
        <v>11</v>
      </c>
    </row>
    <row r="44" spans="5:8">
      <c r="E44" t="s">
        <v>77</v>
      </c>
      <c r="F44" s="15" t="s">
        <v>78</v>
      </c>
      <c r="G44" s="12" t="s">
        <v>10</v>
      </c>
      <c r="H44">
        <f>H43/H35</f>
        <v>0.81481481481481477</v>
      </c>
    </row>
    <row r="45" spans="5:8">
      <c r="E45" t="s">
        <v>95</v>
      </c>
      <c r="F45" s="16" t="s">
        <v>96</v>
      </c>
      <c r="G45" s="12" t="s">
        <v>10</v>
      </c>
      <c r="H45">
        <v>2</v>
      </c>
    </row>
    <row r="46" spans="5:8" ht="15.75">
      <c r="E46" t="s">
        <v>93</v>
      </c>
      <c r="F46" s="22" t="s">
        <v>91</v>
      </c>
      <c r="G46" s="12" t="s">
        <v>10</v>
      </c>
      <c r="H46">
        <f>(H45*H43)+1</f>
        <v>23</v>
      </c>
    </row>
    <row r="47" spans="5:8" ht="15.75">
      <c r="E47" t="s">
        <v>94</v>
      </c>
      <c r="F47" s="23" t="s">
        <v>92</v>
      </c>
      <c r="G47" s="12" t="s">
        <v>10</v>
      </c>
      <c r="H47">
        <f>(2*H39)-H46</f>
        <v>-21</v>
      </c>
    </row>
    <row r="48" spans="5:8">
      <c r="E48" t="s">
        <v>97</v>
      </c>
      <c r="F48" s="11" t="s">
        <v>98</v>
      </c>
      <c r="G48" s="12" t="s">
        <v>10</v>
      </c>
      <c r="H48">
        <v>2</v>
      </c>
    </row>
    <row r="49" spans="5:8" ht="15.75">
      <c r="E49" t="s">
        <v>101</v>
      </c>
      <c r="F49" s="23" t="s">
        <v>102</v>
      </c>
      <c r="G49" s="12" t="s">
        <v>10</v>
      </c>
      <c r="H49">
        <f>SIN(H48*H44*(PI()/2))*((SIN(H48*(PI()/H34)))/(H20*SIN(H48*(PI()/(H34*H20)))))</f>
        <v>0.45546729933500574</v>
      </c>
    </row>
    <row r="50" spans="5:8" ht="15.75">
      <c r="E50" t="s">
        <v>100</v>
      </c>
      <c r="F50" s="23" t="s">
        <v>99</v>
      </c>
      <c r="G50" s="12" t="s">
        <v>10</v>
      </c>
      <c r="H50">
        <f>SIN(1*H44*(PI()/2))*((SIN(1*(PI()/H34)))/(H20*SIN(1*(PI()/(H34*H20)))))</f>
        <v>0.91532885331947178</v>
      </c>
    </row>
    <row r="51" spans="5:8" ht="17.25">
      <c r="E51" t="s">
        <v>104</v>
      </c>
      <c r="F51" s="23" t="s">
        <v>103</v>
      </c>
      <c r="G51" s="24" t="s">
        <v>105</v>
      </c>
      <c r="H51">
        <f>((PI()^2)/(60*SQRT(2)))*H33*H10*H50*(10^-3)</f>
        <v>2.3166986242255381</v>
      </c>
    </row>
    <row r="52" spans="5:8" ht="15.75">
      <c r="E52" t="s">
        <v>106</v>
      </c>
      <c r="F52" s="23" t="s">
        <v>107</v>
      </c>
      <c r="G52" s="24" t="s">
        <v>37</v>
      </c>
      <c r="H52">
        <f>(C1)/(H51*(H8^2)*C2)</f>
        <v>0.4721157894957681</v>
      </c>
    </row>
    <row r="53" spans="5:8" ht="15.75">
      <c r="E53" s="25" t="s">
        <v>118</v>
      </c>
      <c r="F53" s="26" t="s">
        <v>107</v>
      </c>
      <c r="G53" s="27" t="s">
        <v>37</v>
      </c>
      <c r="H53" s="25"/>
    </row>
    <row r="54" spans="5:8" ht="15.75">
      <c r="E54" t="s">
        <v>108</v>
      </c>
      <c r="F54" s="23" t="s">
        <v>109</v>
      </c>
      <c r="G54" s="24" t="s">
        <v>37</v>
      </c>
    </row>
    <row r="55" spans="5:8" ht="15.75">
      <c r="E55" t="s">
        <v>110</v>
      </c>
      <c r="F55" s="23" t="s">
        <v>111</v>
      </c>
      <c r="G55" s="24" t="s">
        <v>37</v>
      </c>
    </row>
    <row r="56" spans="5:8" ht="15.75">
      <c r="E56" t="s">
        <v>112</v>
      </c>
      <c r="F56" s="23" t="s">
        <v>113</v>
      </c>
      <c r="G56" s="12" t="s">
        <v>10</v>
      </c>
      <c r="H56" t="e">
        <f>H53/H54</f>
        <v>#DIV/0!</v>
      </c>
    </row>
    <row r="57" spans="5:8" ht="15.75">
      <c r="E57" t="s">
        <v>116</v>
      </c>
      <c r="F57" s="23" t="s">
        <v>117</v>
      </c>
      <c r="G57" s="12" t="s">
        <v>10</v>
      </c>
      <c r="H57" t="e">
        <f>H56-1</f>
        <v>#DIV/0!</v>
      </c>
    </row>
    <row r="58" spans="5:8" ht="15.75">
      <c r="E58" t="s">
        <v>114</v>
      </c>
      <c r="F58" s="23" t="s">
        <v>115</v>
      </c>
      <c r="G58" s="12" t="s">
        <v>37</v>
      </c>
      <c r="H58" t="e">
        <f>H53+(H55*H57)</f>
        <v>#DIV/0!</v>
      </c>
    </row>
  </sheetData>
  <mergeCells count="2">
    <mergeCell ref="E1:H1"/>
    <mergeCell ref="E15:H15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2017-10-11T16:51:53Z</dcterms:created>
  <dcterms:modified xsi:type="dcterms:W3CDTF">2017-10-13T07:49:01Z</dcterms:modified>
</cp:coreProperties>
</file>