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4240" windowHeight="6450"/>
  </bookViews>
  <sheets>
    <sheet name="List1" sheetId="1" r:id="rId1"/>
    <sheet name="List2" sheetId="2" r:id="rId2"/>
    <sheet name="List3" sheetId="3" r:id="rId3"/>
  </sheets>
  <calcPr calcId="124519"/>
</workbook>
</file>

<file path=xl/calcChain.xml><?xml version="1.0" encoding="utf-8"?>
<calcChain xmlns="http://schemas.openxmlformats.org/spreadsheetml/2006/main">
  <c r="O38" i="1"/>
  <c r="O37"/>
  <c r="O36"/>
  <c r="O34"/>
  <c r="O32"/>
  <c r="O31"/>
  <c r="O29"/>
  <c r="AA25"/>
  <c r="K14"/>
  <c r="O33"/>
  <c r="O30"/>
  <c r="AI17"/>
  <c r="AI18"/>
  <c r="AE39"/>
  <c r="AE38"/>
  <c r="K19"/>
  <c r="AN18"/>
  <c r="G9"/>
  <c r="O26"/>
  <c r="O25"/>
  <c r="AV14"/>
  <c r="AV15"/>
  <c r="AV20"/>
  <c r="AV5"/>
  <c r="AV6"/>
  <c r="AV7"/>
  <c r="AV8"/>
  <c r="AV11" s="1"/>
  <c r="AV4"/>
  <c r="AV3"/>
  <c r="AV2"/>
  <c r="AI9"/>
  <c r="AE36"/>
  <c r="AE34"/>
  <c r="AE35"/>
  <c r="AE27"/>
  <c r="AE37"/>
  <c r="AE28"/>
  <c r="O27"/>
  <c r="W22"/>
  <c r="AI40"/>
  <c r="AI35"/>
  <c r="AA3"/>
  <c r="AI27"/>
  <c r="AI26"/>
  <c r="AI12"/>
  <c r="AN12"/>
  <c r="AX3"/>
  <c r="AY3"/>
  <c r="AZ3"/>
  <c r="BA3"/>
  <c r="BB3"/>
  <c r="BC3"/>
  <c r="BD3"/>
  <c r="BE3"/>
  <c r="BF3"/>
  <c r="BG3"/>
  <c r="AW3"/>
  <c r="AN3"/>
  <c r="AO3"/>
  <c r="AP3"/>
  <c r="AQ3"/>
  <c r="AR3"/>
  <c r="AS3"/>
  <c r="AT3"/>
  <c r="AU3"/>
  <c r="AI10"/>
  <c r="W14"/>
  <c r="S6"/>
  <c r="AE32"/>
  <c r="AA17"/>
  <c r="AE24"/>
  <c r="AE25"/>
  <c r="AE26"/>
  <c r="AE8"/>
  <c r="AE23"/>
  <c r="AE22"/>
  <c r="AE21"/>
  <c r="AE17"/>
  <c r="AE19" s="1"/>
  <c r="AE16"/>
  <c r="AE18" s="1"/>
  <c r="AE20" s="1"/>
  <c r="AE15"/>
  <c r="AE14"/>
  <c r="AA33"/>
  <c r="AA32"/>
  <c r="AA26"/>
  <c r="AE9"/>
  <c r="AE7"/>
  <c r="AE6"/>
  <c r="AA39"/>
  <c r="AA38"/>
  <c r="AA42" s="1"/>
  <c r="AA36"/>
  <c r="AA35"/>
  <c r="AA41"/>
  <c r="O23"/>
  <c r="O22"/>
  <c r="AA29"/>
  <c r="AA28"/>
  <c r="S21"/>
  <c r="W17"/>
  <c r="W16"/>
  <c r="AA18"/>
  <c r="S9"/>
  <c r="AA16"/>
  <c r="AA15"/>
  <c r="AA14"/>
  <c r="G17"/>
  <c r="S24"/>
  <c r="AA4"/>
  <c r="AA5"/>
  <c r="AA8"/>
  <c r="AA6"/>
  <c r="W1"/>
  <c r="W18"/>
  <c r="W11"/>
  <c r="W9"/>
  <c r="W6"/>
  <c r="W12"/>
  <c r="S15"/>
  <c r="S12"/>
  <c r="S4"/>
  <c r="O19"/>
  <c r="O18"/>
  <c r="K10"/>
  <c r="O9"/>
  <c r="O6"/>
  <c r="O21"/>
  <c r="O2"/>
  <c r="O3"/>
  <c r="O5" s="1"/>
  <c r="O1"/>
  <c r="W23"/>
  <c r="S11"/>
  <c r="S10"/>
  <c r="S2"/>
  <c r="G4"/>
  <c r="O20"/>
  <c r="S7"/>
  <c r="S3"/>
  <c r="S8" s="1"/>
  <c r="AV17" l="1"/>
  <c r="AV16"/>
  <c r="AV9"/>
  <c r="AV10"/>
  <c r="AA9"/>
  <c r="AA10" s="1"/>
  <c r="AA11" s="1"/>
  <c r="AN13" s="1"/>
  <c r="AA31"/>
  <c r="AA34"/>
  <c r="S16"/>
  <c r="S17" s="1"/>
  <c r="S18" s="1"/>
  <c r="W10"/>
  <c r="K18"/>
  <c r="K15"/>
  <c r="K7"/>
  <c r="O14"/>
  <c r="G15"/>
  <c r="G16"/>
  <c r="G5"/>
  <c r="G11"/>
  <c r="G13"/>
  <c r="G10"/>
  <c r="AV21" l="1"/>
  <c r="AV19"/>
  <c r="AV18"/>
  <c r="AE29"/>
  <c r="AI29" s="1"/>
  <c r="AI31" s="1"/>
  <c r="W2"/>
  <c r="K8"/>
  <c r="O11" s="1"/>
  <c r="K4"/>
  <c r="K11"/>
  <c r="K16"/>
  <c r="K17"/>
  <c r="K3"/>
  <c r="AV22" l="1"/>
  <c r="AV24" s="1"/>
  <c r="AI22"/>
  <c r="AI28" s="1"/>
  <c r="AI30"/>
  <c r="S19"/>
  <c r="S22" s="1"/>
  <c r="AA13" s="1"/>
  <c r="O16"/>
  <c r="AV23" l="1"/>
  <c r="AI23"/>
  <c r="AI32" s="1"/>
  <c r="AA20"/>
  <c r="AA19"/>
  <c r="AA21" s="1"/>
  <c r="S23"/>
  <c r="W19" s="1"/>
  <c r="W13"/>
  <c r="W15" s="1"/>
  <c r="W25" s="1"/>
  <c r="S20"/>
  <c r="AA12" s="1"/>
  <c r="O12"/>
  <c r="W5"/>
  <c r="O17"/>
  <c r="AA22" l="1"/>
  <c r="AA23" s="1"/>
  <c r="AA40"/>
  <c r="AA43" s="1"/>
  <c r="AA44" s="1"/>
  <c r="W20"/>
  <c r="O13"/>
  <c r="AA24" l="1"/>
  <c r="AE30"/>
  <c r="AE33" s="1"/>
  <c r="W24"/>
  <c r="AA45"/>
  <c r="AI4" s="1"/>
  <c r="AI1"/>
  <c r="AI2"/>
  <c r="W21"/>
  <c r="AI11" l="1"/>
  <c r="AI13" s="1"/>
  <c r="AI14" s="1"/>
  <c r="BF5"/>
  <c r="BD5"/>
  <c r="AR5"/>
  <c r="BG5"/>
  <c r="AX5"/>
  <c r="BC5"/>
  <c r="BA5"/>
  <c r="AY5"/>
  <c r="AS5"/>
  <c r="AP5"/>
  <c r="AW5"/>
  <c r="AT5"/>
  <c r="BB5"/>
  <c r="AU5"/>
  <c r="AI15"/>
  <c r="BE5"/>
  <c r="AO5"/>
  <c r="AZ5"/>
  <c r="AQ5"/>
  <c r="AI5"/>
  <c r="AI16"/>
  <c r="AI33"/>
  <c r="AI37" s="1"/>
  <c r="AI38" s="1"/>
  <c r="AI3"/>
  <c r="AI7"/>
  <c r="AI6"/>
  <c r="AI39" l="1"/>
  <c r="AP7"/>
  <c r="AT7"/>
  <c r="AY7"/>
  <c r="BC7"/>
  <c r="BG7"/>
  <c r="AQ7"/>
  <c r="AZ7"/>
  <c r="AN7"/>
  <c r="AO7"/>
  <c r="AS7"/>
  <c r="AX7"/>
  <c r="BB7"/>
  <c r="BF7"/>
  <c r="AR7"/>
  <c r="AW7"/>
  <c r="BA7"/>
  <c r="BE7"/>
  <c r="AU7"/>
  <c r="BD7"/>
  <c r="AP4"/>
  <c r="AW4"/>
  <c r="AQ4"/>
  <c r="AO4"/>
  <c r="BG4"/>
  <c r="AX4"/>
  <c r="BC4"/>
  <c r="BF4"/>
  <c r="BE4"/>
  <c r="BB4"/>
  <c r="AY4"/>
  <c r="BD4"/>
  <c r="AZ4"/>
  <c r="AT4"/>
  <c r="AR4"/>
  <c r="AU4"/>
  <c r="AS4"/>
  <c r="BA4"/>
  <c r="AP6"/>
  <c r="BG6"/>
  <c r="AZ6"/>
  <c r="BB6"/>
  <c r="BA6"/>
  <c r="AY6"/>
  <c r="AY8" s="1"/>
  <c r="BE6"/>
  <c r="AN6"/>
  <c r="AO6"/>
  <c r="BC6"/>
  <c r="AQ6"/>
  <c r="AX6"/>
  <c r="AR6"/>
  <c r="AR8" s="1"/>
  <c r="AS6"/>
  <c r="BD6"/>
  <c r="AT6"/>
  <c r="AT8" s="1"/>
  <c r="AW6"/>
  <c r="BF6"/>
  <c r="AU6"/>
  <c r="AS8" l="1"/>
  <c r="AS9" s="1"/>
  <c r="AU8"/>
  <c r="AU10" s="1"/>
  <c r="AQ8"/>
  <c r="AQ11" s="1"/>
  <c r="BE8"/>
  <c r="BE11" s="1"/>
  <c r="BD8"/>
  <c r="BD9" s="1"/>
  <c r="BE10"/>
  <c r="AT10"/>
  <c r="AT9"/>
  <c r="AW8"/>
  <c r="AW9" s="1"/>
  <c r="AR10"/>
  <c r="AR9"/>
  <c r="BA8"/>
  <c r="BA9" s="1"/>
  <c r="AN8"/>
  <c r="AO8"/>
  <c r="AO11" s="1"/>
  <c r="AP8"/>
  <c r="AP11" s="1"/>
  <c r="AR11"/>
  <c r="AT11"/>
  <c r="AQ9"/>
  <c r="AZ8"/>
  <c r="AZ9" s="1"/>
  <c r="AX8"/>
  <c r="AX9" s="1"/>
  <c r="AY10"/>
  <c r="AY9"/>
  <c r="BB8"/>
  <c r="BF8"/>
  <c r="BF11" s="1"/>
  <c r="BC8"/>
  <c r="BC11" s="1"/>
  <c r="BG8"/>
  <c r="AY11"/>
  <c r="BD11" l="1"/>
  <c r="AS10"/>
  <c r="BE9"/>
  <c r="BE14" s="1"/>
  <c r="AS11"/>
  <c r="AW11"/>
  <c r="AU11"/>
  <c r="AU9"/>
  <c r="AU14" s="1"/>
  <c r="BA11"/>
  <c r="AQ10"/>
  <c r="AQ14" s="1"/>
  <c r="BD10"/>
  <c r="BD14" s="1"/>
  <c r="AZ11"/>
  <c r="AZ15" s="1"/>
  <c r="BG10"/>
  <c r="BG9"/>
  <c r="AX20"/>
  <c r="AY14"/>
  <c r="AY15"/>
  <c r="AY20"/>
  <c r="AQ15"/>
  <c r="AQ20"/>
  <c r="BD15"/>
  <c r="BD20"/>
  <c r="AZ20"/>
  <c r="AN10"/>
  <c r="AN9"/>
  <c r="BA15"/>
  <c r="BA20"/>
  <c r="AW15"/>
  <c r="AW20"/>
  <c r="BB10"/>
  <c r="BB9"/>
  <c r="AP10"/>
  <c r="AP9"/>
  <c r="AR15"/>
  <c r="AR14"/>
  <c r="AR20"/>
  <c r="AT15"/>
  <c r="AT14"/>
  <c r="AT20"/>
  <c r="BF10"/>
  <c r="BF9"/>
  <c r="BC10"/>
  <c r="BC9"/>
  <c r="AS15"/>
  <c r="AS14"/>
  <c r="AS20"/>
  <c r="AU20"/>
  <c r="AO10"/>
  <c r="AO9"/>
  <c r="BE20"/>
  <c r="BB11"/>
  <c r="BG11"/>
  <c r="AX10"/>
  <c r="AX14" s="1"/>
  <c r="AX11"/>
  <c r="AX15" s="1"/>
  <c r="AN11"/>
  <c r="AZ10"/>
  <c r="AZ14" s="1"/>
  <c r="BA10"/>
  <c r="BA14" s="1"/>
  <c r="AW10"/>
  <c r="AW14" s="1"/>
  <c r="AW16" s="1"/>
  <c r="BE15" l="1"/>
  <c r="AU15"/>
  <c r="AW17"/>
  <c r="AW19"/>
  <c r="AW18"/>
  <c r="AW21"/>
  <c r="AZ16"/>
  <c r="BA16"/>
  <c r="AX16"/>
  <c r="BF15"/>
  <c r="BF14"/>
  <c r="BF20"/>
  <c r="AP15"/>
  <c r="AP14"/>
  <c r="AP20"/>
  <c r="AQ16"/>
  <c r="BG14"/>
  <c r="BG15"/>
  <c r="BG20"/>
  <c r="AY16"/>
  <c r="AS16"/>
  <c r="AT16"/>
  <c r="AO14"/>
  <c r="AO15"/>
  <c r="AO20"/>
  <c r="AU16"/>
  <c r="AU17" s="1"/>
  <c r="BC15"/>
  <c r="BC14"/>
  <c r="BC20"/>
  <c r="AR16"/>
  <c r="BB15"/>
  <c r="BB14"/>
  <c r="BB20"/>
  <c r="AN14"/>
  <c r="AN15"/>
  <c r="AN20"/>
  <c r="BE16"/>
  <c r="BD16"/>
  <c r="AW22" l="1"/>
  <c r="AW24" s="1"/>
  <c r="BG16"/>
  <c r="BG17" s="1"/>
  <c r="BC16"/>
  <c r="BC21" s="1"/>
  <c r="AZ19"/>
  <c r="AZ18"/>
  <c r="AZ21"/>
  <c r="BB16"/>
  <c r="BB17" s="1"/>
  <c r="AU19"/>
  <c r="AU18"/>
  <c r="AU21"/>
  <c r="AO16"/>
  <c r="BG18"/>
  <c r="BA19"/>
  <c r="BA18"/>
  <c r="BA21"/>
  <c r="AP16"/>
  <c r="BC17"/>
  <c r="BC19"/>
  <c r="AT19"/>
  <c r="AT18"/>
  <c r="AT21"/>
  <c r="AQ19"/>
  <c r="AQ18"/>
  <c r="AQ21"/>
  <c r="AX18"/>
  <c r="AX21"/>
  <c r="AX19"/>
  <c r="AY17"/>
  <c r="AY19"/>
  <c r="AY18"/>
  <c r="AY21"/>
  <c r="BE17"/>
  <c r="BE18"/>
  <c r="BE21"/>
  <c r="BE19"/>
  <c r="AR19"/>
  <c r="AR18"/>
  <c r="AR21"/>
  <c r="AS18"/>
  <c r="AS19"/>
  <c r="AS21"/>
  <c r="BD17"/>
  <c r="BD18"/>
  <c r="BD19"/>
  <c r="BD21"/>
  <c r="BF16"/>
  <c r="BF17" s="1"/>
  <c r="AT17"/>
  <c r="AQ17"/>
  <c r="AX17"/>
  <c r="AZ17"/>
  <c r="AN16"/>
  <c r="AR17"/>
  <c r="AS17"/>
  <c r="BA17"/>
  <c r="AW23" l="1"/>
  <c r="BG21"/>
  <c r="BG22" s="1"/>
  <c r="BG24" s="1"/>
  <c r="AY22"/>
  <c r="AY24" s="1"/>
  <c r="BC18"/>
  <c r="BG19"/>
  <c r="AZ22"/>
  <c r="AZ24" s="1"/>
  <c r="AU22"/>
  <c r="AU24" s="1"/>
  <c r="BD22"/>
  <c r="BD24" s="1"/>
  <c r="AS22"/>
  <c r="AS24" s="1"/>
  <c r="AR22"/>
  <c r="AR24" s="1"/>
  <c r="BC22"/>
  <c r="BC24" s="1"/>
  <c r="BE22"/>
  <c r="BE24" s="1"/>
  <c r="AP17"/>
  <c r="AP18"/>
  <c r="AP19"/>
  <c r="AP21"/>
  <c r="BF18"/>
  <c r="BF19"/>
  <c r="BF21"/>
  <c r="AQ22"/>
  <c r="AQ24" s="1"/>
  <c r="BA22"/>
  <c r="BA24" s="1"/>
  <c r="AU23"/>
  <c r="AN17"/>
  <c r="AN19"/>
  <c r="AN21"/>
  <c r="AO19"/>
  <c r="AO18"/>
  <c r="AO21"/>
  <c r="BB19"/>
  <c r="BB18"/>
  <c r="BB21"/>
  <c r="AO17"/>
  <c r="AS23"/>
  <c r="AX22"/>
  <c r="AX24" s="1"/>
  <c r="AT22"/>
  <c r="AT24" s="1"/>
  <c r="AQ23" l="1"/>
  <c r="BF22"/>
  <c r="BF23" s="1"/>
  <c r="BD23"/>
  <c r="AN22"/>
  <c r="AN24" s="1"/>
  <c r="BC23"/>
  <c r="AO22"/>
  <c r="AO24" s="1"/>
  <c r="AY23"/>
  <c r="AR23"/>
  <c r="AZ23"/>
  <c r="BA23"/>
  <c r="AX23"/>
  <c r="AP22"/>
  <c r="AP23" s="1"/>
  <c r="BE23"/>
  <c r="BG23"/>
  <c r="BB22"/>
  <c r="BB24" s="1"/>
  <c r="AT23"/>
  <c r="BF24" l="1"/>
  <c r="AN23"/>
  <c r="AO23"/>
  <c r="AP24"/>
  <c r="BB23"/>
</calcChain>
</file>

<file path=xl/sharedStrings.xml><?xml version="1.0" encoding="utf-8"?>
<sst xmlns="http://schemas.openxmlformats.org/spreadsheetml/2006/main" count="784" uniqueCount="500">
  <si>
    <t>2p [-]</t>
  </si>
  <si>
    <t>[mm]</t>
  </si>
  <si>
    <t>[m]</t>
  </si>
  <si>
    <t>[-]</t>
  </si>
  <si>
    <t>[%]</t>
  </si>
  <si>
    <t>[W]</t>
  </si>
  <si>
    <t>[rad/s]</t>
  </si>
  <si>
    <t>[T]</t>
  </si>
  <si>
    <t>[A/m]</t>
  </si>
  <si>
    <t>h</t>
  </si>
  <si>
    <r>
      <t>D</t>
    </r>
    <r>
      <rPr>
        <i/>
        <vertAlign val="subscript"/>
        <sz val="11"/>
        <color theme="1"/>
        <rFont val="Calibri"/>
        <family val="2"/>
        <charset val="238"/>
        <scheme val="minor"/>
      </rPr>
      <t>1e</t>
    </r>
  </si>
  <si>
    <r>
      <t>K</t>
    </r>
    <r>
      <rPr>
        <i/>
        <vertAlign val="subscript"/>
        <sz val="11"/>
        <color theme="1"/>
        <rFont val="Calibri"/>
        <family val="2"/>
        <charset val="238"/>
        <scheme val="minor"/>
      </rPr>
      <t>D</t>
    </r>
  </si>
  <si>
    <r>
      <t>D</t>
    </r>
    <r>
      <rPr>
        <i/>
        <vertAlign val="subscript"/>
        <sz val="11"/>
        <color theme="1"/>
        <rFont val="Calibri"/>
        <family val="2"/>
        <charset val="238"/>
        <scheme val="minor"/>
      </rPr>
      <t>1i</t>
    </r>
  </si>
  <si>
    <r>
      <t>t</t>
    </r>
    <r>
      <rPr>
        <i/>
        <vertAlign val="subscript"/>
        <sz val="11"/>
        <color theme="1"/>
        <rFont val="Calibri"/>
        <family val="2"/>
        <charset val="238"/>
        <scheme val="minor"/>
      </rPr>
      <t>p</t>
    </r>
  </si>
  <si>
    <r>
      <t>k</t>
    </r>
    <r>
      <rPr>
        <i/>
        <vertAlign val="subscript"/>
        <sz val="11"/>
        <color theme="1"/>
        <rFont val="Calibri"/>
        <family val="2"/>
        <charset val="238"/>
        <scheme val="minor"/>
      </rPr>
      <t>E</t>
    </r>
  </si>
  <si>
    <t>ɲ</t>
  </si>
  <si>
    <r>
      <t>cos(</t>
    </r>
    <r>
      <rPr>
        <sz val="11"/>
        <color theme="1"/>
        <rFont val="Calibri"/>
        <family val="2"/>
        <charset val="238"/>
      </rPr>
      <t>ϕ</t>
    </r>
    <r>
      <rPr>
        <i/>
        <sz val="11"/>
        <color theme="1"/>
        <rFont val="Calibri"/>
        <family val="2"/>
        <charset val="238"/>
        <scheme val="minor"/>
      </rPr>
      <t>)</t>
    </r>
  </si>
  <si>
    <r>
      <t>P</t>
    </r>
    <r>
      <rPr>
        <i/>
        <vertAlign val="subscript"/>
        <sz val="11"/>
        <color theme="1"/>
        <rFont val="Calibri"/>
        <family val="2"/>
        <charset val="238"/>
        <scheme val="minor"/>
      </rPr>
      <t>i</t>
    </r>
  </si>
  <si>
    <r>
      <t>α</t>
    </r>
    <r>
      <rPr>
        <i/>
        <vertAlign val="subscript"/>
        <sz val="11"/>
        <color theme="1"/>
        <rFont val="Calibri"/>
        <family val="2"/>
        <charset val="238"/>
        <scheme val="minor"/>
      </rPr>
      <t>δ</t>
    </r>
  </si>
  <si>
    <r>
      <t>k</t>
    </r>
    <r>
      <rPr>
        <i/>
        <vertAlign val="subscript"/>
        <sz val="11"/>
        <color theme="1"/>
        <rFont val="Calibri"/>
        <family val="2"/>
        <charset val="238"/>
        <scheme val="minor"/>
      </rPr>
      <t>B</t>
    </r>
  </si>
  <si>
    <r>
      <t>ω</t>
    </r>
    <r>
      <rPr>
        <i/>
        <vertAlign val="subscript"/>
        <sz val="11"/>
        <color theme="1"/>
        <rFont val="Calibri"/>
        <family val="2"/>
        <charset val="238"/>
        <scheme val="minor"/>
      </rPr>
      <t>δ</t>
    </r>
  </si>
  <si>
    <r>
      <t>k</t>
    </r>
    <r>
      <rPr>
        <i/>
        <vertAlign val="subscript"/>
        <sz val="11"/>
        <color theme="1"/>
        <rFont val="Calibri"/>
        <family val="2"/>
        <charset val="238"/>
        <scheme val="minor"/>
      </rPr>
      <t>v</t>
    </r>
  </si>
  <si>
    <r>
      <t>B</t>
    </r>
    <r>
      <rPr>
        <i/>
        <vertAlign val="subscript"/>
        <sz val="11"/>
        <color theme="1"/>
        <rFont val="Calibri"/>
        <family val="2"/>
        <charset val="238"/>
        <scheme val="minor"/>
      </rPr>
      <t>δ</t>
    </r>
  </si>
  <si>
    <t>A</t>
  </si>
  <si>
    <r>
      <t>l</t>
    </r>
    <r>
      <rPr>
        <i/>
        <vertAlign val="subscript"/>
        <sz val="11"/>
        <color theme="1"/>
        <rFont val="Calibri"/>
        <family val="2"/>
        <charset val="238"/>
        <scheme val="minor"/>
      </rPr>
      <t>Fe</t>
    </r>
  </si>
  <si>
    <t>𝜆</t>
  </si>
  <si>
    <t xml:space="preserve">Účinnost </t>
  </si>
  <si>
    <t xml:space="preserve">Účinník </t>
  </si>
  <si>
    <t>Vnitřní výkon</t>
  </si>
  <si>
    <t xml:space="preserve">Činitel pólového krytí </t>
  </si>
  <si>
    <t xml:space="preserve">Činitel tvaru pole </t>
  </si>
  <si>
    <t xml:space="preserve">Činitel vinutí </t>
  </si>
  <si>
    <t xml:space="preserve">Synchronní úhlová rychlost </t>
  </si>
  <si>
    <t xml:space="preserve">Indukce ve vzduchové mezeře </t>
  </si>
  <si>
    <t xml:space="preserve">Lineární proudová hustota </t>
  </si>
  <si>
    <t xml:space="preserve">Délka stroje </t>
  </si>
  <si>
    <t xml:space="preserve">Štíhlostní poměr </t>
  </si>
  <si>
    <t xml:space="preserve">Výška osy hřídele </t>
  </si>
  <si>
    <t xml:space="preserve">Vnější průměr stroje </t>
  </si>
  <si>
    <t xml:space="preserve">Vztah mezi průměry </t>
  </si>
  <si>
    <t>Pólová rozteč</t>
  </si>
  <si>
    <t>Poměr napětí</t>
  </si>
  <si>
    <r>
      <t>P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[W]</t>
    </r>
  </si>
  <si>
    <t>Vnitřní průměr statoru</t>
  </si>
  <si>
    <t>Počet fází vinutí</t>
  </si>
  <si>
    <t>m</t>
  </si>
  <si>
    <t>Počet drážek na pól a fázi</t>
  </si>
  <si>
    <t>q</t>
  </si>
  <si>
    <t>Počet drážek statoru</t>
  </si>
  <si>
    <r>
      <t>Q</t>
    </r>
    <r>
      <rPr>
        <i/>
        <vertAlign val="subscript"/>
        <sz val="11"/>
        <color theme="1"/>
        <rFont val="Calibri"/>
        <family val="2"/>
        <charset val="238"/>
        <scheme val="minor"/>
      </rPr>
      <t>1</t>
    </r>
  </si>
  <si>
    <t>Drážková rozteč</t>
  </si>
  <si>
    <r>
      <t>t</t>
    </r>
    <r>
      <rPr>
        <i/>
        <vertAlign val="subscript"/>
        <sz val="11"/>
        <color theme="1"/>
        <rFont val="Calibri"/>
        <family val="2"/>
        <charset val="238"/>
        <scheme val="minor"/>
      </rPr>
      <t>d1 max</t>
    </r>
  </si>
  <si>
    <r>
      <t>t</t>
    </r>
    <r>
      <rPr>
        <i/>
        <vertAlign val="subscript"/>
        <sz val="11"/>
        <color theme="1"/>
        <rFont val="Calibri"/>
        <family val="2"/>
        <charset val="238"/>
        <scheme val="minor"/>
      </rPr>
      <t>d1 min</t>
    </r>
  </si>
  <si>
    <r>
      <t>Q</t>
    </r>
    <r>
      <rPr>
        <i/>
        <vertAlign val="subscript"/>
        <sz val="11"/>
        <color theme="1"/>
        <rFont val="Calibri"/>
        <family val="2"/>
        <charset val="238"/>
        <scheme val="minor"/>
      </rPr>
      <t>1min</t>
    </r>
  </si>
  <si>
    <r>
      <t>Q</t>
    </r>
    <r>
      <rPr>
        <i/>
        <vertAlign val="subscript"/>
        <sz val="11"/>
        <color theme="1"/>
        <rFont val="Calibri"/>
        <family val="2"/>
        <charset val="238"/>
        <scheme val="minor"/>
      </rPr>
      <t>1max</t>
    </r>
  </si>
  <si>
    <r>
      <t>t</t>
    </r>
    <r>
      <rPr>
        <i/>
        <vertAlign val="subscript"/>
        <sz val="11"/>
        <color theme="1"/>
        <rFont val="Calibri"/>
        <family val="2"/>
        <charset val="238"/>
        <scheme val="minor"/>
      </rPr>
      <t>d1</t>
    </r>
  </si>
  <si>
    <t>Drážková rozteč - výpočet</t>
  </si>
  <si>
    <t>Počet vodičů v drážce</t>
  </si>
  <si>
    <r>
      <t>V</t>
    </r>
    <r>
      <rPr>
        <i/>
        <vertAlign val="subscript"/>
        <sz val="11"/>
        <color theme="1"/>
        <rFont val="Calibri"/>
        <family val="2"/>
        <charset val="238"/>
        <scheme val="minor"/>
      </rPr>
      <t>d</t>
    </r>
  </si>
  <si>
    <r>
      <t>V</t>
    </r>
    <r>
      <rPr>
        <i/>
        <vertAlign val="subscript"/>
        <sz val="11"/>
        <color theme="1"/>
        <rFont val="Calibri"/>
        <family val="2"/>
        <charset val="238"/>
        <scheme val="minor"/>
      </rPr>
      <t>d</t>
    </r>
    <r>
      <rPr>
        <i/>
        <sz val="11"/>
        <color theme="1"/>
        <rFont val="Calibri"/>
        <family val="2"/>
        <charset val="238"/>
        <scheme val="minor"/>
      </rPr>
      <t>'</t>
    </r>
  </si>
  <si>
    <t>Jmenovitý proud statoru</t>
  </si>
  <si>
    <r>
      <t>I</t>
    </r>
    <r>
      <rPr>
        <i/>
        <vertAlign val="subscript"/>
        <sz val="11"/>
        <color theme="1"/>
        <rFont val="Calibri"/>
        <family val="2"/>
        <charset val="238"/>
        <scheme val="minor"/>
      </rPr>
      <t>1N</t>
    </r>
  </si>
  <si>
    <t>[A]</t>
  </si>
  <si>
    <t>Jmenovité napětí statoru</t>
  </si>
  <si>
    <t>[V]</t>
  </si>
  <si>
    <r>
      <t>U</t>
    </r>
    <r>
      <rPr>
        <i/>
        <vertAlign val="subscript"/>
        <sz val="11"/>
        <color theme="1"/>
        <rFont val="Calibri"/>
        <family val="2"/>
        <charset val="238"/>
        <scheme val="minor"/>
      </rPr>
      <t>1N</t>
    </r>
  </si>
  <si>
    <t>Počet paralelních větví</t>
  </si>
  <si>
    <t>Počet závitů</t>
  </si>
  <si>
    <r>
      <t>N</t>
    </r>
    <r>
      <rPr>
        <i/>
        <vertAlign val="subscript"/>
        <sz val="11"/>
        <color theme="1"/>
        <rFont val="Calibri"/>
        <family val="2"/>
        <charset val="238"/>
        <scheme val="minor"/>
      </rPr>
      <t>1</t>
    </r>
  </si>
  <si>
    <t>Počet paralelních vodičů</t>
  </si>
  <si>
    <t>a</t>
  </si>
  <si>
    <t>Lineární proudová hustota</t>
  </si>
  <si>
    <t>Magnetický indukční tok</t>
  </si>
  <si>
    <t>𝜙</t>
  </si>
  <si>
    <t>[Wb]</t>
  </si>
  <si>
    <t>Proudová hustota</t>
  </si>
  <si>
    <r>
      <t>A</t>
    </r>
    <r>
      <rPr>
        <i/>
        <sz val="11"/>
        <color theme="1"/>
        <rFont val="Calibri"/>
        <family val="2"/>
        <charset val="238"/>
      </rPr>
      <t>·</t>
    </r>
    <r>
      <rPr>
        <i/>
        <sz val="11"/>
        <color theme="1"/>
        <rFont val="Calibri"/>
        <family val="2"/>
        <charset val="238"/>
        <scheme val="minor"/>
      </rPr>
      <t>J</t>
    </r>
  </si>
  <si>
    <r>
      <t>[A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·m</t>
    </r>
    <r>
      <rPr>
        <vertAlign val="superscript"/>
        <sz val="11"/>
        <color theme="1"/>
        <rFont val="Calibri"/>
        <family val="2"/>
        <charset val="238"/>
        <scheme val="minor"/>
      </rPr>
      <t>-3</t>
    </r>
    <r>
      <rPr>
        <sz val="11"/>
        <color theme="1"/>
        <rFont val="Calibri"/>
        <family val="2"/>
        <charset val="238"/>
        <scheme val="minor"/>
      </rPr>
      <t>]</t>
    </r>
  </si>
  <si>
    <t>J</t>
  </si>
  <si>
    <r>
      <t>[A·m</t>
    </r>
    <r>
      <rPr>
        <vertAlign val="superscript"/>
        <sz val="11"/>
        <color theme="1"/>
        <rFont val="Calibri"/>
        <family val="2"/>
        <charset val="238"/>
        <scheme val="minor"/>
      </rPr>
      <t>-2</t>
    </r>
    <r>
      <rPr>
        <sz val="11"/>
        <color theme="1"/>
        <rFont val="Calibri"/>
        <family val="2"/>
        <charset val="238"/>
        <scheme val="minor"/>
      </rPr>
      <t>]</t>
    </r>
  </si>
  <si>
    <r>
      <t>S</t>
    </r>
    <r>
      <rPr>
        <i/>
        <vertAlign val="subscript"/>
        <sz val="11"/>
        <color theme="1"/>
        <rFont val="Calibri"/>
        <family val="2"/>
        <charset val="238"/>
        <scheme val="minor"/>
      </rPr>
      <t>ef1</t>
    </r>
  </si>
  <si>
    <t>Efektivní průřez vodiče</t>
  </si>
  <si>
    <r>
      <t>[m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]</t>
    </r>
  </si>
  <si>
    <r>
      <t>B</t>
    </r>
    <r>
      <rPr>
        <i/>
        <vertAlign val="subscript"/>
        <sz val="11"/>
        <color theme="1"/>
        <rFont val="Calibri"/>
        <family val="2"/>
        <charset val="238"/>
        <scheme val="minor"/>
      </rPr>
      <t>j1</t>
    </r>
  </si>
  <si>
    <t>Výška jha statoru</t>
  </si>
  <si>
    <r>
      <t>h</t>
    </r>
    <r>
      <rPr>
        <i/>
        <vertAlign val="subscript"/>
        <sz val="11"/>
        <color theme="1"/>
        <rFont val="Calibri"/>
        <family val="2"/>
        <charset val="238"/>
        <scheme val="minor"/>
      </rPr>
      <t>j1</t>
    </r>
  </si>
  <si>
    <t>Činitel plnění železa</t>
  </si>
  <si>
    <r>
      <t>k</t>
    </r>
    <r>
      <rPr>
        <i/>
        <vertAlign val="subscript"/>
        <sz val="11"/>
        <color theme="1"/>
        <rFont val="Calibri"/>
        <family val="2"/>
        <charset val="238"/>
        <scheme val="minor"/>
      </rPr>
      <t>Fe</t>
    </r>
  </si>
  <si>
    <t>Indukce Jha statoru</t>
  </si>
  <si>
    <t>Šířka zubu</t>
  </si>
  <si>
    <r>
      <t>b</t>
    </r>
    <r>
      <rPr>
        <i/>
        <vertAlign val="subscript"/>
        <sz val="11"/>
        <color theme="1"/>
        <rFont val="Calibri"/>
        <family val="2"/>
        <charset val="238"/>
        <scheme val="minor"/>
      </rPr>
      <t>z1</t>
    </r>
  </si>
  <si>
    <t>Indukce zubu statoru</t>
  </si>
  <si>
    <r>
      <t>B</t>
    </r>
    <r>
      <rPr>
        <i/>
        <vertAlign val="subscript"/>
        <sz val="11"/>
        <color theme="1"/>
        <rFont val="Calibri"/>
        <family val="2"/>
        <charset val="238"/>
        <scheme val="minor"/>
      </rPr>
      <t>z1</t>
    </r>
  </si>
  <si>
    <t>Hloubka drážky</t>
  </si>
  <si>
    <r>
      <t>h</t>
    </r>
    <r>
      <rPr>
        <i/>
        <vertAlign val="subscript"/>
        <sz val="11"/>
        <color theme="1"/>
        <rFont val="Calibri"/>
        <family val="2"/>
        <charset val="238"/>
        <scheme val="minor"/>
      </rPr>
      <t>d1</t>
    </r>
  </si>
  <si>
    <t>Šířka dna drážky</t>
  </si>
  <si>
    <r>
      <t>b</t>
    </r>
    <r>
      <rPr>
        <i/>
        <vertAlign val="subscript"/>
        <sz val="11"/>
        <color theme="1"/>
        <rFont val="Calibri"/>
        <family val="2"/>
        <charset val="238"/>
        <scheme val="minor"/>
      </rPr>
      <t>1</t>
    </r>
  </si>
  <si>
    <t>Šířka vrcholu drážky</t>
  </si>
  <si>
    <r>
      <t>b</t>
    </r>
    <r>
      <rPr>
        <i/>
        <vertAlign val="subscript"/>
        <sz val="11"/>
        <color theme="1"/>
        <rFont val="Calibri"/>
        <family val="2"/>
        <charset val="238"/>
        <scheme val="minor"/>
      </rPr>
      <t>2</t>
    </r>
  </si>
  <si>
    <r>
      <t>h</t>
    </r>
    <r>
      <rPr>
        <i/>
        <vertAlign val="subscript"/>
        <sz val="11"/>
        <color theme="1"/>
        <rFont val="Calibri"/>
        <family val="2"/>
        <charset val="238"/>
        <scheme val="minor"/>
      </rPr>
      <t>0</t>
    </r>
  </si>
  <si>
    <r>
      <t>b</t>
    </r>
    <r>
      <rPr>
        <i/>
        <vertAlign val="subscript"/>
        <sz val="11"/>
        <color theme="1"/>
        <rFont val="Calibri"/>
        <family val="2"/>
        <charset val="238"/>
        <scheme val="minor"/>
      </rPr>
      <t>0</t>
    </r>
  </si>
  <si>
    <t>Činitel plnění drážky</t>
  </si>
  <si>
    <r>
      <t>K</t>
    </r>
    <r>
      <rPr>
        <i/>
        <vertAlign val="subscript"/>
        <sz val="11"/>
        <color theme="1"/>
        <rFont val="Calibri"/>
        <family val="2"/>
        <charset val="238"/>
        <scheme val="minor"/>
      </rPr>
      <t>T</t>
    </r>
  </si>
  <si>
    <r>
      <t>S</t>
    </r>
    <r>
      <rPr>
        <i/>
        <vertAlign val="subscript"/>
        <sz val="11"/>
        <color theme="1"/>
        <rFont val="Calibri"/>
        <family val="2"/>
        <charset val="238"/>
        <scheme val="minor"/>
      </rPr>
      <t>d</t>
    </r>
  </si>
  <si>
    <t>Aktivní hloubka drážky</t>
  </si>
  <si>
    <r>
      <t>h</t>
    </r>
    <r>
      <rPr>
        <i/>
        <vertAlign val="subscript"/>
        <sz val="11"/>
        <color theme="1"/>
        <rFont val="Calibri"/>
        <family val="2"/>
        <charset val="238"/>
        <scheme val="minor"/>
      </rPr>
      <t>1</t>
    </r>
  </si>
  <si>
    <t>Plocha průřezu drážky</t>
  </si>
  <si>
    <t>Průměr vodiče</t>
  </si>
  <si>
    <r>
      <t>D</t>
    </r>
    <r>
      <rPr>
        <i/>
        <vertAlign val="subscript"/>
        <sz val="11"/>
        <color theme="1"/>
        <rFont val="Calibri"/>
        <family val="2"/>
        <charset val="238"/>
        <scheme val="minor"/>
      </rPr>
      <t>v</t>
    </r>
  </si>
  <si>
    <t>Počet drážek rotoru</t>
  </si>
  <si>
    <t>Převod</t>
  </si>
  <si>
    <r>
      <t>p</t>
    </r>
    <r>
      <rPr>
        <i/>
        <vertAlign val="subscript"/>
        <sz val="11"/>
        <color theme="1"/>
        <rFont val="Calibri"/>
        <family val="2"/>
        <charset val="238"/>
        <scheme val="minor"/>
      </rPr>
      <t>i</t>
    </r>
  </si>
  <si>
    <t>Vliv magnetizačního proudu</t>
  </si>
  <si>
    <r>
      <t>k</t>
    </r>
    <r>
      <rPr>
        <i/>
        <vertAlign val="subscript"/>
        <sz val="11"/>
        <color theme="1"/>
        <rFont val="Calibri"/>
        <family val="2"/>
        <charset val="238"/>
        <scheme val="minor"/>
      </rPr>
      <t>i</t>
    </r>
  </si>
  <si>
    <t>Proud v tyči</t>
  </si>
  <si>
    <t xml:space="preserve">Proudová hustota </t>
  </si>
  <si>
    <r>
      <t>J</t>
    </r>
    <r>
      <rPr>
        <i/>
        <vertAlign val="subscript"/>
        <sz val="11"/>
        <color theme="1"/>
        <rFont val="Calibri"/>
        <family val="2"/>
        <charset val="238"/>
        <scheme val="minor"/>
      </rPr>
      <t>2</t>
    </r>
  </si>
  <si>
    <t>Průřez tyče</t>
  </si>
  <si>
    <r>
      <t>S</t>
    </r>
    <r>
      <rPr>
        <i/>
        <vertAlign val="subscript"/>
        <sz val="11"/>
        <color theme="1"/>
        <rFont val="Calibri"/>
        <family val="2"/>
        <charset val="238"/>
        <scheme val="minor"/>
      </rPr>
      <t>t</t>
    </r>
  </si>
  <si>
    <t>Pootočení proudu v tyčích</t>
  </si>
  <si>
    <t>α</t>
  </si>
  <si>
    <r>
      <t>Q</t>
    </r>
    <r>
      <rPr>
        <i/>
        <vertAlign val="subscript"/>
        <sz val="11"/>
        <color theme="1"/>
        <rFont val="Calibri"/>
        <family val="2"/>
        <charset val="238"/>
        <scheme val="minor"/>
      </rPr>
      <t>2</t>
    </r>
  </si>
  <si>
    <t>Šířka drážky pod krčkem</t>
  </si>
  <si>
    <t>Šířka drážky u dna</t>
  </si>
  <si>
    <t>Vnější průměr rotoru</t>
  </si>
  <si>
    <t>Vnitřní průměr rotoru</t>
  </si>
  <si>
    <r>
      <t>D</t>
    </r>
    <r>
      <rPr>
        <i/>
        <vertAlign val="subscript"/>
        <sz val="11"/>
        <color theme="1"/>
        <rFont val="Calibri"/>
        <family val="2"/>
        <charset val="238"/>
        <scheme val="minor"/>
      </rPr>
      <t>e2</t>
    </r>
  </si>
  <si>
    <r>
      <t>D</t>
    </r>
    <r>
      <rPr>
        <i/>
        <vertAlign val="subscript"/>
        <sz val="11"/>
        <color theme="1"/>
        <rFont val="Calibri"/>
        <family val="2"/>
        <charset val="238"/>
        <scheme val="minor"/>
      </rPr>
      <t>i2</t>
    </r>
  </si>
  <si>
    <t>Výška jha rotoru</t>
  </si>
  <si>
    <r>
      <t>B</t>
    </r>
    <r>
      <rPr>
        <i/>
        <vertAlign val="subscript"/>
        <sz val="11"/>
        <color theme="1"/>
        <rFont val="Calibri"/>
        <family val="2"/>
        <charset val="238"/>
        <scheme val="minor"/>
      </rPr>
      <t>j2</t>
    </r>
  </si>
  <si>
    <t>Velikost vzduchové mezery</t>
  </si>
  <si>
    <t>δ</t>
  </si>
  <si>
    <r>
      <t>h</t>
    </r>
    <r>
      <rPr>
        <i/>
        <vertAlign val="subscript"/>
        <sz val="11"/>
        <color theme="1"/>
        <rFont val="Calibri"/>
        <family val="2"/>
        <charset val="238"/>
        <scheme val="minor"/>
      </rPr>
      <t>21</t>
    </r>
  </si>
  <si>
    <r>
      <t>h</t>
    </r>
    <r>
      <rPr>
        <i/>
        <vertAlign val="subscript"/>
        <sz val="11"/>
        <color theme="1"/>
        <rFont val="Calibri"/>
        <family val="2"/>
        <charset val="238"/>
        <scheme val="minor"/>
      </rPr>
      <t>j2</t>
    </r>
  </si>
  <si>
    <r>
      <t>h</t>
    </r>
    <r>
      <rPr>
        <i/>
        <vertAlign val="subscript"/>
        <sz val="11"/>
        <color theme="1"/>
        <rFont val="Calibri"/>
        <family val="2"/>
        <charset val="238"/>
        <scheme val="minor"/>
      </rPr>
      <t>d2</t>
    </r>
  </si>
  <si>
    <r>
      <t>b</t>
    </r>
    <r>
      <rPr>
        <i/>
        <vertAlign val="subscript"/>
        <sz val="11"/>
        <color theme="1"/>
        <rFont val="Calibri"/>
        <family val="2"/>
        <charset val="238"/>
        <scheme val="minor"/>
      </rPr>
      <t>z2</t>
    </r>
  </si>
  <si>
    <t>Drážková rozteč rotoru</t>
  </si>
  <si>
    <r>
      <t>t</t>
    </r>
    <r>
      <rPr>
        <i/>
        <vertAlign val="subscript"/>
        <sz val="11"/>
        <color theme="1"/>
        <rFont val="Calibri"/>
        <family val="2"/>
        <charset val="238"/>
        <scheme val="minor"/>
      </rPr>
      <t>d2</t>
    </r>
  </si>
  <si>
    <t>Fáze vinutí rotoru</t>
  </si>
  <si>
    <r>
      <t>m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</si>
  <si>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t>Skutečný průřez tyče</t>
  </si>
  <si>
    <t>Maximální indukce jha</t>
  </si>
  <si>
    <r>
      <t>h</t>
    </r>
    <r>
      <rPr>
        <i/>
        <vertAlign val="subscript"/>
        <sz val="11"/>
        <color theme="1"/>
        <rFont val="Calibri"/>
        <family val="2"/>
        <charset val="238"/>
        <scheme val="minor"/>
      </rPr>
      <t>0</t>
    </r>
    <r>
      <rPr>
        <i/>
        <sz val="11"/>
        <color theme="1"/>
        <rFont val="Calibri"/>
        <family val="2"/>
        <charset val="238"/>
        <scheme val="minor"/>
      </rPr>
      <t>'</t>
    </r>
  </si>
  <si>
    <t>Skutečná indukce v zubech statoru</t>
  </si>
  <si>
    <t>Skutečná indukce ve jhu statoru</t>
  </si>
  <si>
    <t xml:space="preserve">Skutečná indukce ve vzduchové mezeře </t>
  </si>
  <si>
    <t>Skutečná indukce v zubech rotoru</t>
  </si>
  <si>
    <t>Skutečná indukce ve jhu rotoru</t>
  </si>
  <si>
    <r>
      <t>B</t>
    </r>
    <r>
      <rPr>
        <i/>
        <vertAlign val="subscript"/>
        <sz val="11"/>
        <color theme="1"/>
        <rFont val="Calibri"/>
        <family val="2"/>
        <charset val="238"/>
        <scheme val="minor"/>
      </rPr>
      <t>z2</t>
    </r>
  </si>
  <si>
    <r>
      <t>U</t>
    </r>
    <r>
      <rPr>
        <i/>
        <vertAlign val="subscript"/>
        <sz val="11"/>
        <color theme="1"/>
        <rFont val="Calibri"/>
        <family val="2"/>
        <charset val="238"/>
        <scheme val="minor"/>
      </rPr>
      <t>δ</t>
    </r>
  </si>
  <si>
    <t>Magnetické napětí vzduch. mezery</t>
  </si>
  <si>
    <r>
      <t>H</t>
    </r>
    <r>
      <rPr>
        <i/>
        <vertAlign val="subscript"/>
        <sz val="11"/>
        <color theme="1"/>
        <rFont val="Calibri"/>
        <family val="2"/>
        <charset val="238"/>
        <scheme val="minor"/>
      </rPr>
      <t>z1</t>
    </r>
  </si>
  <si>
    <r>
      <t>H</t>
    </r>
    <r>
      <rPr>
        <i/>
        <vertAlign val="subscript"/>
        <sz val="11"/>
        <color theme="1"/>
        <rFont val="Calibri"/>
        <family val="2"/>
        <charset val="238"/>
        <scheme val="minor"/>
      </rPr>
      <t>z2</t>
    </r>
  </si>
  <si>
    <r>
      <t>U</t>
    </r>
    <r>
      <rPr>
        <i/>
        <vertAlign val="subscript"/>
        <sz val="11"/>
        <color theme="1"/>
        <rFont val="Calibri"/>
        <family val="2"/>
        <charset val="238"/>
        <scheme val="minor"/>
      </rPr>
      <t>z1</t>
    </r>
  </si>
  <si>
    <r>
      <t>U</t>
    </r>
    <r>
      <rPr>
        <i/>
        <vertAlign val="subscript"/>
        <sz val="11"/>
        <color theme="1"/>
        <rFont val="Calibri"/>
        <family val="2"/>
        <charset val="238"/>
        <scheme val="minor"/>
      </rPr>
      <t>z2</t>
    </r>
  </si>
  <si>
    <r>
      <t>l</t>
    </r>
    <r>
      <rPr>
        <i/>
        <vertAlign val="subscript"/>
        <sz val="11"/>
        <color theme="1"/>
        <rFont val="Calibri"/>
        <family val="2"/>
        <charset val="238"/>
        <scheme val="minor"/>
      </rPr>
      <t>j1</t>
    </r>
  </si>
  <si>
    <t>Mag. intenzita zubu statoru</t>
  </si>
  <si>
    <t>Mag. intenzita zubu rotoru</t>
  </si>
  <si>
    <t>Mag. napětí zubu statoru</t>
  </si>
  <si>
    <t>Mag. napětí zubu rotoru</t>
  </si>
  <si>
    <r>
      <t>U</t>
    </r>
    <r>
      <rPr>
        <i/>
        <vertAlign val="subscript"/>
        <sz val="11"/>
        <color theme="1"/>
        <rFont val="Calibri"/>
        <family val="2"/>
        <charset val="238"/>
        <scheme val="minor"/>
      </rPr>
      <t>j1</t>
    </r>
  </si>
  <si>
    <t>Mag. intenzita jha statoru</t>
  </si>
  <si>
    <t>Mag. napětí jha statoru</t>
  </si>
  <si>
    <r>
      <t>H</t>
    </r>
    <r>
      <rPr>
        <i/>
        <vertAlign val="subscript"/>
        <sz val="11"/>
        <color theme="1"/>
        <rFont val="Calibri"/>
        <family val="2"/>
        <charset val="238"/>
        <scheme val="minor"/>
      </rPr>
      <t>j1</t>
    </r>
  </si>
  <si>
    <t>Mag. intenzita jha rotoru</t>
  </si>
  <si>
    <r>
      <t>H</t>
    </r>
    <r>
      <rPr>
        <i/>
        <vertAlign val="subscript"/>
        <sz val="11"/>
        <color theme="1"/>
        <rFont val="Calibri"/>
        <family val="2"/>
        <charset val="238"/>
        <scheme val="minor"/>
      </rPr>
      <t>j2</t>
    </r>
  </si>
  <si>
    <t>Délka střední mag. Indukční čáry stat.</t>
  </si>
  <si>
    <t>Délka střední mag. Indukční čáry rot.</t>
  </si>
  <si>
    <r>
      <t>l</t>
    </r>
    <r>
      <rPr>
        <i/>
        <vertAlign val="subscript"/>
        <sz val="11"/>
        <color theme="1"/>
        <rFont val="Calibri"/>
        <family val="2"/>
        <charset val="238"/>
        <scheme val="minor"/>
      </rPr>
      <t>j2</t>
    </r>
  </si>
  <si>
    <t>Mag. napětí jha rotoru</t>
  </si>
  <si>
    <r>
      <t>U</t>
    </r>
    <r>
      <rPr>
        <i/>
        <vertAlign val="subscript"/>
        <sz val="11"/>
        <color theme="1"/>
        <rFont val="Calibri"/>
        <family val="2"/>
        <charset val="238"/>
        <scheme val="minor"/>
      </rPr>
      <t>j2</t>
    </r>
  </si>
  <si>
    <t>Výsledné mag. napětí</t>
  </si>
  <si>
    <r>
      <t>F</t>
    </r>
    <r>
      <rPr>
        <i/>
        <vertAlign val="subscript"/>
        <sz val="11"/>
        <color theme="1"/>
        <rFont val="Calibri"/>
        <family val="2"/>
        <charset val="238"/>
        <scheme val="minor"/>
      </rPr>
      <t>m</t>
    </r>
  </si>
  <si>
    <t>Magnetizační proud</t>
  </si>
  <si>
    <r>
      <t>I</t>
    </r>
    <r>
      <rPr>
        <i/>
        <vertAlign val="subscript"/>
        <sz val="11"/>
        <color theme="1"/>
        <rFont val="Calibri"/>
        <family val="2"/>
        <charset val="238"/>
        <scheme val="minor"/>
      </rPr>
      <t>ϻ</t>
    </r>
  </si>
  <si>
    <r>
      <t>i</t>
    </r>
    <r>
      <rPr>
        <i/>
        <vertAlign val="subscript"/>
        <sz val="11"/>
        <color theme="1"/>
        <rFont val="Calibri"/>
        <family val="2"/>
        <charset val="238"/>
        <scheme val="minor"/>
      </rPr>
      <t>ϻ</t>
    </r>
  </si>
  <si>
    <t>Poměrná hodnota mag. proudu</t>
  </si>
  <si>
    <t>Průřez 1 vodiče</t>
  </si>
  <si>
    <r>
      <t>n</t>
    </r>
    <r>
      <rPr>
        <i/>
        <vertAlign val="subscript"/>
        <sz val="11"/>
        <color theme="1"/>
        <rFont val="Calibri"/>
        <family val="2"/>
        <charset val="238"/>
        <scheme val="minor"/>
      </rPr>
      <t>p</t>
    </r>
  </si>
  <si>
    <r>
      <t>S</t>
    </r>
    <r>
      <rPr>
        <i/>
        <vertAlign val="subscript"/>
        <sz val="11"/>
        <color theme="1"/>
        <rFont val="Calibri"/>
        <family val="2"/>
        <charset val="238"/>
        <scheme val="minor"/>
      </rPr>
      <t>v</t>
    </r>
  </si>
  <si>
    <t>Počet dílčích vodičů</t>
  </si>
  <si>
    <t>Skutečná proudová hustota</t>
  </si>
  <si>
    <t>Výška otevření</t>
  </si>
  <si>
    <t>Šířka otevření</t>
  </si>
  <si>
    <t>Indukce zubu</t>
  </si>
  <si>
    <t>Celková hloubka drážky</t>
  </si>
  <si>
    <t>Šířka krčku</t>
  </si>
  <si>
    <t>Výška krčku</t>
  </si>
  <si>
    <t>Součin proud. hustot</t>
  </si>
  <si>
    <t>Výška můstku nad drážkou</t>
  </si>
  <si>
    <t>Výpočtová výška zubu statoru</t>
  </si>
  <si>
    <r>
      <t>h</t>
    </r>
    <r>
      <rPr>
        <i/>
        <vertAlign val="subscript"/>
        <sz val="11"/>
        <color theme="1"/>
        <rFont val="Calibri"/>
        <family val="2"/>
        <charset val="238"/>
        <scheme val="minor"/>
      </rPr>
      <t>z1</t>
    </r>
  </si>
  <si>
    <t>Výpočtová výška zubu rotoru</t>
  </si>
  <si>
    <r>
      <t>h</t>
    </r>
    <r>
      <rPr>
        <i/>
        <vertAlign val="subscript"/>
        <sz val="11"/>
        <color theme="1"/>
        <rFont val="Calibri"/>
        <family val="2"/>
        <charset val="238"/>
        <scheme val="minor"/>
      </rPr>
      <t>z2</t>
    </r>
  </si>
  <si>
    <t>Carterův činitel statoru</t>
  </si>
  <si>
    <t>Carterův činitel rotoru</t>
  </si>
  <si>
    <r>
      <t>k</t>
    </r>
    <r>
      <rPr>
        <i/>
        <vertAlign val="subscript"/>
        <sz val="11"/>
        <color theme="1"/>
        <rFont val="Calibri"/>
        <family val="2"/>
        <charset val="238"/>
        <scheme val="minor"/>
      </rPr>
      <t>c1</t>
    </r>
  </si>
  <si>
    <t>Činitel nasycení mag. Obvodu</t>
  </si>
  <si>
    <r>
      <t>k</t>
    </r>
    <r>
      <rPr>
        <i/>
        <vertAlign val="subscript"/>
        <sz val="11"/>
        <color theme="1"/>
        <rFont val="Calibri"/>
        <family val="2"/>
        <charset val="238"/>
        <scheme val="minor"/>
      </rPr>
      <t>ϻ</t>
    </r>
  </si>
  <si>
    <t>Odpor vinutí statoru</t>
  </si>
  <si>
    <t>[𝛀]</t>
  </si>
  <si>
    <r>
      <t>R</t>
    </r>
    <r>
      <rPr>
        <i/>
        <vertAlign val="subscript"/>
        <sz val="11"/>
        <color theme="1"/>
        <rFont val="Calibri"/>
        <family val="2"/>
        <charset val="238"/>
        <scheme val="minor"/>
      </rPr>
      <t>1</t>
    </r>
  </si>
  <si>
    <t>Měrný odpor mědi</t>
  </si>
  <si>
    <t>[𝛀m]</t>
  </si>
  <si>
    <t>L</t>
  </si>
  <si>
    <t>Střední délka závitu</t>
  </si>
  <si>
    <r>
      <t>l</t>
    </r>
    <r>
      <rPr>
        <i/>
        <vertAlign val="subscript"/>
        <sz val="11"/>
        <color theme="1"/>
        <rFont val="Calibri"/>
        <family val="2"/>
        <charset val="238"/>
        <scheme val="minor"/>
      </rPr>
      <t>av</t>
    </r>
  </si>
  <si>
    <t>Délka čela</t>
  </si>
  <si>
    <t>Střední délka cívky</t>
  </si>
  <si>
    <r>
      <t>b</t>
    </r>
    <r>
      <rPr>
        <i/>
        <vertAlign val="subscript"/>
        <sz val="11"/>
        <color theme="1"/>
        <rFont val="Calibri"/>
        <family val="2"/>
        <charset val="238"/>
        <scheme val="minor"/>
      </rPr>
      <t>c</t>
    </r>
  </si>
  <si>
    <t>Koeficient prodloužení čel</t>
  </si>
  <si>
    <r>
      <t>k</t>
    </r>
    <r>
      <rPr>
        <i/>
        <vertAlign val="subscript"/>
        <sz val="11"/>
        <color theme="1"/>
        <rFont val="Calibri"/>
        <family val="2"/>
        <charset val="238"/>
        <scheme val="minor"/>
      </rPr>
      <t>č</t>
    </r>
  </si>
  <si>
    <r>
      <t>l</t>
    </r>
    <r>
      <rPr>
        <i/>
        <vertAlign val="subscript"/>
        <sz val="11"/>
        <color theme="1"/>
        <rFont val="Calibri"/>
        <family val="2"/>
        <charset val="238"/>
        <scheme val="minor"/>
      </rPr>
      <t>č</t>
    </r>
  </si>
  <si>
    <t>Měrný odpor hliníku</t>
  </si>
  <si>
    <r>
      <rPr>
        <i/>
        <sz val="11"/>
        <color theme="1"/>
        <rFont val="Calibri"/>
        <family val="2"/>
        <charset val="238"/>
        <scheme val="minor"/>
      </rPr>
      <t>ρ</t>
    </r>
    <r>
      <rPr>
        <i/>
        <vertAlign val="subscript"/>
        <sz val="11"/>
        <color theme="1"/>
        <rFont val="Calibri"/>
        <family val="2"/>
        <charset val="238"/>
        <scheme val="minor"/>
      </rPr>
      <t>Cu</t>
    </r>
  </si>
  <si>
    <r>
      <t>ρ</t>
    </r>
    <r>
      <rPr>
        <i/>
        <vertAlign val="subscript"/>
        <sz val="11"/>
        <color theme="1"/>
        <rFont val="Calibri"/>
        <family val="2"/>
        <charset val="238"/>
        <scheme val="minor"/>
      </rPr>
      <t>Al</t>
    </r>
  </si>
  <si>
    <t>Odpor tyče</t>
  </si>
  <si>
    <t>Odpor kruhu</t>
  </si>
  <si>
    <r>
      <t>R</t>
    </r>
    <r>
      <rPr>
        <i/>
        <vertAlign val="subscript"/>
        <sz val="11"/>
        <color theme="1"/>
        <rFont val="Calibri"/>
        <family val="2"/>
        <charset val="238"/>
        <scheme val="minor"/>
      </rPr>
      <t>k</t>
    </r>
  </si>
  <si>
    <r>
      <t>R</t>
    </r>
    <r>
      <rPr>
        <i/>
        <vertAlign val="subscript"/>
        <sz val="11"/>
        <color theme="1"/>
        <rFont val="Calibri"/>
        <family val="2"/>
        <charset val="238"/>
        <scheme val="minor"/>
      </rPr>
      <t>t</t>
    </r>
  </si>
  <si>
    <t>Délka tyče</t>
  </si>
  <si>
    <r>
      <t>l</t>
    </r>
    <r>
      <rPr>
        <i/>
        <vertAlign val="subscript"/>
        <sz val="11"/>
        <color theme="1"/>
        <rFont val="Calibri"/>
        <family val="2"/>
        <charset val="238"/>
        <scheme val="minor"/>
      </rPr>
      <t>t</t>
    </r>
  </si>
  <si>
    <t>Průměr kruhu</t>
  </si>
  <si>
    <t>Výška kruhu</t>
  </si>
  <si>
    <r>
      <t>b</t>
    </r>
    <r>
      <rPr>
        <i/>
        <vertAlign val="subscript"/>
        <sz val="11"/>
        <color theme="1"/>
        <rFont val="Calibri"/>
        <family val="2"/>
        <charset val="238"/>
        <scheme val="minor"/>
      </rPr>
      <t>k</t>
    </r>
  </si>
  <si>
    <r>
      <t>a</t>
    </r>
    <r>
      <rPr>
        <i/>
        <vertAlign val="subscript"/>
        <sz val="11"/>
        <color theme="1"/>
        <rFont val="Calibri"/>
        <family val="2"/>
        <charset val="238"/>
        <scheme val="minor"/>
      </rPr>
      <t>k</t>
    </r>
  </si>
  <si>
    <t>Délka kruhu</t>
  </si>
  <si>
    <t>Sk'</t>
  </si>
  <si>
    <t>Proudová hustota tyče</t>
  </si>
  <si>
    <r>
      <t>J</t>
    </r>
    <r>
      <rPr>
        <i/>
        <vertAlign val="subscript"/>
        <sz val="11"/>
        <color theme="1"/>
        <rFont val="Calibri"/>
        <family val="2"/>
        <charset val="238"/>
        <scheme val="minor"/>
      </rPr>
      <t>t</t>
    </r>
  </si>
  <si>
    <t>Proudová hustota kruhů</t>
  </si>
  <si>
    <r>
      <t>J</t>
    </r>
    <r>
      <rPr>
        <i/>
        <vertAlign val="subscript"/>
        <sz val="11"/>
        <color theme="1"/>
        <rFont val="Calibri"/>
        <family val="2"/>
        <charset val="238"/>
        <scheme val="minor"/>
      </rPr>
      <t>k</t>
    </r>
  </si>
  <si>
    <t>∆</t>
  </si>
  <si>
    <t>Proud kruhů</t>
  </si>
  <si>
    <r>
      <t>I</t>
    </r>
    <r>
      <rPr>
        <i/>
        <vertAlign val="subscript"/>
        <sz val="11"/>
        <color theme="1"/>
        <rFont val="Calibri"/>
        <family val="2"/>
        <charset val="238"/>
        <scheme val="minor"/>
      </rPr>
      <t>k</t>
    </r>
  </si>
  <si>
    <r>
      <t>D</t>
    </r>
    <r>
      <rPr>
        <i/>
        <vertAlign val="subscript"/>
        <sz val="11"/>
        <color theme="1"/>
        <rFont val="Calibri"/>
        <family val="2"/>
        <charset val="238"/>
        <scheme val="minor"/>
      </rPr>
      <t>k</t>
    </r>
  </si>
  <si>
    <t>Skutečný průřez kruhu</t>
  </si>
  <si>
    <t>Průřez kruhu</t>
  </si>
  <si>
    <r>
      <t>S</t>
    </r>
    <r>
      <rPr>
        <i/>
        <vertAlign val="subscript"/>
        <sz val="11"/>
        <color theme="1"/>
        <rFont val="Calibri"/>
        <family val="2"/>
        <charset val="238"/>
        <scheme val="minor"/>
      </rPr>
      <t>k</t>
    </r>
  </si>
  <si>
    <t>Odpor rotoru</t>
  </si>
  <si>
    <r>
      <t>R</t>
    </r>
    <r>
      <rPr>
        <i/>
        <vertAlign val="subscript"/>
        <sz val="11"/>
        <color theme="1"/>
        <rFont val="Calibri"/>
        <family val="2"/>
        <charset val="238"/>
        <scheme val="minor"/>
      </rPr>
      <t>2</t>
    </r>
  </si>
  <si>
    <t>Přepočtený odpor rotoru</t>
  </si>
  <si>
    <r>
      <t>R</t>
    </r>
    <r>
      <rPr>
        <i/>
        <vertAlign val="subscript"/>
        <sz val="11"/>
        <color theme="1"/>
        <rFont val="Calibri"/>
        <family val="2"/>
        <charset val="238"/>
        <scheme val="minor"/>
      </rPr>
      <t>2</t>
    </r>
    <r>
      <rPr>
        <i/>
        <sz val="11"/>
        <color theme="1"/>
        <rFont val="Calibri"/>
        <family val="2"/>
        <charset val="238"/>
        <scheme val="minor"/>
      </rPr>
      <t>'</t>
    </r>
  </si>
  <si>
    <t>Činitel nasycení zubů</t>
  </si>
  <si>
    <r>
      <t>k</t>
    </r>
    <r>
      <rPr>
        <i/>
        <vertAlign val="subscript"/>
        <sz val="11"/>
        <color theme="1"/>
        <rFont val="Calibri"/>
        <family val="2"/>
        <charset val="238"/>
        <scheme val="minor"/>
      </rPr>
      <t>z</t>
    </r>
  </si>
  <si>
    <t>Rozptylová reaktance statoru</t>
  </si>
  <si>
    <r>
      <t>X</t>
    </r>
    <r>
      <rPr>
        <i/>
        <vertAlign val="subscript"/>
        <sz val="11"/>
        <color theme="1"/>
        <rFont val="Calibri"/>
        <family val="2"/>
        <charset val="238"/>
        <scheme val="minor"/>
      </rPr>
      <t>1δ</t>
    </r>
  </si>
  <si>
    <t>𝜷</t>
  </si>
  <si>
    <t>Poměrné zkrácení kroku</t>
  </si>
  <si>
    <t>Činitel</t>
  </si>
  <si>
    <r>
      <t>b</t>
    </r>
    <r>
      <rPr>
        <i/>
        <vertAlign val="subscript"/>
        <sz val="11"/>
        <color theme="1"/>
        <rFont val="Calibri"/>
        <family val="2"/>
        <charset val="238"/>
        <scheme val="minor"/>
      </rPr>
      <t>0</t>
    </r>
    <r>
      <rPr>
        <i/>
        <sz val="11"/>
        <color theme="1"/>
        <rFont val="Calibri"/>
        <family val="2"/>
        <charset val="238"/>
        <scheme val="minor"/>
      </rPr>
      <t xml:space="preserve"> / t</t>
    </r>
    <r>
      <rPr>
        <i/>
        <vertAlign val="subscript"/>
        <sz val="11"/>
        <color theme="1"/>
        <rFont val="Calibri"/>
        <family val="2"/>
        <charset val="238"/>
        <scheme val="minor"/>
      </rPr>
      <t>d</t>
    </r>
  </si>
  <si>
    <r>
      <t>b</t>
    </r>
    <r>
      <rPr>
        <i/>
        <vertAlign val="subscript"/>
        <sz val="11"/>
        <color theme="1"/>
        <rFont val="Calibri"/>
        <family val="2"/>
        <charset val="238"/>
        <scheme val="minor"/>
      </rPr>
      <t>0</t>
    </r>
    <r>
      <rPr>
        <i/>
        <sz val="11"/>
        <color theme="1"/>
        <rFont val="Calibri"/>
        <family val="2"/>
        <charset val="238"/>
        <scheme val="minor"/>
      </rPr>
      <t xml:space="preserve"> / δ</t>
    </r>
  </si>
  <si>
    <r>
      <t>k</t>
    </r>
    <r>
      <rPr>
        <i/>
        <vertAlign val="subscript"/>
        <sz val="11"/>
        <color theme="1"/>
        <rFont val="Calibri"/>
        <family val="2"/>
        <charset val="238"/>
        <scheme val="minor"/>
      </rPr>
      <t>𝜷</t>
    </r>
  </si>
  <si>
    <t>Rozptylová reaktance rotoru</t>
  </si>
  <si>
    <t>Rozptyl čel statoru</t>
  </si>
  <si>
    <t>Vodivost drážek statoru</t>
  </si>
  <si>
    <t>Diferenční rozptyl statoru</t>
  </si>
  <si>
    <r>
      <t>λ</t>
    </r>
    <r>
      <rPr>
        <i/>
        <vertAlign val="subscript"/>
        <sz val="11"/>
        <color theme="1"/>
        <rFont val="Calibri"/>
        <family val="2"/>
        <charset val="238"/>
        <scheme val="minor"/>
      </rPr>
      <t>č1</t>
    </r>
  </si>
  <si>
    <r>
      <t>λ</t>
    </r>
    <r>
      <rPr>
        <i/>
        <vertAlign val="subscript"/>
        <sz val="11"/>
        <color theme="1"/>
        <rFont val="Calibri"/>
        <family val="2"/>
        <charset val="238"/>
        <scheme val="minor"/>
      </rPr>
      <t>d1</t>
    </r>
  </si>
  <si>
    <r>
      <t>λ</t>
    </r>
    <r>
      <rPr>
        <i/>
        <vertAlign val="subscript"/>
        <sz val="11"/>
        <color theme="1"/>
        <rFont val="Calibri"/>
        <family val="2"/>
        <charset val="238"/>
        <scheme val="minor"/>
      </rPr>
      <t>dif1</t>
    </r>
  </si>
  <si>
    <t>Rozptyl čel rotoru</t>
  </si>
  <si>
    <r>
      <t>λ</t>
    </r>
    <r>
      <rPr>
        <i/>
        <vertAlign val="subscript"/>
        <sz val="11"/>
        <color theme="1"/>
        <rFont val="Calibri"/>
        <family val="2"/>
        <charset val="238"/>
        <scheme val="minor"/>
      </rPr>
      <t>č2</t>
    </r>
  </si>
  <si>
    <r>
      <t>λ</t>
    </r>
    <r>
      <rPr>
        <i/>
        <vertAlign val="subscript"/>
        <sz val="11"/>
        <color theme="1"/>
        <rFont val="Calibri"/>
        <family val="2"/>
        <charset val="238"/>
        <scheme val="minor"/>
      </rPr>
      <t>d2</t>
    </r>
  </si>
  <si>
    <r>
      <t>λ</t>
    </r>
    <r>
      <rPr>
        <i/>
        <vertAlign val="subscript"/>
        <sz val="11"/>
        <color theme="1"/>
        <rFont val="Calibri"/>
        <family val="2"/>
        <charset val="238"/>
        <scheme val="minor"/>
      </rPr>
      <t>dif2</t>
    </r>
  </si>
  <si>
    <t>Vodivost drážek rotoru</t>
  </si>
  <si>
    <t>Diferenční rozptyl rotoru</t>
  </si>
  <si>
    <r>
      <t>ξ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</si>
  <si>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r>
      <t>ξ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</si>
  <si>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r>
      <t>Δz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</si>
  <si>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r>
      <t>Δz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</si>
  <si>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t>Poměr statoru</t>
  </si>
  <si>
    <t>Poměr rotoru</t>
  </si>
  <si>
    <t>Činitel přepočtů proudů</t>
  </si>
  <si>
    <r>
      <t>∆</t>
    </r>
    <r>
      <rPr>
        <vertAlign val="subscript"/>
        <sz val="11"/>
        <color theme="1"/>
        <rFont val="Calibri"/>
        <family val="2"/>
        <charset val="238"/>
      </rPr>
      <t>2</t>
    </r>
  </si>
  <si>
    <t>Přepočtená reaktance rotoru</t>
  </si>
  <si>
    <t>Odpor příčné větve</t>
  </si>
  <si>
    <r>
      <t>R</t>
    </r>
    <r>
      <rPr>
        <i/>
        <vertAlign val="subscript"/>
        <sz val="11"/>
        <color theme="1"/>
        <rFont val="Calibri"/>
        <family val="2"/>
        <charset val="238"/>
        <scheme val="minor"/>
      </rPr>
      <t>Fe</t>
    </r>
  </si>
  <si>
    <t>Vzájemná indukčnost rot. a stat.</t>
  </si>
  <si>
    <r>
      <t>X</t>
    </r>
    <r>
      <rPr>
        <i/>
        <vertAlign val="subscript"/>
        <sz val="11"/>
        <color theme="1"/>
        <rFont val="Calibri"/>
        <family val="2"/>
        <charset val="238"/>
        <scheme val="minor"/>
      </rPr>
      <t>ϻ</t>
    </r>
  </si>
  <si>
    <t>Hlavní ztráty v železe statoru</t>
  </si>
  <si>
    <t>Měrné ztráty v Fe</t>
  </si>
  <si>
    <r>
      <t>∆p</t>
    </r>
    <r>
      <rPr>
        <i/>
        <vertAlign val="subscript"/>
        <sz val="11"/>
        <color theme="1"/>
        <rFont val="Calibri"/>
        <family val="2"/>
        <charset val="238"/>
        <scheme val="minor"/>
      </rPr>
      <t>1,0</t>
    </r>
  </si>
  <si>
    <r>
      <t>∆P</t>
    </r>
    <r>
      <rPr>
        <i/>
        <vertAlign val="subscript"/>
        <sz val="11"/>
        <color theme="1"/>
        <rFont val="Calibri"/>
        <family val="2"/>
        <charset val="238"/>
        <scheme val="minor"/>
      </rPr>
      <t>Feh</t>
    </r>
  </si>
  <si>
    <t>[W/kg]</t>
  </si>
  <si>
    <t>Použitá ocel</t>
  </si>
  <si>
    <r>
      <t>k</t>
    </r>
    <r>
      <rPr>
        <i/>
        <vertAlign val="subscript"/>
        <sz val="11"/>
        <color theme="1"/>
        <rFont val="Calibri"/>
        <family val="2"/>
        <charset val="238"/>
        <scheme val="minor"/>
      </rPr>
      <t>dj</t>
    </r>
  </si>
  <si>
    <r>
      <t>k</t>
    </r>
    <r>
      <rPr>
        <i/>
        <vertAlign val="subscript"/>
        <sz val="11"/>
        <color theme="1"/>
        <rFont val="Calibri"/>
        <family val="2"/>
        <charset val="238"/>
        <scheme val="minor"/>
      </rPr>
      <t>dz</t>
    </r>
  </si>
  <si>
    <t>Hustota železa</t>
  </si>
  <si>
    <r>
      <t>ρ</t>
    </r>
    <r>
      <rPr>
        <i/>
        <vertAlign val="subscript"/>
        <sz val="11"/>
        <color theme="1"/>
        <rFont val="Calibri"/>
        <family val="2"/>
        <charset val="238"/>
        <scheme val="minor"/>
      </rPr>
      <t>Fe</t>
    </r>
  </si>
  <si>
    <r>
      <t>[kg/m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>]</t>
    </r>
  </si>
  <si>
    <t>Hmotnost statorového jha</t>
  </si>
  <si>
    <t>[kg]</t>
  </si>
  <si>
    <r>
      <t>m</t>
    </r>
    <r>
      <rPr>
        <i/>
        <vertAlign val="subscript"/>
        <sz val="11"/>
        <color theme="1"/>
        <rFont val="Calibri"/>
        <family val="2"/>
        <charset val="238"/>
        <scheme val="minor"/>
      </rPr>
      <t>j1</t>
    </r>
  </si>
  <si>
    <t>Hmotnost zubů statoru</t>
  </si>
  <si>
    <r>
      <t>m</t>
    </r>
    <r>
      <rPr>
        <i/>
        <vertAlign val="subscript"/>
        <sz val="11"/>
        <color theme="1"/>
        <rFont val="Calibri"/>
        <family val="2"/>
        <charset val="238"/>
        <scheme val="minor"/>
      </rPr>
      <t>z1</t>
    </r>
  </si>
  <si>
    <t>Povrchové ztráty ve statoru</t>
  </si>
  <si>
    <r>
      <t>∆P</t>
    </r>
    <r>
      <rPr>
        <i/>
        <vertAlign val="subscript"/>
        <sz val="11"/>
        <color theme="1"/>
        <rFont val="Calibri"/>
        <family val="2"/>
        <charset val="238"/>
        <scheme val="minor"/>
      </rPr>
      <t>δp1</t>
    </r>
  </si>
  <si>
    <r>
      <t>∆P</t>
    </r>
    <r>
      <rPr>
        <i/>
        <vertAlign val="subscript"/>
        <sz val="11"/>
        <color theme="1"/>
        <rFont val="Calibri"/>
        <family val="2"/>
        <charset val="238"/>
        <scheme val="minor"/>
      </rPr>
      <t>δp2</t>
    </r>
  </si>
  <si>
    <r>
      <t>p</t>
    </r>
    <r>
      <rPr>
        <i/>
        <vertAlign val="subscript"/>
        <sz val="11"/>
        <color theme="1"/>
        <rFont val="Calibri"/>
        <family val="2"/>
        <charset val="238"/>
        <scheme val="minor"/>
      </rPr>
      <t>δp1</t>
    </r>
  </si>
  <si>
    <r>
      <t>p</t>
    </r>
    <r>
      <rPr>
        <i/>
        <vertAlign val="subscript"/>
        <sz val="11"/>
        <color theme="1"/>
        <rFont val="Calibri"/>
        <family val="2"/>
        <charset val="238"/>
        <scheme val="minor"/>
      </rPr>
      <t>δp2</t>
    </r>
  </si>
  <si>
    <t>Vliv opracování plechů</t>
  </si>
  <si>
    <r>
      <t>k</t>
    </r>
    <r>
      <rPr>
        <i/>
        <vertAlign val="subscript"/>
        <sz val="11"/>
        <color theme="1"/>
        <rFont val="Calibri"/>
        <family val="2"/>
        <charset val="238"/>
        <scheme val="minor"/>
      </rPr>
      <t>o</t>
    </r>
  </si>
  <si>
    <r>
      <t>B</t>
    </r>
    <r>
      <rPr>
        <i/>
        <vertAlign val="subscript"/>
        <sz val="11"/>
        <color theme="1"/>
        <rFont val="Calibri"/>
        <family val="2"/>
        <charset val="238"/>
        <scheme val="minor"/>
      </rPr>
      <t>o1</t>
    </r>
  </si>
  <si>
    <r>
      <t>B</t>
    </r>
    <r>
      <rPr>
        <i/>
        <vertAlign val="subscript"/>
        <sz val="11"/>
        <color theme="1"/>
        <rFont val="Calibri"/>
        <family val="2"/>
        <charset val="238"/>
        <scheme val="minor"/>
      </rPr>
      <t>o2</t>
    </r>
  </si>
  <si>
    <r>
      <t>k</t>
    </r>
    <r>
      <rPr>
        <i/>
        <vertAlign val="subscript"/>
        <sz val="11"/>
        <color theme="1"/>
        <rFont val="Calibri"/>
        <family val="2"/>
        <charset val="238"/>
        <scheme val="minor"/>
      </rPr>
      <t>c</t>
    </r>
  </si>
  <si>
    <r>
      <t>β</t>
    </r>
    <r>
      <rPr>
        <i/>
        <vertAlign val="subscript"/>
        <sz val="11"/>
        <color theme="1"/>
        <rFont val="Calibri"/>
        <family val="2"/>
        <charset val="238"/>
        <scheme val="minor"/>
      </rPr>
      <t>01</t>
    </r>
  </si>
  <si>
    <r>
      <t>β</t>
    </r>
    <r>
      <rPr>
        <i/>
        <vertAlign val="subscript"/>
        <sz val="11"/>
        <color theme="1"/>
        <rFont val="Calibri"/>
        <family val="2"/>
        <charset val="238"/>
        <scheme val="minor"/>
      </rPr>
      <t>02</t>
    </r>
  </si>
  <si>
    <r>
      <t>[W/m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]</t>
    </r>
  </si>
  <si>
    <t>Hustota ztrát statoru</t>
  </si>
  <si>
    <t>Hustota ztrát rotoru</t>
  </si>
  <si>
    <t>n</t>
  </si>
  <si>
    <t>[ot/min]</t>
  </si>
  <si>
    <t>Rychlost otáčení</t>
  </si>
  <si>
    <r>
      <t>∆P</t>
    </r>
    <r>
      <rPr>
        <i/>
        <vertAlign val="subscript"/>
        <sz val="11"/>
        <color theme="1"/>
        <rFont val="Calibri"/>
        <family val="2"/>
        <charset val="238"/>
        <scheme val="minor"/>
      </rPr>
      <t>p1</t>
    </r>
  </si>
  <si>
    <t>Pulzní ztráty v rotoru</t>
  </si>
  <si>
    <r>
      <t>∆P</t>
    </r>
    <r>
      <rPr>
        <i/>
        <vertAlign val="subscript"/>
        <sz val="11"/>
        <color theme="1"/>
        <rFont val="Calibri"/>
        <family val="2"/>
        <charset val="238"/>
        <scheme val="minor"/>
      </rPr>
      <t>p2</t>
    </r>
  </si>
  <si>
    <t>Amplituda pulzací δ stat.</t>
  </si>
  <si>
    <t>Amplituda pulzací δ rot.</t>
  </si>
  <si>
    <t>Amplituda pulzací zub. stat.</t>
  </si>
  <si>
    <t>Amplituda pulzací zub. rot.</t>
  </si>
  <si>
    <r>
      <t>B</t>
    </r>
    <r>
      <rPr>
        <i/>
        <vertAlign val="subscript"/>
        <sz val="11"/>
        <color theme="1"/>
        <rFont val="Calibri"/>
        <family val="2"/>
        <charset val="238"/>
        <scheme val="minor"/>
      </rPr>
      <t>p1</t>
    </r>
  </si>
  <si>
    <r>
      <t>B</t>
    </r>
    <r>
      <rPr>
        <i/>
        <vertAlign val="subscript"/>
        <sz val="11"/>
        <color theme="1"/>
        <rFont val="Calibri"/>
        <family val="2"/>
        <charset val="238"/>
        <scheme val="minor"/>
      </rPr>
      <t>p2</t>
    </r>
  </si>
  <si>
    <r>
      <t>γ</t>
    </r>
    <r>
      <rPr>
        <vertAlign val="subscript"/>
        <sz val="11"/>
        <color theme="1"/>
        <rFont val="Times"/>
        <family val="1"/>
      </rPr>
      <t>1</t>
    </r>
  </si>
  <si>
    <r>
      <t>γ</t>
    </r>
    <r>
      <rPr>
        <vertAlign val="subscript"/>
        <sz val="11"/>
        <color theme="1"/>
        <rFont val="Times"/>
        <family val="1"/>
      </rPr>
      <t>2</t>
    </r>
  </si>
  <si>
    <r>
      <t>m</t>
    </r>
    <r>
      <rPr>
        <i/>
        <vertAlign val="subscript"/>
        <sz val="11"/>
        <color theme="1"/>
        <rFont val="Calibri"/>
        <family val="2"/>
        <charset val="238"/>
        <scheme val="minor"/>
      </rPr>
      <t>z2</t>
    </r>
  </si>
  <si>
    <t>Hmotnost zubů rotoru</t>
  </si>
  <si>
    <t>Celkové ztráty v železe</t>
  </si>
  <si>
    <r>
      <t>∆P</t>
    </r>
    <r>
      <rPr>
        <i/>
        <vertAlign val="subscript"/>
        <sz val="11"/>
        <color theme="1"/>
        <rFont val="Calibri"/>
        <family val="2"/>
        <charset val="238"/>
        <scheme val="minor"/>
      </rPr>
      <t>Fe</t>
    </r>
  </si>
  <si>
    <t>Jouleovy ztráty ve statoru</t>
  </si>
  <si>
    <r>
      <t>∆P</t>
    </r>
    <r>
      <rPr>
        <i/>
        <vertAlign val="subscript"/>
        <sz val="11"/>
        <color theme="1"/>
        <rFont val="Calibri"/>
        <family val="2"/>
        <charset val="238"/>
        <scheme val="minor"/>
      </rPr>
      <t>j1</t>
    </r>
  </si>
  <si>
    <r>
      <t>∆P</t>
    </r>
    <r>
      <rPr>
        <i/>
        <vertAlign val="subscript"/>
        <sz val="11"/>
        <color theme="1"/>
        <rFont val="Calibri"/>
        <family val="2"/>
        <charset val="238"/>
        <scheme val="minor"/>
      </rPr>
      <t>j2</t>
    </r>
  </si>
  <si>
    <t>Jouleovy ztráty v rotoru</t>
  </si>
  <si>
    <t>Pulzní ztráty ve statoru</t>
  </si>
  <si>
    <t>Mechanické ztráty</t>
  </si>
  <si>
    <r>
      <t>∆P</t>
    </r>
    <r>
      <rPr>
        <i/>
        <vertAlign val="subscript"/>
        <sz val="11"/>
        <color theme="1"/>
        <rFont val="Calibri"/>
        <family val="2"/>
        <charset val="238"/>
        <scheme val="minor"/>
      </rPr>
      <t>mech</t>
    </r>
  </si>
  <si>
    <t>∆P</t>
  </si>
  <si>
    <t>Železo + Jouleovy</t>
  </si>
  <si>
    <t>Celkové ztráty</t>
  </si>
  <si>
    <r>
      <t>∆P</t>
    </r>
    <r>
      <rPr>
        <i/>
        <vertAlign val="subscript"/>
        <sz val="11"/>
        <color theme="1"/>
        <rFont val="Calibri"/>
        <family val="2"/>
        <charset val="238"/>
        <scheme val="minor"/>
      </rPr>
      <t>celk</t>
    </r>
  </si>
  <si>
    <t>Skutečná účinnost</t>
  </si>
  <si>
    <t>Povrchové ztráty v rotoru</t>
  </si>
  <si>
    <t>Délka vinutí statoru</t>
  </si>
  <si>
    <r>
      <t>I</t>
    </r>
    <r>
      <rPr>
        <i/>
        <vertAlign val="subscript"/>
        <sz val="11"/>
        <color theme="1"/>
        <rFont val="Calibri"/>
        <family val="2"/>
        <charset val="238"/>
        <scheme val="minor"/>
      </rPr>
      <t>t</t>
    </r>
  </si>
  <si>
    <r>
      <t>X</t>
    </r>
    <r>
      <rPr>
        <i/>
        <vertAlign val="subscript"/>
        <sz val="11"/>
        <color theme="1"/>
        <rFont val="Calibri"/>
        <family val="2"/>
        <charset val="238"/>
        <scheme val="minor"/>
      </rPr>
      <t>2δ</t>
    </r>
    <r>
      <rPr>
        <i/>
        <sz val="11"/>
        <color theme="1"/>
        <rFont val="Calibri"/>
        <family val="2"/>
        <charset val="238"/>
        <scheme val="minor"/>
      </rPr>
      <t>'</t>
    </r>
  </si>
  <si>
    <r>
      <t>X</t>
    </r>
    <r>
      <rPr>
        <i/>
        <vertAlign val="subscript"/>
        <sz val="11"/>
        <color theme="1"/>
        <rFont val="Calibri"/>
        <family val="2"/>
        <charset val="238"/>
        <scheme val="minor"/>
      </rPr>
      <t>2δ</t>
    </r>
  </si>
  <si>
    <t>Hopkinsův činitel rozptylu</t>
  </si>
  <si>
    <t>Koeficient</t>
  </si>
  <si>
    <t>a'</t>
  </si>
  <si>
    <t>b</t>
  </si>
  <si>
    <t>b'</t>
  </si>
  <si>
    <t>Jalový proud při synch. Chodu</t>
  </si>
  <si>
    <t>Činný proud při synch. Chodu</t>
  </si>
  <si>
    <r>
      <t>Proud naprázdno pro n</t>
    </r>
    <r>
      <rPr>
        <vertAlign val="subscript"/>
        <sz val="11"/>
        <color theme="1"/>
        <rFont val="Calibri"/>
        <family val="2"/>
        <charset val="238"/>
        <scheme val="minor"/>
      </rPr>
      <t>s</t>
    </r>
  </si>
  <si>
    <t>Skluz zvratu</t>
  </si>
  <si>
    <r>
      <t>I</t>
    </r>
    <r>
      <rPr>
        <i/>
        <vertAlign val="subscript"/>
        <sz val="11"/>
        <color theme="1"/>
        <rFont val="Calibri"/>
        <family val="2"/>
        <charset val="238"/>
        <scheme val="minor"/>
      </rPr>
      <t>(0)j</t>
    </r>
  </si>
  <si>
    <r>
      <t>I</t>
    </r>
    <r>
      <rPr>
        <i/>
        <vertAlign val="subscript"/>
        <sz val="11"/>
        <color theme="1"/>
        <rFont val="Calibri"/>
        <family val="2"/>
        <charset val="238"/>
        <scheme val="minor"/>
      </rPr>
      <t>(0)č</t>
    </r>
  </si>
  <si>
    <r>
      <t>I</t>
    </r>
    <r>
      <rPr>
        <i/>
        <vertAlign val="subscript"/>
        <sz val="11"/>
        <color theme="1"/>
        <rFont val="Calibri"/>
        <family val="2"/>
        <charset val="238"/>
        <scheme val="minor"/>
      </rPr>
      <t>(0)</t>
    </r>
  </si>
  <si>
    <r>
      <t>c</t>
    </r>
    <r>
      <rPr>
        <i/>
        <vertAlign val="subscript"/>
        <sz val="11"/>
        <color theme="1"/>
        <rFont val="Calibri"/>
        <family val="2"/>
        <charset val="238"/>
        <scheme val="minor"/>
      </rPr>
      <t>1</t>
    </r>
  </si>
  <si>
    <r>
      <t>a</t>
    </r>
    <r>
      <rPr>
        <i/>
        <vertAlign val="subscript"/>
        <sz val="11"/>
        <color theme="1"/>
        <rFont val="Calibri"/>
        <family val="2"/>
        <charset val="238"/>
        <scheme val="minor"/>
      </rPr>
      <t>1</t>
    </r>
  </si>
  <si>
    <r>
      <t>s</t>
    </r>
    <r>
      <rPr>
        <i/>
        <vertAlign val="subscript"/>
        <sz val="11"/>
        <color theme="1"/>
        <rFont val="Calibri"/>
        <family val="2"/>
        <charset val="238"/>
        <scheme val="minor"/>
      </rPr>
      <t>z</t>
    </r>
  </si>
  <si>
    <t>Moment zvratu</t>
  </si>
  <si>
    <r>
      <t>M</t>
    </r>
    <r>
      <rPr>
        <i/>
        <vertAlign val="subscript"/>
        <sz val="11"/>
        <color theme="1"/>
        <rFont val="Calibri"/>
        <family val="2"/>
        <charset val="238"/>
        <scheme val="minor"/>
      </rPr>
      <t>max</t>
    </r>
  </si>
  <si>
    <t>[Nm]</t>
  </si>
  <si>
    <t>s</t>
  </si>
  <si>
    <t>Skluz</t>
  </si>
  <si>
    <t>Úhlová rychlost</t>
  </si>
  <si>
    <r>
      <t>ω</t>
    </r>
    <r>
      <rPr>
        <vertAlign val="subscript"/>
        <sz val="15.95"/>
        <color theme="1"/>
        <rFont val="Calibri"/>
        <family val="2"/>
        <charset val="238"/>
      </rPr>
      <t>s</t>
    </r>
  </si>
  <si>
    <t>Impedance</t>
  </si>
  <si>
    <t>Moment (Kloss)</t>
  </si>
  <si>
    <r>
      <t>M</t>
    </r>
    <r>
      <rPr>
        <vertAlign val="subscript"/>
        <sz val="11"/>
        <color theme="1"/>
        <rFont val="Calibri"/>
        <family val="2"/>
        <charset val="238"/>
        <scheme val="minor"/>
      </rPr>
      <t>sk</t>
    </r>
  </si>
  <si>
    <t>Moment</t>
  </si>
  <si>
    <r>
      <t>M</t>
    </r>
    <r>
      <rPr>
        <vertAlign val="subscript"/>
        <sz val="11"/>
        <color theme="1"/>
        <rFont val="Calibri"/>
        <family val="2"/>
        <charset val="238"/>
        <scheme val="minor"/>
      </rPr>
      <t>s</t>
    </r>
  </si>
  <si>
    <t>Jmenovitý skluz</t>
  </si>
  <si>
    <r>
      <t>s</t>
    </r>
    <r>
      <rPr>
        <i/>
        <vertAlign val="subscript"/>
        <sz val="11"/>
        <color theme="1"/>
        <rFont val="Calibri"/>
        <family val="2"/>
        <charset val="238"/>
        <scheme val="minor"/>
      </rPr>
      <t>n</t>
    </r>
  </si>
  <si>
    <t>Jmenovité otáčky hřídele</t>
  </si>
  <si>
    <t>Jmenovité otáčky statoru</t>
  </si>
  <si>
    <r>
      <t>n</t>
    </r>
    <r>
      <rPr>
        <i/>
        <vertAlign val="subscript"/>
        <sz val="11"/>
        <color theme="1"/>
        <rFont val="Calibri"/>
        <family val="2"/>
        <charset val="238"/>
        <scheme val="minor"/>
      </rPr>
      <t>1</t>
    </r>
  </si>
  <si>
    <r>
      <t>n</t>
    </r>
    <r>
      <rPr>
        <i/>
        <vertAlign val="subscript"/>
        <sz val="11"/>
        <color rgb="FF000000"/>
        <rFont val="Calibri"/>
        <family val="2"/>
        <charset val="238"/>
        <scheme val="minor"/>
      </rPr>
      <t>2</t>
    </r>
  </si>
  <si>
    <t>Jmenovitý moment</t>
  </si>
  <si>
    <r>
      <t>M</t>
    </r>
    <r>
      <rPr>
        <i/>
        <vertAlign val="subscript"/>
        <sz val="11"/>
        <color theme="1"/>
        <rFont val="Calibri"/>
        <family val="2"/>
        <charset val="238"/>
        <scheme val="minor"/>
      </rPr>
      <t>n</t>
    </r>
  </si>
  <si>
    <t>Jmenovitá úhlová rychlost</t>
  </si>
  <si>
    <r>
      <t>ω</t>
    </r>
    <r>
      <rPr>
        <vertAlign val="subscript"/>
        <sz val="11"/>
        <color theme="1"/>
        <rFont val="Calibri"/>
        <family val="2"/>
        <charset val="238"/>
      </rPr>
      <t>1</t>
    </r>
  </si>
  <si>
    <r>
      <t>ω</t>
    </r>
    <r>
      <rPr>
        <vertAlign val="subscript"/>
        <sz val="11"/>
        <color theme="1"/>
        <rFont val="Calibri"/>
        <family val="2"/>
        <charset val="238"/>
      </rPr>
      <t>2</t>
    </r>
  </si>
  <si>
    <t>Z</t>
  </si>
  <si>
    <t>Odpor</t>
  </si>
  <si>
    <t>Reaktance</t>
  </si>
  <si>
    <t>R</t>
  </si>
  <si>
    <t>X</t>
  </si>
  <si>
    <t>Proud</t>
  </si>
  <si>
    <r>
      <t>I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'</t>
    </r>
  </si>
  <si>
    <t>Proud rotoru</t>
  </si>
  <si>
    <t>Proud statoru</t>
  </si>
  <si>
    <r>
      <t>I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</si>
  <si>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r>
      <t>cos(ϕ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')</t>
    </r>
  </si>
  <si>
    <r>
      <t>sin(ϕ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')</t>
    </r>
  </si>
  <si>
    <t xml:space="preserve">Proud </t>
  </si>
  <si>
    <r>
      <t>I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č</t>
    </r>
  </si>
  <si>
    <r>
      <t>I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j</t>
    </r>
  </si>
  <si>
    <r>
      <t>I</t>
    </r>
    <r>
      <rPr>
        <vertAlign val="subscript"/>
        <sz val="11"/>
        <color theme="1"/>
        <rFont val="Calibri"/>
        <family val="2"/>
        <charset val="238"/>
        <scheme val="minor"/>
      </rPr>
      <t>0</t>
    </r>
    <r>
      <rPr>
        <sz val="11"/>
        <color theme="1"/>
        <rFont val="Calibri"/>
        <family val="2"/>
        <charset val="238"/>
        <scheme val="minor"/>
      </rPr>
      <t>j</t>
    </r>
  </si>
  <si>
    <r>
      <t>I</t>
    </r>
    <r>
      <rPr>
        <vertAlign val="subscript"/>
        <sz val="11"/>
        <color theme="1"/>
        <rFont val="Calibri"/>
        <family val="2"/>
        <charset val="238"/>
        <scheme val="minor"/>
      </rPr>
      <t>0</t>
    </r>
    <r>
      <rPr>
        <sz val="11"/>
        <color theme="1"/>
        <rFont val="Calibri"/>
        <family val="2"/>
        <charset val="238"/>
        <scheme val="minor"/>
      </rPr>
      <t>č</t>
    </r>
  </si>
  <si>
    <t>Účinník</t>
  </si>
  <si>
    <r>
      <t>cos(ϕ</t>
    </r>
    <r>
      <rPr>
        <sz val="11"/>
        <color theme="1"/>
        <rFont val="Calibri"/>
        <family val="2"/>
        <charset val="238"/>
        <scheme val="minor"/>
      </rPr>
      <t>)</t>
    </r>
  </si>
  <si>
    <t>Výkon</t>
  </si>
  <si>
    <t>[kW]</t>
  </si>
  <si>
    <r>
      <t>P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</si>
  <si>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r>
      <t>P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</si>
  <si>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t>Pj1</t>
  </si>
  <si>
    <t>Pj2</t>
  </si>
  <si>
    <t>Pd</t>
  </si>
  <si>
    <t>P</t>
  </si>
  <si>
    <t>Účinnost</t>
  </si>
  <si>
    <t>Odvod ztrát do okolí</t>
  </si>
  <si>
    <t>K</t>
  </si>
  <si>
    <t>Součinitel přestupu tepla</t>
  </si>
  <si>
    <r>
      <t>[W/m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/K]</t>
    </r>
  </si>
  <si>
    <r>
      <rPr>
        <sz val="11"/>
        <color theme="1"/>
        <rFont val="Calibri"/>
        <family val="2"/>
        <charset val="238"/>
      </rPr>
      <t>α</t>
    </r>
    <r>
      <rPr>
        <i/>
        <vertAlign val="subscript"/>
        <sz val="11"/>
        <color theme="1"/>
        <rFont val="Calibri"/>
        <family val="2"/>
        <charset val="238"/>
      </rPr>
      <t>1</t>
    </r>
  </si>
  <si>
    <t>Činitel změny odporu</t>
  </si>
  <si>
    <t>k𝜚</t>
  </si>
  <si>
    <r>
      <t>∆P</t>
    </r>
    <r>
      <rPr>
        <i/>
        <vertAlign val="subscript"/>
        <sz val="11"/>
        <color theme="1"/>
        <rFont val="Calibri"/>
        <family val="2"/>
        <charset val="238"/>
        <scheme val="minor"/>
      </rPr>
      <t>jd1</t>
    </r>
  </si>
  <si>
    <t>Jouleovy ztráty v drážce</t>
  </si>
  <si>
    <t>Oteplení vtniřního povrchu stat.</t>
  </si>
  <si>
    <r>
      <t>∆T</t>
    </r>
    <r>
      <rPr>
        <i/>
        <vertAlign val="subscript"/>
        <sz val="11"/>
        <color theme="1"/>
        <rFont val="Calibri"/>
        <family val="2"/>
        <charset val="238"/>
        <scheme val="minor"/>
      </rPr>
      <t>Fe</t>
    </r>
  </si>
  <si>
    <t>Tepelná vodivost izolace</t>
  </si>
  <si>
    <t>Ekvivalentní tepelná vodivost</t>
  </si>
  <si>
    <r>
      <t>λ</t>
    </r>
    <r>
      <rPr>
        <i/>
        <vertAlign val="subscript"/>
        <sz val="11"/>
        <color theme="1"/>
        <rFont val="Calibri"/>
        <family val="2"/>
        <charset val="238"/>
        <scheme val="minor"/>
      </rPr>
      <t>i</t>
    </r>
  </si>
  <si>
    <t>[W/m/K]</t>
  </si>
  <si>
    <r>
      <t>λ</t>
    </r>
    <r>
      <rPr>
        <i/>
        <vertAlign val="subscript"/>
        <sz val="11"/>
        <color theme="1"/>
        <rFont val="Calibri"/>
        <family val="2"/>
        <charset val="238"/>
        <scheme val="minor"/>
      </rPr>
      <t>ekv</t>
    </r>
  </si>
  <si>
    <t>Tloušťka izolace</t>
  </si>
  <si>
    <r>
      <t>b</t>
    </r>
    <r>
      <rPr>
        <i/>
        <vertAlign val="subscript"/>
        <sz val="11"/>
        <color theme="1"/>
        <rFont val="Calibri"/>
        <family val="2"/>
        <charset val="238"/>
        <scheme val="minor"/>
      </rPr>
      <t>i1</t>
    </r>
  </si>
  <si>
    <r>
      <t>h</t>
    </r>
    <r>
      <rPr>
        <i/>
        <vertAlign val="subscript"/>
        <sz val="11"/>
        <color theme="1"/>
        <rFont val="Calibri"/>
        <family val="2"/>
        <charset val="238"/>
        <scheme val="minor"/>
      </rPr>
      <t>3</t>
    </r>
  </si>
  <si>
    <r>
      <t>h</t>
    </r>
    <r>
      <rPr>
        <i/>
        <vertAlign val="subscript"/>
        <sz val="11"/>
        <color theme="1"/>
        <rFont val="Calibri"/>
        <family val="2"/>
        <charset val="238"/>
        <scheme val="minor"/>
      </rPr>
      <t>2</t>
    </r>
  </si>
  <si>
    <t>Obvod drážky</t>
  </si>
  <si>
    <r>
      <t>O</t>
    </r>
    <r>
      <rPr>
        <i/>
        <vertAlign val="subscript"/>
        <sz val="11"/>
        <color theme="1"/>
        <rFont val="Calibri"/>
        <family val="2"/>
        <charset val="238"/>
        <scheme val="minor"/>
      </rPr>
      <t>d</t>
    </r>
  </si>
  <si>
    <t>Teplotní spád v izolaci</t>
  </si>
  <si>
    <r>
      <t>∆T</t>
    </r>
    <r>
      <rPr>
        <i/>
        <vertAlign val="subscript"/>
        <sz val="11"/>
        <color theme="1"/>
        <rFont val="Calibri"/>
        <family val="2"/>
        <charset val="238"/>
        <scheme val="minor"/>
      </rPr>
      <t>izd</t>
    </r>
  </si>
  <si>
    <t>Jouleovy ztráty v čelech</t>
  </si>
  <si>
    <r>
      <t>∆P</t>
    </r>
    <r>
      <rPr>
        <i/>
        <vertAlign val="subscript"/>
        <sz val="11"/>
        <color theme="1"/>
        <rFont val="Calibri"/>
        <family val="2"/>
        <charset val="238"/>
        <scheme val="minor"/>
      </rPr>
      <t>jč1</t>
    </r>
  </si>
  <si>
    <t>Teplotní spád v izolaci čela</t>
  </si>
  <si>
    <r>
      <t>∆T</t>
    </r>
    <r>
      <rPr>
        <i/>
        <vertAlign val="subscript"/>
        <sz val="11"/>
        <color theme="1"/>
        <rFont val="Calibri"/>
        <family val="2"/>
        <charset val="238"/>
        <scheme val="minor"/>
      </rPr>
      <t>izč</t>
    </r>
  </si>
  <si>
    <t>Oteplení čel</t>
  </si>
  <si>
    <r>
      <t>∆T</t>
    </r>
    <r>
      <rPr>
        <i/>
        <vertAlign val="subscript"/>
        <sz val="11"/>
        <color theme="1"/>
        <rFont val="Calibri"/>
        <family val="2"/>
        <charset val="238"/>
        <scheme val="minor"/>
      </rPr>
      <t>povč</t>
    </r>
  </si>
  <si>
    <t>Střední oteplení stat. vinutí</t>
  </si>
  <si>
    <r>
      <t>∆T</t>
    </r>
    <r>
      <rPr>
        <i/>
        <vertAlign val="subscript"/>
        <sz val="11"/>
        <color theme="1"/>
        <rFont val="Calibri"/>
        <family val="2"/>
        <charset val="238"/>
        <scheme val="minor"/>
      </rPr>
      <t>vinutí</t>
    </r>
  </si>
  <si>
    <t>Suma ztrát</t>
  </si>
  <si>
    <r>
      <t>P</t>
    </r>
    <r>
      <rPr>
        <i/>
        <vertAlign val="subscript"/>
        <sz val="11"/>
        <color theme="1"/>
        <rFont val="Calibri"/>
        <family val="2"/>
        <charset val="238"/>
        <scheme val="minor"/>
      </rPr>
      <t>out</t>
    </r>
  </si>
  <si>
    <r>
      <t>S</t>
    </r>
    <r>
      <rPr>
        <i/>
        <vertAlign val="subscript"/>
        <sz val="11"/>
        <color theme="1"/>
        <rFont val="Calibri"/>
        <family val="2"/>
        <charset val="238"/>
        <scheme val="minor"/>
      </rPr>
      <t>out</t>
    </r>
  </si>
  <si>
    <t>Plocha</t>
  </si>
  <si>
    <t>Obvod příčného řezu</t>
  </si>
  <si>
    <r>
      <t>O</t>
    </r>
    <r>
      <rPr>
        <i/>
        <vertAlign val="subscript"/>
        <sz val="11"/>
        <color theme="1"/>
        <rFont val="Calibri"/>
        <family val="2"/>
        <charset val="238"/>
        <scheme val="minor"/>
      </rPr>
      <t>ž</t>
    </r>
  </si>
  <si>
    <t>Délka</t>
  </si>
  <si>
    <r>
      <t>l</t>
    </r>
    <r>
      <rPr>
        <i/>
        <vertAlign val="subscript"/>
        <sz val="11"/>
        <color theme="1"/>
        <rFont val="Calibri"/>
        <family val="2"/>
        <charset val="238"/>
        <scheme val="minor"/>
      </rPr>
      <t>v1</t>
    </r>
  </si>
  <si>
    <r>
      <t>K</t>
    </r>
    <r>
      <rPr>
        <i/>
        <vertAlign val="subscript"/>
        <sz val="11"/>
        <color theme="1"/>
        <rFont val="Calibri"/>
        <family val="2"/>
        <charset val="238"/>
        <scheme val="minor"/>
      </rPr>
      <t>v</t>
    </r>
  </si>
  <si>
    <t>Činitel čel</t>
  </si>
  <si>
    <t>Délka přímé části cívky</t>
  </si>
  <si>
    <t>B</t>
  </si>
  <si>
    <r>
      <rPr>
        <sz val="11"/>
        <color theme="1"/>
        <rFont val="Calibri"/>
        <family val="2"/>
        <charset val="238"/>
      </rPr>
      <t>α</t>
    </r>
    <r>
      <rPr>
        <i/>
        <vertAlign val="subscript"/>
        <sz val="11"/>
        <color theme="1"/>
        <rFont val="Calibri"/>
        <family val="2"/>
        <charset val="238"/>
      </rPr>
      <t>v</t>
    </r>
  </si>
  <si>
    <t>Oteplení vzduchu ve stroji</t>
  </si>
  <si>
    <r>
      <t>∆T</t>
    </r>
    <r>
      <rPr>
        <i/>
        <vertAlign val="subscript"/>
        <sz val="11"/>
        <color theme="1"/>
        <rFont val="Calibri"/>
        <family val="2"/>
        <charset val="238"/>
        <scheme val="minor"/>
      </rPr>
      <t>vz</t>
    </r>
  </si>
  <si>
    <t>Střední oteplení vinutí</t>
  </si>
  <si>
    <r>
      <t>∆T</t>
    </r>
    <r>
      <rPr>
        <i/>
        <vertAlign val="subscript"/>
        <sz val="11"/>
        <color theme="1"/>
        <rFont val="Calibri"/>
        <family val="2"/>
        <charset val="238"/>
        <scheme val="minor"/>
      </rPr>
      <t>vin</t>
    </r>
  </si>
  <si>
    <t>Potřebný průtok vzduchu</t>
  </si>
  <si>
    <t>Q</t>
  </si>
  <si>
    <r>
      <t>[m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>/s]</t>
    </r>
  </si>
  <si>
    <t>Průtok dodávaný venilátorem</t>
  </si>
  <si>
    <r>
      <t>k</t>
    </r>
    <r>
      <rPr>
        <i/>
        <vertAlign val="subscript"/>
        <sz val="11"/>
        <color theme="1"/>
        <rFont val="Calibri"/>
        <family val="2"/>
        <charset val="238"/>
        <scheme val="minor"/>
      </rPr>
      <t>d</t>
    </r>
  </si>
  <si>
    <r>
      <t>b</t>
    </r>
    <r>
      <rPr>
        <i/>
        <vertAlign val="subscript"/>
        <sz val="11"/>
        <color theme="1"/>
        <rFont val="Calibri"/>
        <family val="2"/>
        <charset val="238"/>
        <scheme val="minor"/>
      </rPr>
      <t>vi</t>
    </r>
  </si>
  <si>
    <t>Skutečný činitel vinutí</t>
  </si>
  <si>
    <r>
      <t>k</t>
    </r>
    <r>
      <rPr>
        <i/>
        <vertAlign val="subscript"/>
        <sz val="11"/>
        <color theme="1"/>
        <rFont val="Calibri"/>
        <family val="2"/>
        <charset val="238"/>
        <scheme val="minor"/>
      </rPr>
      <t>y</t>
    </r>
  </si>
  <si>
    <r>
      <t>k</t>
    </r>
    <r>
      <rPr>
        <i/>
        <vertAlign val="subscript"/>
        <sz val="11"/>
        <color theme="1"/>
        <rFont val="Calibri"/>
        <family val="2"/>
        <charset val="238"/>
        <scheme val="minor"/>
      </rPr>
      <t>r</t>
    </r>
  </si>
  <si>
    <t>Činitel rozlohy</t>
  </si>
  <si>
    <t>Činitel vinutí</t>
  </si>
  <si>
    <t>Rozměr drážky</t>
  </si>
  <si>
    <t>Ztráty v železe statoru</t>
  </si>
  <si>
    <t>Ztráty v železe rotoru</t>
  </si>
  <si>
    <t>Přídavné ztráty</t>
  </si>
  <si>
    <r>
      <t>∆P</t>
    </r>
    <r>
      <rPr>
        <i/>
        <vertAlign val="subscript"/>
        <sz val="11"/>
        <color theme="1"/>
        <rFont val="Calibri"/>
        <family val="2"/>
        <charset val="238"/>
        <scheme val="minor"/>
      </rPr>
      <t>Fe1</t>
    </r>
  </si>
  <si>
    <r>
      <t>∆P</t>
    </r>
    <r>
      <rPr>
        <i/>
        <vertAlign val="subscript"/>
        <sz val="11"/>
        <color theme="1"/>
        <rFont val="Calibri"/>
        <family val="2"/>
        <charset val="238"/>
        <scheme val="minor"/>
      </rPr>
      <t>Fe2</t>
    </r>
  </si>
  <si>
    <r>
      <t>∆P</t>
    </r>
    <r>
      <rPr>
        <i/>
        <vertAlign val="subscript"/>
        <sz val="11"/>
        <color theme="1"/>
        <rFont val="Calibri"/>
        <family val="2"/>
        <charset val="238"/>
        <scheme val="minor"/>
      </rPr>
      <t>p</t>
    </r>
  </si>
  <si>
    <t>Jmenovitá účinnost</t>
  </si>
  <si>
    <t>[K]</t>
  </si>
  <si>
    <t>Příkon</t>
  </si>
  <si>
    <r>
      <t>P</t>
    </r>
    <r>
      <rPr>
        <i/>
        <vertAlign val="subscript"/>
        <sz val="11"/>
        <color theme="1"/>
        <rFont val="Calibri"/>
        <family val="2"/>
        <charset val="238"/>
        <scheme val="minor"/>
      </rPr>
      <t>1</t>
    </r>
  </si>
  <si>
    <t>Jmenovitý příkon</t>
  </si>
  <si>
    <t>Počet cívek</t>
  </si>
  <si>
    <t>Přední cívkový krok</t>
  </si>
  <si>
    <r>
      <t>y</t>
    </r>
    <r>
      <rPr>
        <i/>
        <vertAlign val="subscript"/>
        <sz val="11"/>
        <color theme="1"/>
        <rFont val="Calibri"/>
        <family val="2"/>
        <charset val="238"/>
        <scheme val="minor"/>
      </rPr>
      <t>1</t>
    </r>
  </si>
  <si>
    <r>
      <t>y</t>
    </r>
    <r>
      <rPr>
        <i/>
        <vertAlign val="subscript"/>
        <sz val="11"/>
        <color theme="1"/>
        <rFont val="Calibri"/>
        <family val="2"/>
        <charset val="238"/>
        <scheme val="minor"/>
      </rPr>
      <t>2</t>
    </r>
  </si>
  <si>
    <r>
      <t>y</t>
    </r>
    <r>
      <rPr>
        <i/>
        <vertAlign val="subscript"/>
        <sz val="11"/>
        <color theme="1"/>
        <rFont val="Calibri"/>
        <family val="2"/>
        <charset val="238"/>
        <scheme val="minor"/>
      </rPr>
      <t>1d</t>
    </r>
  </si>
  <si>
    <t>Krok na komutátoru</t>
  </si>
  <si>
    <r>
      <t>y</t>
    </r>
    <r>
      <rPr>
        <i/>
        <vertAlign val="subscript"/>
        <sz val="11"/>
        <color theme="1"/>
        <rFont val="Calibri"/>
        <family val="2"/>
        <charset val="238"/>
        <scheme val="minor"/>
      </rPr>
      <t>k</t>
    </r>
  </si>
  <si>
    <t>Spojkový krok</t>
  </si>
  <si>
    <t>Počet fázových svazků</t>
  </si>
  <si>
    <r>
      <t>S</t>
    </r>
    <r>
      <rPr>
        <i/>
        <vertAlign val="subscript"/>
        <sz val="11"/>
        <color theme="1"/>
        <rFont val="Calibri"/>
        <family val="2"/>
        <charset val="238"/>
        <scheme val="minor"/>
      </rPr>
      <t>c</t>
    </r>
  </si>
  <si>
    <t>Matematický počet fází</t>
  </si>
  <si>
    <t>m'</t>
  </si>
  <si>
    <t>Počet fázových svazků na fázi</t>
  </si>
  <si>
    <r>
      <t>f</t>
    </r>
    <r>
      <rPr>
        <i/>
        <vertAlign val="subscript"/>
        <sz val="11"/>
        <color theme="1"/>
        <rFont val="Calibri"/>
        <family val="2"/>
        <charset val="238"/>
        <scheme val="minor"/>
      </rPr>
      <t>f</t>
    </r>
  </si>
  <si>
    <t>Počet cívek ve svazku</t>
  </si>
  <si>
    <r>
      <t>K</t>
    </r>
    <r>
      <rPr>
        <i/>
        <vertAlign val="subscript"/>
        <sz val="11"/>
        <color theme="1"/>
        <rFont val="Calibri"/>
        <family val="2"/>
        <charset val="238"/>
        <scheme val="minor"/>
      </rPr>
      <t>1</t>
    </r>
  </si>
  <si>
    <t>2a</t>
  </si>
</sst>
</file>

<file path=xl/styles.xml><?xml version="1.0" encoding="utf-8"?>
<styleSheet xmlns="http://schemas.openxmlformats.org/spreadsheetml/2006/main">
  <numFmts count="1">
    <numFmt numFmtId="164" formatCode="0.0"/>
  </numFmts>
  <fonts count="15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i/>
      <vertAlign val="subscript"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i/>
      <sz val="11"/>
      <color theme="1"/>
      <name val="Calibri"/>
      <family val="2"/>
      <charset val="238"/>
    </font>
    <font>
      <vertAlign val="superscript"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</font>
    <font>
      <sz val="11"/>
      <color theme="1"/>
      <name val="Times"/>
      <family val="1"/>
    </font>
    <font>
      <vertAlign val="subscript"/>
      <sz val="11"/>
      <color theme="1"/>
      <name val="Times"/>
      <family val="1"/>
    </font>
    <font>
      <vertAlign val="subscript"/>
      <sz val="15.95"/>
      <color theme="1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i/>
      <vertAlign val="subscript"/>
      <sz val="11"/>
      <color rgb="FF000000"/>
      <name val="Calibri"/>
      <family val="2"/>
      <charset val="238"/>
      <scheme val="minor"/>
    </font>
    <font>
      <i/>
      <vertAlign val="subscript"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right"/>
    </xf>
    <xf numFmtId="0" fontId="7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  <xf numFmtId="0" fontId="1" fillId="0" borderId="0" xfId="0" applyFont="1" applyFill="1"/>
    <xf numFmtId="0" fontId="9" fillId="0" borderId="0" xfId="0" applyFont="1" applyAlignment="1">
      <alignment wrapText="1"/>
    </xf>
    <xf numFmtId="0" fontId="12" fillId="0" borderId="0" xfId="0" applyFont="1"/>
    <xf numFmtId="0" fontId="0" fillId="0" borderId="0" xfId="0" applyAlignment="1">
      <alignment vertical="center"/>
    </xf>
    <xf numFmtId="164" fontId="0" fillId="0" borderId="0" xfId="0" applyNumberFormat="1"/>
    <xf numFmtId="0" fontId="5" fillId="0" borderId="0" xfId="0" applyFont="1"/>
    <xf numFmtId="0" fontId="0" fillId="0" borderId="0" xfId="0" applyFill="1" applyBorder="1"/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title>
      <c:tx>
        <c:rich>
          <a:bodyPr/>
          <a:lstStyle/>
          <a:p>
            <a:pPr>
              <a:defRPr/>
            </a:pPr>
            <a:r>
              <a:rPr lang="cs-CZ"/>
              <a:t>M=f(s)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List1!$AN$2:$BG$2</c:f>
              <c:numCache>
                <c:formatCode>General</c:formatCode>
                <c:ptCount val="20"/>
                <c:pt idx="0">
                  <c:v>1.0000000000000001E-9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3.9420429013133328E-2</c:v>
                </c:pt>
                <c:pt idx="9">
                  <c:v>0.04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  <c:pt idx="19">
                  <c:v>1</c:v>
                </c:pt>
              </c:numCache>
            </c:numRef>
          </c:xVal>
          <c:yVal>
            <c:numRef>
              <c:f>List1!$AN$4:$BG$4</c:f>
              <c:numCache>
                <c:formatCode>General</c:formatCode>
                <c:ptCount val="20"/>
                <c:pt idx="0">
                  <c:v>0</c:v>
                </c:pt>
                <c:pt idx="1">
                  <c:v>16.928187798435218</c:v>
                </c:pt>
                <c:pt idx="2">
                  <c:v>33.826604614317446</c:v>
                </c:pt>
                <c:pt idx="3">
                  <c:v>50.665653733475224</c:v>
                </c:pt>
                <c:pt idx="4">
                  <c:v>67.416084840663771</c:v>
                </c:pt>
                <c:pt idx="5">
                  <c:v>84.049161919278163</c:v>
                </c:pt>
                <c:pt idx="6">
                  <c:v>100.53682491548831</c:v>
                </c:pt>
                <c:pt idx="7">
                  <c:v>116.85184329090714</c:v>
                </c:pt>
                <c:pt idx="8">
                  <c:v>131.11088453347503</c:v>
                </c:pt>
                <c:pt idx="9">
                  <c:v>132.96795975332714</c:v>
                </c:pt>
                <c:pt idx="10">
                  <c:v>303.08628257328803</c:v>
                </c:pt>
                <c:pt idx="11">
                  <c:v>460.91432572665559</c:v>
                </c:pt>
                <c:pt idx="12">
                  <c:v>494.05332157136013</c:v>
                </c:pt>
                <c:pt idx="13">
                  <c:v>470.67439254057319</c:v>
                </c:pt>
                <c:pt idx="14">
                  <c:v>430.37125786505982</c:v>
                </c:pt>
                <c:pt idx="15">
                  <c:v>388.83989321405744</c:v>
                </c:pt>
                <c:pt idx="16">
                  <c:v>351.11722106356285</c:v>
                </c:pt>
                <c:pt idx="17">
                  <c:v>318.27601965554271</c:v>
                </c:pt>
                <c:pt idx="18">
                  <c:v>290.06361723166805</c:v>
                </c:pt>
                <c:pt idx="19">
                  <c:v>265.86450676190645</c:v>
                </c:pt>
              </c:numCache>
            </c:numRef>
          </c:yVal>
          <c:smooth val="1"/>
        </c:ser>
        <c:ser>
          <c:idx val="1"/>
          <c:order val="1"/>
          <c:spPr>
            <a:ln w="19050"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List1!$BE$35:$BF$35</c:f>
              <c:numCache>
                <c:formatCode>General</c:formatCode>
                <c:ptCount val="2"/>
                <c:pt idx="0">
                  <c:v>0.03</c:v>
                </c:pt>
                <c:pt idx="1">
                  <c:v>0.03</c:v>
                </c:pt>
              </c:numCache>
            </c:numRef>
          </c:xVal>
          <c:yVal>
            <c:numRef>
              <c:f>List1!$BE$34:$BF$34</c:f>
              <c:numCache>
                <c:formatCode>General</c:formatCode>
                <c:ptCount val="2"/>
                <c:pt idx="0">
                  <c:v>0</c:v>
                </c:pt>
                <c:pt idx="1">
                  <c:v>600</c:v>
                </c:pt>
              </c:numCache>
            </c:numRef>
          </c:yVal>
          <c:smooth val="1"/>
        </c:ser>
        <c:axId val="60983168"/>
        <c:axId val="60998016"/>
      </c:scatterChart>
      <c:valAx>
        <c:axId val="60983168"/>
        <c:scaling>
          <c:orientation val="minMax"/>
          <c:max val="1"/>
          <c:min val="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s [-]</a:t>
                </a:r>
              </a:p>
            </c:rich>
          </c:tx>
          <c:layout/>
        </c:title>
        <c:numFmt formatCode="General" sourceLinked="1"/>
        <c:tickLblPos val="nextTo"/>
        <c:crossAx val="60998016"/>
        <c:crosses val="autoZero"/>
        <c:crossBetween val="midCat"/>
        <c:majorUnit val="0.1"/>
      </c:valAx>
      <c:valAx>
        <c:axId val="60998016"/>
        <c:scaling>
          <c:orientation val="minMax"/>
          <c:max val="5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cs-CZ"/>
                  <a:t>M [Nm]</a:t>
                </a:r>
              </a:p>
            </c:rich>
          </c:tx>
          <c:layout/>
        </c:title>
        <c:numFmt formatCode="General" sourceLinked="1"/>
        <c:tickLblPos val="nextTo"/>
        <c:crossAx val="60983168"/>
        <c:crosses val="autoZero"/>
        <c:crossBetween val="midCat"/>
        <c:majorUnit val="100"/>
      </c:valAx>
    </c:plotArea>
    <c:plotVisOnly val="1"/>
  </c:chart>
  <c:printSettings>
    <c:headerFooter/>
    <c:pageMargins b="0.78740157499999996" l="0.70000000000000029" r="0.70000000000000029" t="0.78740157499999996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title>
      <c:tx>
        <c:rich>
          <a:bodyPr/>
          <a:lstStyle/>
          <a:p>
            <a:pPr>
              <a:defRPr/>
            </a:pPr>
            <a:r>
              <a:rPr lang="cs-CZ"/>
              <a:t>I=f(s)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List1!$AL$16</c:f>
              <c:strCache>
                <c:ptCount val="1"/>
                <c:pt idx="0">
                  <c:v>I1</c:v>
                </c:pt>
              </c:strCache>
            </c:strRef>
          </c:tx>
          <c:marker>
            <c:symbol val="none"/>
          </c:marker>
          <c:xVal>
            <c:numRef>
              <c:f>List1!$AN$2:$BG$2</c:f>
              <c:numCache>
                <c:formatCode>General</c:formatCode>
                <c:ptCount val="20"/>
                <c:pt idx="0">
                  <c:v>1.0000000000000001E-9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3.9420429013133328E-2</c:v>
                </c:pt>
                <c:pt idx="9">
                  <c:v>0.04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  <c:pt idx="19">
                  <c:v>1</c:v>
                </c:pt>
              </c:numCache>
            </c:numRef>
          </c:xVal>
          <c:yVal>
            <c:numRef>
              <c:f>List1!$AN$16:$BG$16</c:f>
              <c:numCache>
                <c:formatCode>General</c:formatCode>
                <c:ptCount val="20"/>
                <c:pt idx="0">
                  <c:v>16.837638451874618</c:v>
                </c:pt>
                <c:pt idx="1">
                  <c:v>17.125853545607516</c:v>
                </c:pt>
                <c:pt idx="2">
                  <c:v>17.772554757247519</c:v>
                </c:pt>
                <c:pt idx="3">
                  <c:v>18.729646791789371</c:v>
                </c:pt>
                <c:pt idx="4">
                  <c:v>19.94156421177934</c:v>
                </c:pt>
                <c:pt idx="5">
                  <c:v>21.354287051202576</c:v>
                </c:pt>
                <c:pt idx="6">
                  <c:v>22.920396531706221</c:v>
                </c:pt>
                <c:pt idx="7">
                  <c:v>24.600726114560107</c:v>
                </c:pt>
                <c:pt idx="8">
                  <c:v>26.156221910085403</c:v>
                </c:pt>
                <c:pt idx="9">
                  <c:v>26.364021791422324</c:v>
                </c:pt>
                <c:pt idx="10">
                  <c:v>48.702718587698008</c:v>
                </c:pt>
                <c:pt idx="11">
                  <c:v>78.497075166431543</c:v>
                </c:pt>
                <c:pt idx="12">
                  <c:v>98.04532790515033</c:v>
                </c:pt>
                <c:pt idx="13">
                  <c:v>110.81595446980121</c:v>
                </c:pt>
                <c:pt idx="14">
                  <c:v>119.44041383330242</c:v>
                </c:pt>
                <c:pt idx="15">
                  <c:v>125.49984476691789</c:v>
                </c:pt>
                <c:pt idx="16">
                  <c:v>129.91799371646283</c:v>
                </c:pt>
                <c:pt idx="17">
                  <c:v>133.24566609632623</c:v>
                </c:pt>
                <c:pt idx="18">
                  <c:v>135.82255339760195</c:v>
                </c:pt>
                <c:pt idx="19">
                  <c:v>137.8657584830876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List1!$AL$9</c:f>
              <c:strCache>
                <c:ptCount val="1"/>
                <c:pt idx="0">
                  <c:v>I2'</c:v>
                </c:pt>
              </c:strCache>
            </c:strRef>
          </c:tx>
          <c:marker>
            <c:symbol val="none"/>
          </c:marker>
          <c:xVal>
            <c:numRef>
              <c:f>List1!$AN$2:$BG$2</c:f>
              <c:numCache>
                <c:formatCode>General</c:formatCode>
                <c:ptCount val="20"/>
                <c:pt idx="0">
                  <c:v>1.0000000000000001E-9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3.9420429013133328E-2</c:v>
                </c:pt>
                <c:pt idx="9">
                  <c:v>0.04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  <c:pt idx="19">
                  <c:v>1</c:v>
                </c:pt>
              </c:numCache>
            </c:numRef>
          </c:xVal>
          <c:yVal>
            <c:numRef>
              <c:f>List1!$AN$9:$BG$9</c:f>
              <c:numCache>
                <c:formatCode>General</c:formatCode>
                <c:ptCount val="20"/>
                <c:pt idx="0">
                  <c:v>4.6224135464899699E-7</c:v>
                </c:pt>
                <c:pt idx="1">
                  <c:v>2.3002703393632724</c:v>
                </c:pt>
                <c:pt idx="2">
                  <c:v>4.577704802334436</c:v>
                </c:pt>
                <c:pt idx="3">
                  <c:v>6.8309320823189736</c:v>
                </c:pt>
                <c:pt idx="4">
                  <c:v>9.0586795407866312</c:v>
                </c:pt>
                <c:pt idx="5">
                  <c:v>11.25977395001234</c:v>
                </c:pt>
                <c:pt idx="6">
                  <c:v>13.433141559223715</c:v>
                </c:pt>
                <c:pt idx="7">
                  <c:v>15.577807528976846</c:v>
                </c:pt>
                <c:pt idx="8">
                  <c:v>17.449267710998942</c:v>
                </c:pt>
                <c:pt idx="9">
                  <c:v>17.692894782934403</c:v>
                </c:pt>
                <c:pt idx="10">
                  <c:v>40.570475089838048</c:v>
                </c:pt>
                <c:pt idx="11">
                  <c:v>68.478901843156663</c:v>
                </c:pt>
                <c:pt idx="12">
                  <c:v>86.445578260741755</c:v>
                </c:pt>
                <c:pt idx="13">
                  <c:v>98.127457776388098</c:v>
                </c:pt>
                <c:pt idx="14">
                  <c:v>106.0033113990809</c:v>
                </c:pt>
                <c:pt idx="15">
                  <c:v>111.5331111430518</c:v>
                </c:pt>
                <c:pt idx="16">
                  <c:v>115.56414674920588</c:v>
                </c:pt>
                <c:pt idx="17">
                  <c:v>118.60015999538354</c:v>
                </c:pt>
                <c:pt idx="18">
                  <c:v>120.95136015770628</c:v>
                </c:pt>
                <c:pt idx="19">
                  <c:v>122.8158496546435</c:v>
                </c:pt>
              </c:numCache>
            </c:numRef>
          </c:yVal>
          <c:smooth val="1"/>
        </c:ser>
        <c:ser>
          <c:idx val="2"/>
          <c:order val="2"/>
          <c:spPr>
            <a:ln w="19050">
              <a:solidFill>
                <a:sysClr val="windowText" lastClr="000000">
                  <a:lumMod val="75000"/>
                  <a:lumOff val="25000"/>
                </a:sysClr>
              </a:solidFill>
              <a:prstDash val="sysDash"/>
            </a:ln>
          </c:spPr>
          <c:marker>
            <c:symbol val="none"/>
          </c:marker>
          <c:xVal>
            <c:numRef>
              <c:f>List1!$BE$32:$BF$32</c:f>
              <c:numCache>
                <c:formatCode>General</c:formatCode>
                <c:ptCount val="2"/>
                <c:pt idx="0">
                  <c:v>0.03</c:v>
                </c:pt>
                <c:pt idx="1">
                  <c:v>0.03</c:v>
                </c:pt>
              </c:numCache>
            </c:numRef>
          </c:xVal>
          <c:yVal>
            <c:numRef>
              <c:f>List1!$BE$31:$BF$31</c:f>
              <c:numCache>
                <c:formatCode>General</c:formatCode>
                <c:ptCount val="2"/>
                <c:pt idx="0">
                  <c:v>0</c:v>
                </c:pt>
                <c:pt idx="1">
                  <c:v>140</c:v>
                </c:pt>
              </c:numCache>
            </c:numRef>
          </c:yVal>
          <c:smooth val="1"/>
        </c:ser>
        <c:axId val="62227968"/>
        <c:axId val="62229888"/>
      </c:scatterChart>
      <c:valAx>
        <c:axId val="62227968"/>
        <c:scaling>
          <c:orientation val="minMax"/>
          <c:max val="1"/>
          <c:min val="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s [-]</a:t>
                </a:r>
              </a:p>
            </c:rich>
          </c:tx>
          <c:layout/>
        </c:title>
        <c:numFmt formatCode="General" sourceLinked="1"/>
        <c:tickLblPos val="nextTo"/>
        <c:crossAx val="62229888"/>
        <c:crosses val="autoZero"/>
        <c:crossBetween val="midCat"/>
        <c:majorUnit val="0.1"/>
      </c:valAx>
      <c:valAx>
        <c:axId val="62229888"/>
        <c:scaling>
          <c:orientation val="minMax"/>
          <c:max val="14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cs-CZ"/>
                  <a:t>I [A]</a:t>
                </a:r>
              </a:p>
            </c:rich>
          </c:tx>
          <c:layout/>
        </c:title>
        <c:numFmt formatCode="General" sourceLinked="1"/>
        <c:tickLblPos val="nextTo"/>
        <c:crossAx val="62227968"/>
        <c:crosses val="autoZero"/>
        <c:crossBetween val="midCat"/>
      </c:valAx>
    </c:plotArea>
    <c:legend>
      <c:legendPos val="r"/>
      <c:legendEntry>
        <c:idx val="2"/>
        <c:delete val="1"/>
      </c:legendEntry>
      <c:layout/>
    </c:legend>
    <c:plotVisOnly val="1"/>
  </c:chart>
  <c:printSettings>
    <c:headerFooter/>
    <c:pageMargins b="0.78740157499999996" l="0.70000000000000029" r="0.70000000000000029" t="0.78740157499999996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472109</xdr:colOff>
      <xdr:row>28</xdr:row>
      <xdr:rowOff>57980</xdr:rowOff>
    </xdr:from>
    <xdr:to>
      <xdr:col>44</xdr:col>
      <xdr:colOff>115955</xdr:colOff>
      <xdr:row>42</xdr:row>
      <xdr:rowOff>16567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44</xdr:col>
      <xdr:colOff>301486</xdr:colOff>
      <xdr:row>27</xdr:row>
      <xdr:rowOff>127138</xdr:rowOff>
    </xdr:from>
    <xdr:to>
      <xdr:col>55</xdr:col>
      <xdr:colOff>285750</xdr:colOff>
      <xdr:row>45</xdr:row>
      <xdr:rowOff>66675</xdr:rowOff>
    </xdr:to>
    <xdr:graphicFrame macro="">
      <xdr:nvGraphicFramePr>
        <xdr:cNvPr id="6" name="Graf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45"/>
  <sheetViews>
    <sheetView tabSelected="1" topLeftCell="AI13" zoomScale="115" zoomScaleNormal="115" workbookViewId="0">
      <selection activeCell="AX26" sqref="AX26"/>
    </sheetView>
  </sheetViews>
  <sheetFormatPr defaultRowHeight="15"/>
  <cols>
    <col min="4" max="4" width="28.5703125" bestFit="1" customWidth="1"/>
    <col min="7" max="7" width="12.7109375" bestFit="1" customWidth="1"/>
    <col min="8" max="8" width="37.28515625" bestFit="1" customWidth="1"/>
    <col min="11" max="11" width="12.28515625" customWidth="1"/>
    <col min="12" max="12" width="27.5703125" bestFit="1" customWidth="1"/>
    <col min="15" max="15" width="13.140625" bestFit="1" customWidth="1"/>
    <col min="16" max="16" width="26.140625" bestFit="1" customWidth="1"/>
    <col min="19" max="19" width="13.140625" bestFit="1" customWidth="1"/>
    <col min="20" max="20" width="32" bestFit="1" customWidth="1"/>
    <col min="24" max="24" width="29.85546875" bestFit="1" customWidth="1"/>
    <col min="27" max="27" width="10.5703125" customWidth="1"/>
    <col min="28" max="28" width="26.7109375" bestFit="1" customWidth="1"/>
    <col min="31" max="31" width="11.85546875" bestFit="1" customWidth="1"/>
    <col min="32" max="32" width="29" bestFit="1" customWidth="1"/>
    <col min="34" max="34" width="10.85546875" bestFit="1" customWidth="1"/>
    <col min="37" max="37" width="17.28515625" bestFit="1" customWidth="1"/>
    <col min="40" max="40" width="13.42578125" customWidth="1"/>
    <col min="41" max="41" width="17.85546875" customWidth="1"/>
    <col min="53" max="53" width="10.5703125" customWidth="1"/>
  </cols>
  <sheetData>
    <row r="1" spans="1:59" ht="18.75">
      <c r="A1" s="1" t="s">
        <v>42</v>
      </c>
      <c r="B1" s="1">
        <v>9000</v>
      </c>
      <c r="D1" t="s">
        <v>37</v>
      </c>
      <c r="E1" s="3" t="s">
        <v>9</v>
      </c>
      <c r="F1" s="2" t="s">
        <v>1</v>
      </c>
      <c r="G1" s="4">
        <v>155</v>
      </c>
      <c r="H1" s="17" t="s">
        <v>56</v>
      </c>
      <c r="I1" s="3" t="s">
        <v>51</v>
      </c>
      <c r="J1" t="s">
        <v>2</v>
      </c>
      <c r="K1">
        <v>7.0000000000000001E-3</v>
      </c>
      <c r="L1" t="s">
        <v>188</v>
      </c>
      <c r="M1" s="3" t="s">
        <v>76</v>
      </c>
      <c r="N1" t="s">
        <v>77</v>
      </c>
      <c r="O1">
        <f>194*10^9</f>
        <v>194000000000</v>
      </c>
      <c r="P1" t="s">
        <v>109</v>
      </c>
      <c r="Q1" s="3" t="s">
        <v>121</v>
      </c>
      <c r="R1" t="s">
        <v>3</v>
      </c>
      <c r="S1">
        <v>59</v>
      </c>
      <c r="T1" t="s">
        <v>143</v>
      </c>
      <c r="U1" s="3" t="s">
        <v>92</v>
      </c>
      <c r="V1" t="s">
        <v>7</v>
      </c>
      <c r="W1">
        <f>(K18*K8*G16)/(O11*G16*O8)</f>
        <v>1.7519335289005398</v>
      </c>
      <c r="X1" t="s">
        <v>452</v>
      </c>
      <c r="Y1" s="3" t="s">
        <v>451</v>
      </c>
      <c r="Z1" t="s">
        <v>3</v>
      </c>
      <c r="AA1">
        <v>0.5</v>
      </c>
      <c r="AB1" t="s">
        <v>280</v>
      </c>
      <c r="AC1" s="3" t="s">
        <v>281</v>
      </c>
      <c r="AD1" t="s">
        <v>283</v>
      </c>
      <c r="AE1">
        <v>1.75</v>
      </c>
      <c r="AF1" t="s">
        <v>350</v>
      </c>
      <c r="AG1" s="3" t="s">
        <v>354</v>
      </c>
      <c r="AH1" t="s">
        <v>62</v>
      </c>
      <c r="AI1">
        <f>W22</f>
        <v>16.822790918871348</v>
      </c>
      <c r="AL1" s="3"/>
    </row>
    <row r="2" spans="1:59" ht="18.75">
      <c r="A2" s="1" t="s">
        <v>0</v>
      </c>
      <c r="B2" s="1">
        <v>8</v>
      </c>
      <c r="D2" t="s">
        <v>38</v>
      </c>
      <c r="E2" s="3" t="s">
        <v>10</v>
      </c>
      <c r="F2" s="2" t="s">
        <v>2</v>
      </c>
      <c r="G2" s="4">
        <v>0.26400000000000001</v>
      </c>
      <c r="H2" s="17"/>
      <c r="I2" s="3" t="s">
        <v>52</v>
      </c>
      <c r="J2" t="s">
        <v>2</v>
      </c>
      <c r="K2">
        <v>8.9999999999999993E-3</v>
      </c>
      <c r="L2" t="s">
        <v>75</v>
      </c>
      <c r="M2" s="3" t="s">
        <v>78</v>
      </c>
      <c r="N2" t="s">
        <v>79</v>
      </c>
      <c r="O2">
        <f>O1/K16</f>
        <v>6449242.9716642257</v>
      </c>
      <c r="P2" t="s">
        <v>138</v>
      </c>
      <c r="Q2" t="s">
        <v>139</v>
      </c>
      <c r="R2" t="s">
        <v>3</v>
      </c>
      <c r="S2">
        <f>S1</f>
        <v>59</v>
      </c>
      <c r="T2" t="s">
        <v>146</v>
      </c>
      <c r="U2" s="3" t="s">
        <v>148</v>
      </c>
      <c r="V2" t="s">
        <v>7</v>
      </c>
      <c r="W2">
        <f>(K18*S15*G16)/(S16*G16*O8)</f>
        <v>1.7499999999999998</v>
      </c>
      <c r="X2" t="s">
        <v>453</v>
      </c>
      <c r="Y2" s="3" t="s">
        <v>454</v>
      </c>
      <c r="Z2" t="s">
        <v>2</v>
      </c>
      <c r="AA2">
        <v>0.01</v>
      </c>
      <c r="AB2" t="s">
        <v>284</v>
      </c>
      <c r="AC2" s="3" t="s">
        <v>247</v>
      </c>
      <c r="AD2" t="s">
        <v>3</v>
      </c>
      <c r="AE2">
        <v>1.4</v>
      </c>
      <c r="AF2" t="s">
        <v>351</v>
      </c>
      <c r="AG2" s="3" t="s">
        <v>355</v>
      </c>
      <c r="AH2" t="s">
        <v>62</v>
      </c>
      <c r="AI2">
        <f>(AE9+(3*AA11*(W22^2)))/(3*K9)</f>
        <v>0.70694673238243688</v>
      </c>
      <c r="AK2" t="s">
        <v>364</v>
      </c>
      <c r="AL2" s="3" t="s">
        <v>363</v>
      </c>
      <c r="AM2" t="s">
        <v>3</v>
      </c>
      <c r="AN2">
        <v>1.0000000000000001E-9</v>
      </c>
      <c r="AO2">
        <v>5.0000000000000001E-3</v>
      </c>
      <c r="AP2">
        <v>0.01</v>
      </c>
      <c r="AQ2">
        <v>1.4999999999999999E-2</v>
      </c>
      <c r="AR2">
        <v>0.02</v>
      </c>
      <c r="AS2">
        <v>2.5000000000000001E-2</v>
      </c>
      <c r="AT2">
        <v>0.03</v>
      </c>
      <c r="AU2">
        <v>3.5000000000000003E-2</v>
      </c>
      <c r="AV2">
        <f>AA24*(K10/K9)</f>
        <v>3.9420429013133328E-2</v>
      </c>
      <c r="AW2">
        <v>0.04</v>
      </c>
      <c r="AX2">
        <v>0.1</v>
      </c>
      <c r="AY2">
        <v>0.2</v>
      </c>
      <c r="AZ2">
        <v>0.3</v>
      </c>
      <c r="BA2">
        <v>0.4</v>
      </c>
      <c r="BB2">
        <v>0.5</v>
      </c>
      <c r="BC2">
        <v>0.6</v>
      </c>
      <c r="BD2">
        <v>0.7</v>
      </c>
      <c r="BE2">
        <v>0.8</v>
      </c>
      <c r="BF2">
        <v>0.9</v>
      </c>
      <c r="BG2">
        <v>1</v>
      </c>
    </row>
    <row r="3" spans="1:59" ht="24">
      <c r="D3" t="s">
        <v>39</v>
      </c>
      <c r="E3" s="3" t="s">
        <v>11</v>
      </c>
      <c r="F3" s="2" t="s">
        <v>3</v>
      </c>
      <c r="G3" s="4">
        <v>0.745</v>
      </c>
      <c r="H3" s="17" t="s">
        <v>48</v>
      </c>
      <c r="I3" s="3" t="s">
        <v>53</v>
      </c>
      <c r="J3" s="2" t="s">
        <v>3</v>
      </c>
      <c r="K3">
        <f>(PI()*G4)/K1</f>
        <v>88.269777586862944</v>
      </c>
      <c r="L3" t="s">
        <v>81</v>
      </c>
      <c r="M3" s="3" t="s">
        <v>80</v>
      </c>
      <c r="N3" t="s">
        <v>82</v>
      </c>
      <c r="O3">
        <f>K10/(K13*O2)</f>
        <v>3.0790622939300881E-6</v>
      </c>
      <c r="P3" t="s">
        <v>110</v>
      </c>
      <c r="Q3" s="3" t="s">
        <v>111</v>
      </c>
      <c r="R3" t="s">
        <v>3</v>
      </c>
      <c r="S3">
        <f>(2*K6*K15*G12)/S1</f>
        <v>15.150508474576272</v>
      </c>
      <c r="T3" t="s">
        <v>156</v>
      </c>
      <c r="U3" s="3" t="s">
        <v>151</v>
      </c>
      <c r="V3" t="s">
        <v>8</v>
      </c>
      <c r="W3">
        <v>8454</v>
      </c>
      <c r="X3" t="s">
        <v>449</v>
      </c>
      <c r="Y3" s="3" t="s">
        <v>450</v>
      </c>
      <c r="Z3" t="s">
        <v>2</v>
      </c>
      <c r="AA3">
        <f>(AA1*AA6)+AA2</f>
        <v>5.1128984186623032E-2</v>
      </c>
      <c r="AB3" t="s">
        <v>249</v>
      </c>
      <c r="AC3" s="3" t="s">
        <v>285</v>
      </c>
      <c r="AD3" t="s">
        <v>3</v>
      </c>
      <c r="AE3">
        <v>1.6</v>
      </c>
      <c r="AF3" t="s">
        <v>352</v>
      </c>
      <c r="AG3" s="3" t="s">
        <v>356</v>
      </c>
      <c r="AH3" t="s">
        <v>62</v>
      </c>
      <c r="AI3">
        <f>SQRT((AI1^2)+(AI2^2))</f>
        <v>16.837638432466903</v>
      </c>
      <c r="AK3" t="s">
        <v>365</v>
      </c>
      <c r="AL3" s="7" t="s">
        <v>366</v>
      </c>
      <c r="AM3" s="7" t="s">
        <v>6</v>
      </c>
      <c r="AN3">
        <f>2*PI()*50*AN2</f>
        <v>3.1415926535897932E-7</v>
      </c>
      <c r="AO3">
        <f>2*PI()*50*AO2</f>
        <v>1.5707963267948966</v>
      </c>
      <c r="AP3">
        <f t="shared" ref="AP3:AV3" si="0">2*PI()*50*AP2</f>
        <v>3.1415926535897931</v>
      </c>
      <c r="AQ3">
        <f t="shared" si="0"/>
        <v>4.7123889803846897</v>
      </c>
      <c r="AR3">
        <f t="shared" si="0"/>
        <v>6.2831853071795862</v>
      </c>
      <c r="AS3">
        <f t="shared" si="0"/>
        <v>7.8539816339744837</v>
      </c>
      <c r="AT3">
        <f t="shared" si="0"/>
        <v>9.4247779607693793</v>
      </c>
      <c r="AU3">
        <f t="shared" si="0"/>
        <v>10.995574287564278</v>
      </c>
      <c r="AV3">
        <f t="shared" si="0"/>
        <v>12.38429301890176</v>
      </c>
      <c r="AW3">
        <f>2*PI()*50*AW2</f>
        <v>12.566370614359172</v>
      </c>
      <c r="AX3">
        <f t="shared" ref="AX3:BG3" si="1">2*PI()*50*AX2</f>
        <v>31.415926535897935</v>
      </c>
      <c r="AY3">
        <f t="shared" si="1"/>
        <v>62.831853071795869</v>
      </c>
      <c r="AZ3">
        <f t="shared" si="1"/>
        <v>94.247779607693801</v>
      </c>
      <c r="BA3">
        <f t="shared" si="1"/>
        <v>125.66370614359174</v>
      </c>
      <c r="BB3">
        <f t="shared" si="1"/>
        <v>157.07963267948966</v>
      </c>
      <c r="BC3">
        <f t="shared" si="1"/>
        <v>188.4955592153876</v>
      </c>
      <c r="BD3">
        <f t="shared" si="1"/>
        <v>219.91148575128551</v>
      </c>
      <c r="BE3">
        <f t="shared" si="1"/>
        <v>251.32741228718348</v>
      </c>
      <c r="BF3">
        <f t="shared" si="1"/>
        <v>282.74333882308139</v>
      </c>
      <c r="BG3">
        <f t="shared" si="1"/>
        <v>314.15926535897933</v>
      </c>
    </row>
    <row r="4" spans="1:59" ht="18">
      <c r="D4" t="s">
        <v>43</v>
      </c>
      <c r="E4" s="3" t="s">
        <v>12</v>
      </c>
      <c r="F4" s="2" t="s">
        <v>2</v>
      </c>
      <c r="G4" s="4">
        <f>G3*G2</f>
        <v>0.19668000000000002</v>
      </c>
      <c r="H4" s="17"/>
      <c r="I4" s="3" t="s">
        <v>54</v>
      </c>
      <c r="J4" s="2" t="s">
        <v>3</v>
      </c>
      <c r="K4">
        <f>(PI()*G4)/K2</f>
        <v>68.654271456448953</v>
      </c>
      <c r="L4" t="s">
        <v>180</v>
      </c>
      <c r="M4" s="3" t="s">
        <v>178</v>
      </c>
      <c r="N4" t="s">
        <v>3</v>
      </c>
      <c r="O4">
        <v>2</v>
      </c>
      <c r="P4" t="s">
        <v>124</v>
      </c>
      <c r="Q4" s="3" t="s">
        <v>126</v>
      </c>
      <c r="R4" t="s">
        <v>2</v>
      </c>
      <c r="S4">
        <f>G4-2*O20</f>
        <v>0.19568000000000002</v>
      </c>
      <c r="T4" t="s">
        <v>157</v>
      </c>
      <c r="U4" s="3" t="s">
        <v>152</v>
      </c>
      <c r="V4" t="s">
        <v>8</v>
      </c>
      <c r="W4">
        <v>8453</v>
      </c>
      <c r="X4" t="s">
        <v>213</v>
      </c>
      <c r="Y4" s="3" t="s">
        <v>215</v>
      </c>
      <c r="Z4" t="s">
        <v>203</v>
      </c>
      <c r="AA4">
        <f xml:space="preserve"> 0.028*(10^-6)</f>
        <v>2.7999999999999999E-8</v>
      </c>
      <c r="AB4" t="s">
        <v>249</v>
      </c>
      <c r="AC4" s="3" t="s">
        <v>286</v>
      </c>
      <c r="AD4" t="s">
        <v>3</v>
      </c>
      <c r="AE4">
        <v>1.8</v>
      </c>
      <c r="AF4" t="s">
        <v>345</v>
      </c>
      <c r="AG4" s="3" t="s">
        <v>357</v>
      </c>
      <c r="AH4" t="s">
        <v>3</v>
      </c>
      <c r="AI4">
        <f>1+(AA34/AA45)</f>
        <v>1.0439231658885628</v>
      </c>
      <c r="AK4" t="s">
        <v>368</v>
      </c>
      <c r="AL4" t="s">
        <v>369</v>
      </c>
      <c r="AM4" t="s">
        <v>362</v>
      </c>
      <c r="AN4">
        <v>0</v>
      </c>
      <c r="AO4">
        <f t="shared" ref="AO4:AV4" si="2">(2*$AI$16)/((AO2/$AI$15)+($AI$15/AO2))</f>
        <v>16.928187798435218</v>
      </c>
      <c r="AP4">
        <f t="shared" si="2"/>
        <v>33.826604614317446</v>
      </c>
      <c r="AQ4">
        <f t="shared" si="2"/>
        <v>50.665653733475224</v>
      </c>
      <c r="AR4">
        <f t="shared" si="2"/>
        <v>67.416084840663771</v>
      </c>
      <c r="AS4">
        <f t="shared" si="2"/>
        <v>84.049161919278163</v>
      </c>
      <c r="AT4">
        <f t="shared" si="2"/>
        <v>100.53682491548831</v>
      </c>
      <c r="AU4">
        <f t="shared" si="2"/>
        <v>116.85184329090714</v>
      </c>
      <c r="AV4">
        <f t="shared" si="2"/>
        <v>131.11088453347503</v>
      </c>
      <c r="AW4">
        <f>(2*$AI$16)/((AW2/$AI$15)+($AI$15/AW2))</f>
        <v>132.96795975332714</v>
      </c>
      <c r="AX4">
        <f t="shared" ref="AX4:BG4" si="3">(2*$AI$16)/((AX2/$AI$15)+($AI$15/AX2))</f>
        <v>303.08628257328803</v>
      </c>
      <c r="AY4">
        <f t="shared" si="3"/>
        <v>460.91432572665559</v>
      </c>
      <c r="AZ4">
        <f t="shared" si="3"/>
        <v>494.05332157136013</v>
      </c>
      <c r="BA4">
        <f t="shared" si="3"/>
        <v>470.67439254057319</v>
      </c>
      <c r="BB4">
        <f t="shared" si="3"/>
        <v>430.37125786505982</v>
      </c>
      <c r="BC4">
        <f t="shared" si="3"/>
        <v>388.83989321405744</v>
      </c>
      <c r="BD4">
        <f>(2*$AI$16)/((BD2/$AI$15)+($AI$15/BD2))</f>
        <v>351.11722106356285</v>
      </c>
      <c r="BE4">
        <f t="shared" si="3"/>
        <v>318.27601965554271</v>
      </c>
      <c r="BF4">
        <f t="shared" si="3"/>
        <v>290.06361723166805</v>
      </c>
      <c r="BG4">
        <f t="shared" si="3"/>
        <v>265.86450676190645</v>
      </c>
    </row>
    <row r="5" spans="1:59" ht="18.75">
      <c r="D5" t="s">
        <v>40</v>
      </c>
      <c r="E5" s="3" t="s">
        <v>13</v>
      </c>
      <c r="F5" s="2" t="s">
        <v>2</v>
      </c>
      <c r="G5" s="4">
        <f>(PI()*G4)/B2</f>
        <v>7.7236055388505073E-2</v>
      </c>
      <c r="H5" s="17"/>
      <c r="I5" s="3" t="s">
        <v>49</v>
      </c>
      <c r="J5" t="s">
        <v>3</v>
      </c>
      <c r="K5">
        <v>72</v>
      </c>
      <c r="L5" t="s">
        <v>177</v>
      </c>
      <c r="M5" s="3" t="s">
        <v>179</v>
      </c>
      <c r="N5" t="s">
        <v>82</v>
      </c>
      <c r="O5">
        <f>O3/O4</f>
        <v>1.5395311469650441E-6</v>
      </c>
      <c r="P5" t="s">
        <v>112</v>
      </c>
      <c r="Q5" s="3" t="s">
        <v>113</v>
      </c>
      <c r="R5" t="s">
        <v>3</v>
      </c>
      <c r="S5">
        <v>0.82</v>
      </c>
      <c r="T5" t="s">
        <v>144</v>
      </c>
      <c r="U5" s="3" t="s">
        <v>83</v>
      </c>
      <c r="V5" t="s">
        <v>7</v>
      </c>
      <c r="W5">
        <f>K17/(2*O9*G16*O8)</f>
        <v>1.1499999999999997</v>
      </c>
      <c r="X5" t="s">
        <v>202</v>
      </c>
      <c r="Y5" s="6" t="s">
        <v>214</v>
      </c>
      <c r="Z5" t="s">
        <v>203</v>
      </c>
      <c r="AA5" s="5">
        <f>0.0169*(10^-6)</f>
        <v>1.6899999999999999E-8</v>
      </c>
      <c r="AB5" t="s">
        <v>287</v>
      </c>
      <c r="AC5" s="3" t="s">
        <v>288</v>
      </c>
      <c r="AD5" t="s">
        <v>289</v>
      </c>
      <c r="AE5">
        <v>7800</v>
      </c>
      <c r="AF5" t="s">
        <v>346</v>
      </c>
      <c r="AG5" s="3" t="s">
        <v>358</v>
      </c>
      <c r="AH5" t="s">
        <v>200</v>
      </c>
      <c r="AI5">
        <f>AI4*AA11</f>
        <v>0.46018469077902258</v>
      </c>
      <c r="AK5" t="s">
        <v>370</v>
      </c>
      <c r="AL5" t="s">
        <v>371</v>
      </c>
      <c r="AM5" t="s">
        <v>362</v>
      </c>
      <c r="AN5">
        <v>0</v>
      </c>
      <c r="AO5">
        <f t="shared" ref="AO5:BF5" si="4">((($B$2/2)*$K$6)/(2*PI()*50))*((($K$9^2)*($AA$24/AO2))/(($AA$11+(($AI$4*($AA$24/AO2))^2))+(($AA$34+($AI$4*$AA$44))^2)))</f>
        <v>20.298474170784836</v>
      </c>
      <c r="AP5">
        <f t="shared" si="4"/>
        <v>40.55923782340497</v>
      </c>
      <c r="AQ5">
        <f t="shared" si="4"/>
        <v>60.744813607461403</v>
      </c>
      <c r="AR5">
        <f t="shared" si="4"/>
        <v>80.818187487056974</v>
      </c>
      <c r="AS5">
        <f t="shared" si="4"/>
        <v>100.74303291238768</v>
      </c>
      <c r="AT5">
        <f t="shared" si="4"/>
        <v>120.48392619364685</v>
      </c>
      <c r="AU5">
        <f t="shared" si="4"/>
        <v>140.00655044652319</v>
      </c>
      <c r="AV5">
        <f t="shared" ref="AV5" si="5">((($B$2/2)*$K$6)/(2*PI()*50))*((($K$9^2)*($AA$24/AV2))/(($AA$11+(($AI$4*($AA$24/AV2))^2))+(($AA$34+($AI$4*$AA$44))^2)))</f>
        <v>157.05796944977575</v>
      </c>
      <c r="AW5">
        <f>((($B$2/2)*$K$6)/(2*PI()*50))*((($K$9^2)*($AA$24/AW2))/(($AA$11+(($AI$4*($AA$24/AW2))^2))+(($AA$34+($AI$4*$AA$44))^2)))</f>
        <v>159.27788572430393</v>
      </c>
      <c r="AX5">
        <f>((($B$2/2)*$K$6)/(2*PI()*50))*((($K$9^2)*($AA$24/AX2))/(($AA$11+(($AI$4*($AA$24/AX2))^2))+(($AA$34+($AI$4*$AA$44))^2)))</f>
        <v>361.29254944657765</v>
      </c>
      <c r="AY5">
        <f>((($B$2/2)*$K$6)/(2*PI()*50))*((($K$9^2)*($AA$24/AY2))/(($AA$11+(($AI$4*($AA$24/AY2))^2))+(($AA$34+($AI$4*$AA$44))^2)))</f>
        <v>542.89810338580151</v>
      </c>
      <c r="AZ5">
        <f>((($B$2/2)*$K$6)/(2*PI()*50))*((($K$9^2)*($AA$24/AZ2))/(($AA$11+(($AI$4*($AA$24/AZ2))^2))+(($AA$34+($AI$4*$AA$44))^2)))</f>
        <v>575.73248914206761</v>
      </c>
      <c r="BA5">
        <f>((($B$2/2)*$K$6)/(2*PI()*50))*((($K$9^2)*($AA$24/BA2))/(($AA$11+(($AI$4*($AA$24/BA2))^2))+(($AA$34+($AI$4*$AA$44))^2)))</f>
        <v>544.34340669241897</v>
      </c>
      <c r="BB5">
        <f>((($B$2/2)*$K$6)/(2*PI()*50))*((($K$9^2)*($AA$24/BB2))/(($AA$11+(($AI$4*($AA$24/BB2))^2))+(($AA$34+($AI$4*$AA$44))^2)))</f>
        <v>495.21719713859898</v>
      </c>
      <c r="BC5">
        <f>((($B$2/2)*$K$6)/(2*PI()*50))*((($K$9^2)*($AA$24/BC2))/(($AA$11+(($AI$4*($AA$24/BC2))^2))+(($AA$34+($AI$4*$AA$44))^2)))</f>
        <v>445.91147161190418</v>
      </c>
      <c r="BD5">
        <f>((($B$2/2)*$K$6)/(2*PI()*50))*((($K$9^2)*($AA$24/BD2))/(($AA$11+(($AI$4*($AA$24/BD2))^2))+(($AA$34+($AI$4*$AA$44))^2)))</f>
        <v>401.71429343202533</v>
      </c>
      <c r="BE5">
        <f>((($B$2/2)*$K$6)/(2*PI()*50))*((($K$9^2)*($AA$24/BE2))/(($AA$11+(($AI$4*($AA$24/BE2))^2))+(($AA$34+($AI$4*$AA$44))^2)))</f>
        <v>363.54081669226747</v>
      </c>
      <c r="BF5">
        <f>((($B$2/2)*$K$6)/(2*PI()*50))*((($K$9^2)*($AA$24/BF2))/(($AA$11+(($AI$4*($AA$24/BF2))^2))+(($AA$34+($AI$4*$AA$44))^2)))</f>
        <v>330.91918211755439</v>
      </c>
      <c r="BG5">
        <f>((($B$2/2)*$K$6)/(2*PI()*50))*((($K$9^2)*($AA$24/BG2))/(($AA$11+(($AI$4*($AA$24/BG2))^2))+(($AA$34+($AI$4*$AA$44))^2)))</f>
        <v>303.04047932398532</v>
      </c>
    </row>
    <row r="6" spans="1:59" ht="18">
      <c r="D6" t="s">
        <v>41</v>
      </c>
      <c r="E6" s="3" t="s">
        <v>14</v>
      </c>
      <c r="F6" s="2" t="s">
        <v>3</v>
      </c>
      <c r="G6" s="4">
        <v>0.94</v>
      </c>
      <c r="H6" t="s">
        <v>44</v>
      </c>
      <c r="I6" s="3" t="s">
        <v>45</v>
      </c>
      <c r="J6" s="2" t="s">
        <v>3</v>
      </c>
      <c r="K6">
        <v>3</v>
      </c>
      <c r="L6" t="s">
        <v>107</v>
      </c>
      <c r="M6" s="3" t="s">
        <v>108</v>
      </c>
      <c r="N6" s="2" t="s">
        <v>2</v>
      </c>
      <c r="O6">
        <f>SQRT((4*O5)/PI())</f>
        <v>1.4000685471316666E-3</v>
      </c>
      <c r="P6" t="s">
        <v>114</v>
      </c>
      <c r="Q6" s="3" t="s">
        <v>342</v>
      </c>
      <c r="R6" t="s">
        <v>62</v>
      </c>
      <c r="S6">
        <f>S5*K10*S3</f>
        <v>246.69950354265006</v>
      </c>
      <c r="T6" t="s">
        <v>147</v>
      </c>
      <c r="U6" s="3" t="s">
        <v>129</v>
      </c>
      <c r="V6" t="s">
        <v>7</v>
      </c>
      <c r="W6">
        <f>K17/(2*S21*G16*O8)</f>
        <v>0.75</v>
      </c>
      <c r="X6" t="s">
        <v>208</v>
      </c>
      <c r="Y6" s="3" t="s">
        <v>209</v>
      </c>
      <c r="Z6" t="s">
        <v>2</v>
      </c>
      <c r="AA6">
        <f>(PI()*(G4+O12))/B2</f>
        <v>8.225796837324606E-2</v>
      </c>
      <c r="AB6" t="s">
        <v>290</v>
      </c>
      <c r="AC6" s="3" t="s">
        <v>292</v>
      </c>
      <c r="AD6" t="s">
        <v>291</v>
      </c>
      <c r="AE6">
        <f>(PI()/4)*((G2^2)-((G2-2*O9)^2))*G16*AE5</f>
        <v>17.812349472906917</v>
      </c>
      <c r="AF6" t="s">
        <v>346</v>
      </c>
      <c r="AG6" s="3" t="s">
        <v>347</v>
      </c>
      <c r="AH6" t="s">
        <v>3</v>
      </c>
      <c r="AI6">
        <f>AI4^2</f>
        <v>1.0897755762788</v>
      </c>
      <c r="AK6" s="12" t="s">
        <v>384</v>
      </c>
      <c r="AL6" t="s">
        <v>386</v>
      </c>
      <c r="AM6" t="s">
        <v>200</v>
      </c>
      <c r="AN6" s="13">
        <f t="shared" ref="AN6:BF6" si="6">$AI$5+(($AI$6*$AA$24)/AN2)</f>
        <v>497575558.06457543</v>
      </c>
      <c r="AO6" s="13">
        <f t="shared" si="6"/>
        <v>99.975296211657167</v>
      </c>
      <c r="AP6" s="13">
        <f t="shared" si="6"/>
        <v>50.217740451218098</v>
      </c>
      <c r="AQ6" s="13">
        <f t="shared" si="6"/>
        <v>33.631888531071745</v>
      </c>
      <c r="AR6" s="13">
        <f t="shared" si="6"/>
        <v>25.338962570998561</v>
      </c>
      <c r="AS6" s="13">
        <f t="shared" si="6"/>
        <v>20.363206994954652</v>
      </c>
      <c r="AT6" s="13">
        <f t="shared" si="6"/>
        <v>17.046036610925384</v>
      </c>
      <c r="AU6" s="13">
        <f t="shared" si="6"/>
        <v>14.676629193761615</v>
      </c>
      <c r="AV6" s="13">
        <f t="shared" ref="AV6" si="7">$AI$5+(($AI$6*$AA$24)/AV2)</f>
        <v>13.082461263127291</v>
      </c>
      <c r="AW6" s="13">
        <f>$AI$5+(($AI$6*$AA$24)/AW2)</f>
        <v>12.899573630888792</v>
      </c>
      <c r="AX6" s="13">
        <f>$AI$5+(($AI$6*$AA$24)/AX2)</f>
        <v>5.4359402668229295</v>
      </c>
      <c r="AY6" s="13">
        <f>$AI$5+(($AI$6*$AA$24)/AY2)</f>
        <v>2.9480624788009759</v>
      </c>
      <c r="AZ6" s="13">
        <f>$AI$5+(($AI$6*$AA$24)/AZ2)</f>
        <v>2.1187698827936585</v>
      </c>
      <c r="BA6" s="13">
        <f>$AI$5+(($AI$6*$AA$24)/BA2)</f>
        <v>1.7041235847899994</v>
      </c>
      <c r="BB6" s="13">
        <f>$AI$5+(($AI$6*$AA$24)/BB2)</f>
        <v>1.4553358059878041</v>
      </c>
      <c r="BC6" s="13">
        <f>$AI$5+(($AI$6*$AA$24)/BC2)</f>
        <v>1.2894772867863407</v>
      </c>
      <c r="BD6" s="13">
        <f>$AI$5+(($AI$6*$AA$24)/BD2)</f>
        <v>1.1710069159281522</v>
      </c>
      <c r="BE6" s="13">
        <f>$AI$5+(($AI$6*$AA$24)/BE2)</f>
        <v>1.082154137784511</v>
      </c>
      <c r="BF6" s="13">
        <f>$AI$5+(($AI$6*$AA$24)/BF2)</f>
        <v>1.0130464214505679</v>
      </c>
      <c r="BG6" s="13">
        <f>$AI$5+(($AI$6*$AA$24)/BG2)</f>
        <v>0.95776024838341334</v>
      </c>
    </row>
    <row r="7" spans="1:59" ht="18.75">
      <c r="D7" t="s">
        <v>26</v>
      </c>
      <c r="E7" s="3" t="s">
        <v>15</v>
      </c>
      <c r="F7" s="2" t="s">
        <v>4</v>
      </c>
      <c r="G7" s="4">
        <v>87</v>
      </c>
      <c r="H7" t="s">
        <v>46</v>
      </c>
      <c r="I7" s="3" t="s">
        <v>47</v>
      </c>
      <c r="J7" s="2" t="s">
        <v>3</v>
      </c>
      <c r="K7">
        <f>K5/(B2*K6)</f>
        <v>3</v>
      </c>
      <c r="L7" t="s">
        <v>88</v>
      </c>
      <c r="M7" s="3" t="s">
        <v>83</v>
      </c>
      <c r="N7" t="s">
        <v>7</v>
      </c>
      <c r="O7">
        <v>1.1499999999999999</v>
      </c>
      <c r="P7" t="s">
        <v>115</v>
      </c>
      <c r="Q7" s="3" t="s">
        <v>116</v>
      </c>
      <c r="R7" t="s">
        <v>79</v>
      </c>
      <c r="S7">
        <f>5*10^6</f>
        <v>5000000</v>
      </c>
      <c r="T7" t="s">
        <v>161</v>
      </c>
      <c r="U7" s="3" t="s">
        <v>163</v>
      </c>
      <c r="V7" t="s">
        <v>8</v>
      </c>
      <c r="W7">
        <v>165.5</v>
      </c>
      <c r="X7" t="s">
        <v>210</v>
      </c>
      <c r="Y7" s="3" t="s">
        <v>211</v>
      </c>
      <c r="Z7" t="s">
        <v>3</v>
      </c>
      <c r="AA7">
        <v>1.9</v>
      </c>
      <c r="AB7" t="s">
        <v>293</v>
      </c>
      <c r="AC7" s="3" t="s">
        <v>294</v>
      </c>
      <c r="AD7" t="s">
        <v>291</v>
      </c>
      <c r="AE7">
        <f>O12*O11*K5*G16*AE5</f>
        <v>4.9200031359122418</v>
      </c>
      <c r="AF7" t="s">
        <v>346</v>
      </c>
      <c r="AG7" s="3" t="s">
        <v>348</v>
      </c>
      <c r="AH7" t="s">
        <v>200</v>
      </c>
      <c r="AI7">
        <f>AI4*(AA34+AI4*AA44)</f>
        <v>1.6092808070663684</v>
      </c>
      <c r="AK7" t="s">
        <v>385</v>
      </c>
      <c r="AL7" t="s">
        <v>387</v>
      </c>
      <c r="AM7" t="s">
        <v>200</v>
      </c>
      <c r="AN7">
        <f t="shared" ref="AN7:BF7" si="8">$AI$7+(($AI$8*$AA$24)/AN2)</f>
        <v>1.6092808070663684</v>
      </c>
      <c r="AO7">
        <f t="shared" si="8"/>
        <v>1.6092808070663684</v>
      </c>
      <c r="AP7">
        <f t="shared" si="8"/>
        <v>1.6092808070663684</v>
      </c>
      <c r="AQ7">
        <f t="shared" si="8"/>
        <v>1.6092808070663684</v>
      </c>
      <c r="AR7">
        <f t="shared" si="8"/>
        <v>1.6092808070663684</v>
      </c>
      <c r="AS7">
        <f t="shared" si="8"/>
        <v>1.6092808070663684</v>
      </c>
      <c r="AT7">
        <f t="shared" si="8"/>
        <v>1.6092808070663684</v>
      </c>
      <c r="AU7">
        <f t="shared" si="8"/>
        <v>1.6092808070663684</v>
      </c>
      <c r="AV7">
        <f t="shared" ref="AV7" si="9">$AI$7+(($AI$8*$AA$24)/AV2)</f>
        <v>1.6092808070663684</v>
      </c>
      <c r="AW7">
        <f>$AI$7+(($AI$8*$AA$24)/AW2)</f>
        <v>1.6092808070663684</v>
      </c>
      <c r="AX7">
        <f>$AI$7+(($AI$8*$AA$24)/AX2)</f>
        <v>1.6092808070663684</v>
      </c>
      <c r="AY7">
        <f>$AI$7+(($AI$8*$AA$24)/AY2)</f>
        <v>1.6092808070663684</v>
      </c>
      <c r="AZ7">
        <f>$AI$7+(($AI$8*$AA$24)/AZ2)</f>
        <v>1.6092808070663684</v>
      </c>
      <c r="BA7">
        <f>$AI$7+(($AI$8*$AA$24)/BA2)</f>
        <v>1.6092808070663684</v>
      </c>
      <c r="BB7">
        <f>$AI$7+(($AI$8*$AA$24)/BB2)</f>
        <v>1.6092808070663684</v>
      </c>
      <c r="BC7">
        <f>$AI$7+(($AI$8*$AA$24)/BC2)</f>
        <v>1.6092808070663684</v>
      </c>
      <c r="BD7">
        <f>$AI$7+(($AI$8*$AA$24)/BD2)</f>
        <v>1.6092808070663684</v>
      </c>
      <c r="BE7">
        <f>$AI$7+(($AI$8*$AA$24)/BE2)</f>
        <v>1.6092808070663684</v>
      </c>
      <c r="BF7">
        <f>$AI$7+(($AI$8*$AA$24)/BF2)</f>
        <v>1.6092808070663684</v>
      </c>
      <c r="BG7">
        <f>$AI$7+(($AI$8*$AA$24)/BG2)</f>
        <v>1.6092808070663684</v>
      </c>
    </row>
    <row r="8" spans="1:59" ht="18.75">
      <c r="D8" t="s">
        <v>27</v>
      </c>
      <c r="E8" s="3" t="s">
        <v>16</v>
      </c>
      <c r="F8" s="2" t="s">
        <v>3</v>
      </c>
      <c r="G8" s="4">
        <v>0.755</v>
      </c>
      <c r="H8" t="s">
        <v>50</v>
      </c>
      <c r="I8" s="3" t="s">
        <v>55</v>
      </c>
      <c r="J8" t="s">
        <v>2</v>
      </c>
      <c r="K8">
        <f>(PI()*G4)/(B2*K6*K7)</f>
        <v>8.5817839320561189E-3</v>
      </c>
      <c r="L8" t="s">
        <v>86</v>
      </c>
      <c r="M8" s="3" t="s">
        <v>87</v>
      </c>
      <c r="N8" t="s">
        <v>3</v>
      </c>
      <c r="O8">
        <v>0.95</v>
      </c>
      <c r="P8" t="s">
        <v>117</v>
      </c>
      <c r="Q8" s="3" t="s">
        <v>118</v>
      </c>
      <c r="R8" t="s">
        <v>82</v>
      </c>
      <c r="S8">
        <f>S6/S7</f>
        <v>4.9339900708530014E-5</v>
      </c>
      <c r="T8" t="s">
        <v>164</v>
      </c>
      <c r="U8" s="3" t="s">
        <v>165</v>
      </c>
      <c r="V8" t="s">
        <v>8</v>
      </c>
      <c r="W8">
        <v>90.2</v>
      </c>
      <c r="X8" t="s">
        <v>207</v>
      </c>
      <c r="Y8" s="3" t="s">
        <v>212</v>
      </c>
      <c r="Z8" t="s">
        <v>2</v>
      </c>
      <c r="AA8">
        <f>(AA7*AA6)+(2*0.025)</f>
        <v>0.2062901399091675</v>
      </c>
      <c r="AB8" t="s">
        <v>325</v>
      </c>
      <c r="AC8" s="3" t="s">
        <v>324</v>
      </c>
      <c r="AD8" t="s">
        <v>291</v>
      </c>
      <c r="AE8">
        <f>S22*S16*S1*G16*AE5</f>
        <v>5.6297517146446268</v>
      </c>
      <c r="AF8" t="s">
        <v>346</v>
      </c>
      <c r="AG8" s="3" t="s">
        <v>349</v>
      </c>
      <c r="AH8" t="s">
        <v>3</v>
      </c>
      <c r="AI8">
        <v>0</v>
      </c>
      <c r="AK8" t="s">
        <v>367</v>
      </c>
      <c r="AL8" t="s">
        <v>383</v>
      </c>
      <c r="AM8" t="s">
        <v>200</v>
      </c>
      <c r="AN8">
        <f>SQRT((AN6^2)+(AN7^2))</f>
        <v>497575558.06457543</v>
      </c>
      <c r="AO8">
        <f t="shared" ref="AO8:BF8" si="10">SQRT((AO6^2)+(AO7^2))</f>
        <v>99.988247496016172</v>
      </c>
      <c r="AP8">
        <f t="shared" si="10"/>
        <v>50.24351939048357</v>
      </c>
      <c r="AQ8">
        <f t="shared" si="10"/>
        <v>33.670368439956633</v>
      </c>
      <c r="AR8">
        <f t="shared" si="10"/>
        <v>25.390013960028817</v>
      </c>
      <c r="AS8">
        <f t="shared" si="10"/>
        <v>20.426697820141225</v>
      </c>
      <c r="AT8">
        <f t="shared" si="10"/>
        <v>17.121832520410916</v>
      </c>
      <c r="AU8">
        <f t="shared" si="10"/>
        <v>14.764593770475635</v>
      </c>
      <c r="AV8">
        <f t="shared" ref="AV8" si="11">SQRT((AV6^2)+(AV7^2))</f>
        <v>13.18106890268078</v>
      </c>
      <c r="AW8">
        <f>SQRT((AW6^2)+(AW7^2))</f>
        <v>12.999568630332071</v>
      </c>
      <c r="AX8">
        <f>SQRT((AX6^2)+(AX7^2))</f>
        <v>5.6691473168774795</v>
      </c>
      <c r="AY8">
        <f>SQRT((AY6^2)+(AY7^2))</f>
        <v>3.3586987204729062</v>
      </c>
      <c r="AZ8">
        <f>SQRT((AZ6^2)+(AZ7^2))</f>
        <v>2.6606334832565035</v>
      </c>
      <c r="BA8">
        <f>SQRT((BA6^2)+(BA7^2))</f>
        <v>2.3438903362208952</v>
      </c>
      <c r="BB8">
        <f>SQRT((BB6^2)+(BB7^2))</f>
        <v>2.1697435388041493</v>
      </c>
      <c r="BC8">
        <f>SQRT((BC6^2)+(BC7^2))</f>
        <v>2.0621678857770154</v>
      </c>
      <c r="BD8">
        <f>SQRT((BD6^2)+(BD7^2))</f>
        <v>1.9902366475230389</v>
      </c>
      <c r="BE8">
        <f>SQRT((BE6^2)+(BE7^2))</f>
        <v>1.9392891207646994</v>
      </c>
      <c r="BF8">
        <f>SQRT((BF6^2)+(BF7^2))</f>
        <v>1.9015908518937463</v>
      </c>
      <c r="BG8">
        <f>SQRT((BG6^2)+(BG7^2))</f>
        <v>1.8727224592490046</v>
      </c>
    </row>
    <row r="9" spans="1:59" ht="18">
      <c r="D9" t="s">
        <v>28</v>
      </c>
      <c r="E9" s="3" t="s">
        <v>17</v>
      </c>
      <c r="F9" s="2" t="s">
        <v>5</v>
      </c>
      <c r="G9" s="4">
        <f>B1*(G6/((G7/100)*G8))</f>
        <v>12879.652888787392</v>
      </c>
      <c r="H9" t="s">
        <v>63</v>
      </c>
      <c r="I9" s="3" t="s">
        <v>65</v>
      </c>
      <c r="J9" s="2" t="s">
        <v>64</v>
      </c>
      <c r="K9">
        <v>230</v>
      </c>
      <c r="L9" t="s">
        <v>84</v>
      </c>
      <c r="M9" s="3" t="s">
        <v>85</v>
      </c>
      <c r="N9" t="s">
        <v>2</v>
      </c>
      <c r="O9">
        <f>K17/(2*O7*G16*O8)</f>
        <v>2.0871803595217557E-2</v>
      </c>
      <c r="P9" t="s">
        <v>119</v>
      </c>
      <c r="Q9" s="3" t="s">
        <v>120</v>
      </c>
      <c r="R9" t="s">
        <v>3</v>
      </c>
      <c r="S9">
        <f>(B2*PI())/S1</f>
        <v>0.42597866489353126</v>
      </c>
      <c r="T9" t="s">
        <v>194</v>
      </c>
      <c r="U9" s="3" t="s">
        <v>196</v>
      </c>
      <c r="V9" t="s">
        <v>3</v>
      </c>
      <c r="W9">
        <f>K8/(K8-((((O15/O20)^2)/(5+(O15/O20)))*O20))</f>
        <v>1.6351080705883949</v>
      </c>
      <c r="X9" t="s">
        <v>205</v>
      </c>
      <c r="Y9" s="3" t="s">
        <v>206</v>
      </c>
      <c r="Z9" t="s">
        <v>2</v>
      </c>
      <c r="AA9">
        <f>2*(AA3+AA8)</f>
        <v>0.51483824819158108</v>
      </c>
      <c r="AB9" t="s">
        <v>279</v>
      </c>
      <c r="AC9" s="3" t="s">
        <v>282</v>
      </c>
      <c r="AD9" t="s">
        <v>5</v>
      </c>
      <c r="AE9">
        <f>AE1*((50/50)^AE2)*((AE3*(W5^2)*AE6)+(AE4*(W1^2)*AE7))</f>
        <v>113.52672376476541</v>
      </c>
      <c r="AF9" t="s">
        <v>372</v>
      </c>
      <c r="AG9" s="3" t="s">
        <v>373</v>
      </c>
      <c r="AH9" t="s">
        <v>3</v>
      </c>
      <c r="AI9">
        <f>AA24*(K10/K9)</f>
        <v>3.9420429013133328E-2</v>
      </c>
      <c r="AK9" t="s">
        <v>390</v>
      </c>
      <c r="AL9" t="s">
        <v>389</v>
      </c>
      <c r="AM9" t="s">
        <v>62</v>
      </c>
      <c r="AN9">
        <f>$K$9/AN8</f>
        <v>4.6224135464899699E-7</v>
      </c>
      <c r="AO9">
        <f t="shared" ref="AO9:BF9" si="12">$K$9/AO8</f>
        <v>2.3002703393632724</v>
      </c>
      <c r="AP9">
        <f t="shared" si="12"/>
        <v>4.577704802334436</v>
      </c>
      <c r="AQ9">
        <f t="shared" si="12"/>
        <v>6.8309320823189736</v>
      </c>
      <c r="AR9">
        <f t="shared" si="12"/>
        <v>9.0586795407866312</v>
      </c>
      <c r="AS9">
        <f t="shared" si="12"/>
        <v>11.25977395001234</v>
      </c>
      <c r="AT9">
        <f t="shared" si="12"/>
        <v>13.433141559223715</v>
      </c>
      <c r="AU9">
        <f t="shared" si="12"/>
        <v>15.577807528976846</v>
      </c>
      <c r="AV9">
        <f t="shared" ref="AV9" si="13">$K$9/AV8</f>
        <v>17.449267710998942</v>
      </c>
      <c r="AW9">
        <f>$K$9/AW8</f>
        <v>17.692894782934403</v>
      </c>
      <c r="AX9">
        <f>$K$9/AX8</f>
        <v>40.570475089838048</v>
      </c>
      <c r="AY9">
        <f>$K$9/AY8</f>
        <v>68.478901843156663</v>
      </c>
      <c r="AZ9">
        <f>$K$9/AZ8</f>
        <v>86.445578260741755</v>
      </c>
      <c r="BA9">
        <f>$K$9/BA8</f>
        <v>98.127457776388098</v>
      </c>
      <c r="BB9">
        <f>$K$9/BB8</f>
        <v>106.0033113990809</v>
      </c>
      <c r="BC9">
        <f>$K$9/BC8</f>
        <v>111.5331111430518</v>
      </c>
      <c r="BD9">
        <f>$K$9/BD8</f>
        <v>115.56414674920588</v>
      </c>
      <c r="BE9">
        <f>$K$9/BE8</f>
        <v>118.60015999538354</v>
      </c>
      <c r="BF9">
        <f>$K$9/BF8</f>
        <v>120.95136015770628</v>
      </c>
      <c r="BG9">
        <f>$K$9/BG8</f>
        <v>122.8158496546435</v>
      </c>
    </row>
    <row r="10" spans="1:59" ht="18">
      <c r="D10" t="s">
        <v>29</v>
      </c>
      <c r="E10" s="3" t="s">
        <v>18</v>
      </c>
      <c r="F10" s="2" t="s">
        <v>3</v>
      </c>
      <c r="G10" s="4">
        <f>2/PI()</f>
        <v>0.63661977236758138</v>
      </c>
      <c r="H10" t="s">
        <v>60</v>
      </c>
      <c r="I10" s="3" t="s">
        <v>61</v>
      </c>
      <c r="J10" s="2" t="s">
        <v>62</v>
      </c>
      <c r="K10">
        <f>B1/(K6*K9*(G7/100)*G8)</f>
        <v>19.85762085844495</v>
      </c>
      <c r="L10" t="s">
        <v>91</v>
      </c>
      <c r="M10" s="3" t="s">
        <v>92</v>
      </c>
      <c r="N10" t="s">
        <v>7</v>
      </c>
      <c r="O10">
        <v>1.7</v>
      </c>
      <c r="P10" t="s">
        <v>187</v>
      </c>
      <c r="Q10" s="3" t="s">
        <v>99</v>
      </c>
      <c r="R10" t="s">
        <v>2</v>
      </c>
      <c r="S10">
        <f>0.5*10^-3</f>
        <v>5.0000000000000001E-4</v>
      </c>
      <c r="T10" t="s">
        <v>195</v>
      </c>
      <c r="U10" s="3" t="s">
        <v>196</v>
      </c>
      <c r="V10" t="s">
        <v>3</v>
      </c>
      <c r="W10">
        <f>S15/(S15-((((S12/O20)^2)/(5+(S12/O20)))*O20))</f>
        <v>1.0281944021496627</v>
      </c>
      <c r="X10" t="s">
        <v>341</v>
      </c>
      <c r="Y10" s="3" t="s">
        <v>204</v>
      </c>
      <c r="Z10" t="s">
        <v>2</v>
      </c>
      <c r="AA10">
        <f>AA9*K15</f>
        <v>80.314766717886656</v>
      </c>
      <c r="AB10" t="s">
        <v>300</v>
      </c>
      <c r="AC10" s="3" t="s">
        <v>301</v>
      </c>
      <c r="AD10" t="s">
        <v>3</v>
      </c>
      <c r="AE10">
        <v>1.6</v>
      </c>
      <c r="AF10" t="s">
        <v>375</v>
      </c>
      <c r="AG10" s="3" t="s">
        <v>376</v>
      </c>
      <c r="AH10" t="s">
        <v>311</v>
      </c>
      <c r="AI10">
        <f>(60*50)/(B2/2)</f>
        <v>750</v>
      </c>
      <c r="AL10" t="s">
        <v>393</v>
      </c>
      <c r="AM10" t="s">
        <v>3</v>
      </c>
      <c r="AN10">
        <f>AN6/AN8</f>
        <v>1</v>
      </c>
      <c r="AO10">
        <f t="shared" ref="AO10:BF10" si="14">AO6/AO8</f>
        <v>0.99987047193361878</v>
      </c>
      <c r="AP10">
        <f t="shared" si="14"/>
        <v>0.999486920112719</v>
      </c>
      <c r="AQ10">
        <f t="shared" si="14"/>
        <v>0.99885715806901521</v>
      </c>
      <c r="AR10">
        <f t="shared" si="14"/>
        <v>0.99798931228983856</v>
      </c>
      <c r="AS10">
        <f t="shared" si="14"/>
        <v>0.99689177243695404</v>
      </c>
      <c r="AT10">
        <f t="shared" si="14"/>
        <v>0.99557314268813368</v>
      </c>
      <c r="AU10">
        <f t="shared" si="14"/>
        <v>0.9940421945851351</v>
      </c>
      <c r="AV10">
        <f t="shared" ref="AV10" si="15">AV6/AV8</f>
        <v>0.99251899521339781</v>
      </c>
      <c r="AW10">
        <f>AW6/AW8</f>
        <v>0.99230782172187171</v>
      </c>
      <c r="AX10">
        <f>AX6/AX8</f>
        <v>0.95886382254342284</v>
      </c>
      <c r="AY10">
        <f>AY6/AY8</f>
        <v>0.87773948310132666</v>
      </c>
      <c r="AZ10">
        <f>AZ6/AZ8</f>
        <v>0.79634038138931229</v>
      </c>
      <c r="BA10">
        <f>BA6/BA8</f>
        <v>0.72704919614012087</v>
      </c>
      <c r="BB10">
        <f>BB6/BB8</f>
        <v>0.67074093318416339</v>
      </c>
      <c r="BC10">
        <f>BC6/BC8</f>
        <v>0.62530179801557306</v>
      </c>
      <c r="BD10">
        <f>BD6/BD8</f>
        <v>0.58837571772459119</v>
      </c>
      <c r="BE10">
        <f>BE6/BE8</f>
        <v>0.55801588643873612</v>
      </c>
      <c r="BF10">
        <f>BF6/BF8</f>
        <v>0.53273627207540497</v>
      </c>
      <c r="BG10">
        <f>BG6/BG8</f>
        <v>0.51142668987239703</v>
      </c>
    </row>
    <row r="11" spans="1:59" ht="18">
      <c r="D11" t="s">
        <v>30</v>
      </c>
      <c r="E11" s="3" t="s">
        <v>19</v>
      </c>
      <c r="F11" s="2" t="s">
        <v>3</v>
      </c>
      <c r="G11" s="4">
        <f>PI()/(2*SQRT(2))</f>
        <v>1.1107207345395915</v>
      </c>
      <c r="H11" s="18" t="s">
        <v>57</v>
      </c>
      <c r="I11" s="3" t="s">
        <v>59</v>
      </c>
      <c r="J11" s="2" t="s">
        <v>3</v>
      </c>
      <c r="K11">
        <f>((PI()*G4*G15)/(K10*K5))</f>
        <v>13.397138750415891</v>
      </c>
      <c r="L11" t="s">
        <v>89</v>
      </c>
      <c r="M11" s="3" t="s">
        <v>90</v>
      </c>
      <c r="N11" t="s">
        <v>2</v>
      </c>
      <c r="O11">
        <f>(G14*K8*G16)/(O10*G16*O8)</f>
        <v>4.7824182903099125E-3</v>
      </c>
      <c r="P11" t="s">
        <v>189</v>
      </c>
      <c r="Q11" s="3" t="s">
        <v>142</v>
      </c>
      <c r="R11" t="s">
        <v>2</v>
      </c>
      <c r="S11">
        <f>0.3*10^-3</f>
        <v>2.9999999999999997E-4</v>
      </c>
      <c r="T11" t="s">
        <v>150</v>
      </c>
      <c r="U11" s="3" t="s">
        <v>149</v>
      </c>
      <c r="V11" t="s">
        <v>62</v>
      </c>
      <c r="W11">
        <f>(1.59*(10^6))*K18*W9*O20</f>
        <v>1205.6598627514654</v>
      </c>
      <c r="X11" t="s">
        <v>199</v>
      </c>
      <c r="Y11" s="3" t="s">
        <v>201</v>
      </c>
      <c r="Z11" t="s">
        <v>200</v>
      </c>
      <c r="AA11">
        <f>1*AA5*(AA10/(O3*K13))</f>
        <v>0.4408223764124673</v>
      </c>
      <c r="AB11" t="s">
        <v>249</v>
      </c>
      <c r="AC11" s="3" t="s">
        <v>304</v>
      </c>
      <c r="AD11" t="s">
        <v>3</v>
      </c>
      <c r="AE11">
        <v>1.39</v>
      </c>
      <c r="AF11" t="s">
        <v>374</v>
      </c>
      <c r="AG11" s="11" t="s">
        <v>377</v>
      </c>
      <c r="AH11" t="s">
        <v>311</v>
      </c>
      <c r="AI11">
        <f>AI10*(1-AI9)</f>
        <v>720.43467824014999</v>
      </c>
      <c r="AL11" t="s">
        <v>394</v>
      </c>
      <c r="AM11" t="s">
        <v>3</v>
      </c>
      <c r="AN11">
        <f>AN7/AN8</f>
        <v>3.2342440881260405E-9</v>
      </c>
      <c r="AO11">
        <f t="shared" ref="AO11:BF11" si="16">AO7/AO8</f>
        <v>1.6094699600875461E-2</v>
      </c>
      <c r="AP11">
        <f t="shared" si="16"/>
        <v>3.2029619473097182E-2</v>
      </c>
      <c r="AQ11">
        <f t="shared" si="16"/>
        <v>4.7795164758477504E-2</v>
      </c>
      <c r="AR11">
        <f t="shared" si="16"/>
        <v>6.3382430966750919E-2</v>
      </c>
      <c r="AS11">
        <f t="shared" si="16"/>
        <v>7.8783209172437946E-2</v>
      </c>
      <c r="AT11">
        <f t="shared" si="16"/>
        <v>9.3989986477670942E-2</v>
      </c>
      <c r="AU11">
        <f t="shared" si="16"/>
        <v>0.10899594205459309</v>
      </c>
      <c r="AV11">
        <f t="shared" ref="AV11" si="17">AV7/AV8</f>
        <v>0.12209031141162392</v>
      </c>
      <c r="AW11">
        <f>AW7/AW8</f>
        <v>0.1237949391113957</v>
      </c>
      <c r="AX11">
        <f>AX7/AX8</f>
        <v>0.28386646476365468</v>
      </c>
      <c r="AY11">
        <f>AY7/AY8</f>
        <v>0.47913818445727724</v>
      </c>
      <c r="AZ11">
        <f>AZ7/AZ8</f>
        <v>0.60484873891637125</v>
      </c>
      <c r="BA11">
        <f>BA7/BA8</f>
        <v>0.68658536715546448</v>
      </c>
      <c r="BB11">
        <f>BB7/BB8</f>
        <v>0.74169171530443689</v>
      </c>
      <c r="BC11">
        <f>BC7/BC8</f>
        <v>0.78038302223875378</v>
      </c>
      <c r="BD11">
        <f>BD7/BD8</f>
        <v>0.80858766673260118</v>
      </c>
      <c r="BE11">
        <f>BE7/BE8</f>
        <v>0.82983026606770105</v>
      </c>
      <c r="BF11">
        <f>BF7/BF8</f>
        <v>0.84628131517551541</v>
      </c>
      <c r="BG11">
        <f>BG7/BG8</f>
        <v>0.85932691153376728</v>
      </c>
    </row>
    <row r="12" spans="1:59" ht="18">
      <c r="D12" t="s">
        <v>31</v>
      </c>
      <c r="E12" s="3" t="s">
        <v>21</v>
      </c>
      <c r="F12" s="2" t="s">
        <v>3</v>
      </c>
      <c r="G12" s="4">
        <v>0.95499999999999996</v>
      </c>
      <c r="H12" s="18"/>
      <c r="I12" s="3" t="s">
        <v>59</v>
      </c>
      <c r="J12" s="2" t="s">
        <v>3</v>
      </c>
      <c r="K12">
        <v>13</v>
      </c>
      <c r="L12" t="s">
        <v>93</v>
      </c>
      <c r="M12" s="3" t="s">
        <v>94</v>
      </c>
      <c r="N12" t="s">
        <v>2</v>
      </c>
      <c r="O12">
        <f>((G2-G4)/2)-O9</f>
        <v>1.2788196404782438E-2</v>
      </c>
      <c r="P12" t="s">
        <v>186</v>
      </c>
      <c r="Q12" s="3" t="s">
        <v>100</v>
      </c>
      <c r="R12" t="s">
        <v>2</v>
      </c>
      <c r="S12">
        <f>1*10^-3</f>
        <v>1E-3</v>
      </c>
      <c r="T12" t="s">
        <v>190</v>
      </c>
      <c r="U12" s="3" t="s">
        <v>191</v>
      </c>
      <c r="V12" t="s">
        <v>2</v>
      </c>
      <c r="W12">
        <f>O12</f>
        <v>1.2788196404782438E-2</v>
      </c>
      <c r="X12" t="s">
        <v>216</v>
      </c>
      <c r="Y12" s="3" t="s">
        <v>219</v>
      </c>
      <c r="Z12" t="s">
        <v>200</v>
      </c>
      <c r="AA12">
        <f>AA4*(S24/S20)*1</f>
        <v>9.7276455709269455E-5</v>
      </c>
      <c r="AB12" t="s">
        <v>270</v>
      </c>
      <c r="AC12" s="3" t="s">
        <v>305</v>
      </c>
      <c r="AD12" t="s">
        <v>3</v>
      </c>
      <c r="AE12">
        <v>0.1</v>
      </c>
      <c r="AF12" t="s">
        <v>380</v>
      </c>
      <c r="AG12" s="7" t="s">
        <v>381</v>
      </c>
      <c r="AH12" s="7" t="s">
        <v>6</v>
      </c>
      <c r="AI12">
        <f>(2*PI()*AI10)/60</f>
        <v>78.539816339744831</v>
      </c>
      <c r="AK12" t="s">
        <v>395</v>
      </c>
      <c r="AL12" t="s">
        <v>398</v>
      </c>
      <c r="AM12" t="s">
        <v>62</v>
      </c>
      <c r="AN12">
        <f>W22</f>
        <v>16.822790918871348</v>
      </c>
    </row>
    <row r="13" spans="1:59" ht="18">
      <c r="D13" t="s">
        <v>32</v>
      </c>
      <c r="E13" s="3" t="s">
        <v>20</v>
      </c>
      <c r="F13" s="2" t="s">
        <v>6</v>
      </c>
      <c r="G13" s="4">
        <f>(2*PI()*50)/(B2/2)</f>
        <v>78.539816339744831</v>
      </c>
      <c r="H13" t="s">
        <v>69</v>
      </c>
      <c r="I13" s="3" t="s">
        <v>70</v>
      </c>
      <c r="J13" s="2" t="s">
        <v>3</v>
      </c>
      <c r="K13">
        <v>1</v>
      </c>
      <c r="L13" t="s">
        <v>95</v>
      </c>
      <c r="M13" s="3" t="s">
        <v>96</v>
      </c>
      <c r="N13" t="s">
        <v>2</v>
      </c>
      <c r="O13">
        <f>((PI()*(G4+2*O12))/K5)-O11</f>
        <v>4.9153463050219818E-3</v>
      </c>
      <c r="P13" t="s">
        <v>184</v>
      </c>
      <c r="Q13" s="3" t="s">
        <v>148</v>
      </c>
      <c r="R13" t="s">
        <v>7</v>
      </c>
      <c r="S13">
        <v>1.75</v>
      </c>
      <c r="T13" t="s">
        <v>192</v>
      </c>
      <c r="U13" s="3" t="s">
        <v>193</v>
      </c>
      <c r="V13" t="s">
        <v>2</v>
      </c>
      <c r="W13">
        <f>S22-0.1*S18</f>
        <v>1.4370236782940795E-2</v>
      </c>
      <c r="X13" t="s">
        <v>226</v>
      </c>
      <c r="Y13" s="3" t="s">
        <v>224</v>
      </c>
      <c r="Z13" t="s">
        <v>2</v>
      </c>
      <c r="AA13">
        <f>1.2*S22</f>
        <v>1.7629848906847552E-2</v>
      </c>
      <c r="AB13" t="s">
        <v>271</v>
      </c>
      <c r="AC13" s="3" t="s">
        <v>306</v>
      </c>
      <c r="AD13" t="s">
        <v>3</v>
      </c>
      <c r="AE13">
        <v>0.4</v>
      </c>
      <c r="AF13" t="s">
        <v>380</v>
      </c>
      <c r="AG13" s="7" t="s">
        <v>382</v>
      </c>
      <c r="AH13" s="7" t="s">
        <v>6</v>
      </c>
      <c r="AI13">
        <f>(2*PI()*AI11)/60</f>
        <v>75.443743085019392</v>
      </c>
      <c r="AK13" t="s">
        <v>388</v>
      </c>
      <c r="AL13" t="s">
        <v>399</v>
      </c>
      <c r="AM13" t="s">
        <v>62</v>
      </c>
      <c r="AN13">
        <f>(AE9+(3*AA11*(W22^2)))/(3*K9)</f>
        <v>0.70694673238243688</v>
      </c>
    </row>
    <row r="14" spans="1:59" ht="18.75">
      <c r="D14" t="s">
        <v>33</v>
      </c>
      <c r="E14" s="3" t="s">
        <v>22</v>
      </c>
      <c r="F14" s="2" t="s">
        <v>7</v>
      </c>
      <c r="G14" s="4">
        <v>0.9</v>
      </c>
      <c r="H14" t="s">
        <v>66</v>
      </c>
      <c r="I14" s="3" t="s">
        <v>58</v>
      </c>
      <c r="J14" s="2" t="s">
        <v>3</v>
      </c>
      <c r="K14">
        <f>K12*K13</f>
        <v>13</v>
      </c>
      <c r="L14" t="s">
        <v>182</v>
      </c>
      <c r="M14" s="3" t="s">
        <v>99</v>
      </c>
      <c r="N14" t="s">
        <v>2</v>
      </c>
      <c r="O14">
        <f>1*10^-3</f>
        <v>1E-3</v>
      </c>
      <c r="P14" t="s">
        <v>141</v>
      </c>
      <c r="Q14" s="3" t="s">
        <v>129</v>
      </c>
      <c r="R14" t="s">
        <v>7</v>
      </c>
      <c r="S14">
        <v>0.75</v>
      </c>
      <c r="T14" t="s">
        <v>158</v>
      </c>
      <c r="U14" s="3" t="s">
        <v>153</v>
      </c>
      <c r="V14" t="s">
        <v>62</v>
      </c>
      <c r="W14">
        <f>2*W12*W3</f>
        <v>216.22282481206148</v>
      </c>
      <c r="X14" t="s">
        <v>228</v>
      </c>
      <c r="Y14" s="3" t="s">
        <v>229</v>
      </c>
      <c r="Z14" t="s">
        <v>79</v>
      </c>
      <c r="AA14">
        <f>S6/S8</f>
        <v>5000000</v>
      </c>
      <c r="AB14" t="s">
        <v>316</v>
      </c>
      <c r="AC14" s="3" t="s">
        <v>302</v>
      </c>
      <c r="AD14" t="s">
        <v>7</v>
      </c>
      <c r="AE14">
        <f>AE12*AE11*K18</f>
        <v>0.12892169674438678</v>
      </c>
      <c r="AF14" t="s">
        <v>378</v>
      </c>
      <c r="AG14" s="3" t="s">
        <v>379</v>
      </c>
      <c r="AH14" t="s">
        <v>362</v>
      </c>
      <c r="AI14">
        <f>$B$1/$AI$13</f>
        <v>119.29418705879533</v>
      </c>
      <c r="AK14" t="s">
        <v>395</v>
      </c>
      <c r="AL14" t="s">
        <v>396</v>
      </c>
      <c r="AM14" t="s">
        <v>62</v>
      </c>
      <c r="AN14">
        <f>$AN$13+(AN9*AN10)</f>
        <v>0.70694719462379152</v>
      </c>
      <c r="AO14">
        <f t="shared" ref="AO14:BF14" si="18">$AN$13+(AO9*AO10)</f>
        <v>3.0069191221764973</v>
      </c>
      <c r="AP14">
        <f t="shared" si="18"/>
        <v>5.2823028064528854</v>
      </c>
      <c r="AQ14">
        <f t="shared" si="18"/>
        <v>7.5300721390900272</v>
      </c>
      <c r="AR14">
        <f t="shared" si="18"/>
        <v>9.7474120975461176</v>
      </c>
      <c r="AS14">
        <f t="shared" si="18"/>
        <v>11.931722742649683</v>
      </c>
      <c r="AT14">
        <f t="shared" si="18"/>
        <v>14.080621690673368</v>
      </c>
      <c r="AU14">
        <f t="shared" si="18"/>
        <v>16.191944715311422</v>
      </c>
      <c r="AV14">
        <f t="shared" ref="AV14" si="19">$AN$13+(AV9*AV10)</f>
        <v>18.025676388112693</v>
      </c>
      <c r="AW14">
        <f>$AN$13+(AW9*AW10)</f>
        <v>18.263744614390344</v>
      </c>
      <c r="AX14">
        <f>$AN$13+(AX9*AX10)</f>
        <v>39.60850755942726</v>
      </c>
      <c r="AY14">
        <f>$AN$13+(AY9*AY10)</f>
        <v>60.813582639541252</v>
      </c>
      <c r="AZ14">
        <f>$AN$13+(AZ9*AZ10)</f>
        <v>69.547051493961163</v>
      </c>
      <c r="BA14">
        <f>$AN$13+(BA9*BA10)</f>
        <v>72.05043602797906</v>
      </c>
      <c r="BB14">
        <f>$AN$13+(BB9*BB10)</f>
        <v>71.807706740813416</v>
      </c>
      <c r="BC14">
        <f>$AN$13+(BC9*BC10)</f>
        <v>70.448801668403476</v>
      </c>
      <c r="BD14">
        <f>$AN$13+(BD9*BD10)</f>
        <v>68.702084519176424</v>
      </c>
      <c r="BE14">
        <f>$AN$13+(BE9*BE10)</f>
        <v>66.887720143982307</v>
      </c>
      <c r="BF14">
        <f>$AN$13+(BF9*BF10)</f>
        <v>65.142123445248544</v>
      </c>
      <c r="BG14">
        <f>$AN$13+(BG9*BG10)</f>
        <v>63.518250185122739</v>
      </c>
    </row>
    <row r="15" spans="1:59" ht="18.75">
      <c r="D15" t="s">
        <v>34</v>
      </c>
      <c r="E15" s="3" t="s">
        <v>23</v>
      </c>
      <c r="F15" s="2" t="s">
        <v>8</v>
      </c>
      <c r="G15" s="4">
        <f>31000</f>
        <v>31000</v>
      </c>
      <c r="H15" t="s">
        <v>67</v>
      </c>
      <c r="I15" s="3" t="s">
        <v>68</v>
      </c>
      <c r="J15" s="2" t="s">
        <v>3</v>
      </c>
      <c r="K15">
        <f>(K14*K5)/(2*K13*K6)</f>
        <v>156</v>
      </c>
      <c r="L15" t="s">
        <v>183</v>
      </c>
      <c r="M15" s="3" t="s">
        <v>100</v>
      </c>
      <c r="N15" t="s">
        <v>2</v>
      </c>
      <c r="O15">
        <v>5.0000000000000001E-3</v>
      </c>
      <c r="P15" t="s">
        <v>136</v>
      </c>
      <c r="Q15" s="3" t="s">
        <v>137</v>
      </c>
      <c r="R15" t="s">
        <v>2</v>
      </c>
      <c r="S15">
        <f>(PI()*S4)/S1</f>
        <v>1.0419438143295776E-2</v>
      </c>
      <c r="T15" t="s">
        <v>159</v>
      </c>
      <c r="U15" s="3" t="s">
        <v>154</v>
      </c>
      <c r="V15" t="s">
        <v>62</v>
      </c>
      <c r="W15">
        <f>2*W13*W4</f>
        <v>242.94322305239709</v>
      </c>
      <c r="X15" t="s">
        <v>230</v>
      </c>
      <c r="Y15" s="3" t="s">
        <v>231</v>
      </c>
      <c r="Z15" t="s">
        <v>79</v>
      </c>
      <c r="AA15">
        <f>AA14-((AA14/100)*15)</f>
        <v>4250000</v>
      </c>
      <c r="AB15" t="s">
        <v>317</v>
      </c>
      <c r="AC15" s="3" t="s">
        <v>303</v>
      </c>
      <c r="AD15" t="s">
        <v>7</v>
      </c>
      <c r="AE15">
        <f>AE13*AE11*K18</f>
        <v>0.51568678697754711</v>
      </c>
      <c r="AF15" t="s">
        <v>353</v>
      </c>
      <c r="AG15" s="3" t="s">
        <v>359</v>
      </c>
      <c r="AH15" t="s">
        <v>3</v>
      </c>
      <c r="AI15">
        <f>AA24/(SQRT((AA11^2)+((AA34+AA44)^2)))</f>
        <v>0.29187677408989615</v>
      </c>
      <c r="AK15" t="s">
        <v>388</v>
      </c>
      <c r="AL15" t="s">
        <v>397</v>
      </c>
      <c r="AM15" t="s">
        <v>62</v>
      </c>
      <c r="AN15">
        <f>$AN$12+(AN9*AN11)</f>
        <v>16.822790918871348</v>
      </c>
      <c r="AO15">
        <f>$AN$12+(AO9*AO11)</f>
        <v>16.859813078984203</v>
      </c>
      <c r="AP15">
        <f t="shared" ref="AP15:BE15" si="20">$AN$12+(AP9*AP11)</f>
        <v>16.969413061750291</v>
      </c>
      <c r="AQ15">
        <f t="shared" si="20"/>
        <v>17.149276443199753</v>
      </c>
      <c r="AR15">
        <f t="shared" si="20"/>
        <v>17.396952049515175</v>
      </c>
      <c r="AS15">
        <f t="shared" si="20"/>
        <v>17.70987204520954</v>
      </c>
      <c r="AT15">
        <f t="shared" si="20"/>
        <v>18.085371712375427</v>
      </c>
      <c r="AU15">
        <f t="shared" si="20"/>
        <v>18.520708725637313</v>
      </c>
      <c r="AV15">
        <f t="shared" ref="AV15" si="21">$AN$12+(AV9*AV11)</f>
        <v>18.953177447612003</v>
      </c>
      <c r="AW15">
        <f>$AN$12+(AW9*AW11)</f>
        <v>19.013081751229045</v>
      </c>
      <c r="AX15">
        <f>$AN$12+(AX9*AX11)</f>
        <v>28.339388256405591</v>
      </c>
      <c r="AY15">
        <f>$AN$12+(AY9*AY11)</f>
        <v>49.633647621629528</v>
      </c>
      <c r="AZ15">
        <f>$AN$12+(AZ9*AZ11)</f>
        <v>69.109289914777477</v>
      </c>
      <c r="BA15">
        <f>$AN$12+(BA9*BA11)</f>
        <v>84.19566754430511</v>
      </c>
      <c r="BB15">
        <f>$AN$12+(BB9*BB11)</f>
        <v>95.444568778406023</v>
      </c>
      <c r="BC15">
        <f>$AN$12+(BC9*BC11)</f>
        <v>103.86133727237694</v>
      </c>
      <c r="BD15">
        <f>$AN$12+(BD9*BD11)</f>
        <v>110.26653469675564</v>
      </c>
      <c r="BE15">
        <f>$AN$12+(BE9*BE11)</f>
        <v>115.24079324351239</v>
      </c>
      <c r="BF15">
        <f>$AN$12+(BF9*BF11)</f>
        <v>119.18166706540245</v>
      </c>
      <c r="BG15">
        <f>$AN$12+(BG9*BG11)</f>
        <v>122.36175568999164</v>
      </c>
    </row>
    <row r="16" spans="1:59" ht="18">
      <c r="D16" t="s">
        <v>35</v>
      </c>
      <c r="E16" s="3" t="s">
        <v>24</v>
      </c>
      <c r="F16" s="2" t="s">
        <v>2</v>
      </c>
      <c r="G16" s="4">
        <f>(2*G9)/((G4^2)*G13*G11*G12*G15*G14*PI()*G10)</f>
        <v>0.14324564396206105</v>
      </c>
      <c r="H16" t="s">
        <v>71</v>
      </c>
      <c r="I16" s="3" t="s">
        <v>23</v>
      </c>
      <c r="J16" s="2" t="s">
        <v>3</v>
      </c>
      <c r="K16">
        <f>(2*K6*K15*K10)/(PI()*G4)</f>
        <v>30081.0499546024</v>
      </c>
      <c r="L16" t="s">
        <v>97</v>
      </c>
      <c r="M16" s="3" t="s">
        <v>98</v>
      </c>
      <c r="N16" t="s">
        <v>2</v>
      </c>
      <c r="O16">
        <f>(PI()*(G4+(2*O14)-O15)-(K5*O11))/(K5-PI())</f>
        <v>3.8358358612069674E-3</v>
      </c>
      <c r="P16" t="s">
        <v>89</v>
      </c>
      <c r="Q16" s="3" t="s">
        <v>135</v>
      </c>
      <c r="R16" t="s">
        <v>2</v>
      </c>
      <c r="S16">
        <f>(K18*S15*G16)/(S13*O8*G16)</f>
        <v>5.812913483234163E-3</v>
      </c>
      <c r="T16" t="s">
        <v>166</v>
      </c>
      <c r="U16" s="3" t="s">
        <v>155</v>
      </c>
      <c r="V16" t="s">
        <v>2</v>
      </c>
      <c r="W16">
        <f>((PI()*(G2-O9))/B2)+O9</f>
        <v>0.11634802305844266</v>
      </c>
      <c r="Y16" s="7" t="s">
        <v>232</v>
      </c>
      <c r="Z16" s="7" t="s">
        <v>3</v>
      </c>
      <c r="AA16">
        <f>2*SIN(S9/2)</f>
        <v>0.42276524725924863</v>
      </c>
      <c r="AB16" t="s">
        <v>312</v>
      </c>
      <c r="AC16" s="3" t="s">
        <v>310</v>
      </c>
      <c r="AD16" t="s">
        <v>311</v>
      </c>
      <c r="AE16">
        <f>((60*50)/(B2/2))</f>
        <v>750</v>
      </c>
      <c r="AF16" t="s">
        <v>360</v>
      </c>
      <c r="AG16" s="3" t="s">
        <v>361</v>
      </c>
      <c r="AH16" t="s">
        <v>362</v>
      </c>
      <c r="AI16">
        <f>(((B2/2)*K6)/(2*2*PI()*50))*((K9^2)/(AA11+SQRT((AA11^2)+((AA34+(AI4*AA44))^2))))</f>
        <v>494.23947888277831</v>
      </c>
      <c r="AK16" t="s">
        <v>391</v>
      </c>
      <c r="AL16" t="s">
        <v>392</v>
      </c>
      <c r="AM16" t="s">
        <v>62</v>
      </c>
      <c r="AN16">
        <f>SQRT((AN14^2)+(AN15^2))</f>
        <v>16.837638451874618</v>
      </c>
      <c r="AO16">
        <f t="shared" ref="AO16:BF16" si="22">SQRT((AO14^2)+(AO15^2))</f>
        <v>17.125853545607516</v>
      </c>
      <c r="AP16">
        <f t="shared" si="22"/>
        <v>17.772554757247519</v>
      </c>
      <c r="AQ16">
        <f t="shared" si="22"/>
        <v>18.729646791789371</v>
      </c>
      <c r="AR16">
        <f t="shared" si="22"/>
        <v>19.94156421177934</v>
      </c>
      <c r="AS16">
        <f t="shared" si="22"/>
        <v>21.354287051202576</v>
      </c>
      <c r="AT16">
        <f t="shared" si="22"/>
        <v>22.920396531706221</v>
      </c>
      <c r="AU16">
        <f t="shared" si="22"/>
        <v>24.600726114560107</v>
      </c>
      <c r="AV16">
        <f t="shared" ref="AV16" si="23">SQRT((AV14^2)+(AV15^2))</f>
        <v>26.156221910085403</v>
      </c>
      <c r="AW16">
        <f>SQRT((AW14^2)+(AW15^2))</f>
        <v>26.364021791422324</v>
      </c>
      <c r="AX16">
        <f>SQRT((AX14^2)+(AX15^2))</f>
        <v>48.702718587698008</v>
      </c>
      <c r="AY16">
        <f>SQRT((AY14^2)+(AY15^2))</f>
        <v>78.497075166431543</v>
      </c>
      <c r="AZ16">
        <f>SQRT((AZ14^2)+(AZ15^2))</f>
        <v>98.04532790515033</v>
      </c>
      <c r="BA16">
        <f>SQRT((BA14^2)+(BA15^2))</f>
        <v>110.81595446980121</v>
      </c>
      <c r="BB16">
        <f>SQRT((BB14^2)+(BB15^2))</f>
        <v>119.44041383330242</v>
      </c>
      <c r="BC16">
        <f>SQRT((BC14^2)+(BC15^2))</f>
        <v>125.49984476691789</v>
      </c>
      <c r="BD16">
        <f>SQRT((BD14^2)+(BD15^2))</f>
        <v>129.91799371646283</v>
      </c>
      <c r="BE16">
        <f>SQRT((BE14^2)+(BE15^2))</f>
        <v>133.24566609632623</v>
      </c>
      <c r="BF16">
        <f>SQRT((BF14^2)+(BF15^2))</f>
        <v>135.82255339760195</v>
      </c>
      <c r="BG16">
        <f>SQRT((BG14^2)+(BG15^2))</f>
        <v>137.8657584830876</v>
      </c>
    </row>
    <row r="17" spans="4:59" ht="18.75">
      <c r="D17" t="s">
        <v>36</v>
      </c>
      <c r="E17" s="3" t="s">
        <v>25</v>
      </c>
      <c r="F17" s="2" t="s">
        <v>3</v>
      </c>
      <c r="G17" s="4">
        <f>G16/G5</f>
        <v>1.854647330725542</v>
      </c>
      <c r="H17" t="s">
        <v>72</v>
      </c>
      <c r="I17" t="s">
        <v>73</v>
      </c>
      <c r="J17" s="2" t="s">
        <v>74</v>
      </c>
      <c r="K17">
        <f>(G6*K9)/(4*G11*K15*50*G12)</f>
        <v>6.5327019584228195E-3</v>
      </c>
      <c r="L17" t="s">
        <v>104</v>
      </c>
      <c r="M17" s="3" t="s">
        <v>105</v>
      </c>
      <c r="N17" t="s">
        <v>2</v>
      </c>
      <c r="O17">
        <f>O12-(O14+((O16-O15)/2))</f>
        <v>1.2370278474178955E-2</v>
      </c>
      <c r="P17" t="s">
        <v>122</v>
      </c>
      <c r="Q17" s="3" t="s">
        <v>96</v>
      </c>
      <c r="R17" t="s">
        <v>2</v>
      </c>
      <c r="S17">
        <f>((PI()*(S4-2*S10-2*S11))-(S1*S16))/(PI()+S1)</f>
        <v>4.2927513651757265E-3</v>
      </c>
      <c r="T17" t="s">
        <v>167</v>
      </c>
      <c r="U17" s="3" t="s">
        <v>168</v>
      </c>
      <c r="V17" t="s">
        <v>2</v>
      </c>
      <c r="W17">
        <f>((PI()*(S23+S21))/B2)+S21</f>
        <v>8.4740360931097755E-2</v>
      </c>
      <c r="X17" t="s">
        <v>233</v>
      </c>
      <c r="Y17" s="3" t="s">
        <v>234</v>
      </c>
      <c r="Z17" s="7" t="s">
        <v>62</v>
      </c>
      <c r="AA17">
        <f>S6/AA16</f>
        <v>583.5378029343284</v>
      </c>
      <c r="AB17" t="s">
        <v>308</v>
      </c>
      <c r="AC17" s="3" t="s">
        <v>298</v>
      </c>
      <c r="AD17" t="s">
        <v>307</v>
      </c>
      <c r="AE17">
        <f>0.5*AE10*(((S1*AE16)/10000)^1.5)*((AE14*S15*(10^3))^2)</f>
        <v>13.436944591878065</v>
      </c>
      <c r="AF17" t="s">
        <v>482</v>
      </c>
      <c r="AG17" s="3" t="s">
        <v>481</v>
      </c>
      <c r="AH17" t="s">
        <v>403</v>
      </c>
      <c r="AI17">
        <f>AV18</f>
        <v>18.047793117958928</v>
      </c>
      <c r="AK17" t="s">
        <v>400</v>
      </c>
      <c r="AL17" t="s">
        <v>401</v>
      </c>
      <c r="AM17" t="s">
        <v>3</v>
      </c>
      <c r="AN17">
        <f>AN14/AN16</f>
        <v>4.198612511157012E-2</v>
      </c>
      <c r="AO17">
        <f t="shared" ref="AO17:BF17" si="24">AO14/AO16</f>
        <v>0.17557776692232194</v>
      </c>
      <c r="AP17">
        <f t="shared" si="24"/>
        <v>0.29721685366020889</v>
      </c>
      <c r="AQ17">
        <f t="shared" si="24"/>
        <v>0.40204026390882236</v>
      </c>
      <c r="AR17">
        <f t="shared" si="24"/>
        <v>0.48879877195332505</v>
      </c>
      <c r="AS17">
        <f t="shared" si="24"/>
        <v>0.55875069554137813</v>
      </c>
      <c r="AT17">
        <f t="shared" si="24"/>
        <v>0.61432714181865822</v>
      </c>
      <c r="AU17">
        <f t="shared" si="24"/>
        <v>0.6581897070805609</v>
      </c>
      <c r="AV17">
        <f t="shared" ref="AV17" si="25">AV14/AV16</f>
        <v>0.68915443713842683</v>
      </c>
      <c r="AW17">
        <f>AW14/AW16</f>
        <v>0.69275259893513486</v>
      </c>
      <c r="AX17">
        <f>AX14/AX16</f>
        <v>0.81327097763762435</v>
      </c>
      <c r="AY17">
        <f>AY14/AY16</f>
        <v>0.77472418571778257</v>
      </c>
      <c r="AZ17">
        <f>AZ14/AZ16</f>
        <v>0.70933570196472207</v>
      </c>
      <c r="BA17">
        <f>BA14/BA16</f>
        <v>0.6501810716038523</v>
      </c>
      <c r="BB17">
        <f>BB14/BB16</f>
        <v>0.60120108794191041</v>
      </c>
      <c r="BC17">
        <f>BC14/BC16</f>
        <v>0.56134572755243739</v>
      </c>
      <c r="BD17">
        <f>BD14/BD16</f>
        <v>0.52881115659093414</v>
      </c>
      <c r="BE17">
        <f>BE14/BE16</f>
        <v>0.50198796031105208</v>
      </c>
      <c r="BF17">
        <f>BF14/BF16</f>
        <v>0.47961197765553626</v>
      </c>
      <c r="BG17">
        <f>BG14/BG16</f>
        <v>0.4607253525748724</v>
      </c>
    </row>
    <row r="18" spans="4:59" ht="18.75">
      <c r="H18" t="s">
        <v>145</v>
      </c>
      <c r="I18" s="3" t="s">
        <v>22</v>
      </c>
      <c r="J18" s="2" t="s">
        <v>7</v>
      </c>
      <c r="K18">
        <f>K17/(G10*G5*G16)</f>
        <v>0.9274942211826388</v>
      </c>
      <c r="L18" t="s">
        <v>106</v>
      </c>
      <c r="M18" s="3" t="s">
        <v>103</v>
      </c>
      <c r="N18" t="s">
        <v>82</v>
      </c>
      <c r="O18">
        <f>((O13+O16)/2)*O17</f>
        <v>5.4127280187260361E-5</v>
      </c>
      <c r="P18" t="s">
        <v>123</v>
      </c>
      <c r="Q18" s="3" t="s">
        <v>98</v>
      </c>
      <c r="R18" t="s">
        <v>2</v>
      </c>
      <c r="S18">
        <f>SQRT(((S17^2)*((S1/PI())+(PI()/2))-(4*S8))/((S1/PI())-(PI()/2)))</f>
        <v>3.2130397276549892E-3</v>
      </c>
      <c r="T18" t="s">
        <v>162</v>
      </c>
      <c r="U18" s="3" t="s">
        <v>160</v>
      </c>
      <c r="V18" t="s">
        <v>62</v>
      </c>
      <c r="W18">
        <f>W16*W7</f>
        <v>19.255597816172262</v>
      </c>
      <c r="X18" t="s">
        <v>237</v>
      </c>
      <c r="Y18" s="3" t="s">
        <v>227</v>
      </c>
      <c r="Z18" t="s">
        <v>82</v>
      </c>
      <c r="AA18">
        <f>AA17/AA15</f>
        <v>1.3730301245513609E-4</v>
      </c>
      <c r="AB18" t="s">
        <v>309</v>
      </c>
      <c r="AC18" s="3" t="s">
        <v>299</v>
      </c>
      <c r="AD18" t="s">
        <v>307</v>
      </c>
      <c r="AE18">
        <f>0.5*AE10*(((K5*AE16)/10000)^1.5)*((AE15*K8*(10^3))^2)</f>
        <v>196.61098838281396</v>
      </c>
      <c r="AF18" t="s">
        <v>478</v>
      </c>
      <c r="AG18" s="3" t="s">
        <v>15</v>
      </c>
      <c r="AH18" s="2" t="s">
        <v>4</v>
      </c>
      <c r="AI18">
        <f>AV24*100</f>
        <v>85.683429254785153</v>
      </c>
      <c r="AK18" t="s">
        <v>402</v>
      </c>
      <c r="AL18" t="s">
        <v>404</v>
      </c>
      <c r="AM18" t="s">
        <v>403</v>
      </c>
      <c r="AN18">
        <f>3*$K$9*AN16*(10^-3)</f>
        <v>11.617970531793485</v>
      </c>
      <c r="AO18">
        <f t="shared" ref="AO18:BF18" si="26">3*$K$9*AO16*(10^-3)</f>
        <v>11.816838946469186</v>
      </c>
      <c r="AP18">
        <f t="shared" si="26"/>
        <v>12.263062782500789</v>
      </c>
      <c r="AQ18">
        <f t="shared" si="26"/>
        <v>12.923456286334666</v>
      </c>
      <c r="AR18">
        <f t="shared" si="26"/>
        <v>13.759679306127744</v>
      </c>
      <c r="AS18">
        <f t="shared" si="26"/>
        <v>14.734458065329779</v>
      </c>
      <c r="AT18">
        <f t="shared" si="26"/>
        <v>15.815073606877293</v>
      </c>
      <c r="AU18">
        <f t="shared" si="26"/>
        <v>16.974501019046475</v>
      </c>
      <c r="AV18">
        <f t="shared" ref="AV18" si="27">3*$K$9*AV16*(10^-3)</f>
        <v>18.047793117958928</v>
      </c>
      <c r="AW18">
        <f>3*$K$9*AW16*(10^-3)</f>
        <v>18.191175036081404</v>
      </c>
      <c r="AX18">
        <f>3*$K$9*AX16*(10^-3)</f>
        <v>33.604875825511627</v>
      </c>
      <c r="AY18">
        <f>3*$K$9*AY16*(10^-3)</f>
        <v>54.162981864837761</v>
      </c>
      <c r="AZ18">
        <f>3*$K$9*AZ16*(10^-3)</f>
        <v>67.651276254553721</v>
      </c>
      <c r="BA18">
        <f>3*$K$9*BA16*(10^-3)</f>
        <v>76.463008584162836</v>
      </c>
      <c r="BB18">
        <f>3*$K$9*BB16*(10^-3)</f>
        <v>82.413885544978669</v>
      </c>
      <c r="BC18">
        <f>3*$K$9*BC16*(10^-3)</f>
        <v>86.594892889173337</v>
      </c>
      <c r="BD18">
        <f>3*$K$9*BD16*(10^-3)</f>
        <v>89.643415664359367</v>
      </c>
      <c r="BE18">
        <f>3*$K$9*BE16*(10^-3)</f>
        <v>91.939509606465109</v>
      </c>
      <c r="BF18">
        <f>3*$K$9*BF16*(10^-3)</f>
        <v>93.71756184434534</v>
      </c>
      <c r="BG18">
        <f>3*$K$9*BG16*(10^-3)</f>
        <v>95.127373353330455</v>
      </c>
    </row>
    <row r="19" spans="4:59" ht="18">
      <c r="K19">
        <f>3*K9*K10</f>
        <v>13701.758392327016</v>
      </c>
      <c r="L19" s="2" t="s">
        <v>101</v>
      </c>
      <c r="M19" s="3" t="s">
        <v>102</v>
      </c>
      <c r="N19" t="s">
        <v>3</v>
      </c>
      <c r="O19">
        <f>(PI()*(O6^2)*K14*O4)/(4*O18)</f>
        <v>0.73951267609622595</v>
      </c>
      <c r="P19" t="s">
        <v>93</v>
      </c>
      <c r="Q19" s="3" t="s">
        <v>132</v>
      </c>
      <c r="R19" t="s">
        <v>2</v>
      </c>
      <c r="S19">
        <f>(S17-S18)*(S1/(2*PI()))</f>
        <v>1.0138645209290935E-2</v>
      </c>
      <c r="T19" t="s">
        <v>169</v>
      </c>
      <c r="U19" s="3" t="s">
        <v>170</v>
      </c>
      <c r="V19" t="s">
        <v>62</v>
      </c>
      <c r="W19">
        <f>W17*W8</f>
        <v>7.6435805559850181</v>
      </c>
      <c r="X19" t="s">
        <v>223</v>
      </c>
      <c r="Y19" s="3" t="s">
        <v>225</v>
      </c>
      <c r="Z19" t="s">
        <v>2</v>
      </c>
      <c r="AA19">
        <f>AA18/AA13</f>
        <v>7.7880992163130046E-3</v>
      </c>
      <c r="AB19" t="s">
        <v>295</v>
      </c>
      <c r="AC19" s="3" t="s">
        <v>296</v>
      </c>
      <c r="AD19" t="s">
        <v>5</v>
      </c>
      <c r="AE19">
        <f>AE17*(K8-O15)*K5*G16</f>
        <v>0.49637949258779929</v>
      </c>
      <c r="AF19" t="s">
        <v>411</v>
      </c>
      <c r="AG19" s="3" t="s">
        <v>412</v>
      </c>
      <c r="AH19" t="s">
        <v>3</v>
      </c>
      <c r="AI19">
        <v>0.18</v>
      </c>
      <c r="AL19" t="s">
        <v>406</v>
      </c>
      <c r="AM19" t="s">
        <v>403</v>
      </c>
      <c r="AN19">
        <f t="shared" ref="AN19:BF19" si="28">3*$AA$11*(AN16^2)*10^-3</f>
        <v>0.37492745671049449</v>
      </c>
      <c r="AO19">
        <f t="shared" si="28"/>
        <v>0.38787281108204946</v>
      </c>
      <c r="AP19">
        <f t="shared" si="28"/>
        <v>0.41771936400687404</v>
      </c>
      <c r="AQ19">
        <f t="shared" si="28"/>
        <v>0.46392103112737099</v>
      </c>
      <c r="AR19">
        <f t="shared" si="28"/>
        <v>0.52590019121442833</v>
      </c>
      <c r="AS19">
        <f t="shared" si="28"/>
        <v>0.60305238430165697</v>
      </c>
      <c r="AT19">
        <f t="shared" si="28"/>
        <v>0.69475093483130701</v>
      </c>
      <c r="AU19">
        <f t="shared" si="28"/>
        <v>0.8003514535483468</v>
      </c>
      <c r="AV19">
        <f t="shared" ref="AV19" si="29">3*$AA$11*(AV16^2)*10^-3</f>
        <v>0.90476316828156877</v>
      </c>
      <c r="AW19">
        <f>3*$AA$11*(AW16^2)*10^-3</f>
        <v>0.9191961783307625</v>
      </c>
      <c r="AX19">
        <f>3*$AA$11*(AX16^2)*10^-3</f>
        <v>3.1368322521704348</v>
      </c>
      <c r="AY19">
        <f>3*$AA$11*(AY16^2)*10^-3</f>
        <v>8.148765803044741</v>
      </c>
      <c r="AZ19">
        <f>3*$AA$11*(AZ16^2)*10^-3</f>
        <v>12.712726180623386</v>
      </c>
      <c r="BA19">
        <f>3*$AA$11*(BA16^2)*10^-3</f>
        <v>16.240128790540432</v>
      </c>
      <c r="BB19">
        <f>3*$AA$11*(BB16^2)*10^-3</f>
        <v>18.866332539238101</v>
      </c>
      <c r="BC19">
        <f>3*$AA$11*(BC16^2)*10^-3</f>
        <v>20.829136374350497</v>
      </c>
      <c r="BD19">
        <f>3*$AA$11*(BD16^2)*10^-3</f>
        <v>22.321506218008029</v>
      </c>
      <c r="BE19">
        <f>3*$AA$11*(BE16^2)*10^-3</f>
        <v>23.479620362077366</v>
      </c>
      <c r="BF19">
        <f>3*$AA$11*(BF16^2)*10^-3</f>
        <v>24.396564157998238</v>
      </c>
      <c r="BG19">
        <f>3*$AA$11*(BG16^2)*10^-3</f>
        <v>25.136089562887914</v>
      </c>
    </row>
    <row r="20" spans="4:59" ht="18.75">
      <c r="L20" t="s">
        <v>130</v>
      </c>
      <c r="M20" s="3" t="s">
        <v>131</v>
      </c>
      <c r="N20" t="s">
        <v>2</v>
      </c>
      <c r="O20">
        <f>0.5*10^-3</f>
        <v>5.0000000000000001E-4</v>
      </c>
      <c r="P20" t="s">
        <v>140</v>
      </c>
      <c r="Q20" s="3" t="s">
        <v>118</v>
      </c>
      <c r="R20" t="s">
        <v>82</v>
      </c>
      <c r="S20">
        <f>(PI()/8)*((S17^2)-(S18^2))+((1/2)*(S17+S18)*S19)</f>
        <v>4.1231745150389084E-5</v>
      </c>
      <c r="T20" t="s">
        <v>171</v>
      </c>
      <c r="U20" s="3" t="s">
        <v>172</v>
      </c>
      <c r="V20" t="s">
        <v>62</v>
      </c>
      <c r="W20">
        <f>W11+W14+W18+W15+W19</f>
        <v>1691.7250889880811</v>
      </c>
      <c r="X20" t="s">
        <v>222</v>
      </c>
      <c r="Y20" s="3" t="s">
        <v>235</v>
      </c>
      <c r="Z20" t="s">
        <v>2</v>
      </c>
      <c r="AA20">
        <f>S4-AA13</f>
        <v>0.17805015109315248</v>
      </c>
      <c r="AB20" t="s">
        <v>340</v>
      </c>
      <c r="AC20" s="3" t="s">
        <v>297</v>
      </c>
      <c r="AD20" t="s">
        <v>5</v>
      </c>
      <c r="AE20">
        <f>AE18*(S15-S12)*S1*G16</f>
        <v>15.651869588683605</v>
      </c>
      <c r="AF20" t="s">
        <v>413</v>
      </c>
      <c r="AG20" s="14" t="s">
        <v>415</v>
      </c>
      <c r="AH20" t="s">
        <v>414</v>
      </c>
      <c r="AI20">
        <v>85</v>
      </c>
      <c r="AL20" t="s">
        <v>407</v>
      </c>
      <c r="AM20" t="s">
        <v>403</v>
      </c>
      <c r="AN20">
        <f t="shared" ref="AN20:BF20" si="30">3*$AA$24*(AN9^2)*10^-3</f>
        <v>2.9267175862200836E-16</v>
      </c>
      <c r="AO20">
        <f t="shared" si="30"/>
        <v>7.2477129025275118E-3</v>
      </c>
      <c r="AP20">
        <f t="shared" si="30"/>
        <v>2.8703759950811977E-2</v>
      </c>
      <c r="AQ20">
        <f t="shared" si="30"/>
        <v>6.3915053577378034E-2</v>
      </c>
      <c r="AR20">
        <f t="shared" si="30"/>
        <v>0.11240173512328491</v>
      </c>
      <c r="AS20">
        <f t="shared" si="30"/>
        <v>0.17366110743812049</v>
      </c>
      <c r="AT20">
        <f t="shared" si="30"/>
        <v>0.24717150700197391</v>
      </c>
      <c r="AU20">
        <f t="shared" si="30"/>
        <v>0.33239607732277349</v>
      </c>
      <c r="AV20">
        <f t="shared" ref="AV20" si="31">3*$AA$24*(AV9^2)*10^-3</f>
        <v>0.41705913119755655</v>
      </c>
      <c r="AW20">
        <f>3*$AA$24*(AW9^2)*10^-3</f>
        <v>0.42878641001971762</v>
      </c>
      <c r="AX20">
        <f>3*$AA$24*(AX9^2)*10^-3</f>
        <v>2.2545683682967161</v>
      </c>
      <c r="AY20">
        <f>3*$AA$24*(AY9^2)*10^-3</f>
        <v>6.4232791588242808</v>
      </c>
      <c r="AZ20">
        <f>3*$AA$24*(AZ9^2)*10^-3</f>
        <v>10.235964953029034</v>
      </c>
      <c r="BA20">
        <f>3*$AA$24*(BA9^2)*10^-3</f>
        <v>13.189378083560053</v>
      </c>
      <c r="BB20">
        <f>3*$AA$24*(BB9^2)*10^-3</f>
        <v>15.3915404199857</v>
      </c>
      <c r="BC20">
        <f>3*$AA$24*(BC9^2)*10^-3</f>
        <v>17.039264956462905</v>
      </c>
      <c r="BD20">
        <f>3*$AA$24*(BD9^2)*10^-3</f>
        <v>18.293190493881383</v>
      </c>
      <c r="BE20">
        <f>3*$AA$24*(BE9^2)*10^-3</f>
        <v>19.266985586872668</v>
      </c>
      <c r="BF20">
        <f>3*$AA$24*(BF9^2)*10^-3</f>
        <v>20.038478172909738</v>
      </c>
      <c r="BG20">
        <f>3*$AA$24*(BG9^2)*10^-3</f>
        <v>20.661034211924129</v>
      </c>
    </row>
    <row r="21" spans="4:59" ht="18.75">
      <c r="L21" t="s">
        <v>181</v>
      </c>
      <c r="M21" s="3" t="s">
        <v>78</v>
      </c>
      <c r="N21" t="s">
        <v>79</v>
      </c>
      <c r="O21">
        <f>K10/(O5*O4*K13)</f>
        <v>6449242.9716642257</v>
      </c>
      <c r="P21" t="s">
        <v>128</v>
      </c>
      <c r="Q21" s="3" t="s">
        <v>133</v>
      </c>
      <c r="R21" t="s">
        <v>2</v>
      </c>
      <c r="S21">
        <f>K17/(2*S14*G16*O8)</f>
        <v>3.2003432179333581E-2</v>
      </c>
      <c r="T21" t="s">
        <v>197</v>
      </c>
      <c r="U21" s="3" t="s">
        <v>198</v>
      </c>
      <c r="V21" t="s">
        <v>3</v>
      </c>
      <c r="W21">
        <f>W20/W11</f>
        <v>1.4031528636338233</v>
      </c>
      <c r="X21" t="s">
        <v>236</v>
      </c>
      <c r="Y21" s="3" t="s">
        <v>238</v>
      </c>
      <c r="Z21" t="s">
        <v>82</v>
      </c>
      <c r="AA21">
        <f>AA19*AA13</f>
        <v>1.3730301245513609E-4</v>
      </c>
      <c r="AC21" s="10" t="s">
        <v>322</v>
      </c>
      <c r="AD21" t="s">
        <v>3</v>
      </c>
      <c r="AE21">
        <f>((O15/O20)^2)/(5+(O15/O20))</f>
        <v>6.666666666666667</v>
      </c>
      <c r="AF21" s="2" t="s">
        <v>416</v>
      </c>
      <c r="AG21" s="3" t="s">
        <v>417</v>
      </c>
      <c r="AH21" t="s">
        <v>3</v>
      </c>
      <c r="AI21">
        <v>1.07</v>
      </c>
      <c r="AL21" t="s">
        <v>408</v>
      </c>
      <c r="AM21" t="s">
        <v>403</v>
      </c>
      <c r="AN21">
        <f>(0.005*($B$1/$AE$39))*((AN16/$K$10)^2)</f>
        <v>0.38019645846183603</v>
      </c>
      <c r="AO21">
        <f>(0.005*($B$1/$AE$39))*((AO16/$K$10)^2)</f>
        <v>0.39332373894638867</v>
      </c>
      <c r="AP21">
        <f>(0.005*($B$1/$AE$39))*((AP16/$K$10)^2)</f>
        <v>0.42358973711806763</v>
      </c>
      <c r="AQ21">
        <f>(0.005*($B$1/$AE$39))*((AQ16/$K$10)^2)</f>
        <v>0.47044069428285379</v>
      </c>
      <c r="AR21">
        <f>(0.005*($B$1/$AE$39))*((AR16/$K$10)^2)</f>
        <v>0.53329087167526024</v>
      </c>
      <c r="AS21">
        <f>(0.005*($B$1/$AE$39))*((AS16/$K$10)^2)</f>
        <v>0.61152731461728249</v>
      </c>
      <c r="AT21">
        <f>(0.005*($B$1/$AE$39))*((AT16/$K$10)^2)</f>
        <v>0.70451454063518659</v>
      </c>
      <c r="AU21">
        <f>(0.005*($B$1/$AE$39))*((AU16/$K$10)^2)</f>
        <v>0.81159910462046125</v>
      </c>
      <c r="AV21">
        <f>(0.005*($B$1/$AE$39))*((AV16/$K$10)^2)</f>
        <v>0.91747815789596232</v>
      </c>
      <c r="AW21">
        <f>(0.005*($B$1/$AE$39))*((AW16/$K$10)^2)</f>
        <v>0.93211400066349959</v>
      </c>
      <c r="AX21">
        <f>(0.005*($B$1/$AE$39))*((AX16/$K$10)^2)</f>
        <v>3.1809153790114575</v>
      </c>
      <c r="AY21">
        <f>(0.005*($B$1/$AE$39))*((AY16/$K$10)^2)</f>
        <v>8.2632835864693579</v>
      </c>
      <c r="AZ21">
        <f>(0.005*($B$1/$AE$39))*((AZ16/$K$10)^2)</f>
        <v>12.891383078941059</v>
      </c>
      <c r="BA21">
        <f>(0.005*($B$1/$AE$39))*((BA16/$K$10)^2)</f>
        <v>16.468357653238641</v>
      </c>
      <c r="BB21">
        <f>(0.005*($B$1/$AE$39))*((BB16/$K$10)^2)</f>
        <v>19.131468467299506</v>
      </c>
      <c r="BC21">
        <f>(0.005*($B$1/$AE$39))*((BC16/$K$10)^2)</f>
        <v>21.121856350098042</v>
      </c>
      <c r="BD21">
        <f>(0.005*($B$1/$AE$39))*((BD16/$K$10)^2)</f>
        <v>22.635199049115037</v>
      </c>
      <c r="BE21">
        <f>(0.005*($B$1/$AE$39))*((BE16/$K$10)^2)</f>
        <v>23.809588622855205</v>
      </c>
      <c r="BF21">
        <f>(0.005*($B$1/$AE$39))*((BF16/$K$10)^2)</f>
        <v>24.739418587500491</v>
      </c>
      <c r="BG21">
        <f>(0.005*($B$1/$AE$39))*((BG16/$K$10)^2)</f>
        <v>25.489336831281499</v>
      </c>
    </row>
    <row r="22" spans="4:59" ht="18">
      <c r="L22" t="s">
        <v>471</v>
      </c>
      <c r="M22" s="3" t="s">
        <v>429</v>
      </c>
      <c r="N22" t="s">
        <v>2</v>
      </c>
      <c r="O22">
        <f>O17</f>
        <v>1.2370278474178955E-2</v>
      </c>
      <c r="P22" t="s">
        <v>185</v>
      </c>
      <c r="Q22" s="3" t="s">
        <v>134</v>
      </c>
      <c r="R22" t="s">
        <v>2</v>
      </c>
      <c r="S22">
        <f>S11+S10+(S17/2)+S19+(S18/2)</f>
        <v>1.4691540755706294E-2</v>
      </c>
      <c r="T22" t="s">
        <v>173</v>
      </c>
      <c r="U22" s="3" t="s">
        <v>174</v>
      </c>
      <c r="V22" t="s">
        <v>62</v>
      </c>
      <c r="W22">
        <f>((B2/2)*W20)/(0.9*K6*K15*G12)</f>
        <v>16.822790918871348</v>
      </c>
      <c r="X22" t="s">
        <v>217</v>
      </c>
      <c r="Y22" s="3" t="s">
        <v>218</v>
      </c>
      <c r="Z22" t="s">
        <v>200</v>
      </c>
      <c r="AA22">
        <f>AA4*((PI()*AA20)/(S1*AA21))</f>
        <v>1.9333842354724247E-6</v>
      </c>
      <c r="AC22" s="10" t="s">
        <v>323</v>
      </c>
      <c r="AD22" t="s">
        <v>3</v>
      </c>
      <c r="AE22">
        <f>((S12/O20)^2)/(5+(S12/O20))</f>
        <v>0.5714285714285714</v>
      </c>
      <c r="AF22" s="2" t="s">
        <v>419</v>
      </c>
      <c r="AG22" s="3" t="s">
        <v>418</v>
      </c>
      <c r="AH22" t="s">
        <v>5</v>
      </c>
      <c r="AI22">
        <f>AI21*AE29*((2*G16)/AA9)</f>
        <v>310.50150437992977</v>
      </c>
      <c r="AL22" t="s">
        <v>409</v>
      </c>
      <c r="AM22" t="s">
        <v>403</v>
      </c>
      <c r="AN22">
        <f>$AE$32+$AE$27+AN19+AN20+AN21</f>
        <v>345.2797362226911</v>
      </c>
      <c r="AO22">
        <f>($AE$32*10^-3)+($AE$27*10^-3)+AO19+AO20+AO21</f>
        <v>1.1329688752384843</v>
      </c>
      <c r="AP22">
        <f t="shared" ref="AP22:BF22" si="32">($AE$32*10^-3)+($AE$27*10^-3)+AP19+AP20+AP21</f>
        <v>1.2145374733832723</v>
      </c>
      <c r="AQ22">
        <f t="shared" si="32"/>
        <v>1.3428013912951215</v>
      </c>
      <c r="AR22">
        <f t="shared" si="32"/>
        <v>1.5161174103204922</v>
      </c>
      <c r="AS22">
        <f t="shared" si="32"/>
        <v>1.7327654186645787</v>
      </c>
      <c r="AT22">
        <f t="shared" si="32"/>
        <v>1.9909615947759862</v>
      </c>
      <c r="AU22">
        <f t="shared" si="32"/>
        <v>2.2888712477991002</v>
      </c>
      <c r="AV22">
        <f t="shared" ref="AV22" si="33">($AE$32*10^-3)+($AE$27*10^-3)+AV19+AV20+AV21</f>
        <v>2.5838250696826064</v>
      </c>
      <c r="AW22">
        <f>($AE$32*10^-3)+($AE$27*10^-3)+AW19+AW20+AW21</f>
        <v>2.6246212013214985</v>
      </c>
      <c r="AX22">
        <f>($AE$32*10^-3)+($AE$27*10^-3)+AX19+AX20+AX21</f>
        <v>8.9168406117861281</v>
      </c>
      <c r="AY22">
        <f>($AE$32*10^-3)+($AE$27*10^-3)+AY19+AY20+AY21</f>
        <v>23.179853160645898</v>
      </c>
      <c r="AZ22">
        <f>($AE$32*10^-3)+($AE$27*10^-3)+AZ19+AZ20+AZ21</f>
        <v>36.184598824901002</v>
      </c>
      <c r="BA22">
        <f>($AE$32*10^-3)+($AE$27*10^-3)+BA19+BA20+BA21</f>
        <v>46.242389139646647</v>
      </c>
      <c r="BB22">
        <f>($AE$32*10^-3)+($AE$27*10^-3)+BB19+BB20+BB21</f>
        <v>53.733866038830826</v>
      </c>
      <c r="BC22">
        <f>($AE$32*10^-3)+($AE$27*10^-3)+BC19+BC20+BC21</f>
        <v>59.334782293218964</v>
      </c>
      <c r="BD22">
        <f>($AE$32*10^-3)+($AE$27*10^-3)+BD19+BD20+BD21</f>
        <v>63.594420373311969</v>
      </c>
      <c r="BE22">
        <f>($AE$32*10^-3)+($AE$27*10^-3)+BE19+BE20+BE21</f>
        <v>66.900719184112759</v>
      </c>
      <c r="BF22">
        <f>($AE$32*10^-3)+($AE$27*10^-3)+BF19+BF20+BF21</f>
        <v>69.518985530715995</v>
      </c>
      <c r="BG22">
        <f>($AE$32*10^-3)+($AE$27*10^-3)+BG19+BG20+BG21</f>
        <v>71.630985218401065</v>
      </c>
    </row>
    <row r="23" spans="4:59" ht="18">
      <c r="L23" t="s">
        <v>471</v>
      </c>
      <c r="M23" s="3" t="s">
        <v>430</v>
      </c>
      <c r="N23" t="s">
        <v>2</v>
      </c>
      <c r="O23">
        <f>O12-O17</f>
        <v>4.1791793060348345E-4</v>
      </c>
      <c r="P23" t="s">
        <v>125</v>
      </c>
      <c r="Q23" s="3" t="s">
        <v>127</v>
      </c>
      <c r="R23" t="s">
        <v>2</v>
      </c>
      <c r="S23">
        <f>S4-2*(S22+S21)</f>
        <v>0.10229005412992027</v>
      </c>
      <c r="T23" t="s">
        <v>60</v>
      </c>
      <c r="U23" s="3" t="s">
        <v>61</v>
      </c>
      <c r="V23" t="s">
        <v>62</v>
      </c>
      <c r="W23">
        <f>B1/(K6*K9*(G7/100)*G8)</f>
        <v>19.85762085844495</v>
      </c>
      <c r="X23" s="2" t="s">
        <v>239</v>
      </c>
      <c r="Y23" s="3" t="s">
        <v>240</v>
      </c>
      <c r="Z23" t="s">
        <v>200</v>
      </c>
      <c r="AA23">
        <f>AA12+2*AA22</f>
        <v>1.011432241802143E-4</v>
      </c>
      <c r="AB23" t="s">
        <v>318</v>
      </c>
      <c r="AC23" s="3" t="s">
        <v>320</v>
      </c>
      <c r="AD23" t="s">
        <v>7</v>
      </c>
      <c r="AE23">
        <f>((AE22*O20)/(2*K8))*W1</f>
        <v>2.9163658791208795E-2</v>
      </c>
      <c r="AF23" t="s">
        <v>420</v>
      </c>
      <c r="AG23" s="3" t="s">
        <v>421</v>
      </c>
      <c r="AH23" t="s">
        <v>479</v>
      </c>
      <c r="AI23">
        <f>AI19*((AI22+AE27)/(PI()*G4*G16*AI20))</f>
        <v>13.938483030514403</v>
      </c>
      <c r="AK23" t="s">
        <v>402</v>
      </c>
      <c r="AL23" t="s">
        <v>405</v>
      </c>
      <c r="AM23" t="s">
        <v>403</v>
      </c>
      <c r="AN23">
        <f>AN18-AN22</f>
        <v>-333.6617656908976</v>
      </c>
      <c r="AO23">
        <f t="shared" ref="AO23:BF23" si="34">AO18-AO22</f>
        <v>10.683870071230702</v>
      </c>
      <c r="AP23">
        <f t="shared" si="34"/>
        <v>11.048525309117517</v>
      </c>
      <c r="AQ23">
        <f t="shared" si="34"/>
        <v>11.580654895039544</v>
      </c>
      <c r="AR23">
        <f t="shared" si="34"/>
        <v>12.243561895807252</v>
      </c>
      <c r="AS23">
        <f t="shared" si="34"/>
        <v>13.0016926466652</v>
      </c>
      <c r="AT23">
        <f t="shared" si="34"/>
        <v>13.824112012101306</v>
      </c>
      <c r="AU23">
        <f t="shared" si="34"/>
        <v>14.685629771247374</v>
      </c>
      <c r="AV23">
        <f t="shared" ref="AV23" si="35">AV18-AV22</f>
        <v>15.463968048276321</v>
      </c>
      <c r="AW23">
        <f>AW18-AW22</f>
        <v>15.566553834759905</v>
      </c>
      <c r="AX23">
        <f>AX18-AX22</f>
        <v>24.688035213725499</v>
      </c>
      <c r="AY23">
        <f>AY18-AY22</f>
        <v>30.983128704191863</v>
      </c>
      <c r="AZ23">
        <f>AZ18-AZ22</f>
        <v>31.466677429652719</v>
      </c>
      <c r="BA23">
        <f>BA18-BA22</f>
        <v>30.220619444516188</v>
      </c>
      <c r="BB23">
        <f>BB18-BB22</f>
        <v>28.680019506147843</v>
      </c>
      <c r="BC23">
        <f>BC18-BC22</f>
        <v>27.260110595954373</v>
      </c>
      <c r="BD23">
        <f>BD18-BD22</f>
        <v>26.048995291047397</v>
      </c>
      <c r="BE23">
        <f>BE18-BE22</f>
        <v>25.038790422352349</v>
      </c>
      <c r="BF23">
        <f>BF18-BF22</f>
        <v>24.198576313629346</v>
      </c>
      <c r="BG23">
        <f>BG18-BG22</f>
        <v>23.49638813492939</v>
      </c>
    </row>
    <row r="24" spans="4:59" ht="18">
      <c r="L24" t="s">
        <v>427</v>
      </c>
      <c r="M24" s="3" t="s">
        <v>465</v>
      </c>
      <c r="N24" t="s">
        <v>1</v>
      </c>
      <c r="O24">
        <v>0.4</v>
      </c>
      <c r="P24" t="s">
        <v>220</v>
      </c>
      <c r="Q24" s="3" t="s">
        <v>221</v>
      </c>
      <c r="R24" t="s">
        <v>2</v>
      </c>
      <c r="S24">
        <f>G16</f>
        <v>0.14324564396206105</v>
      </c>
      <c r="T24" t="s">
        <v>176</v>
      </c>
      <c r="U24" s="3" t="s">
        <v>175</v>
      </c>
      <c r="V24" t="s">
        <v>3</v>
      </c>
      <c r="W24">
        <f>W22/W23</f>
        <v>0.84717051648798281</v>
      </c>
      <c r="X24" t="s">
        <v>241</v>
      </c>
      <c r="Y24" s="3" t="s">
        <v>242</v>
      </c>
      <c r="Z24" t="s">
        <v>200</v>
      </c>
      <c r="AA24">
        <f>AA23*((4*K6*((K15*G12)^2))/S1)</f>
        <v>0.45658534512531118</v>
      </c>
      <c r="AB24" t="s">
        <v>319</v>
      </c>
      <c r="AC24" s="3" t="s">
        <v>321</v>
      </c>
      <c r="AD24" t="s">
        <v>7</v>
      </c>
      <c r="AE24">
        <f>((AE21*O20)/(2*S15))*W2</f>
        <v>0.27992552252381769</v>
      </c>
      <c r="AF24" t="s">
        <v>422</v>
      </c>
      <c r="AG24" s="3" t="s">
        <v>424</v>
      </c>
      <c r="AH24" t="s">
        <v>425</v>
      </c>
      <c r="AI24">
        <v>0.3</v>
      </c>
      <c r="AK24" s="8" t="s">
        <v>410</v>
      </c>
      <c r="AL24" s="3" t="s">
        <v>15</v>
      </c>
      <c r="AM24" t="s">
        <v>3</v>
      </c>
      <c r="AN24">
        <f>1-(AN22/AN18)</f>
        <v>-28.719453606617961</v>
      </c>
      <c r="AO24">
        <f t="shared" ref="AO24:BF24" si="36">1-(AO22/AO18)</f>
        <v>0.90412250853456799</v>
      </c>
      <c r="AP24">
        <f t="shared" si="36"/>
        <v>0.90095969539384568</v>
      </c>
      <c r="AQ24">
        <f t="shared" si="36"/>
        <v>0.89609579964184916</v>
      </c>
      <c r="AR24">
        <f t="shared" si="36"/>
        <v>0.88981448065833169</v>
      </c>
      <c r="AS24">
        <f t="shared" si="36"/>
        <v>0.88240046488429869</v>
      </c>
      <c r="AT24">
        <f t="shared" si="36"/>
        <v>0.87410987490376257</v>
      </c>
      <c r="AU24">
        <f t="shared" si="36"/>
        <v>0.86515826030875131</v>
      </c>
      <c r="AV24">
        <f t="shared" ref="AV24" si="37">1-(AV22/AV18)</f>
        <v>0.85683429254785159</v>
      </c>
      <c r="AW24">
        <f>1-(AW22/AW18)</f>
        <v>0.8557200842652728</v>
      </c>
      <c r="AX24">
        <f>1-(AX22/AX18)</f>
        <v>0.73465634397563284</v>
      </c>
      <c r="AY24">
        <f>1-(AY22/AY18)</f>
        <v>0.572035136128757</v>
      </c>
      <c r="AZ24">
        <f>1-(AZ22/AZ18)</f>
        <v>0.46513058099971383</v>
      </c>
      <c r="BA24">
        <f>1-(BA22/BA18)</f>
        <v>0.39523189061090047</v>
      </c>
      <c r="BB24">
        <f>1-(BB22/BB18)</f>
        <v>0.34799984634258352</v>
      </c>
      <c r="BC24">
        <f>1-(BC22/BC18)</f>
        <v>0.31480044245614636</v>
      </c>
      <c r="BD24">
        <f>1-(BD22/BD18)</f>
        <v>0.29058459116037472</v>
      </c>
      <c r="BE24">
        <f>1-(BE22/BE18)</f>
        <v>0.27233983006356655</v>
      </c>
      <c r="BF24">
        <f>1-(BF22/BF18)</f>
        <v>0.25820748894236645</v>
      </c>
      <c r="BG24">
        <f>1-(BG22/BG18)</f>
        <v>0.24699923173172289</v>
      </c>
    </row>
    <row r="25" spans="4:59" ht="18">
      <c r="L25" t="s">
        <v>470</v>
      </c>
      <c r="M25" s="3" t="s">
        <v>467</v>
      </c>
      <c r="N25" t="s">
        <v>3</v>
      </c>
      <c r="O25">
        <f>SIN(0.8*(PI()/2))</f>
        <v>0.95105651629515353</v>
      </c>
      <c r="Q25" s="3" t="s">
        <v>464</v>
      </c>
      <c r="R25" t="s">
        <v>3</v>
      </c>
      <c r="S25">
        <v>1</v>
      </c>
      <c r="T25" t="s">
        <v>243</v>
      </c>
      <c r="U25" s="3" t="s">
        <v>244</v>
      </c>
      <c r="V25" t="s">
        <v>3</v>
      </c>
      <c r="W25">
        <f>1+((W14+W15)/W11)</f>
        <v>1.3808421114862235</v>
      </c>
      <c r="X25" t="s">
        <v>248</v>
      </c>
      <c r="Y25" s="3" t="s">
        <v>247</v>
      </c>
      <c r="Z25" t="s">
        <v>3</v>
      </c>
      <c r="AA25">
        <f>(2/3)*((K7+1)/K7)</f>
        <v>0.88888888888888884</v>
      </c>
      <c r="AB25" t="s">
        <v>332</v>
      </c>
      <c r="AC25" s="3" t="s">
        <v>313</v>
      </c>
      <c r="AD25" t="s">
        <v>5</v>
      </c>
      <c r="AE25">
        <f>0.11*(((S1*AE16*AE23)/1000)^2)*AE7</f>
        <v>0.90129846553451465</v>
      </c>
      <c r="AF25" s="8" t="s">
        <v>423</v>
      </c>
      <c r="AG25" s="9" t="s">
        <v>426</v>
      </c>
      <c r="AH25" s="8" t="s">
        <v>425</v>
      </c>
      <c r="AI25" s="8">
        <v>1</v>
      </c>
    </row>
    <row r="26" spans="4:59" ht="18">
      <c r="L26" t="s">
        <v>469</v>
      </c>
      <c r="M26" s="3" t="s">
        <v>468</v>
      </c>
      <c r="N26" t="s">
        <v>3</v>
      </c>
      <c r="O26">
        <f>SIN(PI()/(2*K6))/(K7*SIN(PI()/(2*K6*K7)))</f>
        <v>0.95979508052393891</v>
      </c>
      <c r="X26" t="s">
        <v>249</v>
      </c>
      <c r="Y26" t="s">
        <v>266</v>
      </c>
      <c r="Z26" t="s">
        <v>3</v>
      </c>
      <c r="AA26">
        <f>((2*(S15/K8))-((K8/S15)*AA27))-(G12*((S15/K8)^2))</f>
        <v>0.8228102901956913</v>
      </c>
      <c r="AB26" t="s">
        <v>314</v>
      </c>
      <c r="AC26" s="3" t="s">
        <v>315</v>
      </c>
      <c r="AD26" t="s">
        <v>5</v>
      </c>
      <c r="AE26">
        <f>0.11*(((K5*AE16*AE24)/1000)^2)*AE8</f>
        <v>141.49934899594737</v>
      </c>
      <c r="AF26" s="2" t="s">
        <v>427</v>
      </c>
      <c r="AG26" s="3" t="s">
        <v>428</v>
      </c>
      <c r="AH26" t="s">
        <v>2</v>
      </c>
      <c r="AI26">
        <f>0.4*10^-3</f>
        <v>4.0000000000000002E-4</v>
      </c>
    </row>
    <row r="27" spans="4:59" ht="18">
      <c r="L27" t="s">
        <v>466</v>
      </c>
      <c r="M27" s="3" t="s">
        <v>21</v>
      </c>
      <c r="N27" t="s">
        <v>3</v>
      </c>
      <c r="O27">
        <f>O25*O26</f>
        <v>0.91281936564032373</v>
      </c>
      <c r="X27" s="8" t="s">
        <v>249</v>
      </c>
      <c r="Y27" s="8" t="s">
        <v>268</v>
      </c>
      <c r="Z27" s="8" t="s">
        <v>3</v>
      </c>
      <c r="AA27" s="8">
        <v>0.24</v>
      </c>
      <c r="AB27" t="s">
        <v>326</v>
      </c>
      <c r="AC27" s="3" t="s">
        <v>327</v>
      </c>
      <c r="AD27" t="s">
        <v>5</v>
      </c>
      <c r="AE27">
        <f>AE9+AE19+AE20+AE25+AE26</f>
        <v>272.0756203075187</v>
      </c>
      <c r="AF27" s="2" t="s">
        <v>431</v>
      </c>
      <c r="AG27" s="3" t="s">
        <v>432</v>
      </c>
      <c r="AH27" t="s">
        <v>2</v>
      </c>
      <c r="AI27">
        <f>(2*O12)+O13+O16</f>
        <v>3.4327574975793827E-2</v>
      </c>
    </row>
    <row r="28" spans="4:59" ht="18">
      <c r="M28" s="3"/>
      <c r="Q28" s="3"/>
      <c r="X28" t="s">
        <v>270</v>
      </c>
      <c r="Y28" s="3" t="s">
        <v>250</v>
      </c>
      <c r="Z28" t="s">
        <v>3</v>
      </c>
      <c r="AA28">
        <f>O15/K8</f>
        <v>0.58262944389955584</v>
      </c>
      <c r="AB28" t="s">
        <v>275</v>
      </c>
      <c r="AC28" s="3" t="s">
        <v>276</v>
      </c>
      <c r="AD28" t="s">
        <v>200</v>
      </c>
      <c r="AE28">
        <f>AE27/(K6*(W22^2))</f>
        <v>0.32045885643689109</v>
      </c>
      <c r="AF28" s="2" t="s">
        <v>433</v>
      </c>
      <c r="AG28" s="3" t="s">
        <v>434</v>
      </c>
      <c r="AH28" t="s">
        <v>479</v>
      </c>
      <c r="AI28">
        <f>(AI22/(K5*AI27*G16))*((AI26/AI24)+((S17+S18)/(16*AI25)))</f>
        <v>1.5807702425409054</v>
      </c>
    </row>
    <row r="29" spans="4:59" ht="18">
      <c r="M29" s="3" t="s">
        <v>499</v>
      </c>
      <c r="O29">
        <f>B2</f>
        <v>8</v>
      </c>
      <c r="X29" t="s">
        <v>270</v>
      </c>
      <c r="Y29" s="3" t="s">
        <v>251</v>
      </c>
      <c r="Z29" t="s">
        <v>3</v>
      </c>
      <c r="AA29">
        <f>O15/O20</f>
        <v>10</v>
      </c>
      <c r="AB29" s="8" t="s">
        <v>328</v>
      </c>
      <c r="AC29" s="9" t="s">
        <v>329</v>
      </c>
      <c r="AD29" t="s">
        <v>5</v>
      </c>
      <c r="AE29" s="8">
        <f>K6*AA11*(K10^2)</f>
        <v>521.48199112667066</v>
      </c>
      <c r="AF29" s="2" t="s">
        <v>435</v>
      </c>
      <c r="AG29" s="3" t="s">
        <v>436</v>
      </c>
      <c r="AH29" t="s">
        <v>5</v>
      </c>
      <c r="AI29">
        <f>AI21*AE29*((2*AA8)/AA9)</f>
        <v>447.15774252449444</v>
      </c>
    </row>
    <row r="30" spans="4:59" ht="18">
      <c r="L30" t="s">
        <v>483</v>
      </c>
      <c r="M30" s="3" t="s">
        <v>412</v>
      </c>
      <c r="O30">
        <f>K5/2</f>
        <v>36</v>
      </c>
      <c r="X30" t="s">
        <v>249</v>
      </c>
      <c r="Y30" s="3" t="s">
        <v>252</v>
      </c>
      <c r="Z30" t="s">
        <v>3</v>
      </c>
      <c r="AA30">
        <v>1</v>
      </c>
      <c r="AB30" s="8" t="s">
        <v>331</v>
      </c>
      <c r="AC30" s="9" t="s">
        <v>330</v>
      </c>
      <c r="AD30" t="s">
        <v>5</v>
      </c>
      <c r="AE30">
        <f>S2*AA23*(S6^2)</f>
        <v>363.18287008583036</v>
      </c>
      <c r="AF30" s="2" t="s">
        <v>437</v>
      </c>
      <c r="AG30" s="3" t="s">
        <v>438</v>
      </c>
      <c r="AH30" t="s">
        <v>479</v>
      </c>
      <c r="AI30">
        <f>(AI29/(2*K5*AI27*AA8))*((AI26/AI24)+(S19/(12*AI25)))</f>
        <v>0.9551652104411098</v>
      </c>
    </row>
    <row r="31" spans="4:59" ht="18">
      <c r="L31" t="s">
        <v>488</v>
      </c>
      <c r="M31" s="3" t="s">
        <v>489</v>
      </c>
      <c r="O31">
        <f>(O29/2)/(B2/2)</f>
        <v>1</v>
      </c>
      <c r="X31" t="s">
        <v>254</v>
      </c>
      <c r="Y31" s="3" t="s">
        <v>257</v>
      </c>
      <c r="Z31" t="s">
        <v>3</v>
      </c>
      <c r="AA31">
        <f>(0.34*(K7/(B2/2))*AA8)-(0.64*AA25*G5)</f>
        <v>8.6652519447103851E-3</v>
      </c>
      <c r="AB31" s="8" t="s">
        <v>249</v>
      </c>
      <c r="AC31" s="9" t="s">
        <v>102</v>
      </c>
      <c r="AD31" s="8" t="s">
        <v>3</v>
      </c>
      <c r="AE31">
        <v>7</v>
      </c>
      <c r="AF31" s="16" t="s">
        <v>439</v>
      </c>
      <c r="AG31" s="9" t="s">
        <v>440</v>
      </c>
      <c r="AH31" t="s">
        <v>479</v>
      </c>
      <c r="AI31" s="8">
        <f>AI19*(AI29/(2*PI()*G4*AI20*AA3))</f>
        <v>14.986737550770847</v>
      </c>
      <c r="BE31">
        <v>0</v>
      </c>
      <c r="BF31">
        <v>140</v>
      </c>
    </row>
    <row r="32" spans="4:59" ht="18">
      <c r="L32" t="s">
        <v>484</v>
      </c>
      <c r="M32" s="3" t="s">
        <v>487</v>
      </c>
      <c r="O32">
        <f>K5/B2</f>
        <v>9</v>
      </c>
      <c r="X32" s="8" t="s">
        <v>255</v>
      </c>
      <c r="Y32" s="9" t="s">
        <v>258</v>
      </c>
      <c r="Z32" s="8" t="s">
        <v>3</v>
      </c>
      <c r="AA32" s="8">
        <f>(O22/(3*O16))+(0.785-(O15/(2*O16))+(O23/O16)+(O14/O15))</f>
        <v>1.5171771218909287</v>
      </c>
      <c r="AB32" s="8" t="s">
        <v>333</v>
      </c>
      <c r="AC32" s="9" t="s">
        <v>334</v>
      </c>
      <c r="AD32" t="s">
        <v>5</v>
      </c>
      <c r="AE32">
        <f>AE31*((AE16/1000)^2)*((10*G2)^3)</f>
        <v>72.448992000000004</v>
      </c>
      <c r="AF32" s="2" t="s">
        <v>441</v>
      </c>
      <c r="AG32" s="3" t="s">
        <v>442</v>
      </c>
      <c r="AH32" t="s">
        <v>479</v>
      </c>
      <c r="AI32">
        <f>(((AI23+AI28)*2*G16)/AA9)+(((AI30+AI31)*AA8)/AA9)</f>
        <v>15.023724900036486</v>
      </c>
      <c r="BE32">
        <v>0.03</v>
      </c>
      <c r="BF32">
        <v>0.03</v>
      </c>
    </row>
    <row r="33" spans="12:58" ht="18">
      <c r="L33" t="s">
        <v>484</v>
      </c>
      <c r="M33" s="3" t="s">
        <v>485</v>
      </c>
      <c r="O33">
        <f>O32</f>
        <v>9</v>
      </c>
      <c r="X33" t="s">
        <v>256</v>
      </c>
      <c r="Y33" s="3" t="s">
        <v>259</v>
      </c>
      <c r="Z33" t="s">
        <v>3</v>
      </c>
      <c r="AA33">
        <f>(K8/(12*O20*1.2))*AA26</f>
        <v>0.98071946215719674</v>
      </c>
      <c r="AB33" s="8" t="s">
        <v>336</v>
      </c>
      <c r="AC33" s="3" t="s">
        <v>335</v>
      </c>
      <c r="AD33" t="s">
        <v>5</v>
      </c>
      <c r="AE33">
        <f>(AE27+AE29+AE30)</f>
        <v>1156.7404815200198</v>
      </c>
      <c r="AF33" s="2" t="s">
        <v>443</v>
      </c>
      <c r="AG33" s="3" t="s">
        <v>444</v>
      </c>
      <c r="AH33" t="s">
        <v>5</v>
      </c>
      <c r="AI33">
        <f>AE37-((1-AI19)*(AI22+AE27))-(0.9*AE32)</f>
        <v>1033.2942829323179</v>
      </c>
    </row>
    <row r="34" spans="12:58" ht="18">
      <c r="L34" t="s">
        <v>490</v>
      </c>
      <c r="M34" s="3" t="s">
        <v>486</v>
      </c>
      <c r="O34">
        <f>(2*O31)-O33</f>
        <v>-7</v>
      </c>
      <c r="X34" t="s">
        <v>245</v>
      </c>
      <c r="Y34" s="3" t="s">
        <v>246</v>
      </c>
      <c r="Z34" t="s">
        <v>200</v>
      </c>
      <c r="AA34">
        <f>15.8*(50/100)*((K15/100)^2)*(G16/((B2/2)*K7))*(AA31+AA32+AA33)</f>
        <v>0.57524769754040606</v>
      </c>
      <c r="AB34" s="8" t="s">
        <v>472</v>
      </c>
      <c r="AC34" s="3" t="s">
        <v>475</v>
      </c>
      <c r="AD34" t="s">
        <v>5</v>
      </c>
      <c r="AE34">
        <f>AE9+AE19+AE25</f>
        <v>114.92440172288772</v>
      </c>
      <c r="AF34" s="2" t="s">
        <v>447</v>
      </c>
      <c r="AG34" s="3" t="s">
        <v>448</v>
      </c>
      <c r="AH34" t="s">
        <v>2</v>
      </c>
      <c r="AI34">
        <v>0.31</v>
      </c>
      <c r="BE34">
        <v>0</v>
      </c>
      <c r="BF34">
        <v>600</v>
      </c>
    </row>
    <row r="35" spans="12:58" ht="18.75">
      <c r="L35" t="s">
        <v>493</v>
      </c>
      <c r="M35" s="3" t="s">
        <v>494</v>
      </c>
      <c r="O35">
        <v>6</v>
      </c>
      <c r="X35" t="s">
        <v>271</v>
      </c>
      <c r="Y35" s="3" t="s">
        <v>250</v>
      </c>
      <c r="Z35" t="s">
        <v>3</v>
      </c>
      <c r="AA35">
        <f>S12/S15</f>
        <v>9.5974464865308917E-2</v>
      </c>
      <c r="AB35" s="8" t="s">
        <v>473</v>
      </c>
      <c r="AC35" s="3" t="s">
        <v>476</v>
      </c>
      <c r="AD35" t="s">
        <v>5</v>
      </c>
      <c r="AE35">
        <f>AE26+AE20</f>
        <v>157.15121858463098</v>
      </c>
      <c r="AF35" s="16" t="s">
        <v>446</v>
      </c>
      <c r="AG35" s="9" t="s">
        <v>445</v>
      </c>
      <c r="AH35" s="8" t="s">
        <v>82</v>
      </c>
      <c r="AI35" s="8">
        <f>((PI()*G2)+(8*AI34))*(G16+(2*AA3))</f>
        <v>0.81246485765634391</v>
      </c>
      <c r="BE35">
        <v>0.03</v>
      </c>
      <c r="BF35">
        <v>0.03</v>
      </c>
    </row>
    <row r="36" spans="12:58" ht="18.75">
      <c r="L36" t="s">
        <v>491</v>
      </c>
      <c r="M36" s="3" t="s">
        <v>492</v>
      </c>
      <c r="O36">
        <f>O35*(O29/2)</f>
        <v>24</v>
      </c>
      <c r="X36" t="s">
        <v>271</v>
      </c>
      <c r="Y36" s="3" t="s">
        <v>251</v>
      </c>
      <c r="Z36" t="s">
        <v>3</v>
      </c>
      <c r="AA36">
        <f>S12/O20</f>
        <v>2</v>
      </c>
      <c r="AB36" s="8" t="s">
        <v>474</v>
      </c>
      <c r="AC36" s="3" t="s">
        <v>477</v>
      </c>
      <c r="AD36" t="s">
        <v>5</v>
      </c>
      <c r="AE36">
        <f>(1.3*AE33)-AE33</f>
        <v>347.02214445600589</v>
      </c>
      <c r="AF36" t="s">
        <v>413</v>
      </c>
      <c r="AG36" s="14" t="s">
        <v>455</v>
      </c>
      <c r="AH36" t="s">
        <v>414</v>
      </c>
      <c r="AI36">
        <v>21</v>
      </c>
    </row>
    <row r="37" spans="12:58" ht="18">
      <c r="L37" t="s">
        <v>495</v>
      </c>
      <c r="M37" s="3" t="s">
        <v>496</v>
      </c>
      <c r="O37">
        <f>O36/(O29/2)</f>
        <v>6</v>
      </c>
      <c r="X37" s="15" t="s">
        <v>249</v>
      </c>
      <c r="Y37" s="15" t="s">
        <v>269</v>
      </c>
      <c r="Z37" s="15" t="s">
        <v>3</v>
      </c>
      <c r="AA37" s="15">
        <v>1E-3</v>
      </c>
      <c r="AB37" s="8" t="s">
        <v>337</v>
      </c>
      <c r="AC37" s="3" t="s">
        <v>338</v>
      </c>
      <c r="AD37" t="s">
        <v>5</v>
      </c>
      <c r="AE37">
        <f>(1.3*AE33)+AE32</f>
        <v>1576.2116179760258</v>
      </c>
      <c r="AF37" s="16" t="s">
        <v>456</v>
      </c>
      <c r="AG37" s="3" t="s">
        <v>457</v>
      </c>
      <c r="AH37" t="s">
        <v>479</v>
      </c>
      <c r="AI37">
        <f>AI33/(AI35*AI36)</f>
        <v>60.561991327699005</v>
      </c>
    </row>
    <row r="38" spans="12:58" ht="18">
      <c r="L38" t="s">
        <v>497</v>
      </c>
      <c r="M38" s="3" t="s">
        <v>498</v>
      </c>
      <c r="O38">
        <f>O30/(O35*(O29/2))</f>
        <v>1.5</v>
      </c>
      <c r="X38" t="s">
        <v>249</v>
      </c>
      <c r="Y38" t="s">
        <v>267</v>
      </c>
      <c r="Z38" t="s">
        <v>3</v>
      </c>
      <c r="AA38">
        <f>1+((1/5)*((PI()*(B2/2))/S1))-(AA37/(1-(((B2/2)/S1)^2)))</f>
        <v>1.0415932488847355</v>
      </c>
      <c r="AB38" s="8" t="s">
        <v>480</v>
      </c>
      <c r="AC38" s="3" t="s">
        <v>481</v>
      </c>
      <c r="AD38" t="s">
        <v>5</v>
      </c>
      <c r="AE38">
        <f>B1+AE37</f>
        <v>10576.211617976025</v>
      </c>
      <c r="AF38" s="16" t="s">
        <v>458</v>
      </c>
      <c r="AG38" s="3" t="s">
        <v>459</v>
      </c>
      <c r="AH38" t="s">
        <v>479</v>
      </c>
      <c r="AI38">
        <f>AI37+AI32</f>
        <v>75.585716227735489</v>
      </c>
    </row>
    <row r="39" spans="12:58" ht="18.75">
      <c r="X39" t="s">
        <v>272</v>
      </c>
      <c r="Y39" s="7" t="s">
        <v>273</v>
      </c>
      <c r="Z39" t="s">
        <v>3</v>
      </c>
      <c r="AA39">
        <f>2*SIN((PI()*(B2/2))/S1)</f>
        <v>0.42276524725924863</v>
      </c>
      <c r="AB39" s="8" t="s">
        <v>339</v>
      </c>
      <c r="AC39" s="3" t="s">
        <v>15</v>
      </c>
      <c r="AD39" s="2" t="s">
        <v>4</v>
      </c>
      <c r="AE39" s="8">
        <f>(1-(AE37/AE38))*100</f>
        <v>85.096633133767924</v>
      </c>
      <c r="AF39" s="16" t="s">
        <v>460</v>
      </c>
      <c r="AG39" s="3" t="s">
        <v>461</v>
      </c>
      <c r="AH39" t="s">
        <v>462</v>
      </c>
      <c r="AI39">
        <f>AE37/(1100*2*AI37)</f>
        <v>1.1830189375312937E-2</v>
      </c>
    </row>
    <row r="40" spans="12:58" ht="18.75">
      <c r="X40" t="s">
        <v>260</v>
      </c>
      <c r="Y40" s="3" t="s">
        <v>261</v>
      </c>
      <c r="Z40" t="s">
        <v>3</v>
      </c>
      <c r="AA40">
        <f>((2.3*AA20)/(S1*G16*AA39))*LOG10((4.7*AA20)/((2*AA19)+AA13))</f>
        <v>0.16062262336520844</v>
      </c>
      <c r="AF40" s="16" t="s">
        <v>463</v>
      </c>
      <c r="AG40" s="3" t="s">
        <v>461</v>
      </c>
      <c r="AH40" t="s">
        <v>462</v>
      </c>
      <c r="AI40">
        <f>0.6*(G2^3)*(AI10/100)</f>
        <v>8.2798848000000008E-2</v>
      </c>
    </row>
    <row r="41" spans="12:58" ht="18">
      <c r="X41" t="s">
        <v>264</v>
      </c>
      <c r="Y41" s="3" t="s">
        <v>262</v>
      </c>
      <c r="Z41" t="s">
        <v>3</v>
      </c>
      <c r="AA41">
        <f>((((S22/(3*S17))*((1-((PI()*(S17^2))/(8*S20)))^2))+0.66-(S12/(2*S17)))*S25)+(S10/S12)</f>
        <v>1.8190250945958573</v>
      </c>
    </row>
    <row r="42" spans="12:58" ht="18">
      <c r="X42" t="s">
        <v>265</v>
      </c>
      <c r="Y42" s="3" t="s">
        <v>263</v>
      </c>
      <c r="Z42" t="s">
        <v>3</v>
      </c>
      <c r="AA42">
        <f>(S15/(12*O20*1.1))*AA38</f>
        <v>1.6443661253377244</v>
      </c>
    </row>
    <row r="43" spans="12:58" ht="18">
      <c r="X43" t="s">
        <v>253</v>
      </c>
      <c r="Y43" s="3" t="s">
        <v>344</v>
      </c>
      <c r="Z43" t="s">
        <v>200</v>
      </c>
      <c r="AA43">
        <f>7.9*50*G16*(AA40+AA41+AA42)*(10^-6)</f>
        <v>2.0505405770074981E-4</v>
      </c>
    </row>
    <row r="44" spans="12:58" ht="18">
      <c r="X44" t="s">
        <v>274</v>
      </c>
      <c r="Y44" s="3" t="s">
        <v>343</v>
      </c>
      <c r="Z44" t="s">
        <v>200</v>
      </c>
      <c r="AA44">
        <f>AA43*((4*K6*((K15*G12)^2))/S1)</f>
        <v>0.92566435827499793</v>
      </c>
    </row>
    <row r="45" spans="12:58" ht="18">
      <c r="X45" t="s">
        <v>277</v>
      </c>
      <c r="Y45" s="3" t="s">
        <v>278</v>
      </c>
      <c r="Z45" t="s">
        <v>200</v>
      </c>
      <c r="AA45">
        <f>(K9/W22)-AA34</f>
        <v>13.096681122664585</v>
      </c>
    </row>
  </sheetData>
  <mergeCells count="3">
    <mergeCell ref="H1:H2"/>
    <mergeCell ref="H3:H5"/>
    <mergeCell ref="H11:H12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</dc:creator>
  <cp:lastModifiedBy>Kasi</cp:lastModifiedBy>
  <dcterms:created xsi:type="dcterms:W3CDTF">2016-10-15T14:39:56Z</dcterms:created>
  <dcterms:modified xsi:type="dcterms:W3CDTF">2016-12-03T19:06:27Z</dcterms:modified>
</cp:coreProperties>
</file>