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4240" windowHeight="6450"/>
  </bookViews>
  <sheets>
    <sheet name="List1" sheetId="1" r:id="rId1"/>
    <sheet name="Vinutí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O42" i="1"/>
  <c r="O41"/>
  <c r="O40"/>
  <c r="O38"/>
  <c r="O36"/>
  <c r="O35"/>
  <c r="AA6"/>
  <c r="AA8"/>
  <c r="S19"/>
  <c r="S17"/>
  <c r="O13"/>
  <c r="S28"/>
  <c r="S24"/>
  <c r="S4"/>
  <c r="O23"/>
  <c r="O24" s="1"/>
  <c r="O21"/>
  <c r="O19"/>
  <c r="O15"/>
  <c r="O9"/>
  <c r="G17"/>
  <c r="G4"/>
  <c r="O33"/>
  <c r="AA25"/>
  <c r="K14"/>
  <c r="O37"/>
  <c r="O34"/>
  <c r="G10"/>
  <c r="O31"/>
  <c r="O30"/>
  <c r="O32"/>
  <c r="AI40"/>
  <c r="AI26"/>
  <c r="AI12"/>
  <c r="AX3"/>
  <c r="AY3"/>
  <c r="AZ3"/>
  <c r="BA3"/>
  <c r="BB3"/>
  <c r="BC3"/>
  <c r="BD3"/>
  <c r="BE3"/>
  <c r="BF3"/>
  <c r="BG3"/>
  <c r="AW3"/>
  <c r="AN3"/>
  <c r="AO3"/>
  <c r="AP3"/>
  <c r="AQ3"/>
  <c r="AR3"/>
  <c r="AS3"/>
  <c r="AT3"/>
  <c r="AU3"/>
  <c r="AI10"/>
  <c r="AE32"/>
  <c r="AE22"/>
  <c r="AE21"/>
  <c r="AE16"/>
  <c r="AA39"/>
  <c r="AA38"/>
  <c r="AA36"/>
  <c r="AA29"/>
  <c r="S9"/>
  <c r="AA16"/>
  <c r="AA4"/>
  <c r="AA5"/>
  <c r="S12"/>
  <c r="S15"/>
  <c r="K10"/>
  <c r="K19" s="1"/>
  <c r="O1"/>
  <c r="W23"/>
  <c r="S11"/>
  <c r="S10"/>
  <c r="S2"/>
  <c r="O25"/>
  <c r="S7"/>
  <c r="S3"/>
  <c r="AA35" l="1"/>
  <c r="S6"/>
  <c r="S8"/>
  <c r="AA42"/>
  <c r="W10"/>
  <c r="K15"/>
  <c r="K7"/>
  <c r="O17"/>
  <c r="G16"/>
  <c r="G6"/>
  <c r="G12"/>
  <c r="G14"/>
  <c r="G11"/>
  <c r="S30" l="1"/>
  <c r="G19"/>
  <c r="AA17"/>
  <c r="AA18" s="1"/>
  <c r="AA14"/>
  <c r="AA15" s="1"/>
  <c r="K8"/>
  <c r="K4"/>
  <c r="K11"/>
  <c r="K16"/>
  <c r="O2" s="1"/>
  <c r="O3" s="1"/>
  <c r="O5" s="1"/>
  <c r="K17"/>
  <c r="K3"/>
  <c r="O6" l="1"/>
  <c r="O26"/>
  <c r="W6"/>
  <c r="K18"/>
  <c r="O12"/>
  <c r="W9"/>
  <c r="AA28"/>
  <c r="AA26"/>
  <c r="AA33" s="1"/>
  <c r="W16" l="1"/>
  <c r="W18" s="1"/>
  <c r="AE6"/>
  <c r="AE15"/>
  <c r="AE18" s="1"/>
  <c r="AE20" s="1"/>
  <c r="W1"/>
  <c r="AE23" s="1"/>
  <c r="AE14"/>
  <c r="AE17" s="1"/>
  <c r="AE19" s="1"/>
  <c r="S16"/>
  <c r="W11"/>
  <c r="W5"/>
  <c r="W2" l="1"/>
  <c r="AE24" s="1"/>
  <c r="W12"/>
  <c r="W14" s="1"/>
  <c r="AE7"/>
  <c r="AE9" s="1"/>
  <c r="O28"/>
  <c r="O27"/>
  <c r="AI27"/>
  <c r="S21" l="1"/>
  <c r="S26"/>
  <c r="S23"/>
  <c r="AA12" s="1"/>
  <c r="AA3"/>
  <c r="AA31"/>
  <c r="AE25"/>
  <c r="AE34" s="1"/>
  <c r="AA32"/>
  <c r="AA34" l="1"/>
  <c r="AA9"/>
  <c r="AA10" s="1"/>
  <c r="AA11" s="1"/>
  <c r="AI35"/>
  <c r="AA13"/>
  <c r="AA41"/>
  <c r="AE8"/>
  <c r="AE26" s="1"/>
  <c r="AE35" s="1"/>
  <c r="W13"/>
  <c r="W15" s="1"/>
  <c r="AE29" l="1"/>
  <c r="W25"/>
  <c r="W17"/>
  <c r="W19" s="1"/>
  <c r="W20" s="1"/>
  <c r="AA19"/>
  <c r="AA21" s="1"/>
  <c r="AA20"/>
  <c r="AE27"/>
  <c r="W22" l="1"/>
  <c r="W21"/>
  <c r="AA40"/>
  <c r="AA43" s="1"/>
  <c r="AA44" s="1"/>
  <c r="AA22"/>
  <c r="AA23" s="1"/>
  <c r="AI29"/>
  <c r="AI22"/>
  <c r="AI31" l="1"/>
  <c r="AI30"/>
  <c r="AN12"/>
  <c r="AI1"/>
  <c r="AA45"/>
  <c r="AI4" s="1"/>
  <c r="W24"/>
  <c r="AI2"/>
  <c r="AN13"/>
  <c r="AI23"/>
  <c r="AI28"/>
  <c r="AA24"/>
  <c r="AE30"/>
  <c r="AE33" s="1"/>
  <c r="AE28"/>
  <c r="AI5" l="1"/>
  <c r="AI6"/>
  <c r="AI7"/>
  <c r="AI16"/>
  <c r="AI32"/>
  <c r="AV2"/>
  <c r="AV3" s="1"/>
  <c r="AI9"/>
  <c r="AI11" s="1"/>
  <c r="AI13" s="1"/>
  <c r="AI14" s="1"/>
  <c r="BF5"/>
  <c r="AX5"/>
  <c r="AS5"/>
  <c r="BB5"/>
  <c r="AO5"/>
  <c r="AR5"/>
  <c r="AW5"/>
  <c r="AQ5"/>
  <c r="BD5"/>
  <c r="AP5"/>
  <c r="AZ5"/>
  <c r="BG5"/>
  <c r="AY5"/>
  <c r="AT5"/>
  <c r="BE5"/>
  <c r="BA5"/>
  <c r="AI15"/>
  <c r="BC5"/>
  <c r="AU5"/>
  <c r="AE37"/>
  <c r="AE36"/>
  <c r="AI3"/>
  <c r="AV5" l="1"/>
  <c r="AP4"/>
  <c r="BG4"/>
  <c r="BE4"/>
  <c r="AZ4"/>
  <c r="AS4"/>
  <c r="AV4"/>
  <c r="AO4"/>
  <c r="BF4"/>
  <c r="BD4"/>
  <c r="AU4"/>
  <c r="AX4"/>
  <c r="AT4"/>
  <c r="AQ4"/>
  <c r="BC4"/>
  <c r="AY4"/>
  <c r="AR4"/>
  <c r="AW4"/>
  <c r="BB4"/>
  <c r="BA4"/>
  <c r="AI33"/>
  <c r="AI37" s="1"/>
  <c r="AI38" s="1"/>
  <c r="AE39"/>
  <c r="AE38"/>
  <c r="AV7"/>
  <c r="BC7"/>
  <c r="AN7"/>
  <c r="BB7"/>
  <c r="BA7"/>
  <c r="AY7"/>
  <c r="AZ7"/>
  <c r="AX7"/>
  <c r="AW7"/>
  <c r="BD7"/>
  <c r="AP7"/>
  <c r="AO7"/>
  <c r="BE7"/>
  <c r="AT7"/>
  <c r="AQ7"/>
  <c r="AS7"/>
  <c r="AR7"/>
  <c r="AU7"/>
  <c r="BG7"/>
  <c r="BF7"/>
  <c r="AV6"/>
  <c r="AZ6"/>
  <c r="BE6"/>
  <c r="AQ6"/>
  <c r="BD6"/>
  <c r="AU6"/>
  <c r="AU8" s="1"/>
  <c r="BG6"/>
  <c r="AY6"/>
  <c r="BC6"/>
  <c r="AS6"/>
  <c r="BF6"/>
  <c r="BB6"/>
  <c r="AX6"/>
  <c r="AP6"/>
  <c r="BA6"/>
  <c r="AO6"/>
  <c r="AR6"/>
  <c r="AW6"/>
  <c r="AN6"/>
  <c r="AT6"/>
  <c r="AI39" l="1"/>
  <c r="AW8"/>
  <c r="AW9" s="1"/>
  <c r="AW20" s="1"/>
  <c r="AP8"/>
  <c r="AS8"/>
  <c r="AS9" s="1"/>
  <c r="BA8"/>
  <c r="BA9" s="1"/>
  <c r="BG8"/>
  <c r="BG9" s="1"/>
  <c r="BE8"/>
  <c r="AT8"/>
  <c r="AT9" s="1"/>
  <c r="AO8"/>
  <c r="BB8"/>
  <c r="BB9" s="1"/>
  <c r="AY8"/>
  <c r="AY9" s="1"/>
  <c r="AQ8"/>
  <c r="AQ10" s="1"/>
  <c r="AU11"/>
  <c r="AU10"/>
  <c r="AU9"/>
  <c r="AZ8"/>
  <c r="AZ9" s="1"/>
  <c r="AZ20" s="1"/>
  <c r="AN8"/>
  <c r="AN9" s="1"/>
  <c r="BF8"/>
  <c r="BF10" s="1"/>
  <c r="AR8"/>
  <c r="AR9" s="1"/>
  <c r="AX8"/>
  <c r="AX9" s="1"/>
  <c r="AX20" s="1"/>
  <c r="BC8"/>
  <c r="BD8"/>
  <c r="BD9" s="1"/>
  <c r="BD20" s="1"/>
  <c r="AV8"/>
  <c r="AV9" s="1"/>
  <c r="AY11" l="1"/>
  <c r="AY15" s="1"/>
  <c r="BB11"/>
  <c r="BB15" s="1"/>
  <c r="AX10"/>
  <c r="AX14" s="1"/>
  <c r="AZ11"/>
  <c r="AZ15" s="1"/>
  <c r="AZ10"/>
  <c r="AZ14" s="1"/>
  <c r="AW11"/>
  <c r="AW15" s="1"/>
  <c r="BD10"/>
  <c r="BD14" s="1"/>
  <c r="BA11"/>
  <c r="BA15" s="1"/>
  <c r="BB20"/>
  <c r="BG20"/>
  <c r="AS20"/>
  <c r="BC11"/>
  <c r="BC9"/>
  <c r="AN20"/>
  <c r="AU14"/>
  <c r="AU20"/>
  <c r="AU15"/>
  <c r="AY20"/>
  <c r="AO11"/>
  <c r="AO9"/>
  <c r="BE11"/>
  <c r="BE9"/>
  <c r="BA20"/>
  <c r="AP11"/>
  <c r="AP9"/>
  <c r="AT10"/>
  <c r="AT14" s="1"/>
  <c r="BG10"/>
  <c r="BG14" s="1"/>
  <c r="AW10"/>
  <c r="AW14" s="1"/>
  <c r="AV11"/>
  <c r="AV15" s="1"/>
  <c r="BG11"/>
  <c r="BG15" s="1"/>
  <c r="AV10"/>
  <c r="AV14" s="1"/>
  <c r="BC10"/>
  <c r="AR10"/>
  <c r="AR14" s="1"/>
  <c r="AN10"/>
  <c r="AN14" s="1"/>
  <c r="AS11"/>
  <c r="AS15" s="1"/>
  <c r="AN11"/>
  <c r="AN15" s="1"/>
  <c r="AQ11"/>
  <c r="AQ9"/>
  <c r="AQ14" s="1"/>
  <c r="AT20"/>
  <c r="AV20"/>
  <c r="AR20"/>
  <c r="BF11"/>
  <c r="BF9"/>
  <c r="BB10"/>
  <c r="BB14" s="1"/>
  <c r="AS10"/>
  <c r="AS14" s="1"/>
  <c r="AR11"/>
  <c r="AR15" s="1"/>
  <c r="AT11"/>
  <c r="AT15" s="1"/>
  <c r="AX11"/>
  <c r="AX15" s="1"/>
  <c r="BD11"/>
  <c r="BD15" s="1"/>
  <c r="AY10"/>
  <c r="AY14" s="1"/>
  <c r="AO10"/>
  <c r="BE10"/>
  <c r="BA10"/>
  <c r="BA14" s="1"/>
  <c r="AP10"/>
  <c r="AX16" l="1"/>
  <c r="AX21" s="1"/>
  <c r="BD16"/>
  <c r="BD21" s="1"/>
  <c r="AZ16"/>
  <c r="AZ17" s="1"/>
  <c r="BB16"/>
  <c r="BB21" s="1"/>
  <c r="AT16"/>
  <c r="AT17" s="1"/>
  <c r="BG16"/>
  <c r="AN16"/>
  <c r="AN17" s="1"/>
  <c r="AV16"/>
  <c r="AY16"/>
  <c r="AY17" s="1"/>
  <c r="AQ20"/>
  <c r="AQ15"/>
  <c r="AQ16" s="1"/>
  <c r="AW16"/>
  <c r="AW17" s="1"/>
  <c r="BC15"/>
  <c r="BC14"/>
  <c r="BC20"/>
  <c r="AU16"/>
  <c r="BF14"/>
  <c r="BF15"/>
  <c r="BF20"/>
  <c r="AR16"/>
  <c r="AR17" s="1"/>
  <c r="AO14"/>
  <c r="AO20"/>
  <c r="AO15"/>
  <c r="BA16"/>
  <c r="BA17" s="1"/>
  <c r="AS16"/>
  <c r="AS17" s="1"/>
  <c r="AP20"/>
  <c r="AP14"/>
  <c r="AP15"/>
  <c r="BE14"/>
  <c r="BE20"/>
  <c r="BE15"/>
  <c r="AZ18" l="1"/>
  <c r="AX17"/>
  <c r="BD18"/>
  <c r="AX19"/>
  <c r="AX22" s="1"/>
  <c r="BD19"/>
  <c r="BD22" s="1"/>
  <c r="AX18"/>
  <c r="BD17"/>
  <c r="AZ19"/>
  <c r="AZ21"/>
  <c r="BB18"/>
  <c r="BB17"/>
  <c r="BB19"/>
  <c r="AP16"/>
  <c r="AO16"/>
  <c r="AQ19"/>
  <c r="AQ18"/>
  <c r="AQ21"/>
  <c r="BC16"/>
  <c r="AV18"/>
  <c r="AV19"/>
  <c r="AV21"/>
  <c r="BE16"/>
  <c r="AR18"/>
  <c r="AR19"/>
  <c r="AR21"/>
  <c r="BG17"/>
  <c r="BG19"/>
  <c r="BG21"/>
  <c r="BG18"/>
  <c r="AQ17"/>
  <c r="AV17"/>
  <c r="BB22"/>
  <c r="AT18"/>
  <c r="AT19"/>
  <c r="AT21"/>
  <c r="AS19"/>
  <c r="AS18"/>
  <c r="AS21"/>
  <c r="BA18"/>
  <c r="BA19"/>
  <c r="BA21"/>
  <c r="AU17"/>
  <c r="AU18"/>
  <c r="AU21"/>
  <c r="AU19"/>
  <c r="AW18"/>
  <c r="AW19"/>
  <c r="AW21"/>
  <c r="AY18"/>
  <c r="AY19"/>
  <c r="AY21"/>
  <c r="AN18"/>
  <c r="AN21"/>
  <c r="AN19"/>
  <c r="BF16"/>
  <c r="AX23" l="1"/>
  <c r="AZ22"/>
  <c r="AZ24" s="1"/>
  <c r="AW22"/>
  <c r="AW24" s="1"/>
  <c r="AX24"/>
  <c r="BD24"/>
  <c r="AQ22"/>
  <c r="AQ24" s="1"/>
  <c r="AV22"/>
  <c r="AV24" s="1"/>
  <c r="AI18" s="1"/>
  <c r="AU22"/>
  <c r="AU24" s="1"/>
  <c r="AY22"/>
  <c r="AY23" s="1"/>
  <c r="AT22"/>
  <c r="AT24" s="1"/>
  <c r="AI17"/>
  <c r="BB24"/>
  <c r="BB23"/>
  <c r="AO21"/>
  <c r="AO18"/>
  <c r="AO19"/>
  <c r="BE19"/>
  <c r="BE18"/>
  <c r="BE21"/>
  <c r="BC21"/>
  <c r="BC19"/>
  <c r="BC18"/>
  <c r="AP19"/>
  <c r="AP18"/>
  <c r="AP21"/>
  <c r="BF17"/>
  <c r="BF18"/>
  <c r="BF21"/>
  <c r="BF19"/>
  <c r="AN22"/>
  <c r="AN24" s="1"/>
  <c r="BE17"/>
  <c r="AP17"/>
  <c r="BD23"/>
  <c r="BA22"/>
  <c r="BA24" s="1"/>
  <c r="AS22"/>
  <c r="AS24" s="1"/>
  <c r="BG22"/>
  <c r="BG24" s="1"/>
  <c r="AR22"/>
  <c r="AR24" s="1"/>
  <c r="BC17"/>
  <c r="AO17"/>
  <c r="AW23" l="1"/>
  <c r="AU23"/>
  <c r="AY24"/>
  <c r="AQ23"/>
  <c r="AZ23"/>
  <c r="AV23"/>
  <c r="BG23"/>
  <c r="AP22"/>
  <c r="AP24" s="1"/>
  <c r="AR23"/>
  <c r="AT23"/>
  <c r="BF22"/>
  <c r="BE22"/>
  <c r="BE24" s="1"/>
  <c r="AO22"/>
  <c r="AO24" s="1"/>
  <c r="AN23"/>
  <c r="BC22"/>
  <c r="BC24" s="1"/>
  <c r="AS23"/>
  <c r="BA23"/>
  <c r="AO23" l="1"/>
  <c r="AP23"/>
  <c r="BC23"/>
  <c r="BF23"/>
  <c r="BF24"/>
  <c r="BE23"/>
</calcChain>
</file>

<file path=xl/sharedStrings.xml><?xml version="1.0" encoding="utf-8"?>
<sst xmlns="http://schemas.openxmlformats.org/spreadsheetml/2006/main" count="823" uniqueCount="511">
  <si>
    <t>2p [-]</t>
  </si>
  <si>
    <t>[mm]</t>
  </si>
  <si>
    <t>[m]</t>
  </si>
  <si>
    <t>[-]</t>
  </si>
  <si>
    <t>[%]</t>
  </si>
  <si>
    <t>[W]</t>
  </si>
  <si>
    <t>[rad/s]</t>
  </si>
  <si>
    <t>[T]</t>
  </si>
  <si>
    <t>[A/m]</t>
  </si>
  <si>
    <t>h</t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</si>
  <si>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1e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</si>
  <si>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</si>
  <si>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1i</t>
    </r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</si>
  <si>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</si>
  <si>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E</t>
    </r>
  </si>
  <si>
    <t>ɲ</t>
  </si>
  <si>
    <r>
      <t>cos(</t>
    </r>
    <r>
      <rPr>
        <sz val="11"/>
        <color theme="1"/>
        <rFont val="Calibri"/>
        <family val="2"/>
        <charset val="238"/>
      </rPr>
      <t>ϕ</t>
    </r>
    <r>
      <rPr>
        <i/>
        <sz val="11"/>
        <color theme="1"/>
        <rFont val="Calibri"/>
        <family val="2"/>
        <charset val="238"/>
        <scheme val="minor"/>
      </rPr>
      <t>)</t>
    </r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</si>
  <si>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i</t>
    </r>
  </si>
  <si>
    <r>
      <t>α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</si>
  <si>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B</t>
    </r>
  </si>
  <si>
    <r>
      <t>ω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</si>
  <si>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v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</si>
  <si>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</si>
  <si>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t>A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</si>
  <si>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</si>
  <si>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𝜆</t>
  </si>
  <si>
    <t xml:space="preserve">Účinnost </t>
  </si>
  <si>
    <t xml:space="preserve">Účinník </t>
  </si>
  <si>
    <t>Vnitřní výkon</t>
  </si>
  <si>
    <t xml:space="preserve">Činitel pólového krytí </t>
  </si>
  <si>
    <t xml:space="preserve">Činitel tvaru pole </t>
  </si>
  <si>
    <t xml:space="preserve">Činitel vinutí </t>
  </si>
  <si>
    <t xml:space="preserve">Synchronní úhlová rychlost </t>
  </si>
  <si>
    <t xml:space="preserve">Indukce ve vzduchové mezeře </t>
  </si>
  <si>
    <t xml:space="preserve">Lineární proudová hustota </t>
  </si>
  <si>
    <t xml:space="preserve">Délka stroje </t>
  </si>
  <si>
    <t xml:space="preserve">Štíhlostní poměr </t>
  </si>
  <si>
    <t xml:space="preserve">Výška osy hřídele </t>
  </si>
  <si>
    <t xml:space="preserve">Vnější průměr stroje </t>
  </si>
  <si>
    <t xml:space="preserve">Vztah mezi průměry </t>
  </si>
  <si>
    <t>Pólová rozteč</t>
  </si>
  <si>
    <t>Poměr napětí</t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</si>
  <si>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[W]</t>
    </r>
  </si>
  <si>
    <t>Vnitřní průměr statoru</t>
  </si>
  <si>
    <t>Počet fází vinutí</t>
  </si>
  <si>
    <t>m</t>
  </si>
  <si>
    <t>Počet drážek na pól a fázi</t>
  </si>
  <si>
    <t>q</t>
  </si>
  <si>
    <t>Počet drážek statoru</t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</si>
  <si>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</si>
  <si>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Drážková rozteč</t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</si>
  <si>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d1 max</t>
    </r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</si>
  <si>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d1 min</t>
    </r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</si>
  <si>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1min</t>
    </r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</si>
  <si>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1max</t>
    </r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</si>
  <si>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d1</t>
    </r>
  </si>
  <si>
    <t>Drážková rozteč - výpočet</t>
  </si>
  <si>
    <t>Počet vodičů v drážce</t>
  </si>
  <si>
    <r>
      <t>V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</si>
  <si>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r>
      <t>V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  <r>
      <rPr>
        <i/>
        <sz val="11"/>
        <color theme="1"/>
        <rFont val="Calibri"/>
        <family val="2"/>
        <charset val="238"/>
        <scheme val="minor"/>
      </rPr>
      <t>'</t>
    </r>
  </si>
  <si>
    <t>Jmenovitý proud statoru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</si>
  <si>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1N</t>
    </r>
  </si>
  <si>
    <t>[A]</t>
  </si>
  <si>
    <t>Jmenovité napětí statoru</t>
  </si>
  <si>
    <t>[V]</t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</si>
  <si>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1N</t>
    </r>
  </si>
  <si>
    <t>Počet paralelních větví</t>
  </si>
  <si>
    <t>Počet závitů</t>
  </si>
  <si>
    <r>
      <t>N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</si>
  <si>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Počet paralelních vodičů</t>
  </si>
  <si>
    <t>a</t>
  </si>
  <si>
    <t>Lineární proudová hustota</t>
  </si>
  <si>
    <t>Magnetický indukční tok</t>
  </si>
  <si>
    <t>𝜙</t>
  </si>
  <si>
    <t>[Wb]</t>
  </si>
  <si>
    <t>Proudová hustota</t>
  </si>
  <si>
    <r>
      <t>A</t>
    </r>
    <r>
      <rPr>
        <i/>
        <sz val="11"/>
        <color theme="1"/>
        <rFont val="Calibri"/>
        <family val="2"/>
        <charset val="238"/>
      </rPr>
      <t>·</t>
    </r>
    <r>
      <rPr>
        <i/>
        <sz val="11"/>
        <color theme="1"/>
        <rFont val="Calibri"/>
        <family val="2"/>
        <charset val="238"/>
        <scheme val="minor"/>
      </rPr>
      <t>J</t>
    </r>
  </si>
  <si>
    <r>
      <t>[A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·m</t>
    </r>
    <r>
      <rPr>
        <vertAlign val="superscript"/>
        <sz val="11"/>
        <color theme="1"/>
        <rFont val="Calibri"/>
        <family val="2"/>
        <charset val="238"/>
        <scheme val="minor"/>
      </rPr>
      <t>-3</t>
    </r>
    <r>
      <rPr>
        <sz val="11"/>
        <color theme="1"/>
        <rFont val="Calibri"/>
        <family val="2"/>
        <charset val="238"/>
        <scheme val="minor"/>
      </rPr>
      <t>]</t>
    </r>
  </si>
  <si>
    <t>J</t>
  </si>
  <si>
    <r>
      <t>[A·m</t>
    </r>
    <r>
      <rPr>
        <vertAlign val="superscript"/>
        <sz val="11"/>
        <color theme="1"/>
        <rFont val="Calibri"/>
        <family val="2"/>
        <charset val="238"/>
        <scheme val="minor"/>
      </rPr>
      <t>-2</t>
    </r>
    <r>
      <rPr>
        <sz val="11"/>
        <color theme="1"/>
        <rFont val="Calibri"/>
        <family val="2"/>
        <charset val="238"/>
        <scheme val="minor"/>
      </rPr>
      <t>]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</si>
  <si>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ef1</t>
    </r>
  </si>
  <si>
    <t>Efektivní průřez vodiče</t>
  </si>
  <si>
    <r>
      <t>[m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]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</si>
  <si>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</si>
  <si>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Výška jha statoru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</si>
  <si>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</si>
  <si>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Činitel plnění železa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</si>
  <si>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</si>
  <si>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Indukce Jha statoru</t>
  </si>
  <si>
    <t>Šířka zubu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</si>
  <si>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</si>
  <si>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t>Indukce zubu statoru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</si>
  <si>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</si>
  <si>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t>Hloubka drážky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</si>
  <si>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d1</t>
    </r>
  </si>
  <si>
    <t>Šířka dna drážky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</si>
  <si>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</si>
  <si>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Šířka vrcholu drážky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</si>
  <si>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</si>
  <si>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</si>
  <si>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</si>
  <si>
    <t>Činitel plnění drážky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</si>
  <si>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</si>
  <si>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</si>
  <si>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t>Aktivní hloubka drážky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</si>
  <si>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</si>
  <si>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Plocha průřezu drážky</t>
  </si>
  <si>
    <t>Průměr vodiče</t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</si>
  <si>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v</t>
    </r>
  </si>
  <si>
    <t>Počet drážek rotoru</t>
  </si>
  <si>
    <t>Převod</t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</si>
  <si>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i</t>
    </r>
  </si>
  <si>
    <t>Vliv magnetizačního proudu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</si>
  <si>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i</t>
    </r>
  </si>
  <si>
    <t>Proud v tyči</t>
  </si>
  <si>
    <t xml:space="preserve">Proudová hustota </t>
  </si>
  <si>
    <r>
      <t>J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</si>
  <si>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>Průřez tyče</t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</si>
  <si>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</si>
  <si>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Pootočení proudu v tyčích</t>
  </si>
  <si>
    <t>α</t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</si>
  <si>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</si>
  <si>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>Šířka drážky pod krčkem</t>
  </si>
  <si>
    <t>Šířka drážky u dna</t>
  </si>
  <si>
    <t>Vnější průměr rotoru</t>
  </si>
  <si>
    <t>Vnitřní průměr rotoru</t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</si>
  <si>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e2</t>
    </r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</si>
  <si>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i2</t>
    </r>
  </si>
  <si>
    <t>Výška jha rotoru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</si>
  <si>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</si>
  <si>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Velikost vzduchové mezery</t>
  </si>
  <si>
    <t>δ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</si>
  <si>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21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</si>
  <si>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</si>
  <si>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d2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</si>
  <si>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</si>
  <si>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t>Drážková rozteč rotoru</t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</si>
  <si>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d2</t>
    </r>
  </si>
  <si>
    <t>Fáze vinutí rotoru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</si>
  <si>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</si>
  <si>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Skutečný průřez tyče</t>
  </si>
  <si>
    <t>Maximální indukce jha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</si>
  <si>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  <r>
      <rPr>
        <i/>
        <sz val="11"/>
        <color theme="1"/>
        <rFont val="Calibri"/>
        <family val="2"/>
        <charset val="238"/>
        <scheme val="minor"/>
      </rPr>
      <t>'</t>
    </r>
  </si>
  <si>
    <t>Skutečná indukce v zubech statoru</t>
  </si>
  <si>
    <t>Skutečná indukce ve jhu statoru</t>
  </si>
  <si>
    <t xml:space="preserve">Skutečná indukce ve vzduchové mezeře </t>
  </si>
  <si>
    <t>Skutečná indukce v zubech rotoru</t>
  </si>
  <si>
    <t>Skutečná indukce ve jhu rotoru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</si>
  <si>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</si>
  <si>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</si>
  <si>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t>Magnetické napětí vzduch. mezery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</si>
  <si>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</si>
  <si>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</si>
  <si>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</si>
  <si>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</si>
  <si>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</si>
  <si>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Mag. intenzita zubu statoru</t>
  </si>
  <si>
    <t>Mag. intenzita zubu rotoru</t>
  </si>
  <si>
    <t>Mag. napětí zubu statoru</t>
  </si>
  <si>
    <t>Mag. napětí zubu rotoru</t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</si>
  <si>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</si>
  <si>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Mag. intenzita jha statoru</t>
  </si>
  <si>
    <t>Mag. napětí jha statoru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</si>
  <si>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</si>
  <si>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Mag. intenzita jha rotoru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</si>
  <si>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</si>
  <si>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Délka střední mag. Indukční čáry stat.</t>
  </si>
  <si>
    <t>Délka střední mag. Indukční čáry rot.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</si>
  <si>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</si>
  <si>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Mag. napětí jha rotoru</t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</si>
  <si>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</si>
  <si>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Výsledné mag. napětí</t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</si>
  <si>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m</t>
    </r>
  </si>
  <si>
    <t>Magnetizační proud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</si>
  <si>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ϻ</t>
    </r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</si>
  <si>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ϻ</t>
    </r>
  </si>
  <si>
    <t>Poměrná hodnota mag. proudu</t>
  </si>
  <si>
    <t>Průřez 1 vodiče</t>
  </si>
  <si>
    <r>
      <t>n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</si>
  <si>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v</t>
    </r>
  </si>
  <si>
    <t>Počet dílčích vodičů</t>
  </si>
  <si>
    <t>Skutečná proudová hustota</t>
  </si>
  <si>
    <t>Výška otevření</t>
  </si>
  <si>
    <t>Šířka otevření</t>
  </si>
  <si>
    <t>Indukce zubu</t>
  </si>
  <si>
    <t>Celková hloubka drážky</t>
  </si>
  <si>
    <t>Šířka krčku</t>
  </si>
  <si>
    <t>Výška krčku</t>
  </si>
  <si>
    <t>Součin proud. hustot</t>
  </si>
  <si>
    <t>Výška můstku nad drážkou</t>
  </si>
  <si>
    <t>Výpočtová výška zubu statoru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</si>
  <si>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</si>
  <si>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t>Výpočtová výška zubu rotoru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</si>
  <si>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</si>
  <si>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t>Carterův činitel statoru</t>
  </si>
  <si>
    <t>Carterův činitel rotoru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</si>
  <si>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c1</t>
    </r>
  </si>
  <si>
    <t>Činitel nasycení mag. Obvodu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</si>
  <si>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ϻ</t>
    </r>
  </si>
  <si>
    <t>Odpor vinutí statoru</t>
  </si>
  <si>
    <t>[𝛀]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</si>
  <si>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</si>
  <si>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Měrný odpor mědi</t>
  </si>
  <si>
    <t>[𝛀m]</t>
  </si>
  <si>
    <t>L</t>
  </si>
  <si>
    <t>Střední délka závitu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</si>
  <si>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av</t>
    </r>
  </si>
  <si>
    <t>Délka čela</t>
  </si>
  <si>
    <t>Střední délka cívky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</si>
  <si>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c</t>
    </r>
  </si>
  <si>
    <t>Koeficient prodloužení čel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</si>
  <si>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č</t>
    </r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</si>
  <si>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č</t>
    </r>
  </si>
  <si>
    <t>Měrný odpor hliníku</t>
  </si>
  <si>
    <r>
      <rPr>
        <i/>
        <sz val="11"/>
        <color theme="1"/>
        <rFont val="Calibri"/>
        <family val="2"/>
        <charset val="238"/>
        <scheme val="minor"/>
      </rPr>
      <t>ρ</t>
    </r>
    <r>
      <rPr>
        <i/>
        <vertAlign val="subscript"/>
        <sz val="11"/>
        <color theme="1"/>
        <rFont val="Calibri"/>
        <family val="2"/>
        <charset val="238"/>
        <scheme val="minor"/>
      </rPr>
      <t>Cu</t>
    </r>
  </si>
  <si>
    <r>
      <t>ρ</t>
    </r>
    <r>
      <rPr>
        <i/>
        <vertAlign val="subscript"/>
        <sz val="11"/>
        <color theme="1"/>
        <rFont val="Calibri"/>
        <family val="2"/>
        <charset val="238"/>
        <scheme val="minor"/>
      </rPr>
      <t>Al</t>
    </r>
  </si>
  <si>
    <t>Odpor tyče</t>
  </si>
  <si>
    <t>Odpor kruhu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</si>
  <si>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</si>
  <si>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</si>
  <si>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Délka tyče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</si>
  <si>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</si>
  <si>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Průměr kruhu</t>
  </si>
  <si>
    <t>Výška kruhu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</si>
  <si>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</si>
  <si>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r>
      <t>a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</si>
  <si>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Délka kruhu</t>
  </si>
  <si>
    <t>Sk'</t>
  </si>
  <si>
    <t>Proudová hustota tyče</t>
  </si>
  <si>
    <r>
      <t>J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</si>
  <si>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Proudová hustota kruhů</t>
  </si>
  <si>
    <r>
      <t>J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</si>
  <si>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∆</t>
  </si>
  <si>
    <t>Proud kruhů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</si>
  <si>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</si>
  <si>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</si>
  <si>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Skutečný průřez kruhu</t>
  </si>
  <si>
    <t>Průřez kruhu</t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</si>
  <si>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</si>
  <si>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Odpor rotoru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</si>
  <si>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</si>
  <si>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>Přepočtený odpor rotoru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</si>
  <si>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  <r>
      <rPr>
        <i/>
        <sz val="11"/>
        <color theme="1"/>
        <rFont val="Calibri"/>
        <family val="2"/>
        <charset val="238"/>
        <scheme val="minor"/>
      </rPr>
      <t>'</t>
    </r>
  </si>
  <si>
    <t>Činitel nasycení zubů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</si>
  <si>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z</t>
    </r>
  </si>
  <si>
    <t>Rozptylová reaktance statoru</t>
  </si>
  <si>
    <r>
      <t>X</t>
    </r>
    <r>
      <rPr>
        <i/>
        <vertAlign val="subscript"/>
        <sz val="11"/>
        <color theme="1"/>
        <rFont val="Calibri"/>
        <family val="2"/>
        <charset val="238"/>
        <scheme val="minor"/>
      </rPr>
      <t>1δ</t>
    </r>
  </si>
  <si>
    <t>𝜷</t>
  </si>
  <si>
    <t>Poměrné zkrácení kroku</t>
  </si>
  <si>
    <t>Činitel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</si>
  <si>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  <r>
      <rPr>
        <i/>
        <sz val="11"/>
        <color theme="1"/>
        <rFont val="Calibri"/>
        <family val="2"/>
        <charset val="238"/>
        <scheme val="minor"/>
      </rPr>
      <t xml:space="preserve"> / t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</si>
  <si>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  <r>
      <rPr>
        <i/>
        <sz val="11"/>
        <color theme="1"/>
        <rFont val="Calibri"/>
        <family val="2"/>
        <charset val="238"/>
        <scheme val="minor"/>
      </rPr>
      <t xml:space="preserve"> / δ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</si>
  <si>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𝜷</t>
    </r>
  </si>
  <si>
    <t>Rozptylová reaktance rotoru</t>
  </si>
  <si>
    <t>Rozptyl čel statoru</t>
  </si>
  <si>
    <t>Vodivost drážek statoru</t>
  </si>
  <si>
    <t>Diferenční rozptyl statoru</t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</si>
  <si>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č1</t>
    </r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</si>
  <si>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d1</t>
    </r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</si>
  <si>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dif1</t>
    </r>
  </si>
  <si>
    <t>Rozptyl čel rotoru</t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</si>
  <si>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č2</t>
    </r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</si>
  <si>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d2</t>
    </r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</si>
  <si>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dif2</t>
    </r>
  </si>
  <si>
    <t>Vodivost drážek rotoru</t>
  </si>
  <si>
    <t>Diferenční rozptyl rotoru</t>
  </si>
  <si>
    <r>
      <t>ξ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</si>
  <si>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ξ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</si>
  <si>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Δz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</si>
  <si>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Δz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</si>
  <si>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Poměr statoru</t>
  </si>
  <si>
    <t>Poměr rotoru</t>
  </si>
  <si>
    <t>Činitel přepočtů proudů</t>
  </si>
  <si>
    <r>
      <t>∆</t>
    </r>
    <r>
      <rPr>
        <vertAlign val="subscript"/>
        <sz val="11"/>
        <color theme="1"/>
        <rFont val="Calibri"/>
        <family val="2"/>
        <charset val="238"/>
      </rPr>
      <t>2</t>
    </r>
  </si>
  <si>
    <t>Přepočtená reaktance rotoru</t>
  </si>
  <si>
    <t>Odpor příčné větve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</si>
  <si>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</si>
  <si>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Vzájemná indukčnost rot. a stat.</t>
  </si>
  <si>
    <r>
      <t>X</t>
    </r>
    <r>
      <rPr>
        <i/>
        <vertAlign val="subscript"/>
        <sz val="11"/>
        <color theme="1"/>
        <rFont val="Calibri"/>
        <family val="2"/>
        <charset val="238"/>
        <scheme val="minor"/>
      </rPr>
      <t>ϻ</t>
    </r>
  </si>
  <si>
    <t>Hlavní ztráty v železe statoru</t>
  </si>
  <si>
    <t>Měrné ztráty v Fe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</si>
  <si>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1,0</t>
    </r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</si>
  <si>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Feh</t>
    </r>
  </si>
  <si>
    <t>[W/kg]</t>
  </si>
  <si>
    <t>Použitá ocel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</si>
  <si>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dj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</si>
  <si>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dz</t>
    </r>
  </si>
  <si>
    <t>Hustota železa</t>
  </si>
  <si>
    <r>
      <t>ρ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</si>
  <si>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r>
      <t>[kg/m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</si>
  <si>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t>Hmotnost statorového jha</t>
  </si>
  <si>
    <t>[kg]</t>
  </si>
  <si>
    <r>
      <t>m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</si>
  <si>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Hmotnost zubů statoru</t>
  </si>
  <si>
    <r>
      <t>m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</si>
  <si>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t>Povrchové ztráty ve statoru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</si>
  <si>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δp1</t>
    </r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</si>
  <si>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δp2</t>
    </r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</si>
  <si>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δp1</t>
    </r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</si>
  <si>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δp2</t>
    </r>
  </si>
  <si>
    <t>Vliv opracování plechů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</si>
  <si>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o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</si>
  <si>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o1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</si>
  <si>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o2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</si>
  <si>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c</t>
    </r>
  </si>
  <si>
    <r>
      <t>β</t>
    </r>
    <r>
      <rPr>
        <i/>
        <vertAlign val="subscript"/>
        <sz val="11"/>
        <color theme="1"/>
        <rFont val="Calibri"/>
        <family val="2"/>
        <charset val="238"/>
        <scheme val="minor"/>
      </rPr>
      <t>01</t>
    </r>
  </si>
  <si>
    <r>
      <t>β</t>
    </r>
    <r>
      <rPr>
        <i/>
        <vertAlign val="subscript"/>
        <sz val="11"/>
        <color theme="1"/>
        <rFont val="Calibri"/>
        <family val="2"/>
        <charset val="238"/>
        <scheme val="minor"/>
      </rPr>
      <t>02</t>
    </r>
  </si>
  <si>
    <r>
      <t>[W/m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]</t>
    </r>
  </si>
  <si>
    <t>Hustota ztrát statoru</t>
  </si>
  <si>
    <t>Hustota ztrát rotoru</t>
  </si>
  <si>
    <t>n</t>
  </si>
  <si>
    <t>[ot/min]</t>
  </si>
  <si>
    <t>Rychlost otáčení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</si>
  <si>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p1</t>
    </r>
  </si>
  <si>
    <t>Pulzní ztráty v rotoru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</si>
  <si>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p2</t>
    </r>
  </si>
  <si>
    <t>Amplituda pulzací δ stat.</t>
  </si>
  <si>
    <t>Amplituda pulzací δ rot.</t>
  </si>
  <si>
    <t>Amplituda pulzací zub. stat.</t>
  </si>
  <si>
    <t>Amplituda pulzací zub. rot.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</si>
  <si>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p1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</si>
  <si>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p2</t>
    </r>
  </si>
  <si>
    <r>
      <t>γ</t>
    </r>
    <r>
      <rPr>
        <vertAlign val="subscript"/>
        <sz val="11"/>
        <color theme="1"/>
        <rFont val="Times"/>
        <family val="1"/>
      </rPr>
      <t>1</t>
    </r>
  </si>
  <si>
    <r>
      <t>γ</t>
    </r>
    <r>
      <rPr>
        <vertAlign val="subscript"/>
        <sz val="11"/>
        <color theme="1"/>
        <rFont val="Times"/>
        <family val="1"/>
      </rPr>
      <t>2</t>
    </r>
  </si>
  <si>
    <r>
      <t>m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</si>
  <si>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t>Hmotnost zubů rotoru</t>
  </si>
  <si>
    <t>Celkové ztráty v železe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</si>
  <si>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</si>
  <si>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Jouleovy ztráty ve statoru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</si>
  <si>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</si>
  <si>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</si>
  <si>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Jouleovy ztráty v rotoru</t>
  </si>
  <si>
    <t>Pulzní ztráty ve statoru</t>
  </si>
  <si>
    <t>Mechanické ztráty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</si>
  <si>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mech</t>
    </r>
  </si>
  <si>
    <t>∆P</t>
  </si>
  <si>
    <t>Železo + Jouleovy</t>
  </si>
  <si>
    <t>Celkové ztráty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</si>
  <si>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celk</t>
    </r>
  </si>
  <si>
    <t>Skutečná účinnost</t>
  </si>
  <si>
    <t>Povrchové ztráty v rotoru</t>
  </si>
  <si>
    <t>Délka vinutí statoru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</si>
  <si>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</si>
  <si>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r>
      <t>X</t>
    </r>
    <r>
      <rPr>
        <i/>
        <vertAlign val="subscript"/>
        <sz val="11"/>
        <color theme="1"/>
        <rFont val="Calibri"/>
        <family val="2"/>
        <charset val="238"/>
        <scheme val="minor"/>
      </rPr>
      <t>2δ</t>
    </r>
    <r>
      <rPr>
        <i/>
        <sz val="11"/>
        <color theme="1"/>
        <rFont val="Calibri"/>
        <family val="2"/>
        <charset val="238"/>
        <scheme val="minor"/>
      </rPr>
      <t>'</t>
    </r>
  </si>
  <si>
    <r>
      <t>X</t>
    </r>
    <r>
      <rPr>
        <i/>
        <vertAlign val="subscript"/>
        <sz val="11"/>
        <color theme="1"/>
        <rFont val="Calibri"/>
        <family val="2"/>
        <charset val="238"/>
        <scheme val="minor"/>
      </rPr>
      <t>2δ</t>
    </r>
  </si>
  <si>
    <t>Hopkinsův činitel rozptylu</t>
  </si>
  <si>
    <t>Koeficient</t>
  </si>
  <si>
    <t>a'</t>
  </si>
  <si>
    <t>b</t>
  </si>
  <si>
    <t>b'</t>
  </si>
  <si>
    <t>Jalový proud při synch. Chodu</t>
  </si>
  <si>
    <t>Činný proud při synch. Chodu</t>
  </si>
  <si>
    <r>
      <t>Proud naprázdno pro n</t>
    </r>
    <r>
      <rPr>
        <vertAlign val="subscript"/>
        <sz val="11"/>
        <color theme="1"/>
        <rFont val="Calibri"/>
        <family val="2"/>
        <charset val="238"/>
        <scheme val="minor"/>
      </rPr>
      <t>s</t>
    </r>
  </si>
  <si>
    <t>Skluz zvratu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</si>
  <si>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(0)j</t>
    </r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</si>
  <si>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(0)č</t>
    </r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</si>
  <si>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(0)</t>
    </r>
  </si>
  <si>
    <r>
      <t>c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</si>
  <si>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r>
      <t>a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</si>
  <si>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z</t>
    </r>
  </si>
  <si>
    <t>Moment zvratu</t>
  </si>
  <si>
    <r>
      <t>M</t>
    </r>
    <r>
      <rPr>
        <i/>
        <vertAlign val="subscript"/>
        <sz val="11"/>
        <color theme="1"/>
        <rFont val="Calibri"/>
        <family val="2"/>
        <charset val="238"/>
        <scheme val="minor"/>
      </rPr>
      <t>max</t>
    </r>
  </si>
  <si>
    <t>[Nm]</t>
  </si>
  <si>
    <t>s</t>
  </si>
  <si>
    <t>Skluz</t>
  </si>
  <si>
    <t>Úhlová rychlost</t>
  </si>
  <si>
    <r>
      <t>ω</t>
    </r>
    <r>
      <rPr>
        <vertAlign val="subscript"/>
        <sz val="15.95"/>
        <color theme="1"/>
        <rFont val="Calibri"/>
        <family val="2"/>
        <charset val="238"/>
      </rPr>
      <t>s</t>
    </r>
  </si>
  <si>
    <t>Impedance</t>
  </si>
  <si>
    <t>Moment (Kloss)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</si>
  <si>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sk</t>
    </r>
  </si>
  <si>
    <t>Moment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</si>
  <si>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s</t>
    </r>
  </si>
  <si>
    <t>Jmenovitý skluz</t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</si>
  <si>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n</t>
    </r>
  </si>
  <si>
    <t>Jmenovité otáčky hřídele</t>
  </si>
  <si>
    <t>Jmenovité otáčky statoru</t>
  </si>
  <si>
    <r>
      <t>n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</si>
  <si>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r>
      <t>n</t>
    </r>
    <r>
      <rPr>
        <i/>
        <vertAlign val="subscript"/>
        <sz val="11"/>
        <color rgb="FF000000"/>
        <rFont val="Calibri"/>
        <family val="2"/>
        <charset val="238"/>
        <scheme val="minor"/>
      </rPr>
      <t>2</t>
    </r>
  </si>
  <si>
    <t>Jmenovitý moment</t>
  </si>
  <si>
    <r>
      <t>M</t>
    </r>
    <r>
      <rPr>
        <i/>
        <vertAlign val="subscript"/>
        <sz val="11"/>
        <color theme="1"/>
        <rFont val="Calibri"/>
        <family val="2"/>
        <charset val="238"/>
        <scheme val="minor"/>
      </rPr>
      <t>n</t>
    </r>
  </si>
  <si>
    <t>Jmenovitá úhlová rychlost</t>
  </si>
  <si>
    <r>
      <t>ω</t>
    </r>
    <r>
      <rPr>
        <vertAlign val="subscript"/>
        <sz val="11"/>
        <color theme="1"/>
        <rFont val="Calibri"/>
        <family val="2"/>
        <charset val="238"/>
      </rPr>
      <t>1</t>
    </r>
  </si>
  <si>
    <r>
      <t>ω</t>
    </r>
    <r>
      <rPr>
        <vertAlign val="subscript"/>
        <sz val="11"/>
        <color theme="1"/>
        <rFont val="Calibri"/>
        <family val="2"/>
        <charset val="238"/>
      </rPr>
      <t>2</t>
    </r>
  </si>
  <si>
    <t>Z</t>
  </si>
  <si>
    <t>Odpor</t>
  </si>
  <si>
    <t>Reaktance</t>
  </si>
  <si>
    <t>R</t>
  </si>
  <si>
    <t>X</t>
  </si>
  <si>
    <t>Proud</t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</si>
  <si>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'</t>
    </r>
  </si>
  <si>
    <t>Proud rotoru</t>
  </si>
  <si>
    <t>Proud statoru</t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</si>
  <si>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</si>
  <si>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cos(ϕ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')</t>
    </r>
  </si>
  <si>
    <r>
      <t>sin(ϕ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')</t>
    </r>
  </si>
  <si>
    <t xml:space="preserve">Proud </t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</si>
  <si>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č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</si>
  <si>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j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</si>
  <si>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j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</si>
  <si>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č</t>
    </r>
  </si>
  <si>
    <t>Účinník</t>
  </si>
  <si>
    <r>
      <t>cos(ϕ</t>
    </r>
    <r>
      <rPr>
        <sz val="11"/>
        <color theme="1"/>
        <rFont val="Calibri"/>
        <family val="2"/>
        <charset val="238"/>
        <scheme val="minor"/>
      </rPr>
      <t>)</t>
    </r>
  </si>
  <si>
    <t>Výkon</t>
  </si>
  <si>
    <t>[kW]</t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</si>
  <si>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</si>
  <si>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</si>
  <si>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Pj1</t>
  </si>
  <si>
    <t>Pj2</t>
  </si>
  <si>
    <t>Pd</t>
  </si>
  <si>
    <t>P</t>
  </si>
  <si>
    <t>Účinnost</t>
  </si>
  <si>
    <t>Odvod ztrát do okolí</t>
  </si>
  <si>
    <t>K</t>
  </si>
  <si>
    <t>Součinitel přestupu tepla</t>
  </si>
  <si>
    <r>
      <t>[W/m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/K]</t>
    </r>
  </si>
  <si>
    <r>
      <rPr>
        <sz val="11"/>
        <color theme="1"/>
        <rFont val="Calibri"/>
        <family val="2"/>
        <charset val="238"/>
      </rPr>
      <t>α</t>
    </r>
    <r>
      <rPr>
        <i/>
        <vertAlign val="subscript"/>
        <sz val="11"/>
        <color theme="1"/>
        <rFont val="Calibri"/>
        <family val="2"/>
        <charset val="238"/>
      </rPr>
      <t>1</t>
    </r>
  </si>
  <si>
    <t>Činitel změny odporu</t>
  </si>
  <si>
    <t>k𝜚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</si>
  <si>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jd1</t>
    </r>
  </si>
  <si>
    <t>Jouleovy ztráty v drážce</t>
  </si>
  <si>
    <t>Oteplení vtniřního povrchu stat.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</si>
  <si>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</si>
  <si>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Tepelná vodivost izolace</t>
  </si>
  <si>
    <t>Ekvivalentní tepelná vodivost</t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</si>
  <si>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i</t>
    </r>
  </si>
  <si>
    <t>[W/m/K]</t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</si>
  <si>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ekv</t>
    </r>
  </si>
  <si>
    <t>Tloušťka izolace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</si>
  <si>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i1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</si>
  <si>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3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</si>
  <si>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</si>
  <si>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>Obvod drážky</t>
  </si>
  <si>
    <r>
      <t>O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</si>
  <si>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t>Teplotní spád v izolaci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</si>
  <si>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izd</t>
    </r>
  </si>
  <si>
    <t>Jouleovy ztráty v čelech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</si>
  <si>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jč1</t>
    </r>
  </si>
  <si>
    <t>Teplotní spád v izolaci čela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</si>
  <si>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izč</t>
    </r>
  </si>
  <si>
    <t>Oteplení čel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</si>
  <si>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povč</t>
    </r>
  </si>
  <si>
    <t>Střední oteplení stat. vinutí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</si>
  <si>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vinutí</t>
    </r>
  </si>
  <si>
    <t>Suma ztrát</t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</si>
  <si>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out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</si>
  <si>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out</t>
    </r>
  </si>
  <si>
    <t>Plocha</t>
  </si>
  <si>
    <t>Obvod příčného řezu</t>
  </si>
  <si>
    <r>
      <t>O</t>
    </r>
    <r>
      <rPr>
        <i/>
        <vertAlign val="subscript"/>
        <sz val="11"/>
        <color theme="1"/>
        <rFont val="Calibri"/>
        <family val="2"/>
        <charset val="238"/>
        <scheme val="minor"/>
      </rPr>
      <t>ž</t>
    </r>
  </si>
  <si>
    <t>Délka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</si>
  <si>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v1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</si>
  <si>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v</t>
    </r>
  </si>
  <si>
    <t>Činitel čel</t>
  </si>
  <si>
    <t>Délka přímé části cívky</t>
  </si>
  <si>
    <t>B</t>
  </si>
  <si>
    <r>
      <rPr>
        <sz val="11"/>
        <color theme="1"/>
        <rFont val="Calibri"/>
        <family val="2"/>
        <charset val="238"/>
      </rPr>
      <t>α</t>
    </r>
    <r>
      <rPr>
        <i/>
        <vertAlign val="subscript"/>
        <sz val="11"/>
        <color theme="1"/>
        <rFont val="Calibri"/>
        <family val="2"/>
        <charset val="238"/>
      </rPr>
      <t>v</t>
    </r>
  </si>
  <si>
    <t>Oteplení vzduchu ve stroji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</si>
  <si>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vz</t>
    </r>
  </si>
  <si>
    <t>Střední oteplení vinutí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</si>
  <si>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vin</t>
    </r>
  </si>
  <si>
    <t>Potřebný průtok vzduchu</t>
  </si>
  <si>
    <t>Q</t>
  </si>
  <si>
    <r>
      <t>[m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/s]</t>
    </r>
  </si>
  <si>
    <t>Průtok dodávaný venilátorem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</si>
  <si>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</si>
  <si>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vi</t>
    </r>
  </si>
  <si>
    <t>Skutečný činitel vinutí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</si>
  <si>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y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</si>
  <si>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r</t>
    </r>
  </si>
  <si>
    <t>Činitel rozlohy</t>
  </si>
  <si>
    <t>Činitel vinutí</t>
  </si>
  <si>
    <t>Rozměr drážky</t>
  </si>
  <si>
    <t>Ztráty v železe statoru</t>
  </si>
  <si>
    <t>Ztráty v železe rotoru</t>
  </si>
  <si>
    <t>Přídavné ztráty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</si>
  <si>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Fe1</t>
    </r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</si>
  <si>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Fe2</t>
    </r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</si>
  <si>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</si>
  <si>
    <t>Jmenovitá účinnost</t>
  </si>
  <si>
    <t>[K]</t>
  </si>
  <si>
    <t>Příkon</t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</si>
  <si>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</si>
  <si>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Jmenovitý příkon</t>
  </si>
  <si>
    <t>Počet cívek</t>
  </si>
  <si>
    <t>Přední cívkový krok</t>
  </si>
  <si>
    <r>
      <t>y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</si>
  <si>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r>
      <t>y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</si>
  <si>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r>
      <t>y</t>
    </r>
    <r>
      <rPr>
        <i/>
        <vertAlign val="subscript"/>
        <sz val="11"/>
        <color theme="1"/>
        <rFont val="Calibri"/>
        <family val="2"/>
        <charset val="238"/>
        <scheme val="minor"/>
      </rPr>
      <t>1d</t>
    </r>
  </si>
  <si>
    <t>Krok na komutátoru</t>
  </si>
  <si>
    <r>
      <t>y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</si>
  <si>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Spojkový krok</t>
  </si>
  <si>
    <t>Počet fázových svazků</t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</si>
  <si>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c</t>
    </r>
  </si>
  <si>
    <t>Matematický počet fází</t>
  </si>
  <si>
    <t>m'</t>
  </si>
  <si>
    <t>Počet fázových svazků na fázi</t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</si>
  <si>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f</t>
    </r>
  </si>
  <si>
    <t>Počet cívek ve svazku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</si>
  <si>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</si>
  <si>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2a</t>
  </si>
  <si>
    <t>Vnitřní průměr statoru zvolený</t>
  </si>
  <si>
    <t>Délka stroje zvolená</t>
  </si>
  <si>
    <t>Výška jha statoru zvolená</t>
  </si>
  <si>
    <t>Hloubka drážky zvolená</t>
  </si>
  <si>
    <t>Šířka dna drážky zvolená</t>
  </si>
  <si>
    <t>Šířka vrcholu drážky zvolená</t>
  </si>
  <si>
    <t>Aktivní hloubka drážky zvolená</t>
  </si>
  <si>
    <t>Vnitřní průměr rotoru zvolený</t>
  </si>
  <si>
    <t>Celková hloubka drážky zvolená</t>
  </si>
  <si>
    <t>Výška jha rotoru zvolená</t>
  </si>
  <si>
    <t>Šířka drážky pod krčkem zvolená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</si>
</sst>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i/>
      <sz val="11"/>
      <color theme="1"/>
      <name val="Calibri"/>
      <family val="2"/>
      <charset val="238"/>
    </font>
    <font>
      <vertAlign val="superscript"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</font>
    <font>
      <sz val="11"/>
      <color theme="1"/>
      <name val="Times"/>
      <family val="1"/>
    </font>
    <font>
      <vertAlign val="subscript"/>
      <sz val="11"/>
      <color theme="1"/>
      <name val="Times"/>
      <family val="1"/>
    </font>
    <font>
      <vertAlign val="subscript"/>
      <sz val="15.95"/>
      <color theme="1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i/>
      <vertAlign val="subscript"/>
      <sz val="11"/>
      <color rgb="FF000000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9" fillId="0" borderId="0" xfId="0" applyFont="1" applyAlignment="1">
      <alignment wrapText="1"/>
    </xf>
    <xf numFmtId="0" fontId="12" fillId="0" borderId="0" xfId="0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5" fillId="4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vertical="center"/>
    </xf>
    <xf numFmtId="164" fontId="0" fillId="0" borderId="1" xfId="0" applyNumberFormat="1" applyBorder="1"/>
    <xf numFmtId="0" fontId="0" fillId="0" borderId="1" xfId="0" applyFill="1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M=f(s)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List1!$AN$2:$BG$2</c:f>
              <c:numCache>
                <c:formatCode>General</c:formatCode>
                <c:ptCount val="20"/>
                <c:pt idx="0">
                  <c:v>1.0000000000000001E-9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3.8787776192456679E-2</c:v>
                </c:pt>
                <c:pt idx="9">
                  <c:v>0.04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</c:numCache>
            </c:numRef>
          </c:xVal>
          <c:yVal>
            <c:numRef>
              <c:f>List1!$AN$4:$BG$4</c:f>
              <c:numCache>
                <c:formatCode>General</c:formatCode>
                <c:ptCount val="20"/>
                <c:pt idx="0">
                  <c:v>0</c:v>
                </c:pt>
                <c:pt idx="1">
                  <c:v>17.713859753849981</c:v>
                </c:pt>
                <c:pt idx="2">
                  <c:v>35.382146247593425</c:v>
                </c:pt>
                <c:pt idx="3">
                  <c:v>52.95967621305941</c:v>
                </c:pt>
                <c:pt idx="4">
                  <c:v>70.402039378451278</c:v>
                </c:pt>
                <c:pt idx="5">
                  <c:v>87.665967711590724</c:v>
                </c:pt>
                <c:pt idx="6">
                  <c:v>104.70968454592125</c:v>
                </c:pt>
                <c:pt idx="7">
                  <c:v>121.49322783548432</c:v>
                </c:pt>
                <c:pt idx="8">
                  <c:v>134.01123569196309</c:v>
                </c:pt>
                <c:pt idx="9">
                  <c:v>137.97874254466194</c:v>
                </c:pt>
                <c:pt idx="10">
                  <c:v>302.46289157963707</c:v>
                </c:pt>
                <c:pt idx="11">
                  <c:v>420.12809251381009</c:v>
                </c:pt>
                <c:pt idx="12">
                  <c:v>417.58167789683239</c:v>
                </c:pt>
                <c:pt idx="13">
                  <c:v>378.16112925087936</c:v>
                </c:pt>
                <c:pt idx="14">
                  <c:v>334.66556216611355</c:v>
                </c:pt>
                <c:pt idx="15">
                  <c:v>295.96623027022713</c:v>
                </c:pt>
                <c:pt idx="16">
                  <c:v>263.41154222713141</c:v>
                </c:pt>
                <c:pt idx="17">
                  <c:v>236.36682656584418</c:v>
                </c:pt>
                <c:pt idx="18">
                  <c:v>213.84521250440332</c:v>
                </c:pt>
                <c:pt idx="19">
                  <c:v>194.94376879746221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List1!$BE$35:$BF$35</c:f>
              <c:numCache>
                <c:formatCode>General</c:formatCode>
                <c:ptCount val="2"/>
                <c:pt idx="0">
                  <c:v>0.03</c:v>
                </c:pt>
                <c:pt idx="1">
                  <c:v>0.03</c:v>
                </c:pt>
              </c:numCache>
            </c:numRef>
          </c:xVal>
          <c:yVal>
            <c:numRef>
              <c:f>List1!$BE$34:$BF$34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1"/>
        </c:ser>
        <c:ser>
          <c:idx val="2"/>
          <c:order val="2"/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trendline>
            <c:trendlineType val="linear"/>
          </c:trendline>
          <c:xVal>
            <c:numRef>
              <c:f>List1!$BE$37:$BE$38</c:f>
              <c:numCache>
                <c:formatCode>General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xVal>
          <c:yVal>
            <c:numRef>
              <c:f>List1!$BF$37:$BF$38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1"/>
        </c:ser>
        <c:axId val="117788672"/>
        <c:axId val="117790592"/>
      </c:scatterChart>
      <c:valAx>
        <c:axId val="117788672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s [-]</a:t>
                </a:r>
              </a:p>
            </c:rich>
          </c:tx>
          <c:layout/>
        </c:title>
        <c:numFmt formatCode="General" sourceLinked="1"/>
        <c:tickLblPos val="nextTo"/>
        <c:crossAx val="117790592"/>
        <c:crosses val="autoZero"/>
        <c:crossBetween val="midCat"/>
        <c:majorUnit val="0.1"/>
      </c:valAx>
      <c:valAx>
        <c:axId val="117790592"/>
        <c:scaling>
          <c:orientation val="minMax"/>
          <c:max val="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M [Nm]</a:t>
                </a:r>
              </a:p>
            </c:rich>
          </c:tx>
          <c:layout/>
        </c:title>
        <c:numFmt formatCode="General" sourceLinked="1"/>
        <c:tickLblPos val="nextTo"/>
        <c:crossAx val="117788672"/>
        <c:crosses val="autoZero"/>
        <c:crossBetween val="midCat"/>
        <c:majorUnit val="10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I=f(s)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List1!$AL$16</c:f>
              <c:strCache>
                <c:ptCount val="1"/>
                <c:pt idx="0">
                  <c:v>I1</c:v>
                </c:pt>
              </c:strCache>
            </c:strRef>
          </c:tx>
          <c:marker>
            <c:symbol val="none"/>
          </c:marker>
          <c:xVal>
            <c:numRef>
              <c:f>List1!$AN$2:$BG$2</c:f>
              <c:numCache>
                <c:formatCode>General</c:formatCode>
                <c:ptCount val="20"/>
                <c:pt idx="0">
                  <c:v>1.0000000000000001E-9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3.8787776192456679E-2</c:v>
                </c:pt>
                <c:pt idx="9">
                  <c:v>0.04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</c:numCache>
            </c:numRef>
          </c:xVal>
          <c:yVal>
            <c:numRef>
              <c:f>List1!$AN$16:$BG$16</c:f>
              <c:numCache>
                <c:formatCode>General</c:formatCode>
                <c:ptCount val="20"/>
                <c:pt idx="0">
                  <c:v>14.492699975052636</c:v>
                </c:pt>
                <c:pt idx="1">
                  <c:v>14.808142379294354</c:v>
                </c:pt>
                <c:pt idx="2">
                  <c:v>15.527551524765736</c:v>
                </c:pt>
                <c:pt idx="3">
                  <c:v>16.585214718485215</c:v>
                </c:pt>
                <c:pt idx="4">
                  <c:v>17.907995990609589</c:v>
                </c:pt>
                <c:pt idx="5">
                  <c:v>19.428725059872129</c:v>
                </c:pt>
                <c:pt idx="6">
                  <c:v>21.09193108039462</c:v>
                </c:pt>
                <c:pt idx="7">
                  <c:v>22.854346030842635</c:v>
                </c:pt>
                <c:pt idx="8">
                  <c:v>24.235099447196554</c:v>
                </c:pt>
                <c:pt idx="9">
                  <c:v>24.68312853514713</c:v>
                </c:pt>
                <c:pt idx="10">
                  <c:v>46.714924984038241</c:v>
                </c:pt>
                <c:pt idx="11">
                  <c:v>73.590926250765719</c:v>
                </c:pt>
                <c:pt idx="12">
                  <c:v>89.589901450742772</c:v>
                </c:pt>
                <c:pt idx="13">
                  <c:v>99.295472508544918</c:v>
                </c:pt>
                <c:pt idx="14">
                  <c:v>105.51168296450301</c:v>
                </c:pt>
                <c:pt idx="15">
                  <c:v>109.71671329703297</c:v>
                </c:pt>
                <c:pt idx="16">
                  <c:v>112.6990835383194</c:v>
                </c:pt>
                <c:pt idx="17">
                  <c:v>114.89926494786917</c:v>
                </c:pt>
                <c:pt idx="18">
                  <c:v>116.5761220954837</c:v>
                </c:pt>
                <c:pt idx="19">
                  <c:v>117.88915618756668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List1!$AL$9</c:f>
              <c:strCache>
                <c:ptCount val="1"/>
                <c:pt idx="0">
                  <c:v>I2'</c:v>
                </c:pt>
              </c:strCache>
            </c:strRef>
          </c:tx>
          <c:marker>
            <c:symbol val="none"/>
          </c:marker>
          <c:xVal>
            <c:numRef>
              <c:f>List1!$AN$2:$BG$2</c:f>
              <c:numCache>
                <c:formatCode>General</c:formatCode>
                <c:ptCount val="20"/>
                <c:pt idx="0">
                  <c:v>1.0000000000000001E-9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3.8787776192456679E-2</c:v>
                </c:pt>
                <c:pt idx="9">
                  <c:v>0.04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</c:numCache>
            </c:numRef>
          </c:xVal>
          <c:yVal>
            <c:numRef>
              <c:f>List1!$AN$9:$BG$9</c:f>
              <c:numCache>
                <c:formatCode>General</c:formatCode>
                <c:ptCount val="20"/>
                <c:pt idx="0">
                  <c:v>4.5653793458821579E-7</c:v>
                </c:pt>
                <c:pt idx="1">
                  <c:v>2.2715600279193175</c:v>
                </c:pt>
                <c:pt idx="2">
                  <c:v>4.5193880738041088</c:v>
                </c:pt>
                <c:pt idx="3">
                  <c:v>6.7413882209173384</c:v>
                </c:pt>
                <c:pt idx="4">
                  <c:v>8.9356195619673411</c:v>
                </c:pt>
                <c:pt idx="5">
                  <c:v>11.100299988910823</c:v>
                </c:pt>
                <c:pt idx="6">
                  <c:v>13.233808308808873</c:v>
                </c:pt>
                <c:pt idx="7">
                  <c:v>15.334684779989733</c:v>
                </c:pt>
                <c:pt idx="8">
                  <c:v>16.903690078148241</c:v>
                </c:pt>
                <c:pt idx="9">
                  <c:v>17.401630182664512</c:v>
                </c:pt>
                <c:pt idx="10">
                  <c:v>39.286751749778205</c:v>
                </c:pt>
                <c:pt idx="11">
                  <c:v>64.16654051617202</c:v>
                </c:pt>
                <c:pt idx="12">
                  <c:v>78.767968450060863</c:v>
                </c:pt>
                <c:pt idx="13">
                  <c:v>87.597309975421581</c:v>
                </c:pt>
                <c:pt idx="14">
                  <c:v>93.247060617717366</c:v>
                </c:pt>
                <c:pt idx="15">
                  <c:v>97.068173777689495</c:v>
                </c:pt>
                <c:pt idx="16">
                  <c:v>99.778523619426622</c:v>
                </c:pt>
                <c:pt idx="17">
                  <c:v>101.77847141009788</c:v>
                </c:pt>
                <c:pt idx="18">
                  <c:v>103.30313776611722</c:v>
                </c:pt>
                <c:pt idx="19">
                  <c:v>104.49734841935403</c:v>
                </c:pt>
              </c:numCache>
            </c:numRef>
          </c:yVal>
          <c:smooth val="1"/>
        </c:ser>
        <c:ser>
          <c:idx val="2"/>
          <c:order val="2"/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List1!$BE$32:$BF$32</c:f>
              <c:numCache>
                <c:formatCode>General</c:formatCode>
                <c:ptCount val="2"/>
                <c:pt idx="0">
                  <c:v>0.03</c:v>
                </c:pt>
                <c:pt idx="1">
                  <c:v>0.03</c:v>
                </c:pt>
              </c:numCache>
            </c:numRef>
          </c:xVal>
          <c:yVal>
            <c:numRef>
              <c:f>List1!$BE$31:$BF$31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1"/>
        </c:ser>
        <c:axId val="117263360"/>
        <c:axId val="117822592"/>
      </c:scatterChart>
      <c:valAx>
        <c:axId val="117263360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s [-]</a:t>
                </a:r>
              </a:p>
            </c:rich>
          </c:tx>
          <c:layout/>
        </c:title>
        <c:numFmt formatCode="General" sourceLinked="1"/>
        <c:tickLblPos val="nextTo"/>
        <c:crossAx val="117822592"/>
        <c:crosses val="autoZero"/>
        <c:crossBetween val="midCat"/>
        <c:majorUnit val="0.1"/>
      </c:valAx>
      <c:valAx>
        <c:axId val="117822592"/>
        <c:scaling>
          <c:orientation val="minMax"/>
          <c:max val="1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 [A]</a:t>
                </a:r>
              </a:p>
            </c:rich>
          </c:tx>
          <c:layout/>
        </c:title>
        <c:numFmt formatCode="General" sourceLinked="1"/>
        <c:tickLblPos val="nextTo"/>
        <c:crossAx val="117263360"/>
        <c:crosses val="autoZero"/>
        <c:crossBetween val="midCat"/>
      </c:valAx>
    </c:plotArea>
    <c:legend>
      <c:legendPos val="r"/>
      <c:legendEntry>
        <c:idx val="2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472109</xdr:colOff>
      <xdr:row>28</xdr:row>
      <xdr:rowOff>57980</xdr:rowOff>
    </xdr:from>
    <xdr:to>
      <xdr:col>44</xdr:col>
      <xdr:colOff>115955</xdr:colOff>
      <xdr:row>42</xdr:row>
      <xdr:rowOff>16567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301486</xdr:colOff>
      <xdr:row>27</xdr:row>
      <xdr:rowOff>127138</xdr:rowOff>
    </xdr:from>
    <xdr:to>
      <xdr:col>55</xdr:col>
      <xdr:colOff>285750</xdr:colOff>
      <xdr:row>45</xdr:row>
      <xdr:rowOff>66675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45"/>
  <sheetViews>
    <sheetView tabSelected="1" zoomScale="115" zoomScaleNormal="115" workbookViewId="0">
      <selection activeCell="AO25" sqref="AO25"/>
    </sheetView>
  </sheetViews>
  <sheetFormatPr defaultRowHeight="15"/>
  <cols>
    <col min="4" max="4" width="28.5703125" bestFit="1" customWidth="1"/>
    <col min="7" max="7" width="12.7109375" bestFit="1" customWidth="1"/>
    <col min="8" max="8" width="37.28515625" bestFit="1" customWidth="1"/>
    <col min="11" max="11" width="12.28515625" customWidth="1"/>
    <col min="12" max="12" width="27.5703125" bestFit="1" customWidth="1"/>
    <col min="15" max="15" width="13.140625" bestFit="1" customWidth="1"/>
    <col min="16" max="16" width="29.7109375" bestFit="1" customWidth="1"/>
    <col min="19" max="19" width="13.140625" bestFit="1" customWidth="1"/>
    <col min="20" max="20" width="32" bestFit="1" customWidth="1"/>
    <col min="24" max="24" width="29.85546875" bestFit="1" customWidth="1"/>
    <col min="27" max="27" width="10.5703125" customWidth="1"/>
    <col min="28" max="28" width="26.7109375" bestFit="1" customWidth="1"/>
    <col min="31" max="31" width="11.85546875" bestFit="1" customWidth="1"/>
    <col min="32" max="32" width="29" bestFit="1" customWidth="1"/>
    <col min="34" max="34" width="10.85546875" bestFit="1" customWidth="1"/>
    <col min="37" max="37" width="17.28515625" bestFit="1" customWidth="1"/>
    <col min="40" max="40" width="13.42578125" customWidth="1"/>
    <col min="41" max="41" width="17.85546875" customWidth="1"/>
    <col min="53" max="53" width="10.5703125" customWidth="1"/>
  </cols>
  <sheetData>
    <row r="1" spans="1:59" ht="18.75">
      <c r="A1" s="1" t="s">
        <v>42</v>
      </c>
      <c r="B1" s="1">
        <v>9000</v>
      </c>
      <c r="D1" t="s">
        <v>37</v>
      </c>
      <c r="E1" s="3" t="s">
        <v>9</v>
      </c>
      <c r="F1" s="2" t="s">
        <v>1</v>
      </c>
      <c r="G1" s="4">
        <v>155</v>
      </c>
      <c r="H1" s="19" t="s">
        <v>56</v>
      </c>
      <c r="I1" s="3" t="s">
        <v>51</v>
      </c>
      <c r="J1" t="s">
        <v>2</v>
      </c>
      <c r="K1">
        <v>7.0000000000000001E-3</v>
      </c>
      <c r="L1" t="s">
        <v>188</v>
      </c>
      <c r="M1" s="3" t="s">
        <v>76</v>
      </c>
      <c r="N1" t="s">
        <v>77</v>
      </c>
      <c r="O1">
        <f>194*10^9</f>
        <v>194000000000</v>
      </c>
      <c r="P1" t="s">
        <v>109</v>
      </c>
      <c r="Q1" s="3" t="s">
        <v>121</v>
      </c>
      <c r="R1" t="s">
        <v>3</v>
      </c>
      <c r="S1">
        <v>59</v>
      </c>
      <c r="T1" t="s">
        <v>143</v>
      </c>
      <c r="U1" s="3" t="s">
        <v>92</v>
      </c>
      <c r="V1" t="s">
        <v>7</v>
      </c>
      <c r="W1">
        <f>(K18*K8*G18)/(O12*G18*O8)</f>
        <v>1.7520923138955025</v>
      </c>
      <c r="X1" t="s">
        <v>452</v>
      </c>
      <c r="Y1" s="3" t="s">
        <v>451</v>
      </c>
      <c r="Z1" t="s">
        <v>3</v>
      </c>
      <c r="AA1">
        <v>0.5</v>
      </c>
      <c r="AB1" t="s">
        <v>280</v>
      </c>
      <c r="AC1" s="3" t="s">
        <v>281</v>
      </c>
      <c r="AD1" t="s">
        <v>283</v>
      </c>
      <c r="AE1">
        <v>1.75</v>
      </c>
      <c r="AF1" t="s">
        <v>350</v>
      </c>
      <c r="AG1" s="3" t="s">
        <v>354</v>
      </c>
      <c r="AH1" t="s">
        <v>62</v>
      </c>
      <c r="AI1">
        <f>W22</f>
        <v>14.479567681080848</v>
      </c>
      <c r="AL1" s="3"/>
    </row>
    <row r="2" spans="1:59" ht="18.75">
      <c r="A2" s="1" t="s">
        <v>0</v>
      </c>
      <c r="B2" s="1">
        <v>8</v>
      </c>
      <c r="D2" t="s">
        <v>38</v>
      </c>
      <c r="E2" s="3" t="s">
        <v>10</v>
      </c>
      <c r="F2" s="2" t="s">
        <v>2</v>
      </c>
      <c r="G2" s="4">
        <v>0.26400000000000001</v>
      </c>
      <c r="H2" s="19"/>
      <c r="I2" s="3" t="s">
        <v>52</v>
      </c>
      <c r="J2" t="s">
        <v>2</v>
      </c>
      <c r="K2">
        <v>8.9999999999999993E-3</v>
      </c>
      <c r="L2" t="s">
        <v>75</v>
      </c>
      <c r="M2" s="3" t="s">
        <v>78</v>
      </c>
      <c r="N2" t="s">
        <v>79</v>
      </c>
      <c r="O2">
        <f>O1/K16</f>
        <v>6459735.9437556043</v>
      </c>
      <c r="P2" t="s">
        <v>138</v>
      </c>
      <c r="Q2" t="s">
        <v>139</v>
      </c>
      <c r="R2" t="s">
        <v>3</v>
      </c>
      <c r="S2">
        <f>S1</f>
        <v>59</v>
      </c>
      <c r="T2" t="s">
        <v>146</v>
      </c>
      <c r="U2" s="3" t="s">
        <v>148</v>
      </c>
      <c r="V2" t="s">
        <v>7</v>
      </c>
      <c r="W2">
        <f>(K18*S15*G18)/(S16*G18*O8)</f>
        <v>1.75</v>
      </c>
      <c r="X2" t="s">
        <v>453</v>
      </c>
      <c r="Y2" s="3" t="s">
        <v>454</v>
      </c>
      <c r="Z2" t="s">
        <v>2</v>
      </c>
      <c r="AA2">
        <v>0.01</v>
      </c>
      <c r="AB2" t="s">
        <v>284</v>
      </c>
      <c r="AC2" s="3" t="s">
        <v>247</v>
      </c>
      <c r="AD2" t="s">
        <v>3</v>
      </c>
      <c r="AE2">
        <v>1.4</v>
      </c>
      <c r="AF2" t="s">
        <v>351</v>
      </c>
      <c r="AG2" s="3" t="s">
        <v>355</v>
      </c>
      <c r="AH2" t="s">
        <v>62</v>
      </c>
      <c r="AI2">
        <f>(AE9+(3*AA11*(W22^2)))/(3*K9)</f>
        <v>0.61682393977728944</v>
      </c>
      <c r="AK2" s="1" t="s">
        <v>364</v>
      </c>
      <c r="AL2" s="21" t="s">
        <v>363</v>
      </c>
      <c r="AM2" s="1" t="s">
        <v>3</v>
      </c>
      <c r="AN2" s="1">
        <v>1.0000000000000001E-9</v>
      </c>
      <c r="AO2" s="1">
        <v>5.0000000000000001E-3</v>
      </c>
      <c r="AP2" s="1">
        <v>0.01</v>
      </c>
      <c r="AQ2" s="1">
        <v>1.4999999999999999E-2</v>
      </c>
      <c r="AR2" s="1">
        <v>0.02</v>
      </c>
      <c r="AS2" s="1">
        <v>2.5000000000000001E-2</v>
      </c>
      <c r="AT2" s="1">
        <v>0.03</v>
      </c>
      <c r="AU2" s="1">
        <v>3.5000000000000003E-2</v>
      </c>
      <c r="AV2" s="1">
        <f>AA24*(K10/K9)</f>
        <v>3.8787776192456679E-2</v>
      </c>
      <c r="AW2" s="1">
        <v>0.04</v>
      </c>
      <c r="AX2" s="1">
        <v>0.1</v>
      </c>
      <c r="AY2" s="1">
        <v>0.2</v>
      </c>
      <c r="AZ2" s="1">
        <v>0.3</v>
      </c>
      <c r="BA2" s="1">
        <v>0.4</v>
      </c>
      <c r="BB2" s="1">
        <v>0.5</v>
      </c>
      <c r="BC2" s="1">
        <v>0.6</v>
      </c>
      <c r="BD2" s="1">
        <v>0.7</v>
      </c>
      <c r="BE2" s="1">
        <v>0.8</v>
      </c>
      <c r="BF2" s="1">
        <v>0.9</v>
      </c>
      <c r="BG2" s="1">
        <v>1</v>
      </c>
    </row>
    <row r="3" spans="1:59" ht="24">
      <c r="D3" t="s">
        <v>39</v>
      </c>
      <c r="E3" s="3" t="s">
        <v>11</v>
      </c>
      <c r="F3" s="2" t="s">
        <v>3</v>
      </c>
      <c r="G3" s="4">
        <v>0.745</v>
      </c>
      <c r="H3" s="19" t="s">
        <v>48</v>
      </c>
      <c r="I3" s="3" t="s">
        <v>53</v>
      </c>
      <c r="J3" s="2" t="s">
        <v>3</v>
      </c>
      <c r="K3">
        <f>(PI()*G5)/K1</f>
        <v>88.413393251027031</v>
      </c>
      <c r="L3" t="s">
        <v>81</v>
      </c>
      <c r="M3" s="3" t="s">
        <v>80</v>
      </c>
      <c r="N3" t="s">
        <v>82</v>
      </c>
      <c r="O3">
        <f>K10/(K13*O2)</f>
        <v>3.074060771422182E-6</v>
      </c>
      <c r="P3" t="s">
        <v>110</v>
      </c>
      <c r="Q3" s="3" t="s">
        <v>111</v>
      </c>
      <c r="R3" t="s">
        <v>3</v>
      </c>
      <c r="S3">
        <f>(2*K6*K15*G13)/S1</f>
        <v>15.150508474576272</v>
      </c>
      <c r="T3" t="s">
        <v>156</v>
      </c>
      <c r="U3" s="3" t="s">
        <v>151</v>
      </c>
      <c r="V3" t="s">
        <v>8</v>
      </c>
      <c r="W3">
        <v>8454</v>
      </c>
      <c r="X3" t="s">
        <v>449</v>
      </c>
      <c r="Y3" s="3" t="s">
        <v>450</v>
      </c>
      <c r="Z3" t="s">
        <v>2</v>
      </c>
      <c r="AA3">
        <f>(AA1*AA6)+AA2</f>
        <v>5.1920626971338805E-2</v>
      </c>
      <c r="AB3" t="s">
        <v>249</v>
      </c>
      <c r="AC3" s="3" t="s">
        <v>285</v>
      </c>
      <c r="AD3" t="s">
        <v>3</v>
      </c>
      <c r="AE3">
        <v>1.6</v>
      </c>
      <c r="AF3" t="s">
        <v>352</v>
      </c>
      <c r="AG3" s="3" t="s">
        <v>356</v>
      </c>
      <c r="AH3" t="s">
        <v>62</v>
      </c>
      <c r="AI3">
        <f>SQRT((AI1^2)+(AI2^2))</f>
        <v>14.492699955621912</v>
      </c>
      <c r="AK3" s="1" t="s">
        <v>365</v>
      </c>
      <c r="AL3" s="22" t="s">
        <v>366</v>
      </c>
      <c r="AM3" s="22" t="s">
        <v>6</v>
      </c>
      <c r="AN3" s="1">
        <f>2*PI()*50*AN2</f>
        <v>3.1415926535897932E-7</v>
      </c>
      <c r="AO3" s="1">
        <f>2*PI()*50*AO2</f>
        <v>1.5707963267948966</v>
      </c>
      <c r="AP3" s="1">
        <f t="shared" ref="AP3:AV3" si="0">2*PI()*50*AP2</f>
        <v>3.1415926535897931</v>
      </c>
      <c r="AQ3" s="1">
        <f t="shared" si="0"/>
        <v>4.7123889803846897</v>
      </c>
      <c r="AR3" s="1">
        <f t="shared" si="0"/>
        <v>6.2831853071795862</v>
      </c>
      <c r="AS3" s="1">
        <f t="shared" si="0"/>
        <v>7.8539816339744837</v>
      </c>
      <c r="AT3" s="1">
        <f t="shared" si="0"/>
        <v>9.4247779607693793</v>
      </c>
      <c r="AU3" s="1">
        <f t="shared" si="0"/>
        <v>10.995574287564278</v>
      </c>
      <c r="AV3" s="1">
        <f t="shared" si="0"/>
        <v>12.185539273530699</v>
      </c>
      <c r="AW3" s="1">
        <f>2*PI()*50*AW2</f>
        <v>12.566370614359172</v>
      </c>
      <c r="AX3" s="1">
        <f t="shared" ref="AX3:BG3" si="1">2*PI()*50*AX2</f>
        <v>31.415926535897935</v>
      </c>
      <c r="AY3" s="1">
        <f t="shared" si="1"/>
        <v>62.831853071795869</v>
      </c>
      <c r="AZ3" s="1">
        <f t="shared" si="1"/>
        <v>94.247779607693801</v>
      </c>
      <c r="BA3" s="1">
        <f t="shared" si="1"/>
        <v>125.66370614359174</v>
      </c>
      <c r="BB3" s="1">
        <f t="shared" si="1"/>
        <v>157.07963267948966</v>
      </c>
      <c r="BC3" s="1">
        <f t="shared" si="1"/>
        <v>188.4955592153876</v>
      </c>
      <c r="BD3" s="1">
        <f t="shared" si="1"/>
        <v>219.91148575128551</v>
      </c>
      <c r="BE3" s="1">
        <f t="shared" si="1"/>
        <v>251.32741228718348</v>
      </c>
      <c r="BF3" s="1">
        <f t="shared" si="1"/>
        <v>282.74333882308139</v>
      </c>
      <c r="BG3" s="1">
        <f t="shared" si="1"/>
        <v>314.15926535897933</v>
      </c>
    </row>
    <row r="4" spans="1:59" ht="18">
      <c r="D4" t="s">
        <v>43</v>
      </c>
      <c r="E4" s="3" t="s">
        <v>12</v>
      </c>
      <c r="F4" s="2" t="s">
        <v>2</v>
      </c>
      <c r="G4">
        <f>G3*G2</f>
        <v>0.19668000000000002</v>
      </c>
      <c r="H4" s="19"/>
      <c r="I4" s="3" t="s">
        <v>54</v>
      </c>
      <c r="J4" s="2" t="s">
        <v>3</v>
      </c>
      <c r="K4">
        <f>(PI()*G5)/K2</f>
        <v>68.765972528576597</v>
      </c>
      <c r="L4" t="s">
        <v>180</v>
      </c>
      <c r="M4" s="3" t="s">
        <v>178</v>
      </c>
      <c r="N4" t="s">
        <v>3</v>
      </c>
      <c r="O4">
        <v>2</v>
      </c>
      <c r="P4" t="s">
        <v>124</v>
      </c>
      <c r="Q4" s="3" t="s">
        <v>126</v>
      </c>
      <c r="R4" t="s">
        <v>2</v>
      </c>
      <c r="S4">
        <f>G5-2*O25</f>
        <v>0.19600000000000001</v>
      </c>
      <c r="T4" t="s">
        <v>157</v>
      </c>
      <c r="U4" s="3" t="s">
        <v>152</v>
      </c>
      <c r="V4" t="s">
        <v>8</v>
      </c>
      <c r="W4">
        <v>8453</v>
      </c>
      <c r="X4" t="s">
        <v>213</v>
      </c>
      <c r="Y4" s="3" t="s">
        <v>215</v>
      </c>
      <c r="Z4" t="s">
        <v>203</v>
      </c>
      <c r="AA4">
        <f xml:space="preserve"> 0.028*(10^-6)</f>
        <v>2.7999999999999999E-8</v>
      </c>
      <c r="AB4" t="s">
        <v>249</v>
      </c>
      <c r="AC4" s="3" t="s">
        <v>286</v>
      </c>
      <c r="AD4" t="s">
        <v>3</v>
      </c>
      <c r="AE4">
        <v>1.8</v>
      </c>
      <c r="AF4" t="s">
        <v>345</v>
      </c>
      <c r="AG4" s="3" t="s">
        <v>357</v>
      </c>
      <c r="AH4" t="s">
        <v>3</v>
      </c>
      <c r="AI4">
        <f>1+(AA34/AA45)</f>
        <v>1.0589555519695955</v>
      </c>
      <c r="AK4" s="1" t="s">
        <v>368</v>
      </c>
      <c r="AL4" s="1" t="s">
        <v>369</v>
      </c>
      <c r="AM4" s="1" t="s">
        <v>362</v>
      </c>
      <c r="AN4" s="1">
        <v>0</v>
      </c>
      <c r="AO4" s="1">
        <f t="shared" ref="AO4:AV4" si="2">(2*$AI$16)/((AO2/$AI$15)+($AI$15/AO2))</f>
        <v>17.713859753849981</v>
      </c>
      <c r="AP4" s="1">
        <f t="shared" si="2"/>
        <v>35.382146247593425</v>
      </c>
      <c r="AQ4" s="1">
        <f t="shared" si="2"/>
        <v>52.95967621305941</v>
      </c>
      <c r="AR4" s="1">
        <f t="shared" si="2"/>
        <v>70.402039378451278</v>
      </c>
      <c r="AS4" s="1">
        <f t="shared" si="2"/>
        <v>87.665967711590724</v>
      </c>
      <c r="AT4" s="1">
        <f t="shared" si="2"/>
        <v>104.70968454592125</v>
      </c>
      <c r="AU4" s="1">
        <f t="shared" si="2"/>
        <v>121.49322783548432</v>
      </c>
      <c r="AV4" s="1">
        <f t="shared" si="2"/>
        <v>134.01123569196309</v>
      </c>
      <c r="AW4" s="1">
        <f>(2*$AI$16)/((AW2/$AI$15)+($AI$15/AW2))</f>
        <v>137.97874254466194</v>
      </c>
      <c r="AX4" s="1">
        <f t="shared" ref="AX4:BG4" si="3">(2*$AI$16)/((AX2/$AI$15)+($AI$15/AX2))</f>
        <v>302.46289157963707</v>
      </c>
      <c r="AY4" s="1">
        <f t="shared" si="3"/>
        <v>420.12809251381009</v>
      </c>
      <c r="AZ4" s="1">
        <f t="shared" si="3"/>
        <v>417.58167789683239</v>
      </c>
      <c r="BA4" s="1">
        <f t="shared" si="3"/>
        <v>378.16112925087936</v>
      </c>
      <c r="BB4" s="1">
        <f t="shared" si="3"/>
        <v>334.66556216611355</v>
      </c>
      <c r="BC4" s="1">
        <f t="shared" si="3"/>
        <v>295.96623027022713</v>
      </c>
      <c r="BD4" s="1">
        <f>(2*$AI$16)/((BD2/$AI$15)+($AI$15/BD2))</f>
        <v>263.41154222713141</v>
      </c>
      <c r="BE4" s="1">
        <f t="shared" si="3"/>
        <v>236.36682656584418</v>
      </c>
      <c r="BF4" s="1">
        <f t="shared" si="3"/>
        <v>213.84521250440332</v>
      </c>
      <c r="BG4" s="1">
        <f t="shared" si="3"/>
        <v>194.94376879746221</v>
      </c>
    </row>
    <row r="5" spans="1:59" ht="18.75">
      <c r="D5" t="s">
        <v>500</v>
      </c>
      <c r="E5" s="3" t="s">
        <v>12</v>
      </c>
      <c r="F5" s="2" t="s">
        <v>2</v>
      </c>
      <c r="G5" s="4">
        <v>0.19700000000000001</v>
      </c>
      <c r="H5" s="19"/>
      <c r="I5" s="3" t="s">
        <v>49</v>
      </c>
      <c r="J5" t="s">
        <v>3</v>
      </c>
      <c r="K5">
        <v>72</v>
      </c>
      <c r="L5" t="s">
        <v>177</v>
      </c>
      <c r="M5" s="3" t="s">
        <v>179</v>
      </c>
      <c r="N5" t="s">
        <v>82</v>
      </c>
      <c r="O5">
        <f>O3/O4</f>
        <v>1.537030385711091E-6</v>
      </c>
      <c r="P5" t="s">
        <v>112</v>
      </c>
      <c r="Q5" s="3" t="s">
        <v>113</v>
      </c>
      <c r="R5" t="s">
        <v>3</v>
      </c>
      <c r="S5">
        <v>0.82</v>
      </c>
      <c r="T5" t="s">
        <v>144</v>
      </c>
      <c r="U5" s="3" t="s">
        <v>83</v>
      </c>
      <c r="V5" t="s">
        <v>7</v>
      </c>
      <c r="W5">
        <f>K17/(2*O10*G18*O8)</f>
        <v>1.4143415008817728</v>
      </c>
      <c r="X5" t="s">
        <v>202</v>
      </c>
      <c r="Y5" s="6" t="s">
        <v>214</v>
      </c>
      <c r="Z5" t="s">
        <v>203</v>
      </c>
      <c r="AA5" s="5">
        <f>0.0169*(10^-6)</f>
        <v>1.6899999999999999E-8</v>
      </c>
      <c r="AB5" t="s">
        <v>287</v>
      </c>
      <c r="AC5" s="3" t="s">
        <v>288</v>
      </c>
      <c r="AD5" t="s">
        <v>289</v>
      </c>
      <c r="AE5">
        <v>7800</v>
      </c>
      <c r="AF5" t="s">
        <v>346</v>
      </c>
      <c r="AG5" s="3" t="s">
        <v>358</v>
      </c>
      <c r="AH5" t="s">
        <v>200</v>
      </c>
      <c r="AI5">
        <f>AI4*AA11</f>
        <v>0.47447284253522748</v>
      </c>
      <c r="AK5" s="1" t="s">
        <v>370</v>
      </c>
      <c r="AL5" s="1" t="s">
        <v>371</v>
      </c>
      <c r="AM5" s="1" t="s">
        <v>362</v>
      </c>
      <c r="AN5" s="1">
        <v>0</v>
      </c>
      <c r="AO5" s="1">
        <f t="shared" ref="AO5:AU5" si="4">((($B$2/2)*$K$6)/(2*PI()*50))*((($K$9^2)*($AA$24/AO2))/(($AA$11+(($AI$4*($AA$24/AO2))^2))+(($AA$34+($AI$4*$AA$44))^2)))</f>
        <v>20.045566416523606</v>
      </c>
      <c r="AP5" s="1">
        <f t="shared" si="4"/>
        <v>40.039215554660622</v>
      </c>
      <c r="AQ5" s="1">
        <f t="shared" si="4"/>
        <v>59.929477383522311</v>
      </c>
      <c r="AR5" s="1">
        <f t="shared" si="4"/>
        <v>79.665768300518806</v>
      </c>
      <c r="AS5" s="1">
        <f t="shared" si="4"/>
        <v>99.198814427223311</v>
      </c>
      <c r="AT5" s="1">
        <f t="shared" si="4"/>
        <v>118.48105168733798</v>
      </c>
      <c r="AU5" s="1">
        <f t="shared" si="4"/>
        <v>137.46699603339175</v>
      </c>
      <c r="AV5" s="1">
        <f t="shared" ref="AV5" si="5">((($B$2/2)*$K$6)/(2*PI()*50))*((($K$9^2)*($AA$24/AV2))/(($AA$11+(($AI$4*($AA$24/AV2))^2))+(($AA$34+($AI$4*$AA$44))^2)))</f>
        <v>151.62619561392412</v>
      </c>
      <c r="AW5" s="1">
        <f t="shared" ref="AW5:BG5" si="6">((($B$2/2)*$K$6)/(2*PI()*50))*((($K$9^2)*($AA$24/AW2))/(($AA$11+(($AI$4*($AA$24/AW2))^2))+(($AA$34+($AI$4*$AA$44))^2)))</f>
        <v>156.11357807080859</v>
      </c>
      <c r="AX5" s="1">
        <f t="shared" si="6"/>
        <v>341.94150608035216</v>
      </c>
      <c r="AY5" s="1">
        <f t="shared" si="6"/>
        <v>474.13700802658616</v>
      </c>
      <c r="AZ5" s="1">
        <f t="shared" si="6"/>
        <v>470.63409880513808</v>
      </c>
      <c r="BA5" s="1">
        <f t="shared" si="6"/>
        <v>425.8470885714658</v>
      </c>
      <c r="BB5" s="1">
        <f t="shared" si="6"/>
        <v>376.67102561641366</v>
      </c>
      <c r="BC5" s="1">
        <f t="shared" si="6"/>
        <v>333.00406889335687</v>
      </c>
      <c r="BD5" s="1">
        <f t="shared" si="6"/>
        <v>296.31023646631195</v>
      </c>
      <c r="BE5" s="1">
        <f t="shared" si="6"/>
        <v>265.84737192515524</v>
      </c>
      <c r="BF5" s="1">
        <f t="shared" si="6"/>
        <v>240.49062413894487</v>
      </c>
      <c r="BG5" s="1">
        <f t="shared" si="6"/>
        <v>219.21645517787809</v>
      </c>
    </row>
    <row r="6" spans="1:59" ht="18">
      <c r="D6" t="s">
        <v>40</v>
      </c>
      <c r="E6" s="3" t="s">
        <v>13</v>
      </c>
      <c r="F6" s="2" t="s">
        <v>2</v>
      </c>
      <c r="G6" s="4">
        <f>(PI()*G5)/B2</f>
        <v>7.7361719094648659E-2</v>
      </c>
      <c r="H6" t="s">
        <v>44</v>
      </c>
      <c r="I6" s="3" t="s">
        <v>45</v>
      </c>
      <c r="J6" s="2" t="s">
        <v>3</v>
      </c>
      <c r="K6">
        <v>3</v>
      </c>
      <c r="L6" t="s">
        <v>107</v>
      </c>
      <c r="M6" s="3" t="s">
        <v>108</v>
      </c>
      <c r="N6" s="2" t="s">
        <v>2</v>
      </c>
      <c r="O6">
        <f>SQRT((4*O5)/PI())</f>
        <v>1.3989309734747104E-3</v>
      </c>
      <c r="P6" t="s">
        <v>114</v>
      </c>
      <c r="Q6" s="3" t="s">
        <v>342</v>
      </c>
      <c r="R6" t="s">
        <v>62</v>
      </c>
      <c r="S6">
        <f>S5*K10*S3</f>
        <v>246.69950354265006</v>
      </c>
      <c r="T6" t="s">
        <v>147</v>
      </c>
      <c r="U6" s="3" t="s">
        <v>129</v>
      </c>
      <c r="V6" t="s">
        <v>7</v>
      </c>
      <c r="W6">
        <f>K17/(2*S25*G18*O8)</f>
        <v>0.73980940046123489</v>
      </c>
      <c r="X6" t="s">
        <v>208</v>
      </c>
      <c r="Y6" s="3" t="s">
        <v>209</v>
      </c>
      <c r="Z6" t="s">
        <v>2</v>
      </c>
      <c r="AA6">
        <f>(PI()*(G5+O14))/B2</f>
        <v>8.3841253942677607E-2</v>
      </c>
      <c r="AB6" t="s">
        <v>290</v>
      </c>
      <c r="AC6" s="3" t="s">
        <v>292</v>
      </c>
      <c r="AD6" t="s">
        <v>291</v>
      </c>
      <c r="AE6">
        <f>(PI()/4)*((G2^2)-((G2-2*O10)^2))*G18*AE5</f>
        <v>14.713852139973222</v>
      </c>
      <c r="AF6" t="s">
        <v>346</v>
      </c>
      <c r="AG6" s="3" t="s">
        <v>347</v>
      </c>
      <c r="AH6" t="s">
        <v>3</v>
      </c>
      <c r="AI6">
        <f>AI4^2</f>
        <v>1.1213868610472306</v>
      </c>
      <c r="AK6" s="23" t="s">
        <v>384</v>
      </c>
      <c r="AL6" s="1" t="s">
        <v>386</v>
      </c>
      <c r="AM6" s="1" t="s">
        <v>200</v>
      </c>
      <c r="AN6" s="24">
        <f t="shared" ref="AN6:AU6" si="7">$AI$5+(($AI$6*$AA$24)/AN2)</f>
        <v>503791651.41545892</v>
      </c>
      <c r="AO6" s="24">
        <f t="shared" si="7"/>
        <v>101.23280303073244</v>
      </c>
      <c r="AP6" s="24">
        <f t="shared" si="7"/>
        <v>50.853637936633838</v>
      </c>
      <c r="AQ6" s="24">
        <f t="shared" si="7"/>
        <v>34.060582905267637</v>
      </c>
      <c r="AR6" s="24">
        <f t="shared" si="7"/>
        <v>25.664055389584533</v>
      </c>
      <c r="AS6" s="24">
        <f t="shared" si="7"/>
        <v>20.626138880174672</v>
      </c>
      <c r="AT6" s="24">
        <f t="shared" si="7"/>
        <v>17.267527873901432</v>
      </c>
      <c r="AU6" s="24">
        <f t="shared" si="7"/>
        <v>14.868520012277687</v>
      </c>
      <c r="AV6" s="24">
        <f t="shared" ref="AV6" si="8">$AI$5+(($AI$6*$AA$24)/AV2)</f>
        <v>13.462885698206028</v>
      </c>
      <c r="AW6" s="24">
        <f t="shared" ref="AW6:BG6" si="9">$AI$5+(($AI$6*$AA$24)/AW2)</f>
        <v>13.06926411605988</v>
      </c>
      <c r="AX6" s="24">
        <f t="shared" si="9"/>
        <v>5.5123893519450888</v>
      </c>
      <c r="AY6" s="24">
        <f t="shared" si="9"/>
        <v>2.9934310972401579</v>
      </c>
      <c r="AZ6" s="24">
        <f t="shared" si="9"/>
        <v>2.153778345671848</v>
      </c>
      <c r="BA6" s="24">
        <f t="shared" si="9"/>
        <v>1.7339519698876926</v>
      </c>
      <c r="BB6" s="24">
        <f t="shared" si="9"/>
        <v>1.4820561444171996</v>
      </c>
      <c r="BC6" s="24">
        <f t="shared" si="9"/>
        <v>1.3141255941035377</v>
      </c>
      <c r="BD6" s="24">
        <f t="shared" si="9"/>
        <v>1.1941752010223505</v>
      </c>
      <c r="BE6" s="24">
        <f t="shared" si="9"/>
        <v>1.10421240621146</v>
      </c>
      <c r="BF6" s="24">
        <f t="shared" si="9"/>
        <v>1.0342413435807676</v>
      </c>
      <c r="BG6" s="24">
        <f t="shared" si="9"/>
        <v>0.97826449347621358</v>
      </c>
    </row>
    <row r="7" spans="1:59" ht="18.75">
      <c r="D7" t="s">
        <v>41</v>
      </c>
      <c r="E7" s="3" t="s">
        <v>14</v>
      </c>
      <c r="F7" s="2" t="s">
        <v>3</v>
      </c>
      <c r="G7" s="4">
        <v>0.94</v>
      </c>
      <c r="H7" t="s">
        <v>46</v>
      </c>
      <c r="I7" s="3" t="s">
        <v>47</v>
      </c>
      <c r="J7" s="2" t="s">
        <v>3</v>
      </c>
      <c r="K7">
        <f>K5/(B2*K6)</f>
        <v>3</v>
      </c>
      <c r="L7" t="s">
        <v>88</v>
      </c>
      <c r="M7" s="3" t="s">
        <v>83</v>
      </c>
      <c r="N7" t="s">
        <v>7</v>
      </c>
      <c r="O7">
        <v>1.1499999999999999</v>
      </c>
      <c r="P7" t="s">
        <v>115</v>
      </c>
      <c r="Q7" s="3" t="s">
        <v>116</v>
      </c>
      <c r="R7" t="s">
        <v>79</v>
      </c>
      <c r="S7">
        <f>5*10^6</f>
        <v>5000000</v>
      </c>
      <c r="T7" t="s">
        <v>161</v>
      </c>
      <c r="U7" s="3" t="s">
        <v>163</v>
      </c>
      <c r="V7" t="s">
        <v>8</v>
      </c>
      <c r="W7">
        <v>165.5</v>
      </c>
      <c r="X7" t="s">
        <v>210</v>
      </c>
      <c r="Y7" s="3" t="s">
        <v>211</v>
      </c>
      <c r="Z7" t="s">
        <v>3</v>
      </c>
      <c r="AA7">
        <v>1.9</v>
      </c>
      <c r="AB7" t="s">
        <v>293</v>
      </c>
      <c r="AC7" s="3" t="s">
        <v>294</v>
      </c>
      <c r="AD7" t="s">
        <v>291</v>
      </c>
      <c r="AE7">
        <f>O14*O12*K5*G18*AE5</f>
        <v>6.3474701322642284</v>
      </c>
      <c r="AF7" t="s">
        <v>346</v>
      </c>
      <c r="AG7" s="3" t="s">
        <v>348</v>
      </c>
      <c r="AH7" t="s">
        <v>200</v>
      </c>
      <c r="AI7">
        <f>AI4*(AA34+AI4*AA44)</f>
        <v>1.9716632232788824</v>
      </c>
      <c r="AK7" s="1" t="s">
        <v>385</v>
      </c>
      <c r="AL7" s="1" t="s">
        <v>387</v>
      </c>
      <c r="AM7" s="1" t="s">
        <v>200</v>
      </c>
      <c r="AN7" s="1">
        <f t="shared" ref="AN7:AU7" si="10">$AI$7+(($AI$8*$AA$24)/AN2)</f>
        <v>1.9716632232788824</v>
      </c>
      <c r="AO7" s="1">
        <f t="shared" si="10"/>
        <v>1.9716632232788824</v>
      </c>
      <c r="AP7" s="1">
        <f t="shared" si="10"/>
        <v>1.9716632232788824</v>
      </c>
      <c r="AQ7" s="1">
        <f t="shared" si="10"/>
        <v>1.9716632232788824</v>
      </c>
      <c r="AR7" s="1">
        <f t="shared" si="10"/>
        <v>1.9716632232788824</v>
      </c>
      <c r="AS7" s="1">
        <f t="shared" si="10"/>
        <v>1.9716632232788824</v>
      </c>
      <c r="AT7" s="1">
        <f t="shared" si="10"/>
        <v>1.9716632232788824</v>
      </c>
      <c r="AU7" s="1">
        <f t="shared" si="10"/>
        <v>1.9716632232788824</v>
      </c>
      <c r="AV7" s="1">
        <f t="shared" ref="AV7" si="11">$AI$7+(($AI$8*$AA$24)/AV2)</f>
        <v>1.9716632232788824</v>
      </c>
      <c r="AW7" s="1">
        <f t="shared" ref="AW7:BG7" si="12">$AI$7+(($AI$8*$AA$24)/AW2)</f>
        <v>1.9716632232788824</v>
      </c>
      <c r="AX7" s="1">
        <f t="shared" si="12"/>
        <v>1.9716632232788824</v>
      </c>
      <c r="AY7" s="1">
        <f t="shared" si="12"/>
        <v>1.9716632232788824</v>
      </c>
      <c r="AZ7" s="1">
        <f t="shared" si="12"/>
        <v>1.9716632232788824</v>
      </c>
      <c r="BA7" s="1">
        <f t="shared" si="12"/>
        <v>1.9716632232788824</v>
      </c>
      <c r="BB7" s="1">
        <f t="shared" si="12"/>
        <v>1.9716632232788824</v>
      </c>
      <c r="BC7" s="1">
        <f t="shared" si="12"/>
        <v>1.9716632232788824</v>
      </c>
      <c r="BD7" s="1">
        <f t="shared" si="12"/>
        <v>1.9716632232788824</v>
      </c>
      <c r="BE7" s="1">
        <f t="shared" si="12"/>
        <v>1.9716632232788824</v>
      </c>
      <c r="BF7" s="1">
        <f t="shared" si="12"/>
        <v>1.9716632232788824</v>
      </c>
      <c r="BG7" s="1">
        <f t="shared" si="12"/>
        <v>1.9716632232788824</v>
      </c>
    </row>
    <row r="8" spans="1:59" ht="18.75">
      <c r="D8" t="s">
        <v>26</v>
      </c>
      <c r="E8" s="3" t="s">
        <v>15</v>
      </c>
      <c r="F8" s="2" t="s">
        <v>4</v>
      </c>
      <c r="G8" s="4">
        <v>87</v>
      </c>
      <c r="H8" t="s">
        <v>50</v>
      </c>
      <c r="I8" s="3" t="s">
        <v>55</v>
      </c>
      <c r="J8" t="s">
        <v>2</v>
      </c>
      <c r="K8">
        <f>(PI()*G5)/(B2*K6*K7)</f>
        <v>8.5957465660720725E-3</v>
      </c>
      <c r="L8" t="s">
        <v>86</v>
      </c>
      <c r="M8" s="3" t="s">
        <v>87</v>
      </c>
      <c r="N8" t="s">
        <v>3</v>
      </c>
      <c r="O8">
        <v>0.95</v>
      </c>
      <c r="P8" t="s">
        <v>117</v>
      </c>
      <c r="Q8" s="3" t="s">
        <v>118</v>
      </c>
      <c r="R8" t="s">
        <v>82</v>
      </c>
      <c r="S8">
        <f>S6/S7</f>
        <v>4.9339900708530014E-5</v>
      </c>
      <c r="T8" t="s">
        <v>164</v>
      </c>
      <c r="U8" s="3" t="s">
        <v>165</v>
      </c>
      <c r="V8" t="s">
        <v>8</v>
      </c>
      <c r="W8">
        <v>90.2</v>
      </c>
      <c r="X8" t="s">
        <v>207</v>
      </c>
      <c r="Y8" s="3" t="s">
        <v>212</v>
      </c>
      <c r="Z8" t="s">
        <v>2</v>
      </c>
      <c r="AA8">
        <f>(AA7*AA6)+(2*0.025)</f>
        <v>0.20929838249108745</v>
      </c>
      <c r="AB8" t="s">
        <v>325</v>
      </c>
      <c r="AC8" s="3" t="s">
        <v>324</v>
      </c>
      <c r="AD8" t="s">
        <v>291</v>
      </c>
      <c r="AE8">
        <f>S27*S16*S1*G18*AE5</f>
        <v>5.5564000299733554</v>
      </c>
      <c r="AF8" t="s">
        <v>346</v>
      </c>
      <c r="AG8" s="3" t="s">
        <v>349</v>
      </c>
      <c r="AH8" t="s">
        <v>3</v>
      </c>
      <c r="AI8">
        <v>0</v>
      </c>
      <c r="AK8" s="1" t="s">
        <v>367</v>
      </c>
      <c r="AL8" s="1" t="s">
        <v>383</v>
      </c>
      <c r="AM8" s="1" t="s">
        <v>200</v>
      </c>
      <c r="AN8" s="1">
        <f>SQRT((AN6^2)+(AN7^2))</f>
        <v>503791651.41545892</v>
      </c>
      <c r="AO8" s="1">
        <f t="shared" ref="AO8:AU8" si="13">SQRT((AO6^2)+(AO7^2))</f>
        <v>101.25200178428622</v>
      </c>
      <c r="AP8" s="1">
        <f t="shared" si="13"/>
        <v>50.891845587051321</v>
      </c>
      <c r="AQ8" s="1">
        <f t="shared" si="13"/>
        <v>34.117601963101691</v>
      </c>
      <c r="AR8" s="1">
        <f t="shared" si="13"/>
        <v>25.739681328751786</v>
      </c>
      <c r="AS8" s="1">
        <f t="shared" si="13"/>
        <v>20.720160737076434</v>
      </c>
      <c r="AT8" s="1">
        <f t="shared" si="13"/>
        <v>17.379728845468026</v>
      </c>
      <c r="AU8" s="1">
        <f t="shared" si="13"/>
        <v>14.998678049132614</v>
      </c>
      <c r="AV8" s="1">
        <f t="shared" ref="AV8" si="14">SQRT((AV6^2)+(AV7^2))</f>
        <v>13.606496506779065</v>
      </c>
      <c r="AW8" s="1">
        <f t="shared" ref="AW8:BG8" si="15">SQRT((AW6^2)+(AW7^2))</f>
        <v>13.217152507305078</v>
      </c>
      <c r="AX8" s="1">
        <f t="shared" si="15"/>
        <v>5.8543908507604847</v>
      </c>
      <c r="AY8" s="1">
        <f t="shared" si="15"/>
        <v>3.5844226313250074</v>
      </c>
      <c r="AZ8" s="1">
        <f t="shared" si="15"/>
        <v>2.9199686690640081</v>
      </c>
      <c r="BA8" s="1">
        <f t="shared" si="15"/>
        <v>2.6256514048722996</v>
      </c>
      <c r="BB8" s="1">
        <f t="shared" si="15"/>
        <v>2.4665656855707789</v>
      </c>
      <c r="BC8" s="1">
        <f t="shared" si="15"/>
        <v>2.3694687048172738</v>
      </c>
      <c r="BD8" s="1">
        <f t="shared" si="15"/>
        <v>2.3051052637064635</v>
      </c>
      <c r="BE8" s="1">
        <f t="shared" si="15"/>
        <v>2.2598099265340381</v>
      </c>
      <c r="BF8" s="1">
        <f t="shared" si="15"/>
        <v>2.2264570561325057</v>
      </c>
      <c r="BG8" s="1">
        <f t="shared" si="15"/>
        <v>2.2010127862479001</v>
      </c>
    </row>
    <row r="9" spans="1:59" ht="18">
      <c r="D9" t="s">
        <v>27</v>
      </c>
      <c r="E9" s="3" t="s">
        <v>16</v>
      </c>
      <c r="F9" s="2" t="s">
        <v>3</v>
      </c>
      <c r="G9" s="4">
        <v>0.755</v>
      </c>
      <c r="H9" t="s">
        <v>63</v>
      </c>
      <c r="I9" s="3" t="s">
        <v>65</v>
      </c>
      <c r="J9" s="2" t="s">
        <v>64</v>
      </c>
      <c r="K9">
        <v>230</v>
      </c>
      <c r="L9" t="s">
        <v>84</v>
      </c>
      <c r="M9" s="3" t="s">
        <v>85</v>
      </c>
      <c r="N9" t="s">
        <v>2</v>
      </c>
      <c r="O9">
        <f>K17/(2*O7*G18*O8)</f>
        <v>2.090765696955664E-2</v>
      </c>
      <c r="P9" t="s">
        <v>119</v>
      </c>
      <c r="Q9" s="3" t="s">
        <v>120</v>
      </c>
      <c r="R9" t="s">
        <v>3</v>
      </c>
      <c r="S9">
        <f>(B2*PI())/S1</f>
        <v>0.42597866489353126</v>
      </c>
      <c r="T9" t="s">
        <v>194</v>
      </c>
      <c r="U9" s="3" t="s">
        <v>196</v>
      </c>
      <c r="V9" t="s">
        <v>3</v>
      </c>
      <c r="W9">
        <f>K8/(K8-((((O18/O25)^2)/(5+(O18/O25)))*O25))</f>
        <v>1.2351305644324118</v>
      </c>
      <c r="X9" t="s">
        <v>205</v>
      </c>
      <c r="Y9" s="3" t="s">
        <v>206</v>
      </c>
      <c r="Z9" t="s">
        <v>2</v>
      </c>
      <c r="AA9">
        <f>2*(AA3+AA8)</f>
        <v>0.52243801892485253</v>
      </c>
      <c r="AB9" t="s">
        <v>279</v>
      </c>
      <c r="AC9" s="3" t="s">
        <v>282</v>
      </c>
      <c r="AD9" t="s">
        <v>5</v>
      </c>
      <c r="AE9">
        <f>AE1*((50/50)^AE2)*((AE3*(W5^2)*AE6)+(AE4*(W1^2)*AE7))</f>
        <v>143.79224143236451</v>
      </c>
      <c r="AF9" t="s">
        <v>372</v>
      </c>
      <c r="AG9" s="3" t="s">
        <v>373</v>
      </c>
      <c r="AH9" t="s">
        <v>3</v>
      </c>
      <c r="AI9">
        <f>AA24*(K10/K9)</f>
        <v>3.8787776192456679E-2</v>
      </c>
      <c r="AK9" s="1" t="s">
        <v>390</v>
      </c>
      <c r="AL9" s="1" t="s">
        <v>389</v>
      </c>
      <c r="AM9" s="1" t="s">
        <v>62</v>
      </c>
      <c r="AN9" s="1">
        <f>$K$9/AN8</f>
        <v>4.5653793458821579E-7</v>
      </c>
      <c r="AO9" s="1">
        <f t="shared" ref="AO9:AU9" si="16">$K$9/AO8</f>
        <v>2.2715600279193175</v>
      </c>
      <c r="AP9" s="1">
        <f t="shared" si="16"/>
        <v>4.5193880738041088</v>
      </c>
      <c r="AQ9" s="1">
        <f t="shared" si="16"/>
        <v>6.7413882209173384</v>
      </c>
      <c r="AR9" s="1">
        <f t="shared" si="16"/>
        <v>8.9356195619673411</v>
      </c>
      <c r="AS9" s="1">
        <f t="shared" si="16"/>
        <v>11.100299988910823</v>
      </c>
      <c r="AT9" s="1">
        <f t="shared" si="16"/>
        <v>13.233808308808873</v>
      </c>
      <c r="AU9" s="1">
        <f t="shared" si="16"/>
        <v>15.334684779989733</v>
      </c>
      <c r="AV9" s="1">
        <f t="shared" ref="AV9" si="17">$K$9/AV8</f>
        <v>16.903690078148241</v>
      </c>
      <c r="AW9" s="1">
        <f t="shared" ref="AW9:BG9" si="18">$K$9/AW8</f>
        <v>17.401630182664512</v>
      </c>
      <c r="AX9" s="1">
        <f t="shared" si="18"/>
        <v>39.286751749778205</v>
      </c>
      <c r="AY9" s="1">
        <f t="shared" si="18"/>
        <v>64.16654051617202</v>
      </c>
      <c r="AZ9" s="1">
        <f t="shared" si="18"/>
        <v>78.767968450060863</v>
      </c>
      <c r="BA9" s="1">
        <f t="shared" si="18"/>
        <v>87.597309975421581</v>
      </c>
      <c r="BB9" s="1">
        <f t="shared" si="18"/>
        <v>93.247060617717366</v>
      </c>
      <c r="BC9" s="1">
        <f t="shared" si="18"/>
        <v>97.068173777689495</v>
      </c>
      <c r="BD9" s="1">
        <f t="shared" si="18"/>
        <v>99.778523619426622</v>
      </c>
      <c r="BE9" s="1">
        <f t="shared" si="18"/>
        <v>101.77847141009788</v>
      </c>
      <c r="BF9" s="1">
        <f t="shared" si="18"/>
        <v>103.30313776611722</v>
      </c>
      <c r="BG9" s="1">
        <f t="shared" si="18"/>
        <v>104.49734841935403</v>
      </c>
    </row>
    <row r="10" spans="1:59" ht="18">
      <c r="D10" t="s">
        <v>28</v>
      </c>
      <c r="E10" s="3" t="s">
        <v>17</v>
      </c>
      <c r="F10" s="2" t="s">
        <v>5</v>
      </c>
      <c r="G10" s="4">
        <f>B1*(G7/((G8/100)*G9))</f>
        <v>12879.652888787392</v>
      </c>
      <c r="H10" t="s">
        <v>60</v>
      </c>
      <c r="I10" s="3" t="s">
        <v>61</v>
      </c>
      <c r="J10" s="2" t="s">
        <v>62</v>
      </c>
      <c r="K10">
        <f>B1/(K6*K9*(G8/100)*G9)</f>
        <v>19.85762085844495</v>
      </c>
      <c r="L10" t="s">
        <v>502</v>
      </c>
      <c r="M10" s="3" t="s">
        <v>85</v>
      </c>
      <c r="N10" t="s">
        <v>2</v>
      </c>
      <c r="O10">
        <v>1.7000000000000001E-2</v>
      </c>
      <c r="P10" t="s">
        <v>187</v>
      </c>
      <c r="Q10" s="3" t="s">
        <v>99</v>
      </c>
      <c r="R10" t="s">
        <v>2</v>
      </c>
      <c r="S10">
        <f>0.5*10^-3</f>
        <v>5.0000000000000001E-4</v>
      </c>
      <c r="T10" t="s">
        <v>195</v>
      </c>
      <c r="U10" s="3" t="s">
        <v>196</v>
      </c>
      <c r="V10" t="s">
        <v>3</v>
      </c>
      <c r="W10">
        <f>S15/(S15-((((S12/O25)^2)/(5+(S12/O25)))*O25))</f>
        <v>1.0281470748156281</v>
      </c>
      <c r="X10" t="s">
        <v>341</v>
      </c>
      <c r="Y10" s="3" t="s">
        <v>204</v>
      </c>
      <c r="Z10" t="s">
        <v>2</v>
      </c>
      <c r="AA10">
        <f>AA9*K15</f>
        <v>81.500330952276997</v>
      </c>
      <c r="AB10" t="s">
        <v>300</v>
      </c>
      <c r="AC10" s="3" t="s">
        <v>301</v>
      </c>
      <c r="AD10" t="s">
        <v>3</v>
      </c>
      <c r="AE10">
        <v>1.6</v>
      </c>
      <c r="AF10" t="s">
        <v>375</v>
      </c>
      <c r="AG10" s="3" t="s">
        <v>376</v>
      </c>
      <c r="AH10" t="s">
        <v>311</v>
      </c>
      <c r="AI10">
        <f>(60*50)/(B2/2)</f>
        <v>750</v>
      </c>
      <c r="AK10" s="1"/>
      <c r="AL10" s="1" t="s">
        <v>393</v>
      </c>
      <c r="AM10" s="1" t="s">
        <v>3</v>
      </c>
      <c r="AN10" s="1">
        <f>AN6/AN8</f>
        <v>1</v>
      </c>
      <c r="AO10" s="1">
        <f t="shared" ref="AO10:AU10" si="19">AO6/AO8</f>
        <v>0.99981038642974507</v>
      </c>
      <c r="AP10" s="1">
        <f t="shared" si="19"/>
        <v>0.99924923826250067</v>
      </c>
      <c r="AQ10" s="1">
        <f t="shared" si="19"/>
        <v>0.99832874954412909</v>
      </c>
      <c r="AR10" s="1">
        <f t="shared" si="19"/>
        <v>0.99706189295036929</v>
      </c>
      <c r="AS10" s="1">
        <f t="shared" si="19"/>
        <v>0.995462300795113</v>
      </c>
      <c r="AT10" s="1">
        <f t="shared" si="19"/>
        <v>0.99354414717489381</v>
      </c>
      <c r="AU10" s="1">
        <f t="shared" si="19"/>
        <v>0.99132203275324959</v>
      </c>
      <c r="AV10" s="1">
        <f t="shared" ref="AV10" si="20">AV6/AV8</f>
        <v>0.98944542347830045</v>
      </c>
      <c r="AW10" s="1">
        <f t="shared" ref="AW10:BG10" si="21">AW6/AW8</f>
        <v>0.98881087350974728</v>
      </c>
      <c r="AX10" s="1">
        <f t="shared" si="21"/>
        <v>0.94158205225211944</v>
      </c>
      <c r="AY10" s="1">
        <f t="shared" si="21"/>
        <v>0.83512225123230366</v>
      </c>
      <c r="AZ10" s="1">
        <f t="shared" si="21"/>
        <v>0.73760323817523654</v>
      </c>
      <c r="BA10" s="1">
        <f t="shared" si="21"/>
        <v>0.66038925299454387</v>
      </c>
      <c r="BB10" s="1">
        <f t="shared" si="21"/>
        <v>0.60085817016230902</v>
      </c>
      <c r="BC10" s="1">
        <f t="shared" si="21"/>
        <v>0.55460770232239853</v>
      </c>
      <c r="BD10" s="1">
        <f t="shared" si="21"/>
        <v>0.51805668913453107</v>
      </c>
      <c r="BE10" s="1">
        <f t="shared" si="21"/>
        <v>0.48863065572290643</v>
      </c>
      <c r="BF10" s="1">
        <f t="shared" si="21"/>
        <v>0.46452337391016607</v>
      </c>
      <c r="BG10" s="1">
        <f t="shared" si="21"/>
        <v>0.44446106791768164</v>
      </c>
    </row>
    <row r="11" spans="1:59" ht="18">
      <c r="D11" t="s">
        <v>29</v>
      </c>
      <c r="E11" s="3" t="s">
        <v>18</v>
      </c>
      <c r="F11" s="2" t="s">
        <v>3</v>
      </c>
      <c r="G11" s="4">
        <f>2/PI()</f>
        <v>0.63661977236758138</v>
      </c>
      <c r="H11" s="20" t="s">
        <v>57</v>
      </c>
      <c r="I11" s="3" t="s">
        <v>59</v>
      </c>
      <c r="J11" s="2" t="s">
        <v>3</v>
      </c>
      <c r="K11">
        <f>((PI()*G5*G16)/(K10*K5))</f>
        <v>13.418936006873755</v>
      </c>
      <c r="L11" t="s">
        <v>91</v>
      </c>
      <c r="M11" s="3" t="s">
        <v>92</v>
      </c>
      <c r="N11" t="s">
        <v>7</v>
      </c>
      <c r="O11">
        <v>1.7</v>
      </c>
      <c r="P11" t="s">
        <v>189</v>
      </c>
      <c r="Q11" s="3" t="s">
        <v>142</v>
      </c>
      <c r="R11" t="s">
        <v>2</v>
      </c>
      <c r="S11">
        <f>0.3*10^-3</f>
        <v>2.9999999999999997E-4</v>
      </c>
      <c r="T11" t="s">
        <v>150</v>
      </c>
      <c r="U11" s="3" t="s">
        <v>149</v>
      </c>
      <c r="V11" t="s">
        <v>62</v>
      </c>
      <c r="W11">
        <f>(1.59*(10^6))*K18*W9*O25</f>
        <v>910.81582996052998</v>
      </c>
      <c r="X11" t="s">
        <v>199</v>
      </c>
      <c r="Y11" s="3" t="s">
        <v>201</v>
      </c>
      <c r="Z11" t="s">
        <v>200</v>
      </c>
      <c r="AA11">
        <f>1*AA5*(AA10/(O3*K13))</f>
        <v>0.44805737280732483</v>
      </c>
      <c r="AB11" t="s">
        <v>249</v>
      </c>
      <c r="AC11" s="3" t="s">
        <v>304</v>
      </c>
      <c r="AD11" t="s">
        <v>3</v>
      </c>
      <c r="AE11">
        <v>1.39</v>
      </c>
      <c r="AF11" t="s">
        <v>374</v>
      </c>
      <c r="AG11" s="11" t="s">
        <v>377</v>
      </c>
      <c r="AH11" t="s">
        <v>311</v>
      </c>
      <c r="AI11">
        <f>AI10*(1-AI9)</f>
        <v>720.90916785565753</v>
      </c>
      <c r="AK11" s="1"/>
      <c r="AL11" s="1" t="s">
        <v>394</v>
      </c>
      <c r="AM11" s="1" t="s">
        <v>3</v>
      </c>
      <c r="AN11" s="1">
        <f>AN7/AN8</f>
        <v>3.9136480680838488E-9</v>
      </c>
      <c r="AO11" s="1">
        <f t="shared" ref="AO11:AU11" si="22">AO7/AO8</f>
        <v>1.9472832028342914E-2</v>
      </c>
      <c r="AP11" s="1">
        <f t="shared" si="22"/>
        <v>3.8742222855846734E-2</v>
      </c>
      <c r="AQ11" s="1">
        <f t="shared" si="22"/>
        <v>5.7790205343600742E-2</v>
      </c>
      <c r="AR11" s="1">
        <f t="shared" si="22"/>
        <v>7.6600141163227678E-2</v>
      </c>
      <c r="AS11" s="1">
        <f t="shared" si="22"/>
        <v>9.5156753284775894E-2</v>
      </c>
      <c r="AT11" s="1">
        <f t="shared" si="22"/>
        <v>0.11344614411478678</v>
      </c>
      <c r="AU11" s="1">
        <f t="shared" si="22"/>
        <v>0.1314558000925225</v>
      </c>
      <c r="AV11" s="1">
        <f t="shared" ref="AV11" si="23">AV7/AV8</f>
        <v>0.14490601767299577</v>
      </c>
      <c r="AW11" s="1">
        <f t="shared" ref="AW11:BG11" si="24">AW7/AW8</f>
        <v>0.14917458372286696</v>
      </c>
      <c r="AX11" s="1">
        <f t="shared" si="24"/>
        <v>0.3367836677701086</v>
      </c>
      <c r="AY11" s="1">
        <f t="shared" si="24"/>
        <v>0.55006438304682925</v>
      </c>
      <c r="AZ11" s="1">
        <f t="shared" si="24"/>
        <v>0.67523437637120143</v>
      </c>
      <c r="BA11" s="1">
        <f t="shared" si="24"/>
        <v>0.75092345450738751</v>
      </c>
      <c r="BB11" s="1">
        <f t="shared" si="24"/>
        <v>0.79935565260352148</v>
      </c>
      <c r="BC11" s="1">
        <f t="shared" si="24"/>
        <v>0.83211194951440859</v>
      </c>
      <c r="BD11" s="1">
        <f t="shared" si="24"/>
        <v>0.85534628475429042</v>
      </c>
      <c r="BE11" s="1">
        <f t="shared" si="24"/>
        <v>0.87249073478622252</v>
      </c>
      <c r="BF11" s="1">
        <f t="shared" si="24"/>
        <v>0.88556085905550053</v>
      </c>
      <c r="BG11" s="1">
        <f t="shared" si="24"/>
        <v>0.89579816873304341</v>
      </c>
    </row>
    <row r="12" spans="1:59" ht="18">
      <c r="D12" t="s">
        <v>30</v>
      </c>
      <c r="E12" s="3" t="s">
        <v>19</v>
      </c>
      <c r="F12" s="2" t="s">
        <v>3</v>
      </c>
      <c r="G12" s="4">
        <f>PI()/(2*SQRT(2))</f>
        <v>1.1107207345395915</v>
      </c>
      <c r="H12" s="20"/>
      <c r="I12" s="3" t="s">
        <v>59</v>
      </c>
      <c r="J12" s="2" t="s">
        <v>3</v>
      </c>
      <c r="K12">
        <v>13</v>
      </c>
      <c r="L12" t="s">
        <v>89</v>
      </c>
      <c r="M12" s="3" t="s">
        <v>90</v>
      </c>
      <c r="N12" t="s">
        <v>2</v>
      </c>
      <c r="O12">
        <f>(G15*K8*G18)/(O11*G18*O8)</f>
        <v>4.7901993247460471E-3</v>
      </c>
      <c r="P12" t="s">
        <v>186</v>
      </c>
      <c r="Q12" s="3" t="s">
        <v>100</v>
      </c>
      <c r="R12" t="s">
        <v>2</v>
      </c>
      <c r="S12">
        <f>1*10^-3</f>
        <v>1E-3</v>
      </c>
      <c r="T12" t="s">
        <v>190</v>
      </c>
      <c r="U12" s="3" t="s">
        <v>191</v>
      </c>
      <c r="V12" t="s">
        <v>2</v>
      </c>
      <c r="W12">
        <f>O14</f>
        <v>1.6500000000000001E-2</v>
      </c>
      <c r="X12" t="s">
        <v>216</v>
      </c>
      <c r="Y12" s="3" t="s">
        <v>219</v>
      </c>
      <c r="Z12" t="s">
        <v>200</v>
      </c>
      <c r="AA12">
        <f>AA4*(S30/S23)*1</f>
        <v>9.5641281353523651E-5</v>
      </c>
      <c r="AB12" t="s">
        <v>270</v>
      </c>
      <c r="AC12" s="3" t="s">
        <v>305</v>
      </c>
      <c r="AD12" t="s">
        <v>3</v>
      </c>
      <c r="AE12">
        <v>0.1</v>
      </c>
      <c r="AF12" t="s">
        <v>380</v>
      </c>
      <c r="AG12" s="7" t="s">
        <v>381</v>
      </c>
      <c r="AH12" s="7" t="s">
        <v>6</v>
      </c>
      <c r="AI12">
        <f>(2*PI()*AI10)/60</f>
        <v>78.539816339744831</v>
      </c>
      <c r="AK12" s="1" t="s">
        <v>395</v>
      </c>
      <c r="AL12" s="1" t="s">
        <v>398</v>
      </c>
      <c r="AM12" s="1" t="s">
        <v>62</v>
      </c>
      <c r="AN12" s="1">
        <f>W22</f>
        <v>14.479567681080848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ht="18">
      <c r="D13" t="s">
        <v>31</v>
      </c>
      <c r="E13" s="3" t="s">
        <v>21</v>
      </c>
      <c r="F13" s="2" t="s">
        <v>3</v>
      </c>
      <c r="G13" s="4">
        <v>0.95499999999999996</v>
      </c>
      <c r="H13" t="s">
        <v>69</v>
      </c>
      <c r="I13" s="3" t="s">
        <v>70</v>
      </c>
      <c r="J13" s="2" t="s">
        <v>3</v>
      </c>
      <c r="K13">
        <v>1</v>
      </c>
      <c r="L13" t="s">
        <v>93</v>
      </c>
      <c r="M13" s="3" t="s">
        <v>94</v>
      </c>
      <c r="N13" t="s">
        <v>2</v>
      </c>
      <c r="O13">
        <f>((G2-G5)/2)-O10</f>
        <v>1.6500000000000001E-2</v>
      </c>
      <c r="P13" t="s">
        <v>184</v>
      </c>
      <c r="Q13" s="3" t="s">
        <v>148</v>
      </c>
      <c r="R13" t="s">
        <v>7</v>
      </c>
      <c r="S13">
        <v>1.75</v>
      </c>
      <c r="T13" t="s">
        <v>192</v>
      </c>
      <c r="U13" s="3" t="s">
        <v>193</v>
      </c>
      <c r="V13" t="s">
        <v>2</v>
      </c>
      <c r="W13">
        <f>S27-0.1*S20</f>
        <v>1.418E-2</v>
      </c>
      <c r="X13" t="s">
        <v>226</v>
      </c>
      <c r="Y13" s="3" t="s">
        <v>224</v>
      </c>
      <c r="Z13" t="s">
        <v>2</v>
      </c>
      <c r="AA13">
        <f>1.2*S27</f>
        <v>1.7399999999999999E-2</v>
      </c>
      <c r="AB13" t="s">
        <v>271</v>
      </c>
      <c r="AC13" s="3" t="s">
        <v>306</v>
      </c>
      <c r="AD13" t="s">
        <v>3</v>
      </c>
      <c r="AE13">
        <v>0.4</v>
      </c>
      <c r="AF13" t="s">
        <v>380</v>
      </c>
      <c r="AG13" s="7" t="s">
        <v>382</v>
      </c>
      <c r="AH13" s="7" t="s">
        <v>6</v>
      </c>
      <c r="AI13">
        <f>(2*PI()*AI11)/60</f>
        <v>75.493431521362169</v>
      </c>
      <c r="AK13" s="1" t="s">
        <v>388</v>
      </c>
      <c r="AL13" s="1" t="s">
        <v>399</v>
      </c>
      <c r="AM13" s="1" t="s">
        <v>62</v>
      </c>
      <c r="AN13" s="1">
        <f>(AE9+(3*AA11*(W22^2)))/(3*K9)</f>
        <v>0.61682393977728944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ht="18.75">
      <c r="D14" t="s">
        <v>32</v>
      </c>
      <c r="E14" s="3" t="s">
        <v>20</v>
      </c>
      <c r="F14" s="2" t="s">
        <v>6</v>
      </c>
      <c r="G14" s="4">
        <f>(2*PI()*50)/(B2/2)</f>
        <v>78.539816339744831</v>
      </c>
      <c r="H14" t="s">
        <v>66</v>
      </c>
      <c r="I14" s="3" t="s">
        <v>58</v>
      </c>
      <c r="J14" s="2" t="s">
        <v>3</v>
      </c>
      <c r="K14">
        <f>K12*K13</f>
        <v>13</v>
      </c>
      <c r="L14" t="s">
        <v>503</v>
      </c>
      <c r="M14" s="3" t="s">
        <v>94</v>
      </c>
      <c r="N14" t="s">
        <v>2</v>
      </c>
      <c r="O14">
        <v>1.6500000000000001E-2</v>
      </c>
      <c r="P14" t="s">
        <v>141</v>
      </c>
      <c r="Q14" s="3" t="s">
        <v>129</v>
      </c>
      <c r="R14" t="s">
        <v>7</v>
      </c>
      <c r="S14">
        <v>0.75</v>
      </c>
      <c r="T14" t="s">
        <v>158</v>
      </c>
      <c r="U14" s="3" t="s">
        <v>153</v>
      </c>
      <c r="V14" t="s">
        <v>62</v>
      </c>
      <c r="W14">
        <f>2*W12*W3</f>
        <v>278.98200000000003</v>
      </c>
      <c r="X14" t="s">
        <v>228</v>
      </c>
      <c r="Y14" s="3" t="s">
        <v>229</v>
      </c>
      <c r="Z14" t="s">
        <v>79</v>
      </c>
      <c r="AA14">
        <f>S6/S8</f>
        <v>5000000</v>
      </c>
      <c r="AB14" t="s">
        <v>316</v>
      </c>
      <c r="AC14" s="3" t="s">
        <v>302</v>
      </c>
      <c r="AD14" t="s">
        <v>7</v>
      </c>
      <c r="AE14">
        <f>AE12*AE11*K18</f>
        <v>0.12893338145195724</v>
      </c>
      <c r="AF14" t="s">
        <v>378</v>
      </c>
      <c r="AG14" s="3" t="s">
        <v>379</v>
      </c>
      <c r="AH14" t="s">
        <v>362</v>
      </c>
      <c r="AI14">
        <f>$B$1/$AI$13</f>
        <v>119.21566974278146</v>
      </c>
      <c r="AK14" s="1" t="s">
        <v>395</v>
      </c>
      <c r="AL14" s="1" t="s">
        <v>396</v>
      </c>
      <c r="AM14" s="1" t="s">
        <v>62</v>
      </c>
      <c r="AN14" s="1">
        <f>$AN$13+(AN9*AN10)</f>
        <v>0.61682439631522401</v>
      </c>
      <c r="AO14" s="1">
        <f t="shared" ref="AO14:AU14" si="25">$AN$13+(AO9*AO10)</f>
        <v>2.8879532490896649</v>
      </c>
      <c r="AP14" s="1">
        <f t="shared" si="25"/>
        <v>5.1328190299386751</v>
      </c>
      <c r="AQ14" s="1">
        <f t="shared" si="25"/>
        <v>7.3469456125572172</v>
      </c>
      <c r="AR14" s="1">
        <f t="shared" si="25"/>
        <v>9.5261896949167966</v>
      </c>
      <c r="AS14" s="1">
        <f t="shared" si="25"/>
        <v>11.666754106254425</v>
      </c>
      <c r="AT14" s="1">
        <f t="shared" si="25"/>
        <v>13.765196729828824</v>
      </c>
      <c r="AU14" s="1">
        <f t="shared" si="25"/>
        <v>15.818434827507028</v>
      </c>
      <c r="AV14" s="1">
        <f t="shared" ref="AV14" si="26">$AN$13+(AV9*AV10)</f>
        <v>17.342102727496624</v>
      </c>
      <c r="AW14" s="1">
        <f t="shared" ref="AW14:BG14" si="27">$AN$13+(AW9*AW10)</f>
        <v>17.823745081191369</v>
      </c>
      <c r="AX14" s="1">
        <f t="shared" si="27"/>
        <v>37.608524278653</v>
      </c>
      <c r="AY14" s="1">
        <f t="shared" si="27"/>
        <v>54.203729709431691</v>
      </c>
      <c r="AZ14" s="1">
        <f t="shared" si="27"/>
        <v>58.71633253302705</v>
      </c>
      <c r="BA14" s="1">
        <f t="shared" si="27"/>
        <v>58.465146038777455</v>
      </c>
      <c r="BB14" s="1">
        <f t="shared" si="27"/>
        <v>56.645082155552856</v>
      </c>
      <c r="BC14" s="1">
        <f t="shared" si="27"/>
        <v>54.451580767252956</v>
      </c>
      <c r="BD14" s="1">
        <f t="shared" si="27"/>
        <v>52.307755532789052</v>
      </c>
      <c r="BE14" s="1">
        <f t="shared" si="27"/>
        <v>50.348905163368499</v>
      </c>
      <c r="BF14" s="1">
        <f t="shared" si="27"/>
        <v>48.603546030400757</v>
      </c>
      <c r="BG14" s="1">
        <f t="shared" si="27"/>
        <v>47.061827012809445</v>
      </c>
    </row>
    <row r="15" spans="1:59" ht="18.75">
      <c r="D15" t="s">
        <v>33</v>
      </c>
      <c r="E15" s="3" t="s">
        <v>22</v>
      </c>
      <c r="F15" s="2" t="s">
        <v>7</v>
      </c>
      <c r="G15" s="4">
        <v>0.9</v>
      </c>
      <c r="H15" t="s">
        <v>67</v>
      </c>
      <c r="I15" s="3" t="s">
        <v>68</v>
      </c>
      <c r="J15" s="2" t="s">
        <v>3</v>
      </c>
      <c r="K15">
        <f>(K14*K5)/(2*K13*K6)</f>
        <v>156</v>
      </c>
      <c r="L15" t="s">
        <v>95</v>
      </c>
      <c r="M15" s="3" t="s">
        <v>96</v>
      </c>
      <c r="N15" t="s">
        <v>2</v>
      </c>
      <c r="O15">
        <f>((PI()*(G5+2*O14))/K5)-O12</f>
        <v>5.2454438742213479E-3</v>
      </c>
      <c r="P15" t="s">
        <v>136</v>
      </c>
      <c r="Q15" s="3" t="s">
        <v>137</v>
      </c>
      <c r="R15" t="s">
        <v>2</v>
      </c>
      <c r="S15">
        <f>(PI()*S4)/S1</f>
        <v>1.0436477289891517E-2</v>
      </c>
      <c r="T15" t="s">
        <v>159</v>
      </c>
      <c r="U15" s="3" t="s">
        <v>154</v>
      </c>
      <c r="V15" t="s">
        <v>62</v>
      </c>
      <c r="W15">
        <f>2*W13*W4</f>
        <v>239.72708</v>
      </c>
      <c r="X15" t="s">
        <v>230</v>
      </c>
      <c r="Y15" s="3" t="s">
        <v>231</v>
      </c>
      <c r="Z15" t="s">
        <v>79</v>
      </c>
      <c r="AA15">
        <f>AA14-((AA14/100)*15)</f>
        <v>4250000</v>
      </c>
      <c r="AB15" t="s">
        <v>317</v>
      </c>
      <c r="AC15" s="3" t="s">
        <v>303</v>
      </c>
      <c r="AD15" t="s">
        <v>7</v>
      </c>
      <c r="AE15">
        <f>AE13*AE11*K18</f>
        <v>0.51573352580782894</v>
      </c>
      <c r="AF15" t="s">
        <v>353</v>
      </c>
      <c r="AG15" s="3" t="s">
        <v>359</v>
      </c>
      <c r="AH15" t="s">
        <v>3</v>
      </c>
      <c r="AI15">
        <f>AA24/(SQRT((AA11^2)+((AA34+AA44)^2)))</f>
        <v>0.2412539424054311</v>
      </c>
      <c r="AK15" s="1" t="s">
        <v>388</v>
      </c>
      <c r="AL15" s="1" t="s">
        <v>397</v>
      </c>
      <c r="AM15" s="1" t="s">
        <v>62</v>
      </c>
      <c r="AN15" s="1">
        <f>$AN$12+(AN9*AN11)</f>
        <v>14.47956768108085</v>
      </c>
      <c r="AO15" s="1">
        <f>$AN$12+(AO9*AO11)</f>
        <v>14.523801387946818</v>
      </c>
      <c r="AP15" s="1">
        <f t="shared" ref="AP15:AU15" si="28">$AN$12+(AP9*AP11)</f>
        <v>14.654658821008223</v>
      </c>
      <c r="AQ15" s="1">
        <f t="shared" si="28"/>
        <v>14.869153890668592</v>
      </c>
      <c r="AR15" s="1">
        <f t="shared" si="28"/>
        <v>15.164037400908445</v>
      </c>
      <c r="AS15" s="1">
        <f t="shared" si="28"/>
        <v>15.535836188512636</v>
      </c>
      <c r="AT15" s="1">
        <f t="shared" si="28"/>
        <v>15.980892205669441</v>
      </c>
      <c r="AU15" s="1">
        <f t="shared" si="28"/>
        <v>16.495400938001026</v>
      </c>
      <c r="AV15" s="1">
        <f t="shared" ref="AV15" si="29">$AN$12+(AV9*AV11)</f>
        <v>16.92901409428384</v>
      </c>
      <c r="AW15" s="1">
        <f t="shared" ref="AW15:BG15" si="30">$AN$12+(AW9*AW11)</f>
        <v>17.075448619679104</v>
      </c>
      <c r="AX15" s="1">
        <f t="shared" si="30"/>
        <v>27.710704030144882</v>
      </c>
      <c r="AY15" s="1">
        <f t="shared" si="30"/>
        <v>49.775296202358376</v>
      </c>
      <c r="AZ15" s="1">
        <f t="shared" si="30"/>
        <v>67.666407735484171</v>
      </c>
      <c r="BA15" s="1">
        <f t="shared" si="30"/>
        <v>80.258442293378863</v>
      </c>
      <c r="BB15" s="1">
        <f t="shared" si="30"/>
        <v>89.017132674516446</v>
      </c>
      <c r="BC15" s="1">
        <f t="shared" si="30"/>
        <v>95.251154999037453</v>
      </c>
      <c r="BD15" s="1">
        <f t="shared" si="30"/>
        <v>99.824757157225633</v>
      </c>
      <c r="BE15" s="1">
        <f t="shared" si="30"/>
        <v>103.2803409870957</v>
      </c>
      <c r="BF15" s="1">
        <f t="shared" si="30"/>
        <v>105.96078310437234</v>
      </c>
      <c r="BG15" s="1">
        <f t="shared" si="30"/>
        <v>108.08810103259698</v>
      </c>
    </row>
    <row r="16" spans="1:59" ht="18">
      <c r="D16" t="s">
        <v>34</v>
      </c>
      <c r="E16" s="3" t="s">
        <v>23</v>
      </c>
      <c r="F16" s="2" t="s">
        <v>8</v>
      </c>
      <c r="G16" s="4">
        <f>31000</f>
        <v>31000</v>
      </c>
      <c r="H16" t="s">
        <v>71</v>
      </c>
      <c r="I16" s="3" t="s">
        <v>23</v>
      </c>
      <c r="J16" s="2" t="s">
        <v>3</v>
      </c>
      <c r="K16">
        <f>(2*K6*K15*K10)/(PI()*G5)</f>
        <v>30032.187335386807</v>
      </c>
      <c r="L16" t="s">
        <v>504</v>
      </c>
      <c r="M16" s="3" t="s">
        <v>96</v>
      </c>
      <c r="N16" t="s">
        <v>2</v>
      </c>
      <c r="O16">
        <v>5.0000000000000001E-3</v>
      </c>
      <c r="P16" t="s">
        <v>89</v>
      </c>
      <c r="Q16" s="3" t="s">
        <v>135</v>
      </c>
      <c r="R16" t="s">
        <v>2</v>
      </c>
      <c r="S16">
        <f>(K18*S15*G18)/(S13*O8*G18)</f>
        <v>5.822947184214949E-3</v>
      </c>
      <c r="T16" t="s">
        <v>166</v>
      </c>
      <c r="U16" s="3" t="s">
        <v>155</v>
      </c>
      <c r="V16" t="s">
        <v>2</v>
      </c>
      <c r="W16">
        <f>((PI()*(G2-O10))/B2)+O10</f>
        <v>0.11399667317958487</v>
      </c>
      <c r="Y16" s="7" t="s">
        <v>232</v>
      </c>
      <c r="Z16" s="7" t="s">
        <v>3</v>
      </c>
      <c r="AA16">
        <f>2*SIN(S9/2)</f>
        <v>0.42276524725924863</v>
      </c>
      <c r="AB16" t="s">
        <v>312</v>
      </c>
      <c r="AC16" s="3" t="s">
        <v>310</v>
      </c>
      <c r="AD16" t="s">
        <v>311</v>
      </c>
      <c r="AE16">
        <f>((60*50)/(B2/2))</f>
        <v>750</v>
      </c>
      <c r="AF16" t="s">
        <v>360</v>
      </c>
      <c r="AG16" s="3" t="s">
        <v>361</v>
      </c>
      <c r="AH16" t="s">
        <v>362</v>
      </c>
      <c r="AI16">
        <f>(((B2/2)*K6)/(2*2*PI()*50))*((K9^2)/(AA11+SQRT((AA11^2)+((AA34+(AI4*AA44))^2))))</f>
        <v>427.53741039716709</v>
      </c>
      <c r="AK16" s="1" t="s">
        <v>391</v>
      </c>
      <c r="AL16" s="1" t="s">
        <v>392</v>
      </c>
      <c r="AM16" s="1" t="s">
        <v>62</v>
      </c>
      <c r="AN16" s="1">
        <f>SQRT((AN14^2)+(AN15^2))</f>
        <v>14.492699975052636</v>
      </c>
      <c r="AO16" s="1">
        <f t="shared" ref="AO16:AU16" si="31">SQRT((AO14^2)+(AO15^2))</f>
        <v>14.808142379294354</v>
      </c>
      <c r="AP16" s="1">
        <f t="shared" si="31"/>
        <v>15.527551524765736</v>
      </c>
      <c r="AQ16" s="1">
        <f t="shared" si="31"/>
        <v>16.585214718485215</v>
      </c>
      <c r="AR16" s="1">
        <f t="shared" si="31"/>
        <v>17.907995990609589</v>
      </c>
      <c r="AS16" s="1">
        <f t="shared" si="31"/>
        <v>19.428725059872129</v>
      </c>
      <c r="AT16" s="1">
        <f t="shared" si="31"/>
        <v>21.09193108039462</v>
      </c>
      <c r="AU16" s="1">
        <f t="shared" si="31"/>
        <v>22.854346030842635</v>
      </c>
      <c r="AV16" s="1">
        <f t="shared" ref="AV16" si="32">SQRT((AV14^2)+(AV15^2))</f>
        <v>24.235099447196554</v>
      </c>
      <c r="AW16" s="1">
        <f t="shared" ref="AW16:BG16" si="33">SQRT((AW14^2)+(AW15^2))</f>
        <v>24.68312853514713</v>
      </c>
      <c r="AX16" s="1">
        <f t="shared" si="33"/>
        <v>46.714924984038241</v>
      </c>
      <c r="AY16" s="1">
        <f t="shared" si="33"/>
        <v>73.590926250765719</v>
      </c>
      <c r="AZ16" s="1">
        <f t="shared" si="33"/>
        <v>89.589901450742772</v>
      </c>
      <c r="BA16" s="1">
        <f t="shared" si="33"/>
        <v>99.295472508544918</v>
      </c>
      <c r="BB16" s="1">
        <f t="shared" si="33"/>
        <v>105.51168296450301</v>
      </c>
      <c r="BC16" s="1">
        <f t="shared" si="33"/>
        <v>109.71671329703297</v>
      </c>
      <c r="BD16" s="1">
        <f t="shared" si="33"/>
        <v>112.6990835383194</v>
      </c>
      <c r="BE16" s="1">
        <f t="shared" si="33"/>
        <v>114.89926494786917</v>
      </c>
      <c r="BF16" s="1">
        <f t="shared" si="33"/>
        <v>116.5761220954837</v>
      </c>
      <c r="BG16" s="1">
        <f t="shared" si="33"/>
        <v>117.88915618756668</v>
      </c>
    </row>
    <row r="17" spans="4:59" ht="18.75">
      <c r="D17" t="s">
        <v>35</v>
      </c>
      <c r="E17" s="3" t="s">
        <v>24</v>
      </c>
      <c r="F17" s="2" t="s">
        <v>2</v>
      </c>
      <c r="G17">
        <f>(2*G10)/((G5^2)*G14*G12*G13*G16*G15*PI()*G11)</f>
        <v>0.14278065536568404</v>
      </c>
      <c r="H17" t="s">
        <v>72</v>
      </c>
      <c r="I17" t="s">
        <v>73</v>
      </c>
      <c r="J17" s="2" t="s">
        <v>74</v>
      </c>
      <c r="K17">
        <f>(G7*K9)/(4*G12*K15*50*G13)</f>
        <v>6.5327019584228195E-3</v>
      </c>
      <c r="L17" t="s">
        <v>182</v>
      </c>
      <c r="M17" s="3" t="s">
        <v>99</v>
      </c>
      <c r="N17" t="s">
        <v>2</v>
      </c>
      <c r="O17">
        <f>1*10^-3</f>
        <v>1E-3</v>
      </c>
      <c r="P17" t="s">
        <v>122</v>
      </c>
      <c r="Q17" s="3" t="s">
        <v>96</v>
      </c>
      <c r="R17" t="s">
        <v>2</v>
      </c>
      <c r="S17">
        <f>((PI()*(S4-2*S10-2*S11))-(S1*S16))/(PI()+S1)</f>
        <v>4.2994026477327467E-3</v>
      </c>
      <c r="T17" t="s">
        <v>167</v>
      </c>
      <c r="U17" s="3" t="s">
        <v>168</v>
      </c>
      <c r="V17" t="s">
        <v>2</v>
      </c>
      <c r="W17">
        <f>((PI()*(S29+S25))/B2)+S25</f>
        <v>8.5318026488478402E-2</v>
      </c>
      <c r="X17" t="s">
        <v>233</v>
      </c>
      <c r="Y17" s="3" t="s">
        <v>234</v>
      </c>
      <c r="Z17" s="7" t="s">
        <v>62</v>
      </c>
      <c r="AA17">
        <f>S6/AA16</f>
        <v>583.5378029343284</v>
      </c>
      <c r="AB17" t="s">
        <v>308</v>
      </c>
      <c r="AC17" s="3" t="s">
        <v>298</v>
      </c>
      <c r="AD17" t="s">
        <v>307</v>
      </c>
      <c r="AE17">
        <f>0.5*AE10*(((S1*AE16)/10000)^1.5)*((AE14*S15*(10^3))^2)</f>
        <v>13.483371789960925</v>
      </c>
      <c r="AF17" t="s">
        <v>482</v>
      </c>
      <c r="AG17" s="3" t="s">
        <v>481</v>
      </c>
      <c r="AH17" t="s">
        <v>403</v>
      </c>
      <c r="AI17">
        <f>AV18</f>
        <v>16.72221861856562</v>
      </c>
      <c r="AK17" s="1" t="s">
        <v>400</v>
      </c>
      <c r="AL17" s="1" t="s">
        <v>401</v>
      </c>
      <c r="AM17" s="1" t="s">
        <v>3</v>
      </c>
      <c r="AN17" s="1">
        <f>AN14/AN16</f>
        <v>4.2561040894864989E-2</v>
      </c>
      <c r="AO17" s="1">
        <f t="shared" ref="AO17:AU17" si="34">AO14/AO16</f>
        <v>0.19502468136231435</v>
      </c>
      <c r="AP17" s="1">
        <f t="shared" si="34"/>
        <v>0.33056203495780151</v>
      </c>
      <c r="AQ17" s="1">
        <f t="shared" si="34"/>
        <v>0.44298163980769006</v>
      </c>
      <c r="AR17" s="1">
        <f t="shared" si="34"/>
        <v>0.53195174378596255</v>
      </c>
      <c r="AS17" s="1">
        <f t="shared" si="34"/>
        <v>0.60048994827513458</v>
      </c>
      <c r="AT17" s="1">
        <f t="shared" si="34"/>
        <v>0.65262856574682515</v>
      </c>
      <c r="AU17" s="1">
        <f t="shared" si="34"/>
        <v>0.69214121489888925</v>
      </c>
      <c r="AV17" s="1">
        <f t="shared" ref="AV17" si="35">AV14/AV16</f>
        <v>0.71557794781414474</v>
      </c>
      <c r="AW17" s="1">
        <f t="shared" ref="AW17:BG17" si="36">AW14/AW16</f>
        <v>0.72210234840415566</v>
      </c>
      <c r="AX17" s="1">
        <f t="shared" si="36"/>
        <v>0.80506442623001628</v>
      </c>
      <c r="AY17" s="1">
        <f t="shared" si="36"/>
        <v>0.73655452473487104</v>
      </c>
      <c r="AZ17" s="1">
        <f t="shared" si="36"/>
        <v>0.65539007837071628</v>
      </c>
      <c r="BA17" s="1">
        <f t="shared" si="36"/>
        <v>0.58879971625842464</v>
      </c>
      <c r="BB17" s="1">
        <f t="shared" si="36"/>
        <v>0.53686075858168048</v>
      </c>
      <c r="BC17" s="1">
        <f t="shared" si="36"/>
        <v>0.4962924893661162</v>
      </c>
      <c r="BD17" s="1">
        <f t="shared" si="36"/>
        <v>0.46413647645150213</v>
      </c>
      <c r="BE17" s="1">
        <f t="shared" si="36"/>
        <v>0.4382004113447745</v>
      </c>
      <c r="BF17" s="1">
        <f t="shared" si="36"/>
        <v>0.41692539738619183</v>
      </c>
      <c r="BG17" s="1">
        <f t="shared" si="36"/>
        <v>0.39920403652675285</v>
      </c>
    </row>
    <row r="18" spans="4:59" ht="18.75">
      <c r="D18" t="s">
        <v>501</v>
      </c>
      <c r="E18" s="3" t="s">
        <v>24</v>
      </c>
      <c r="F18" s="2" t="s">
        <v>2</v>
      </c>
      <c r="G18" s="4">
        <v>0.14299999999999999</v>
      </c>
      <c r="H18" t="s">
        <v>145</v>
      </c>
      <c r="I18" s="3" t="s">
        <v>22</v>
      </c>
      <c r="J18" s="2" t="s">
        <v>7</v>
      </c>
      <c r="K18">
        <f>K17/(G11*G6*G18)</f>
        <v>0.92757828382703067</v>
      </c>
      <c r="L18" t="s">
        <v>183</v>
      </c>
      <c r="M18" s="3" t="s">
        <v>100</v>
      </c>
      <c r="N18" t="s">
        <v>2</v>
      </c>
      <c r="O18">
        <v>3.0000000000000001E-3</v>
      </c>
      <c r="P18" t="s">
        <v>510</v>
      </c>
      <c r="Q18" s="3" t="s">
        <v>96</v>
      </c>
      <c r="R18" t="s">
        <v>2</v>
      </c>
      <c r="S18">
        <v>4.3E-3</v>
      </c>
      <c r="T18" t="s">
        <v>162</v>
      </c>
      <c r="U18" s="3" t="s">
        <v>160</v>
      </c>
      <c r="V18" t="s">
        <v>62</v>
      </c>
      <c r="W18">
        <f>W16*W7</f>
        <v>18.866449411221296</v>
      </c>
      <c r="X18" t="s">
        <v>237</v>
      </c>
      <c r="Y18" s="3" t="s">
        <v>227</v>
      </c>
      <c r="Z18" t="s">
        <v>82</v>
      </c>
      <c r="AA18">
        <f>AA17/AA15</f>
        <v>1.3730301245513609E-4</v>
      </c>
      <c r="AB18" t="s">
        <v>309</v>
      </c>
      <c r="AC18" s="3" t="s">
        <v>299</v>
      </c>
      <c r="AD18" t="s">
        <v>307</v>
      </c>
      <c r="AE18">
        <f>0.5*AE10*(((K5*AE16)/10000)^1.5)*((AE15*K8*(10^3))^2)</f>
        <v>197.28704130060714</v>
      </c>
      <c r="AF18" t="s">
        <v>478</v>
      </c>
      <c r="AG18" s="3" t="s">
        <v>15</v>
      </c>
      <c r="AH18" s="2" t="s">
        <v>4</v>
      </c>
      <c r="AI18">
        <f>AV24*100</f>
        <v>86.709441675988629</v>
      </c>
      <c r="AK18" s="1" t="s">
        <v>402</v>
      </c>
      <c r="AL18" s="1" t="s">
        <v>404</v>
      </c>
      <c r="AM18" s="1" t="s">
        <v>403</v>
      </c>
      <c r="AN18" s="1">
        <f>3*$K$9*AN16*(10^-3)</f>
        <v>9.9999629827863199</v>
      </c>
      <c r="AO18" s="1">
        <f t="shared" ref="AO18:AU18" si="37">3*$K$9*AO16*(10^-3)</f>
        <v>10.217618241713105</v>
      </c>
      <c r="AP18" s="1">
        <f t="shared" si="37"/>
        <v>10.714010552088357</v>
      </c>
      <c r="AQ18" s="1">
        <f t="shared" si="37"/>
        <v>11.443798155754799</v>
      </c>
      <c r="AR18" s="1">
        <f t="shared" si="37"/>
        <v>12.356517233520618</v>
      </c>
      <c r="AS18" s="1">
        <f t="shared" si="37"/>
        <v>13.40582029131177</v>
      </c>
      <c r="AT18" s="1">
        <f t="shared" si="37"/>
        <v>14.553432445472289</v>
      </c>
      <c r="AU18" s="1">
        <f t="shared" si="37"/>
        <v>15.769498761281419</v>
      </c>
      <c r="AV18" s="1">
        <f t="shared" ref="AV18" si="38">3*$K$9*AV16*(10^-3)</f>
        <v>16.72221861856562</v>
      </c>
      <c r="AW18" s="1">
        <f t="shared" ref="AW18:BG18" si="39">3*$K$9*AW16*(10^-3)</f>
        <v>17.031358689251519</v>
      </c>
      <c r="AX18" s="1">
        <f t="shared" si="39"/>
        <v>32.233298238986386</v>
      </c>
      <c r="AY18" s="1">
        <f t="shared" si="39"/>
        <v>50.777739113028346</v>
      </c>
      <c r="AZ18" s="1">
        <f t="shared" si="39"/>
        <v>61.817032001012514</v>
      </c>
      <c r="BA18" s="1">
        <f t="shared" si="39"/>
        <v>68.513876030895986</v>
      </c>
      <c r="BB18" s="1">
        <f t="shared" si="39"/>
        <v>72.803061245507081</v>
      </c>
      <c r="BC18" s="1">
        <f t="shared" si="39"/>
        <v>75.704532174952746</v>
      </c>
      <c r="BD18" s="1">
        <f t="shared" si="39"/>
        <v>77.762367641440392</v>
      </c>
      <c r="BE18" s="1">
        <f t="shared" si="39"/>
        <v>79.280492814029728</v>
      </c>
      <c r="BF18" s="1">
        <f t="shared" si="39"/>
        <v>80.43752424588375</v>
      </c>
      <c r="BG18" s="1">
        <f t="shared" si="39"/>
        <v>81.343517769421013</v>
      </c>
    </row>
    <row r="19" spans="4:59" ht="18">
      <c r="D19" t="s">
        <v>36</v>
      </c>
      <c r="E19" s="3" t="s">
        <v>25</v>
      </c>
      <c r="F19" s="2" t="s">
        <v>3</v>
      </c>
      <c r="G19" s="4">
        <f>G18/G6</f>
        <v>1.8484594405799821</v>
      </c>
      <c r="K19">
        <f>3*K9*K10</f>
        <v>13701.758392327016</v>
      </c>
      <c r="L19" t="s">
        <v>97</v>
      </c>
      <c r="M19" s="3" t="s">
        <v>98</v>
      </c>
      <c r="N19" t="s">
        <v>2</v>
      </c>
      <c r="O19">
        <f>(PI()*(G5+(2*O17)-O18)-(K5*O12))/(K5-PI())</f>
        <v>3.9335473932654748E-3</v>
      </c>
      <c r="P19" t="s">
        <v>123</v>
      </c>
      <c r="Q19" s="3" t="s">
        <v>98</v>
      </c>
      <c r="R19" t="s">
        <v>2</v>
      </c>
      <c r="S19">
        <f>SQRT(((S18^2)*((S1/PI())+(PI()/2))-(4*S8))/((S1/PI())-(PI()/2)))</f>
        <v>3.2244813953253245E-3</v>
      </c>
      <c r="T19" t="s">
        <v>169</v>
      </c>
      <c r="U19" s="3" t="s">
        <v>170</v>
      </c>
      <c r="V19" t="s">
        <v>62</v>
      </c>
      <c r="W19">
        <f>W17*W8</f>
        <v>7.6956859892607516</v>
      </c>
      <c r="X19" t="s">
        <v>223</v>
      </c>
      <c r="Y19" s="3" t="s">
        <v>225</v>
      </c>
      <c r="Z19" t="s">
        <v>2</v>
      </c>
      <c r="AA19">
        <f>AA18/AA13</f>
        <v>7.8909777273066719E-3</v>
      </c>
      <c r="AB19" t="s">
        <v>295</v>
      </c>
      <c r="AC19" s="3" t="s">
        <v>296</v>
      </c>
      <c r="AD19" t="s">
        <v>5</v>
      </c>
      <c r="AE19">
        <f>AE17*(K8-O18)*K5*G18</f>
        <v>0.77682837521972203</v>
      </c>
      <c r="AF19" t="s">
        <v>411</v>
      </c>
      <c r="AG19" s="3" t="s">
        <v>412</v>
      </c>
      <c r="AH19" t="s">
        <v>3</v>
      </c>
      <c r="AI19">
        <v>0.18</v>
      </c>
      <c r="AK19" s="1"/>
      <c r="AL19" s="1" t="s">
        <v>406</v>
      </c>
      <c r="AM19" s="1" t="s">
        <v>403</v>
      </c>
      <c r="AN19" s="1">
        <f t="shared" ref="AN19:AU19" si="40">3*$AA$11*(AN16^2)*10^-3</f>
        <v>0.28232769731969898</v>
      </c>
      <c r="AO19" s="1">
        <f t="shared" si="40"/>
        <v>0.29475151480859274</v>
      </c>
      <c r="AP19" s="1">
        <f t="shared" si="40"/>
        <v>0.32408642552752442</v>
      </c>
      <c r="AQ19" s="1">
        <f t="shared" si="40"/>
        <v>0.36974054721708322</v>
      </c>
      <c r="AR19" s="1">
        <f t="shared" si="40"/>
        <v>0.43107105236178234</v>
      </c>
      <c r="AS19" s="1">
        <f t="shared" si="40"/>
        <v>0.5073918508784856</v>
      </c>
      <c r="AT19" s="1">
        <f t="shared" si="40"/>
        <v>0.59798125445104033</v>
      </c>
      <c r="AU19" s="1">
        <f t="shared" si="40"/>
        <v>0.70208950316571928</v>
      </c>
      <c r="AV19" s="1">
        <f t="shared" ref="AV19" si="41">3*$AA$11*(AV16^2)*10^-3</f>
        <v>0.78948611281138592</v>
      </c>
      <c r="AW19" s="1">
        <f t="shared" ref="AW19:BG19" si="42">3*$AA$11*(AW16^2)*10^-3</f>
        <v>0.81894604960070083</v>
      </c>
      <c r="AX19" s="1">
        <f t="shared" si="42"/>
        <v>2.9333655979748494</v>
      </c>
      <c r="AY19" s="1">
        <f t="shared" si="42"/>
        <v>7.2795313578732248</v>
      </c>
      <c r="AZ19" s="1">
        <f t="shared" si="42"/>
        <v>10.788796476758193</v>
      </c>
      <c r="BA19" s="1">
        <f t="shared" si="42"/>
        <v>13.252987133994605</v>
      </c>
      <c r="BB19" s="1">
        <f t="shared" si="42"/>
        <v>14.964285430630154</v>
      </c>
      <c r="BC19" s="1">
        <f t="shared" si="42"/>
        <v>16.180817565258643</v>
      </c>
      <c r="BD19" s="1">
        <f t="shared" si="42"/>
        <v>17.072442220864218</v>
      </c>
      <c r="BE19" s="1">
        <f t="shared" si="42"/>
        <v>17.745546699048298</v>
      </c>
      <c r="BF19" s="1">
        <f t="shared" si="42"/>
        <v>18.267288662371069</v>
      </c>
      <c r="BG19" s="1">
        <f t="shared" si="42"/>
        <v>18.681106705604989</v>
      </c>
    </row>
    <row r="20" spans="4:59" ht="18.75">
      <c r="L20" t="s">
        <v>505</v>
      </c>
      <c r="M20" s="3" t="s">
        <v>98</v>
      </c>
      <c r="N20" t="s">
        <v>2</v>
      </c>
      <c r="O20">
        <v>4.0000000000000001E-3</v>
      </c>
      <c r="P20" t="s">
        <v>123</v>
      </c>
      <c r="Q20" s="3" t="s">
        <v>98</v>
      </c>
      <c r="R20" t="s">
        <v>2</v>
      </c>
      <c r="S20">
        <v>3.2000000000000002E-3</v>
      </c>
      <c r="T20" t="s">
        <v>171</v>
      </c>
      <c r="U20" s="3" t="s">
        <v>172</v>
      </c>
      <c r="V20" t="s">
        <v>62</v>
      </c>
      <c r="W20">
        <f>W11+W14+W18+W15+W19</f>
        <v>1456.0870453610119</v>
      </c>
      <c r="X20" t="s">
        <v>222</v>
      </c>
      <c r="Y20" s="3" t="s">
        <v>235</v>
      </c>
      <c r="Z20" t="s">
        <v>2</v>
      </c>
      <c r="AA20">
        <f>S4-AA13</f>
        <v>0.17860000000000001</v>
      </c>
      <c r="AB20" t="s">
        <v>340</v>
      </c>
      <c r="AC20" s="3" t="s">
        <v>297</v>
      </c>
      <c r="AD20" t="s">
        <v>5</v>
      </c>
      <c r="AE20">
        <f>AE18*(S15-S12)*S1*G18</f>
        <v>15.707118055852231</v>
      </c>
      <c r="AF20" t="s">
        <v>413</v>
      </c>
      <c r="AG20" s="12" t="s">
        <v>415</v>
      </c>
      <c r="AH20" t="s">
        <v>414</v>
      </c>
      <c r="AI20">
        <v>85</v>
      </c>
      <c r="AK20" s="1"/>
      <c r="AL20" s="1" t="s">
        <v>407</v>
      </c>
      <c r="AM20" s="1" t="s">
        <v>403</v>
      </c>
      <c r="AN20" s="1">
        <f t="shared" ref="AN20:AU20" si="43">3*$AA$24*(AN9^2)*10^-3</f>
        <v>2.8091213256682039E-16</v>
      </c>
      <c r="AO20" s="1">
        <f t="shared" si="43"/>
        <v>6.9544884972795673E-3</v>
      </c>
      <c r="AP20" s="1">
        <f t="shared" si="43"/>
        <v>2.7528086721062328E-2</v>
      </c>
      <c r="AQ20" s="1">
        <f t="shared" si="43"/>
        <v>6.1251317270021671E-2</v>
      </c>
      <c r="AR20" s="1">
        <f t="shared" si="43"/>
        <v>0.1076133367637607</v>
      </c>
      <c r="AS20" s="1">
        <f t="shared" si="43"/>
        <v>0.16606808936974232</v>
      </c>
      <c r="AT20" s="1">
        <f t="shared" si="43"/>
        <v>0.23604045142703964</v>
      </c>
      <c r="AU20" s="1">
        <f t="shared" si="43"/>
        <v>0.31693227158562948</v>
      </c>
      <c r="AV20" s="1">
        <f t="shared" ref="AV20" si="44">3*$AA$24*(AV9^2)*10^-3</f>
        <v>0.38510557021454905</v>
      </c>
      <c r="AW20" s="1">
        <f t="shared" ref="AW20:BG20" si="45">3*$AA$24*(AW9^2)*10^-3</f>
        <v>0.40812822182165176</v>
      </c>
      <c r="AX20" s="1">
        <f t="shared" si="45"/>
        <v>2.0802187305783217</v>
      </c>
      <c r="AY20" s="1">
        <f t="shared" si="45"/>
        <v>5.5492463868806654</v>
      </c>
      <c r="AZ20" s="1">
        <f t="shared" si="45"/>
        <v>8.3621132745162701</v>
      </c>
      <c r="BA20" s="1">
        <f t="shared" si="45"/>
        <v>10.341851480847657</v>
      </c>
      <c r="BB20" s="1">
        <f t="shared" si="45"/>
        <v>11.718905673737709</v>
      </c>
      <c r="BC20" s="1">
        <f t="shared" si="45"/>
        <v>12.699027838923419</v>
      </c>
      <c r="BD20" s="1">
        <f t="shared" si="45"/>
        <v>13.418096301727788</v>
      </c>
      <c r="BE20" s="1">
        <f t="shared" si="45"/>
        <v>13.961388277438385</v>
      </c>
      <c r="BF20" s="1">
        <f t="shared" si="45"/>
        <v>14.382811332230222</v>
      </c>
      <c r="BG20" s="1">
        <f t="shared" si="45"/>
        <v>14.717271387923098</v>
      </c>
    </row>
    <row r="21" spans="4:59" ht="18.75">
      <c r="L21" t="s">
        <v>104</v>
      </c>
      <c r="M21" s="3" t="s">
        <v>105</v>
      </c>
      <c r="N21" t="s">
        <v>2</v>
      </c>
      <c r="O21">
        <f>O14-(O17+((O20-O18)/2))</f>
        <v>1.5000000000000001E-2</v>
      </c>
      <c r="P21" t="s">
        <v>93</v>
      </c>
      <c r="Q21" s="3" t="s">
        <v>132</v>
      </c>
      <c r="R21" t="s">
        <v>2</v>
      </c>
      <c r="S21">
        <f>(S18-S20)*(S1/(2*PI()))</f>
        <v>1.0329155806664008E-2</v>
      </c>
      <c r="T21" t="s">
        <v>197</v>
      </c>
      <c r="U21" s="3" t="s">
        <v>198</v>
      </c>
      <c r="V21" t="s">
        <v>3</v>
      </c>
      <c r="W21">
        <f>W20/W11</f>
        <v>1.5986624270947412</v>
      </c>
      <c r="X21" t="s">
        <v>236</v>
      </c>
      <c r="Y21" s="3" t="s">
        <v>238</v>
      </c>
      <c r="Z21" t="s">
        <v>82</v>
      </c>
      <c r="AA21">
        <f>AA19*AA13</f>
        <v>1.3730301245513609E-4</v>
      </c>
      <c r="AC21" s="10" t="s">
        <v>322</v>
      </c>
      <c r="AD21" t="s">
        <v>3</v>
      </c>
      <c r="AE21">
        <f>((O18/O25)^2)/(5+(O18/O25))</f>
        <v>3.2727272727272729</v>
      </c>
      <c r="AF21" s="2" t="s">
        <v>416</v>
      </c>
      <c r="AG21" s="3" t="s">
        <v>417</v>
      </c>
      <c r="AH21" t="s">
        <v>3</v>
      </c>
      <c r="AI21">
        <v>1.07</v>
      </c>
      <c r="AK21" s="1"/>
      <c r="AL21" s="1" t="s">
        <v>408</v>
      </c>
      <c r="AM21" s="1" t="s">
        <v>403</v>
      </c>
      <c r="AN21" s="1">
        <f t="shared" ref="AN21:BG21" si="46">(0.005*($B$1/$AE$39))*((AN16/$K$10)^2)</f>
        <v>0.27909774897736261</v>
      </c>
      <c r="AO21" s="1">
        <f t="shared" si="46"/>
        <v>0.29137943273625139</v>
      </c>
      <c r="AP21" s="1">
        <f t="shared" si="46"/>
        <v>0.32037873966161728</v>
      </c>
      <c r="AQ21" s="1">
        <f t="shared" si="46"/>
        <v>0.36551055887758965</v>
      </c>
      <c r="AR21" s="1">
        <f t="shared" si="46"/>
        <v>0.42613941708751268</v>
      </c>
      <c r="AS21" s="1">
        <f t="shared" si="46"/>
        <v>0.50158707336916397</v>
      </c>
      <c r="AT21" s="1">
        <f t="shared" si="46"/>
        <v>0.59114009582615601</v>
      </c>
      <c r="AU21" s="1">
        <f t="shared" si="46"/>
        <v>0.69405730211548367</v>
      </c>
      <c r="AV21" s="1">
        <f t="shared" si="46"/>
        <v>0.78045405755934572</v>
      </c>
      <c r="AW21" s="1">
        <f t="shared" si="46"/>
        <v>0.80957696020393688</v>
      </c>
      <c r="AX21" s="1">
        <f t="shared" si="46"/>
        <v>2.8998066540929925</v>
      </c>
      <c r="AY21" s="1">
        <f t="shared" si="46"/>
        <v>7.1962504383404742</v>
      </c>
      <c r="AZ21" s="1">
        <f t="shared" si="46"/>
        <v>10.665368079095707</v>
      </c>
      <c r="BA21" s="1">
        <f t="shared" si="46"/>
        <v>13.101367352333652</v>
      </c>
      <c r="BB21" s="1">
        <f t="shared" si="46"/>
        <v>14.793087672210508</v>
      </c>
      <c r="BC21" s="1">
        <f t="shared" si="46"/>
        <v>15.995702164365566</v>
      </c>
      <c r="BD21" s="1">
        <f t="shared" si="46"/>
        <v>16.877126256563091</v>
      </c>
      <c r="BE21" s="1">
        <f t="shared" si="46"/>
        <v>17.542530134649589</v>
      </c>
      <c r="BF21" s="1">
        <f t="shared" si="46"/>
        <v>18.058303149103502</v>
      </c>
      <c r="BG21" s="1">
        <f t="shared" si="46"/>
        <v>18.467386938789296</v>
      </c>
    </row>
    <row r="22" spans="4:59" ht="18">
      <c r="L22" t="s">
        <v>506</v>
      </c>
      <c r="M22" s="3" t="s">
        <v>105</v>
      </c>
      <c r="N22" t="s">
        <v>2</v>
      </c>
      <c r="O22">
        <v>1.2E-2</v>
      </c>
      <c r="P22" t="s">
        <v>503</v>
      </c>
      <c r="Q22" s="3" t="s">
        <v>132</v>
      </c>
      <c r="R22" t="s">
        <v>2</v>
      </c>
      <c r="S22">
        <v>1.03E-2</v>
      </c>
      <c r="T22" t="s">
        <v>173</v>
      </c>
      <c r="U22" s="3" t="s">
        <v>174</v>
      </c>
      <c r="V22" t="s">
        <v>62</v>
      </c>
      <c r="W22">
        <f>((B2/2)*W20)/(0.9*K6*K15*G13)</f>
        <v>14.479567681080848</v>
      </c>
      <c r="X22" t="s">
        <v>217</v>
      </c>
      <c r="Y22" s="3" t="s">
        <v>218</v>
      </c>
      <c r="Z22" t="s">
        <v>200</v>
      </c>
      <c r="AA22">
        <f>AA4*((PI()*AA20)/(S1*AA21))</f>
        <v>1.9393548521883553E-6</v>
      </c>
      <c r="AC22" s="10" t="s">
        <v>323</v>
      </c>
      <c r="AD22" t="s">
        <v>3</v>
      </c>
      <c r="AE22">
        <f>((S12/O25)^2)/(5+(S12/O25))</f>
        <v>0.5714285714285714</v>
      </c>
      <c r="AF22" s="2" t="s">
        <v>419</v>
      </c>
      <c r="AG22" s="3" t="s">
        <v>418</v>
      </c>
      <c r="AH22" t="s">
        <v>5</v>
      </c>
      <c r="AI22">
        <f>AI21*AE29*((2*G18)/AA9)</f>
        <v>310.47336489240513</v>
      </c>
      <c r="AK22" s="1"/>
      <c r="AL22" s="1" t="s">
        <v>409</v>
      </c>
      <c r="AM22" s="1" t="s">
        <v>403</v>
      </c>
      <c r="AN22" s="1">
        <f>$AE$32+$AE$27+AN19+AN20+AN21</f>
        <v>267.99190343016807</v>
      </c>
      <c r="AO22" s="1">
        <f>($AE$32*10^-3)+($AE$27*10^-3)+AO19+AO20+AO21</f>
        <v>0.86051591402599459</v>
      </c>
      <c r="AP22" s="1">
        <f t="shared" ref="AP22:AU22" si="47">($AE$32*10^-3)+($AE$27*10^-3)+AP19+AP20+AP21</f>
        <v>0.93942372989407508</v>
      </c>
      <c r="AQ22" s="1">
        <f t="shared" si="47"/>
        <v>1.0639329013485654</v>
      </c>
      <c r="AR22" s="1">
        <f t="shared" si="47"/>
        <v>1.2322542841969266</v>
      </c>
      <c r="AS22" s="1">
        <f t="shared" si="47"/>
        <v>1.442477491601263</v>
      </c>
      <c r="AT22" s="1">
        <f t="shared" si="47"/>
        <v>1.6925922796881068</v>
      </c>
      <c r="AU22" s="1">
        <f t="shared" si="47"/>
        <v>1.9805095548507035</v>
      </c>
      <c r="AV22" s="1">
        <f t="shared" ref="AV22" si="48">($AE$32*10^-3)+($AE$27*10^-3)+AV19+AV20+AV21</f>
        <v>2.2224762185691516</v>
      </c>
      <c r="AW22" s="1">
        <f t="shared" ref="AW22:BG22" si="49">($AE$32*10^-3)+($AE$27*10^-3)+AW19+AW20+AW21</f>
        <v>2.3040817096101605</v>
      </c>
      <c r="AX22" s="1">
        <f t="shared" si="49"/>
        <v>8.1808214606300353</v>
      </c>
      <c r="AY22" s="1">
        <f t="shared" si="49"/>
        <v>20.292458661078236</v>
      </c>
      <c r="AZ22" s="1">
        <f t="shared" si="49"/>
        <v>30.083708308354041</v>
      </c>
      <c r="BA22" s="1">
        <f t="shared" si="49"/>
        <v>36.963636445159786</v>
      </c>
      <c r="BB22" s="1">
        <f t="shared" si="49"/>
        <v>41.743709254562241</v>
      </c>
      <c r="BC22" s="1">
        <f t="shared" si="49"/>
        <v>45.142978046531503</v>
      </c>
      <c r="BD22" s="1">
        <f t="shared" si="49"/>
        <v>47.635095257138971</v>
      </c>
      <c r="BE22" s="1">
        <f t="shared" si="49"/>
        <v>49.516895589120139</v>
      </c>
      <c r="BF22" s="1">
        <f t="shared" si="49"/>
        <v>50.975833621688665</v>
      </c>
      <c r="BG22" s="1">
        <f t="shared" si="49"/>
        <v>52.133195510301256</v>
      </c>
    </row>
    <row r="23" spans="4:59" ht="18.75">
      <c r="L23" t="s">
        <v>106</v>
      </c>
      <c r="M23" s="3" t="s">
        <v>103</v>
      </c>
      <c r="N23" t="s">
        <v>82</v>
      </c>
      <c r="O23">
        <f>((O16+O20)/2)*O22</f>
        <v>5.4000000000000005E-5</v>
      </c>
      <c r="P23" t="s">
        <v>140</v>
      </c>
      <c r="Q23" s="3" t="s">
        <v>118</v>
      </c>
      <c r="R23" t="s">
        <v>82</v>
      </c>
      <c r="S23">
        <f>(PI()/8)*((S18^2)-(S20^2))+((1/2)*(S18+S20)*S22)</f>
        <v>4.1864767424014471E-5</v>
      </c>
      <c r="T23" t="s">
        <v>60</v>
      </c>
      <c r="U23" s="3" t="s">
        <v>61</v>
      </c>
      <c r="V23" t="s">
        <v>62</v>
      </c>
      <c r="W23">
        <f>B1/(K6*K9*(G8/100)*G9)</f>
        <v>19.85762085844495</v>
      </c>
      <c r="X23" s="2" t="s">
        <v>239</v>
      </c>
      <c r="Y23" s="3" t="s">
        <v>240</v>
      </c>
      <c r="Z23" t="s">
        <v>200</v>
      </c>
      <c r="AA23">
        <f>AA12+2*AA22</f>
        <v>9.9519991057900358E-5</v>
      </c>
      <c r="AB23" t="s">
        <v>318</v>
      </c>
      <c r="AC23" s="3" t="s">
        <v>320</v>
      </c>
      <c r="AD23" t="s">
        <v>7</v>
      </c>
      <c r="AE23">
        <f>((AE22*O25)/(2*K8))*W1</f>
        <v>2.9118925280209693E-2</v>
      </c>
      <c r="AF23" t="s">
        <v>420</v>
      </c>
      <c r="AG23" s="3" t="s">
        <v>421</v>
      </c>
      <c r="AH23" t="s">
        <v>479</v>
      </c>
      <c r="AI23">
        <f>AI19*((AI22+AE27)/(PI()*G5*G18*AI20))</f>
        <v>12.094385627950739</v>
      </c>
      <c r="AK23" s="1" t="s">
        <v>402</v>
      </c>
      <c r="AL23" s="1" t="s">
        <v>405</v>
      </c>
      <c r="AM23" s="1" t="s">
        <v>403</v>
      </c>
      <c r="AN23" s="1">
        <f>AN18-AN22</f>
        <v>-257.99194044738175</v>
      </c>
      <c r="AO23" s="1">
        <f t="shared" ref="AO23:AU23" si="50">AO18-AO22</f>
        <v>9.3571023276871106</v>
      </c>
      <c r="AP23" s="1">
        <f t="shared" si="50"/>
        <v>9.7745868221942818</v>
      </c>
      <c r="AQ23" s="1">
        <f t="shared" si="50"/>
        <v>10.379865254406234</v>
      </c>
      <c r="AR23" s="1">
        <f t="shared" si="50"/>
        <v>11.124262949323692</v>
      </c>
      <c r="AS23" s="1">
        <f t="shared" si="50"/>
        <v>11.963342799710507</v>
      </c>
      <c r="AT23" s="1">
        <f t="shared" si="50"/>
        <v>12.860840165784182</v>
      </c>
      <c r="AU23" s="1">
        <f t="shared" si="50"/>
        <v>13.788989206430715</v>
      </c>
      <c r="AV23" s="1">
        <f t="shared" ref="AV23" si="51">AV18-AV22</f>
        <v>14.499742399996467</v>
      </c>
      <c r="AW23" s="1">
        <f t="shared" ref="AW23:BG23" si="52">AW18-AW22</f>
        <v>14.727276979641358</v>
      </c>
      <c r="AX23" s="1">
        <f t="shared" si="52"/>
        <v>24.05247677835635</v>
      </c>
      <c r="AY23" s="1">
        <f t="shared" si="52"/>
        <v>30.485280451950111</v>
      </c>
      <c r="AZ23" s="1">
        <f t="shared" si="52"/>
        <v>31.733323692658473</v>
      </c>
      <c r="BA23" s="1">
        <f t="shared" si="52"/>
        <v>31.5502395857362</v>
      </c>
      <c r="BB23" s="1">
        <f t="shared" si="52"/>
        <v>31.05935199094484</v>
      </c>
      <c r="BC23" s="1">
        <f t="shared" si="52"/>
        <v>30.561554128421243</v>
      </c>
      <c r="BD23" s="1">
        <f t="shared" si="52"/>
        <v>30.127272384301421</v>
      </c>
      <c r="BE23" s="1">
        <f t="shared" si="52"/>
        <v>29.763597224909589</v>
      </c>
      <c r="BF23" s="1">
        <f t="shared" si="52"/>
        <v>29.461690624195086</v>
      </c>
      <c r="BG23" s="1">
        <f t="shared" si="52"/>
        <v>29.210322259119756</v>
      </c>
    </row>
    <row r="24" spans="4:59" ht="18">
      <c r="L24" s="2" t="s">
        <v>101</v>
      </c>
      <c r="M24" s="3" t="s">
        <v>102</v>
      </c>
      <c r="N24" t="s">
        <v>3</v>
      </c>
      <c r="O24">
        <f>(PI()*(O6^2)*K14*O4)/(4*O23)</f>
        <v>0.74005166719422888</v>
      </c>
      <c r="P24" t="s">
        <v>128</v>
      </c>
      <c r="Q24" s="3" t="s">
        <v>133</v>
      </c>
      <c r="R24" t="s">
        <v>2</v>
      </c>
      <c r="S24">
        <f>K17/(2*S14*G18*O8)</f>
        <v>3.205840735332019E-2</v>
      </c>
      <c r="T24" t="s">
        <v>176</v>
      </c>
      <c r="U24" s="3" t="s">
        <v>175</v>
      </c>
      <c r="V24" t="s">
        <v>3</v>
      </c>
      <c r="W24">
        <f>W22/W23</f>
        <v>0.72916930906770994</v>
      </c>
      <c r="X24" t="s">
        <v>241</v>
      </c>
      <c r="Y24" s="3" t="s">
        <v>242</v>
      </c>
      <c r="Z24" t="s">
        <v>200</v>
      </c>
      <c r="AA24">
        <f>AA23*((4*K6*((K15*G13)^2))/S1)</f>
        <v>0.44925767229920077</v>
      </c>
      <c r="AB24" t="s">
        <v>319</v>
      </c>
      <c r="AC24" s="3" t="s">
        <v>321</v>
      </c>
      <c r="AD24" t="s">
        <v>7</v>
      </c>
      <c r="AE24">
        <f>((AE21*O25)/(2*S15))*W2</f>
        <v>0.13719362789252668</v>
      </c>
      <c r="AF24" t="s">
        <v>422</v>
      </c>
      <c r="AG24" s="3" t="s">
        <v>424</v>
      </c>
      <c r="AH24" t="s">
        <v>425</v>
      </c>
      <c r="AI24">
        <v>0.3</v>
      </c>
      <c r="AK24" s="25" t="s">
        <v>410</v>
      </c>
      <c r="AL24" s="21" t="s">
        <v>15</v>
      </c>
      <c r="AM24" s="1" t="s">
        <v>3</v>
      </c>
      <c r="AN24" s="1">
        <f>1-(AN22/AN18)</f>
        <v>-25.799289546519567</v>
      </c>
      <c r="AO24" s="1">
        <f t="shared" ref="AO24:AU24" si="53">1-(AO22/AO18)</f>
        <v>0.91578116409625043</v>
      </c>
      <c r="AP24" s="1">
        <f t="shared" si="53"/>
        <v>0.91231820004965702</v>
      </c>
      <c r="AQ24" s="1">
        <f t="shared" si="53"/>
        <v>0.90702973900203399</v>
      </c>
      <c r="AR24" s="1">
        <f t="shared" si="53"/>
        <v>0.90027495119303669</v>
      </c>
      <c r="AS24" s="1">
        <f t="shared" si="53"/>
        <v>0.89239916243423578</v>
      </c>
      <c r="AT24" s="1">
        <f t="shared" si="53"/>
        <v>0.88369807012677015</v>
      </c>
      <c r="AU24" s="1">
        <f t="shared" si="53"/>
        <v>0.87440884552948406</v>
      </c>
      <c r="AV24" s="1">
        <f t="shared" ref="AV24" si="54">1-(AV22/AV18)</f>
        <v>0.8670944167598863</v>
      </c>
      <c r="AW24" s="1">
        <f t="shared" ref="AW24:BG24" si="55">1-(AW22/AW18)</f>
        <v>0.86471533178006132</v>
      </c>
      <c r="AX24" s="1">
        <f t="shared" si="55"/>
        <v>0.74619967835822409</v>
      </c>
      <c r="AY24" s="1">
        <f t="shared" si="55"/>
        <v>0.60036703060157159</v>
      </c>
      <c r="AZ24" s="1">
        <f t="shared" si="55"/>
        <v>0.51334272554752713</v>
      </c>
      <c r="BA24" s="1">
        <f t="shared" si="55"/>
        <v>0.46049415700125884</v>
      </c>
      <c r="BB24" s="1">
        <f t="shared" si="55"/>
        <v>0.42662151095825818</v>
      </c>
      <c r="BC24" s="1">
        <f t="shared" si="55"/>
        <v>0.40369517187945447</v>
      </c>
      <c r="BD24" s="1">
        <f t="shared" si="55"/>
        <v>0.38742740605863801</v>
      </c>
      <c r="BE24" s="1">
        <f t="shared" si="55"/>
        <v>0.37542144566036961</v>
      </c>
      <c r="BF24" s="1">
        <f t="shared" si="55"/>
        <v>0.3662679937057205</v>
      </c>
      <c r="BG24" s="1">
        <f t="shared" si="55"/>
        <v>0.35909834071745317</v>
      </c>
    </row>
    <row r="25" spans="4:59" ht="18">
      <c r="L25" t="s">
        <v>130</v>
      </c>
      <c r="M25" s="3" t="s">
        <v>131</v>
      </c>
      <c r="N25" t="s">
        <v>2</v>
      </c>
      <c r="O25">
        <f>0.5*10^-3</f>
        <v>5.0000000000000001E-4</v>
      </c>
      <c r="P25" t="s">
        <v>509</v>
      </c>
      <c r="Q25" s="3" t="s">
        <v>133</v>
      </c>
      <c r="R25" t="s">
        <v>2</v>
      </c>
      <c r="S25">
        <v>3.2500000000000001E-2</v>
      </c>
      <c r="T25" t="s">
        <v>243</v>
      </c>
      <c r="U25" s="3" t="s">
        <v>244</v>
      </c>
      <c r="V25" t="s">
        <v>3</v>
      </c>
      <c r="W25">
        <f>1+((W14+W15)/W11)</f>
        <v>1.5694994124360775</v>
      </c>
      <c r="X25" t="s">
        <v>248</v>
      </c>
      <c r="Y25" s="3" t="s">
        <v>247</v>
      </c>
      <c r="Z25" t="s">
        <v>3</v>
      </c>
      <c r="AA25">
        <f>(2/3)*((K7+1)/K7)</f>
        <v>0.88888888888888884</v>
      </c>
      <c r="AB25" t="s">
        <v>332</v>
      </c>
      <c r="AC25" s="3" t="s">
        <v>313</v>
      </c>
      <c r="AD25" t="s">
        <v>5</v>
      </c>
      <c r="AE25">
        <f>0.11*(((S1*AE16*AE23)/1000)^2)*AE7</f>
        <v>1.1592325983269167</v>
      </c>
      <c r="AF25" s="8" t="s">
        <v>423</v>
      </c>
      <c r="AG25" s="9" t="s">
        <v>426</v>
      </c>
      <c r="AH25" s="8" t="s">
        <v>425</v>
      </c>
      <c r="AI25" s="8">
        <v>1</v>
      </c>
    </row>
    <row r="26" spans="4:59" ht="18.75">
      <c r="L26" t="s">
        <v>181</v>
      </c>
      <c r="M26" s="3" t="s">
        <v>78</v>
      </c>
      <c r="N26" t="s">
        <v>79</v>
      </c>
      <c r="O26">
        <f>K10/(O5*O4*K13)</f>
        <v>6459735.9437556043</v>
      </c>
      <c r="P26" t="s">
        <v>185</v>
      </c>
      <c r="Q26" s="3" t="s">
        <v>134</v>
      </c>
      <c r="R26" t="s">
        <v>2</v>
      </c>
      <c r="S26">
        <f>S11+S10+(S18/2)+S22+(S20/2)</f>
        <v>1.485E-2</v>
      </c>
      <c r="X26" t="s">
        <v>249</v>
      </c>
      <c r="Y26" t="s">
        <v>266</v>
      </c>
      <c r="Z26" t="s">
        <v>3</v>
      </c>
      <c r="AA26">
        <f>((2*(S15/K8))-((K8/S15)*AA27))-(G13*((S15/K8)^2))</f>
        <v>0.82280871591757454</v>
      </c>
      <c r="AB26" t="s">
        <v>314</v>
      </c>
      <c r="AC26" s="3" t="s">
        <v>315</v>
      </c>
      <c r="AD26" t="s">
        <v>5</v>
      </c>
      <c r="AE26">
        <f>0.11*(((K5*AE16*AE24)/1000)^2)*AE8</f>
        <v>33.546065522107597</v>
      </c>
      <c r="AF26" s="2" t="s">
        <v>427</v>
      </c>
      <c r="AG26" s="3" t="s">
        <v>428</v>
      </c>
      <c r="AH26" t="s">
        <v>2</v>
      </c>
      <c r="AI26">
        <f>0.4*10^-3</f>
        <v>4.0000000000000002E-4</v>
      </c>
    </row>
    <row r="27" spans="4:59" ht="18">
      <c r="L27" t="s">
        <v>471</v>
      </c>
      <c r="M27" s="3" t="s">
        <v>429</v>
      </c>
      <c r="N27" t="s">
        <v>2</v>
      </c>
      <c r="O27">
        <f>O22</f>
        <v>1.2E-2</v>
      </c>
      <c r="P27" t="s">
        <v>508</v>
      </c>
      <c r="Q27" s="3" t="s">
        <v>134</v>
      </c>
      <c r="R27" t="s">
        <v>2</v>
      </c>
      <c r="S27">
        <v>1.4500000000000001E-2</v>
      </c>
      <c r="X27" s="8" t="s">
        <v>249</v>
      </c>
      <c r="Y27" s="8" t="s">
        <v>268</v>
      </c>
      <c r="Z27" s="8" t="s">
        <v>3</v>
      </c>
      <c r="AA27" s="8">
        <v>0.24</v>
      </c>
      <c r="AB27" t="s">
        <v>326</v>
      </c>
      <c r="AC27" s="3" t="s">
        <v>327</v>
      </c>
      <c r="AD27" t="s">
        <v>5</v>
      </c>
      <c r="AE27">
        <f>AE9+AE19+AE20+AE25+AE26</f>
        <v>194.98148598387098</v>
      </c>
      <c r="AF27" s="2" t="s">
        <v>431</v>
      </c>
      <c r="AG27" s="3" t="s">
        <v>432</v>
      </c>
      <c r="AH27" t="s">
        <v>2</v>
      </c>
      <c r="AI27">
        <f>(2*O14)+O16+O20</f>
        <v>4.1999999999999996E-2</v>
      </c>
    </row>
    <row r="28" spans="4:59" ht="18">
      <c r="L28" t="s">
        <v>471</v>
      </c>
      <c r="M28" s="3" t="s">
        <v>430</v>
      </c>
      <c r="N28" t="s">
        <v>2</v>
      </c>
      <c r="O28">
        <f>O14-O22</f>
        <v>4.5000000000000005E-3</v>
      </c>
      <c r="P28" t="s">
        <v>125</v>
      </c>
      <c r="Q28" s="3" t="s">
        <v>127</v>
      </c>
      <c r="R28" t="s">
        <v>2</v>
      </c>
      <c r="S28">
        <f>S4-2*(S27+S25)</f>
        <v>0.10200000000000001</v>
      </c>
      <c r="X28" t="s">
        <v>270</v>
      </c>
      <c r="Y28" s="3" t="s">
        <v>250</v>
      </c>
      <c r="Z28" t="s">
        <v>3</v>
      </c>
      <c r="AA28">
        <f>O18/K8</f>
        <v>0.34900982444517153</v>
      </c>
      <c r="AB28" t="s">
        <v>275</v>
      </c>
      <c r="AC28" s="3" t="s">
        <v>276</v>
      </c>
      <c r="AD28" t="s">
        <v>200</v>
      </c>
      <c r="AE28">
        <f>AE27/(K6*(W22^2))</f>
        <v>0.30999945525386469</v>
      </c>
      <c r="AF28" s="2" t="s">
        <v>433</v>
      </c>
      <c r="AG28" s="3" t="s">
        <v>434</v>
      </c>
      <c r="AH28" t="s">
        <v>479</v>
      </c>
      <c r="AI28">
        <f>(AI22/(K5*AI27*G18))*((AI26/AI24)+((S18+S20)/(16*AI25)))</f>
        <v>1.2938424453244022</v>
      </c>
    </row>
    <row r="29" spans="4:59" ht="18">
      <c r="L29" t="s">
        <v>427</v>
      </c>
      <c r="M29" s="3" t="s">
        <v>465</v>
      </c>
      <c r="N29" t="s">
        <v>1</v>
      </c>
      <c r="O29">
        <v>0.4</v>
      </c>
      <c r="P29" t="s">
        <v>507</v>
      </c>
      <c r="Q29" s="3" t="s">
        <v>127</v>
      </c>
      <c r="R29" t="s">
        <v>2</v>
      </c>
      <c r="S29">
        <v>0.10199999999999999</v>
      </c>
      <c r="X29" t="s">
        <v>270</v>
      </c>
      <c r="Y29" s="3" t="s">
        <v>251</v>
      </c>
      <c r="Z29" t="s">
        <v>3</v>
      </c>
      <c r="AA29">
        <f>O18/O25</f>
        <v>6</v>
      </c>
      <c r="AB29" s="8" t="s">
        <v>328</v>
      </c>
      <c r="AC29" s="9" t="s">
        <v>329</v>
      </c>
      <c r="AD29" t="s">
        <v>5</v>
      </c>
      <c r="AE29" s="8">
        <f>K6*AA11*(K10^2)</f>
        <v>530.04081329102996</v>
      </c>
      <c r="AF29" s="2" t="s">
        <v>435</v>
      </c>
      <c r="AG29" s="3" t="s">
        <v>436</v>
      </c>
      <c r="AH29" t="s">
        <v>5</v>
      </c>
      <c r="AI29">
        <f>AI21*AE29*((2*AA8)/AA9)</f>
        <v>454.41659495486419</v>
      </c>
    </row>
    <row r="30" spans="4:59" ht="18">
      <c r="L30" t="s">
        <v>470</v>
      </c>
      <c r="M30" s="3" t="s">
        <v>467</v>
      </c>
      <c r="N30" t="s">
        <v>3</v>
      </c>
      <c r="O30">
        <f>SIN(0.8*(PI()/2))</f>
        <v>0.95105651629515353</v>
      </c>
      <c r="P30" t="s">
        <v>220</v>
      </c>
      <c r="Q30" s="3" t="s">
        <v>221</v>
      </c>
      <c r="R30" t="s">
        <v>2</v>
      </c>
      <c r="S30">
        <f>G18</f>
        <v>0.14299999999999999</v>
      </c>
      <c r="X30" t="s">
        <v>249</v>
      </c>
      <c r="Y30" s="3" t="s">
        <v>252</v>
      </c>
      <c r="Z30" t="s">
        <v>3</v>
      </c>
      <c r="AA30">
        <v>1</v>
      </c>
      <c r="AB30" s="8" t="s">
        <v>331</v>
      </c>
      <c r="AC30" s="9" t="s">
        <v>330</v>
      </c>
      <c r="AD30" t="s">
        <v>5</v>
      </c>
      <c r="AE30">
        <f>S2*AA23*(S6^2)</f>
        <v>357.35420020746113</v>
      </c>
      <c r="AF30" s="2" t="s">
        <v>437</v>
      </c>
      <c r="AG30" s="3" t="s">
        <v>438</v>
      </c>
      <c r="AH30" t="s">
        <v>479</v>
      </c>
      <c r="AI30">
        <f>(AI29/(2*K5*AI27*AA8))*((AI26/AI24)+(S22/(12*AI25)))</f>
        <v>0.78677586848628389</v>
      </c>
    </row>
    <row r="31" spans="4:59" ht="18">
      <c r="L31" t="s">
        <v>469</v>
      </c>
      <c r="M31" s="3" t="s">
        <v>468</v>
      </c>
      <c r="N31" t="s">
        <v>3</v>
      </c>
      <c r="O31">
        <f>SIN(PI()/(2*K6))/(K7*SIN(PI()/(2*K6*K7)))</f>
        <v>0.95979508052393891</v>
      </c>
      <c r="Q31" s="3" t="s">
        <v>464</v>
      </c>
      <c r="R31" t="s">
        <v>3</v>
      </c>
      <c r="S31">
        <v>1</v>
      </c>
      <c r="X31" t="s">
        <v>254</v>
      </c>
      <c r="Y31" s="3" t="s">
        <v>257</v>
      </c>
      <c r="Z31" t="s">
        <v>3</v>
      </c>
      <c r="AA31">
        <f>(0.34*(K7/(B2/2))*AA8)-(0.64*AA25*G6)</f>
        <v>9.3608651169382884E-3</v>
      </c>
      <c r="AB31" s="8" t="s">
        <v>249</v>
      </c>
      <c r="AC31" s="9" t="s">
        <v>102</v>
      </c>
      <c r="AD31" s="8" t="s">
        <v>3</v>
      </c>
      <c r="AE31">
        <v>7</v>
      </c>
      <c r="AF31" s="14" t="s">
        <v>439</v>
      </c>
      <c r="AG31" s="9" t="s">
        <v>440</v>
      </c>
      <c r="AH31" t="s">
        <v>479</v>
      </c>
      <c r="AI31" s="8">
        <f>AI19*(AI29/(2*PI()*G5*AI20*AA3))</f>
        <v>14.973445279151084</v>
      </c>
      <c r="BE31">
        <v>0</v>
      </c>
      <c r="BF31">
        <v>140</v>
      </c>
    </row>
    <row r="32" spans="4:59" ht="18">
      <c r="L32" t="s">
        <v>466</v>
      </c>
      <c r="M32" s="3" t="s">
        <v>21</v>
      </c>
      <c r="N32" t="s">
        <v>3</v>
      </c>
      <c r="O32">
        <f>O30*O31</f>
        <v>0.91281936564032373</v>
      </c>
      <c r="X32" s="8" t="s">
        <v>255</v>
      </c>
      <c r="Y32" s="9" t="s">
        <v>258</v>
      </c>
      <c r="Z32" s="8" t="s">
        <v>3</v>
      </c>
      <c r="AA32" s="8">
        <f>(O27/(3*O20))+(0.785-(O18/(2*O20))+(O28/O20)+(O17/O18))</f>
        <v>2.8683333333333332</v>
      </c>
      <c r="AB32" s="8" t="s">
        <v>333</v>
      </c>
      <c r="AC32" s="9" t="s">
        <v>334</v>
      </c>
      <c r="AD32" t="s">
        <v>5</v>
      </c>
      <c r="AE32">
        <f>AE31*((AE16/1000)^2)*((10*G2)^3)</f>
        <v>72.448992000000004</v>
      </c>
      <c r="AF32" s="2" t="s">
        <v>441</v>
      </c>
      <c r="AG32" s="3" t="s">
        <v>442</v>
      </c>
      <c r="AH32" t="s">
        <v>479</v>
      </c>
      <c r="AI32">
        <f>(((AI23+AI28)*2*G18)/AA9)+(((AI30+AI31)*AA8)/AA9)</f>
        <v>13.643000250110546</v>
      </c>
      <c r="BE32">
        <v>0.03</v>
      </c>
      <c r="BF32">
        <v>0.03</v>
      </c>
    </row>
    <row r="33" spans="12:58" ht="18">
      <c r="M33" s="3" t="s">
        <v>499</v>
      </c>
      <c r="O33">
        <f>B2</f>
        <v>8</v>
      </c>
      <c r="X33" t="s">
        <v>256</v>
      </c>
      <c r="Y33" s="3" t="s">
        <v>259</v>
      </c>
      <c r="Z33" t="s">
        <v>3</v>
      </c>
      <c r="AA33">
        <f>(K8/(12*O25*1.2))*AA26</f>
        <v>0.98231322144203648</v>
      </c>
      <c r="AB33" s="8" t="s">
        <v>336</v>
      </c>
      <c r="AC33" s="3" t="s">
        <v>335</v>
      </c>
      <c r="AD33" t="s">
        <v>5</v>
      </c>
      <c r="AE33">
        <f>(AE27+AE29+AE30)</f>
        <v>1082.3764994823621</v>
      </c>
      <c r="AF33" s="2" t="s">
        <v>443</v>
      </c>
      <c r="AG33" s="3" t="s">
        <v>444</v>
      </c>
      <c r="AH33" t="s">
        <v>5</v>
      </c>
      <c r="AI33">
        <f>AE37-((1-AI19)*(AI22+AE27))-(0.9*AE32)</f>
        <v>999.86137080852438</v>
      </c>
    </row>
    <row r="34" spans="12:58" ht="18">
      <c r="L34" t="s">
        <v>483</v>
      </c>
      <c r="M34" s="3" t="s">
        <v>412</v>
      </c>
      <c r="O34">
        <f>K5/2</f>
        <v>36</v>
      </c>
      <c r="X34" t="s">
        <v>245</v>
      </c>
      <c r="Y34" s="3" t="s">
        <v>246</v>
      </c>
      <c r="Z34" t="s">
        <v>200</v>
      </c>
      <c r="AA34">
        <f>15.8*(50/100)*((K15/100)^2)*(G18/((B2/2)*K7))*(AA31+AA32+AA33)</f>
        <v>0.88433989752077458</v>
      </c>
      <c r="AB34" s="8" t="s">
        <v>472</v>
      </c>
      <c r="AC34" s="3" t="s">
        <v>475</v>
      </c>
      <c r="AD34" t="s">
        <v>5</v>
      </c>
      <c r="AE34">
        <f>AE9+AE19+AE25</f>
        <v>145.72830240591117</v>
      </c>
      <c r="AF34" s="2" t="s">
        <v>447</v>
      </c>
      <c r="AG34" s="3" t="s">
        <v>448</v>
      </c>
      <c r="AH34" t="s">
        <v>2</v>
      </c>
      <c r="AI34">
        <v>0.31</v>
      </c>
      <c r="BE34">
        <v>0</v>
      </c>
      <c r="BF34">
        <v>600</v>
      </c>
    </row>
    <row r="35" spans="12:58" ht="18.75">
      <c r="L35" t="s">
        <v>488</v>
      </c>
      <c r="M35" s="3" t="s">
        <v>489</v>
      </c>
      <c r="O35">
        <f>(O33/2)/(B2/2)</f>
        <v>1</v>
      </c>
      <c r="X35" t="s">
        <v>271</v>
      </c>
      <c r="Y35" s="3" t="s">
        <v>250</v>
      </c>
      <c r="Z35" t="s">
        <v>3</v>
      </c>
      <c r="AA35">
        <f>S12/S15</f>
        <v>9.5817771861447187E-2</v>
      </c>
      <c r="AB35" s="8" t="s">
        <v>473</v>
      </c>
      <c r="AC35" s="3" t="s">
        <v>476</v>
      </c>
      <c r="AD35" t="s">
        <v>5</v>
      </c>
      <c r="AE35">
        <f>AE26+AE20</f>
        <v>49.253183577959831</v>
      </c>
      <c r="AF35" s="14" t="s">
        <v>446</v>
      </c>
      <c r="AG35" s="9" t="s">
        <v>445</v>
      </c>
      <c r="AH35" s="8" t="s">
        <v>82</v>
      </c>
      <c r="AI35" s="8">
        <f>((PI()*G2)+(8*AI34))*(G18+(2*AA3))</f>
        <v>0.81689162265499138</v>
      </c>
      <c r="BE35">
        <v>0.03</v>
      </c>
      <c r="BF35">
        <v>0.03</v>
      </c>
    </row>
    <row r="36" spans="12:58" ht="18.75">
      <c r="L36" t="s">
        <v>484</v>
      </c>
      <c r="M36" s="3" t="s">
        <v>487</v>
      </c>
      <c r="O36">
        <f>K5/B2</f>
        <v>9</v>
      </c>
      <c r="X36" t="s">
        <v>271</v>
      </c>
      <c r="Y36" s="3" t="s">
        <v>251</v>
      </c>
      <c r="Z36" t="s">
        <v>3</v>
      </c>
      <c r="AA36">
        <f>S12/O25</f>
        <v>2</v>
      </c>
      <c r="AB36" s="8" t="s">
        <v>474</v>
      </c>
      <c r="AC36" s="3" t="s">
        <v>477</v>
      </c>
      <c r="AD36" t="s">
        <v>5</v>
      </c>
      <c r="AE36">
        <f>(1.3*AE33)-AE33</f>
        <v>324.71294984470865</v>
      </c>
      <c r="AF36" t="s">
        <v>413</v>
      </c>
      <c r="AG36" s="12" t="s">
        <v>455</v>
      </c>
      <c r="AH36" t="s">
        <v>414</v>
      </c>
      <c r="AI36">
        <v>21</v>
      </c>
    </row>
    <row r="37" spans="12:58" ht="18">
      <c r="L37" t="s">
        <v>484</v>
      </c>
      <c r="M37" s="3" t="s">
        <v>485</v>
      </c>
      <c r="O37">
        <f>O36</f>
        <v>9</v>
      </c>
      <c r="X37" s="13" t="s">
        <v>249</v>
      </c>
      <c r="Y37" s="13" t="s">
        <v>269</v>
      </c>
      <c r="Z37" s="13" t="s">
        <v>3</v>
      </c>
      <c r="AA37" s="13">
        <v>1E-3</v>
      </c>
      <c r="AB37" s="8" t="s">
        <v>337</v>
      </c>
      <c r="AC37" s="3" t="s">
        <v>338</v>
      </c>
      <c r="AD37" t="s">
        <v>5</v>
      </c>
      <c r="AE37">
        <f>(1.3*AE33)+AE32</f>
        <v>1479.5384413270708</v>
      </c>
      <c r="AF37" s="14" t="s">
        <v>456</v>
      </c>
      <c r="AG37" s="3" t="s">
        <v>457</v>
      </c>
      <c r="AH37" t="s">
        <v>479</v>
      </c>
      <c r="AI37">
        <f>AI33/(AI35*AI36)</f>
        <v>58.284899622585733</v>
      </c>
      <c r="BE37">
        <v>0.24</v>
      </c>
      <c r="BF37">
        <v>0</v>
      </c>
    </row>
    <row r="38" spans="12:58" ht="18">
      <c r="L38" t="s">
        <v>490</v>
      </c>
      <c r="M38" s="3" t="s">
        <v>486</v>
      </c>
      <c r="O38">
        <f>(2*O35)-O37</f>
        <v>-7</v>
      </c>
      <c r="X38" t="s">
        <v>249</v>
      </c>
      <c r="Y38" t="s">
        <v>267</v>
      </c>
      <c r="Z38" t="s">
        <v>3</v>
      </c>
      <c r="AA38">
        <f>1+((1/5)*((PI()*(B2/2))/S1))-(AA37/(1-(((B2/2)/S1)^2)))</f>
        <v>1.0415932488847355</v>
      </c>
      <c r="AB38" s="8" t="s">
        <v>480</v>
      </c>
      <c r="AC38" s="3" t="s">
        <v>481</v>
      </c>
      <c r="AD38" t="s">
        <v>5</v>
      </c>
      <c r="AE38">
        <f>B1+AE37</f>
        <v>10479.538441327071</v>
      </c>
      <c r="AF38" s="14" t="s">
        <v>458</v>
      </c>
      <c r="AG38" s="3" t="s">
        <v>459</v>
      </c>
      <c r="AH38" t="s">
        <v>479</v>
      </c>
      <c r="AI38">
        <f>AI37+AI32</f>
        <v>71.927899872696287</v>
      </c>
      <c r="BE38">
        <v>0.24</v>
      </c>
      <c r="BF38">
        <v>500</v>
      </c>
    </row>
    <row r="39" spans="12:58" ht="18.75">
      <c r="L39" t="s">
        <v>493</v>
      </c>
      <c r="M39" s="3" t="s">
        <v>494</v>
      </c>
      <c r="O39">
        <v>6</v>
      </c>
      <c r="X39" t="s">
        <v>272</v>
      </c>
      <c r="Y39" s="7" t="s">
        <v>273</v>
      </c>
      <c r="Z39" t="s">
        <v>3</v>
      </c>
      <c r="AA39">
        <f>2*SIN((PI()*(B2/2))/S1)</f>
        <v>0.42276524725924863</v>
      </c>
      <c r="AB39" s="8" t="s">
        <v>339</v>
      </c>
      <c r="AC39" s="3" t="s">
        <v>15</v>
      </c>
      <c r="AD39" s="2" t="s">
        <v>4</v>
      </c>
      <c r="AE39" s="8">
        <f>(1-(AE37/AE38))*100</f>
        <v>85.881644982641902</v>
      </c>
      <c r="AF39" s="14" t="s">
        <v>460</v>
      </c>
      <c r="AG39" s="3" t="s">
        <v>461</v>
      </c>
      <c r="AH39" t="s">
        <v>462</v>
      </c>
      <c r="AI39">
        <f>AE37/(1100*2*AI37)</f>
        <v>1.1538451257276977E-2</v>
      </c>
    </row>
    <row r="40" spans="12:58" ht="18.75">
      <c r="L40" t="s">
        <v>491</v>
      </c>
      <c r="M40" s="3" t="s">
        <v>492</v>
      </c>
      <c r="O40">
        <f>O39*(K13)</f>
        <v>6</v>
      </c>
      <c r="X40" t="s">
        <v>260</v>
      </c>
      <c r="Y40" s="3" t="s">
        <v>261</v>
      </c>
      <c r="Z40" t="s">
        <v>3</v>
      </c>
      <c r="AA40">
        <f>((2.3*AA20)/(S1*G18*AA39))*LOG10((4.7*AA20)/((2*AA19)+AA13))</f>
        <v>0.1615859409219301</v>
      </c>
      <c r="AF40" s="14" t="s">
        <v>463</v>
      </c>
      <c r="AG40" s="3" t="s">
        <v>461</v>
      </c>
      <c r="AH40" t="s">
        <v>462</v>
      </c>
      <c r="AI40">
        <f>0.6*(G2^3)*(AI10/100)</f>
        <v>8.2798848000000008E-2</v>
      </c>
    </row>
    <row r="41" spans="12:58" ht="18">
      <c r="L41" t="s">
        <v>495</v>
      </c>
      <c r="M41" s="3" t="s">
        <v>496</v>
      </c>
      <c r="O41">
        <f>O40/K6</f>
        <v>2</v>
      </c>
      <c r="X41" t="s">
        <v>264</v>
      </c>
      <c r="Y41" s="3" t="s">
        <v>262</v>
      </c>
      <c r="Z41" t="s">
        <v>3</v>
      </c>
      <c r="AA41">
        <f>((((S27/(3*S18))*((1-((PI()*(S18^2))/(8*S23)))^2))+0.66-(S12/(2*S18)))*S31)+(S10/S12)</f>
        <v>1.811661380165434</v>
      </c>
    </row>
    <row r="42" spans="12:58" ht="18">
      <c r="L42" t="s">
        <v>497</v>
      </c>
      <c r="M42" s="3" t="s">
        <v>498</v>
      </c>
      <c r="O42">
        <f>O34/(O39*(K13))</f>
        <v>6</v>
      </c>
      <c r="X42" t="s">
        <v>265</v>
      </c>
      <c r="Y42" s="3" t="s">
        <v>263</v>
      </c>
      <c r="Z42" t="s">
        <v>3</v>
      </c>
      <c r="AA42">
        <f>(S15/(12*O25*1.1))*AA38</f>
        <v>1.6470551950439185</v>
      </c>
    </row>
    <row r="43" spans="12:58" ht="18">
      <c r="X43" t="s">
        <v>253</v>
      </c>
      <c r="Y43" s="3" t="s">
        <v>344</v>
      </c>
      <c r="Z43" t="s">
        <v>200</v>
      </c>
      <c r="AA43">
        <f>7.9*50*G18*(AA40+AA41+AA42)*(10^-6)</f>
        <v>2.0449278762367542E-4</v>
      </c>
    </row>
    <row r="44" spans="12:58" ht="18">
      <c r="X44" t="s">
        <v>274</v>
      </c>
      <c r="Y44" s="3" t="s">
        <v>343</v>
      </c>
      <c r="Z44" t="s">
        <v>200</v>
      </c>
      <c r="AA44">
        <f>AA43*((4*K6*((K15*G13)^2))/S1)</f>
        <v>0.92313064735242623</v>
      </c>
    </row>
    <row r="45" spans="12:58" ht="18">
      <c r="X45" t="s">
        <v>277</v>
      </c>
      <c r="Y45" s="3" t="s">
        <v>278</v>
      </c>
      <c r="Z45" t="s">
        <v>200</v>
      </c>
      <c r="AA45">
        <f>(K9/W22)-AA34</f>
        <v>15.000112253666057</v>
      </c>
    </row>
  </sheetData>
  <mergeCells count="3">
    <mergeCell ref="H1:H2"/>
    <mergeCell ref="H3:H5"/>
    <mergeCell ref="H11:H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"/>
  <sheetViews>
    <sheetView workbookViewId="0">
      <selection activeCell="V27" sqref="V27"/>
    </sheetView>
  </sheetViews>
  <sheetFormatPr defaultRowHeight="15"/>
  <sheetData>
    <row r="1" spans="1:36">
      <c r="A1" s="15">
        <v>1</v>
      </c>
      <c r="B1" s="15">
        <v>3</v>
      </c>
      <c r="C1" s="17">
        <v>5</v>
      </c>
      <c r="D1" s="16">
        <v>7</v>
      </c>
      <c r="E1" s="16">
        <v>9</v>
      </c>
      <c r="F1" s="15">
        <v>11</v>
      </c>
      <c r="G1" s="17">
        <v>13</v>
      </c>
      <c r="H1" s="17">
        <v>15</v>
      </c>
      <c r="I1" s="16">
        <v>17</v>
      </c>
      <c r="J1" s="15">
        <v>19</v>
      </c>
      <c r="K1" s="15">
        <v>21</v>
      </c>
      <c r="L1" s="17">
        <v>23</v>
      </c>
      <c r="M1" s="16">
        <v>25</v>
      </c>
      <c r="N1" s="16">
        <v>27</v>
      </c>
      <c r="O1" s="15">
        <v>29</v>
      </c>
      <c r="P1" s="17">
        <v>31</v>
      </c>
      <c r="Q1" s="17">
        <v>33</v>
      </c>
      <c r="R1" s="16">
        <v>35</v>
      </c>
      <c r="S1" s="15">
        <v>37</v>
      </c>
      <c r="T1" s="15">
        <v>39</v>
      </c>
      <c r="U1" s="17">
        <v>41</v>
      </c>
      <c r="V1" s="16">
        <v>43</v>
      </c>
      <c r="W1" s="16">
        <v>45</v>
      </c>
      <c r="X1" s="15">
        <v>47</v>
      </c>
      <c r="Y1" s="17">
        <v>49</v>
      </c>
      <c r="Z1" s="17">
        <v>51</v>
      </c>
      <c r="AA1" s="16">
        <v>53</v>
      </c>
      <c r="AB1" s="15">
        <v>55</v>
      </c>
      <c r="AC1" s="15">
        <v>57</v>
      </c>
      <c r="AD1" s="18">
        <v>59</v>
      </c>
      <c r="AE1" s="16">
        <v>61</v>
      </c>
      <c r="AF1" s="16">
        <v>63</v>
      </c>
      <c r="AG1" s="15">
        <v>65</v>
      </c>
      <c r="AH1" s="17">
        <v>67</v>
      </c>
      <c r="AI1" s="17">
        <v>69</v>
      </c>
      <c r="AJ1" s="16">
        <v>71</v>
      </c>
    </row>
    <row r="2" spans="1:36">
      <c r="A2" s="15"/>
      <c r="B2" s="15"/>
      <c r="C2" s="17"/>
      <c r="D2" s="16"/>
      <c r="E2" s="16"/>
      <c r="F2" s="15"/>
      <c r="G2" s="17"/>
      <c r="H2" s="17"/>
      <c r="I2" s="16"/>
      <c r="J2" s="15"/>
      <c r="K2" s="15"/>
      <c r="L2" s="17"/>
      <c r="M2" s="16"/>
      <c r="N2" s="16"/>
      <c r="O2" s="15"/>
      <c r="P2" s="17"/>
      <c r="Q2" s="17"/>
      <c r="R2" s="16"/>
      <c r="S2" s="15"/>
      <c r="T2" s="15"/>
      <c r="U2" s="17"/>
      <c r="V2" s="16"/>
      <c r="W2" s="16"/>
      <c r="X2" s="15"/>
      <c r="Y2" s="17"/>
      <c r="Z2" s="17"/>
      <c r="AA2" s="16"/>
      <c r="AB2" s="15"/>
      <c r="AC2" s="15"/>
      <c r="AD2" s="18"/>
      <c r="AE2" s="16"/>
      <c r="AF2" s="16"/>
      <c r="AG2" s="15"/>
      <c r="AH2" s="17"/>
      <c r="AI2" s="17"/>
      <c r="AJ2" s="16"/>
    </row>
    <row r="3" spans="1:36">
      <c r="A3" s="15">
        <v>10</v>
      </c>
      <c r="B3" s="15">
        <v>12</v>
      </c>
      <c r="C3" s="17">
        <v>14</v>
      </c>
      <c r="D3" s="16">
        <v>16</v>
      </c>
      <c r="E3" s="16">
        <v>18</v>
      </c>
      <c r="F3" s="15">
        <v>20</v>
      </c>
      <c r="G3" s="17">
        <v>22</v>
      </c>
      <c r="H3" s="17">
        <v>24</v>
      </c>
      <c r="I3" s="16">
        <v>26</v>
      </c>
      <c r="J3" s="15">
        <v>28</v>
      </c>
      <c r="K3" s="15">
        <v>30</v>
      </c>
      <c r="L3" s="17">
        <v>32</v>
      </c>
      <c r="M3" s="16">
        <v>34</v>
      </c>
      <c r="N3" s="16">
        <v>36</v>
      </c>
      <c r="O3" s="15">
        <v>38</v>
      </c>
      <c r="P3" s="17">
        <v>40</v>
      </c>
      <c r="Q3" s="17">
        <v>42</v>
      </c>
      <c r="R3" s="16">
        <v>44</v>
      </c>
      <c r="S3" s="15">
        <v>46</v>
      </c>
      <c r="T3" s="15">
        <v>48</v>
      </c>
      <c r="U3" s="17">
        <v>50</v>
      </c>
      <c r="V3" s="16">
        <v>52</v>
      </c>
      <c r="W3" s="16">
        <v>54</v>
      </c>
      <c r="X3" s="15">
        <v>56</v>
      </c>
      <c r="Y3" s="17">
        <v>58</v>
      </c>
      <c r="Z3" s="17">
        <v>60</v>
      </c>
      <c r="AA3" s="16">
        <v>62</v>
      </c>
      <c r="AB3" s="15">
        <v>64</v>
      </c>
      <c r="AC3" s="15">
        <v>66</v>
      </c>
      <c r="AD3" s="18">
        <v>68</v>
      </c>
      <c r="AE3" s="16">
        <v>70</v>
      </c>
      <c r="AF3" s="16">
        <v>72</v>
      </c>
      <c r="AG3" s="15">
        <v>2</v>
      </c>
      <c r="AH3" s="17">
        <v>4</v>
      </c>
      <c r="AI3" s="17">
        <v>6</v>
      </c>
      <c r="AJ3" s="16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Vinutí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2016-10-15T14:39:56Z</dcterms:created>
  <dcterms:modified xsi:type="dcterms:W3CDTF">2016-12-15T17:24:53Z</dcterms:modified>
</cp:coreProperties>
</file>