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4240" windowHeight="645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W25" i="1"/>
  <c r="S21"/>
  <c r="W14"/>
  <c r="W17"/>
  <c r="W16"/>
  <c r="AA15"/>
  <c r="AA14"/>
  <c r="S9"/>
  <c r="AA13"/>
  <c r="AA12"/>
  <c r="AA11"/>
  <c r="G17"/>
  <c r="S24"/>
  <c r="AA1"/>
  <c r="AA2"/>
  <c r="AA8" s="1"/>
  <c r="AA7"/>
  <c r="AA6"/>
  <c r="AA5"/>
  <c r="AA3"/>
  <c r="W1"/>
  <c r="W18"/>
  <c r="W11"/>
  <c r="W9"/>
  <c r="W6"/>
  <c r="W12"/>
  <c r="S15"/>
  <c r="S12"/>
  <c r="S4"/>
  <c r="O19"/>
  <c r="O18"/>
  <c r="K10"/>
  <c r="O9"/>
  <c r="O6"/>
  <c r="O21"/>
  <c r="O2"/>
  <c r="O3"/>
  <c r="O5" s="1"/>
  <c r="O1"/>
  <c r="W23"/>
  <c r="S11"/>
  <c r="S10"/>
  <c r="S2"/>
  <c r="G4"/>
  <c r="O20"/>
  <c r="S7"/>
  <c r="S3"/>
  <c r="S6" s="1"/>
  <c r="S8" s="1"/>
  <c r="S16" l="1"/>
  <c r="S17" s="1"/>
  <c r="S18" s="1"/>
  <c r="W10"/>
  <c r="K18"/>
  <c r="K14"/>
  <c r="K15" s="1"/>
  <c r="K7"/>
  <c r="O14"/>
  <c r="G15"/>
  <c r="G9"/>
  <c r="G16" s="1"/>
  <c r="G5"/>
  <c r="G11"/>
  <c r="G13"/>
  <c r="G10"/>
  <c r="W2" l="1"/>
  <c r="K8"/>
  <c r="O11" s="1"/>
  <c r="K4"/>
  <c r="K11"/>
  <c r="K16"/>
  <c r="K17"/>
  <c r="K3"/>
  <c r="S19" l="1"/>
  <c r="S22" s="1"/>
  <c r="AA10" s="1"/>
  <c r="O16"/>
  <c r="AA17" l="1"/>
  <c r="AA19" s="1"/>
  <c r="AA16"/>
  <c r="AA18" s="1"/>
  <c r="S23"/>
  <c r="W19" s="1"/>
  <c r="W13"/>
  <c r="W15" s="1"/>
  <c r="S20"/>
  <c r="AA9" s="1"/>
  <c r="AA20" s="1"/>
  <c r="AA21" s="1"/>
  <c r="O12"/>
  <c r="W5"/>
  <c r="O17"/>
  <c r="W20" l="1"/>
  <c r="W22" s="1"/>
  <c r="W24" s="1"/>
  <c r="O13"/>
  <c r="W21" l="1"/>
</calcChain>
</file>

<file path=xl/sharedStrings.xml><?xml version="1.0" encoding="utf-8"?>
<sst xmlns="http://schemas.openxmlformats.org/spreadsheetml/2006/main" count="375" uniqueCount="247">
  <si>
    <t>2p [-]</t>
  </si>
  <si>
    <t>[mm]</t>
  </si>
  <si>
    <t>[m]</t>
  </si>
  <si>
    <t>[-]</t>
  </si>
  <si>
    <t>[%]</t>
  </si>
  <si>
    <t>[W]</t>
  </si>
  <si>
    <t>[rad/s]</t>
  </si>
  <si>
    <t>[T]</t>
  </si>
  <si>
    <t>[A/m]</t>
  </si>
  <si>
    <t>h</t>
  </si>
  <si>
    <r>
      <t>D</t>
    </r>
    <r>
      <rPr>
        <i/>
        <vertAlign val="subscript"/>
        <sz val="11"/>
        <color theme="1"/>
        <rFont val="Calibri"/>
        <family val="2"/>
        <charset val="238"/>
        <scheme val="minor"/>
      </rPr>
      <t>1e</t>
    </r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</si>
  <si>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D</t>
    </r>
  </si>
  <si>
    <r>
      <t>D</t>
    </r>
    <r>
      <rPr>
        <i/>
        <vertAlign val="subscript"/>
        <sz val="11"/>
        <color theme="1"/>
        <rFont val="Calibri"/>
        <family val="2"/>
        <charset val="238"/>
        <scheme val="minor"/>
      </rPr>
      <t>1i</t>
    </r>
  </si>
  <si>
    <r>
      <t>t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</si>
  <si>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E</t>
    </r>
  </si>
  <si>
    <t>ɲ</t>
  </si>
  <si>
    <r>
      <t>cos(</t>
    </r>
    <r>
      <rPr>
        <sz val="11"/>
        <color theme="1"/>
        <rFont val="Calibri"/>
        <family val="2"/>
        <charset val="238"/>
      </rPr>
      <t>ϕ</t>
    </r>
    <r>
      <rPr>
        <i/>
        <sz val="11"/>
        <color theme="1"/>
        <rFont val="Calibri"/>
        <family val="2"/>
        <charset val="238"/>
        <scheme val="minor"/>
      </rPr>
      <t>)</t>
    </r>
  </si>
  <si>
    <r>
      <t>P</t>
    </r>
    <r>
      <rPr>
        <i/>
        <vertAlign val="subscript"/>
        <sz val="11"/>
        <color theme="1"/>
        <rFont val="Calibri"/>
        <family val="2"/>
        <charset val="238"/>
        <scheme val="minor"/>
      </rPr>
      <t>i</t>
    </r>
  </si>
  <si>
    <r>
      <t>α</t>
    </r>
    <r>
      <rPr>
        <i/>
        <vertAlign val="subscript"/>
        <sz val="11"/>
        <color theme="1"/>
        <rFont val="Calibri"/>
        <family val="2"/>
        <charset val="238"/>
        <scheme val="minor"/>
      </rPr>
      <t>δ</t>
    </r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</si>
  <si>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B</t>
    </r>
  </si>
  <si>
    <r>
      <t>ω</t>
    </r>
    <r>
      <rPr>
        <i/>
        <vertAlign val="subscript"/>
        <sz val="11"/>
        <color theme="1"/>
        <rFont val="Calibri"/>
        <family val="2"/>
        <charset val="238"/>
        <scheme val="minor"/>
      </rPr>
      <t>δ</t>
    </r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</si>
  <si>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v</t>
    </r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</si>
  <si>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δ</t>
    </r>
  </si>
  <si>
    <t>A</t>
  </si>
  <si>
    <r>
      <t>l</t>
    </r>
    <r>
      <rPr>
        <i/>
        <vertAlign val="subscript"/>
        <sz val="11"/>
        <color theme="1"/>
        <rFont val="Calibri"/>
        <family val="2"/>
        <charset val="238"/>
        <scheme val="minor"/>
      </rPr>
      <t>Fe</t>
    </r>
  </si>
  <si>
    <t>𝜆</t>
  </si>
  <si>
    <t xml:space="preserve">Účinnost </t>
  </si>
  <si>
    <t xml:space="preserve">Účinník </t>
  </si>
  <si>
    <t>Vnitřní výkon</t>
  </si>
  <si>
    <t xml:space="preserve">Činitel pólového krytí </t>
  </si>
  <si>
    <t xml:space="preserve">Činitel tvaru pole </t>
  </si>
  <si>
    <t xml:space="preserve">Činitel vinutí </t>
  </si>
  <si>
    <t xml:space="preserve">Synchronní úhlová rychlost </t>
  </si>
  <si>
    <t xml:space="preserve">Indukce ve vzduchové mezeře </t>
  </si>
  <si>
    <t xml:space="preserve">Lineární proudová hustota </t>
  </si>
  <si>
    <t xml:space="preserve">Délka stroje </t>
  </si>
  <si>
    <t xml:space="preserve">Štíhlostní poměr </t>
  </si>
  <si>
    <t xml:space="preserve">Výška osy hřídele </t>
  </si>
  <si>
    <t xml:space="preserve">Vnější průměr stroje </t>
  </si>
  <si>
    <t xml:space="preserve">Vztah mezi průměry </t>
  </si>
  <si>
    <t>Pólová rozteč</t>
  </si>
  <si>
    <t>Poměr napětí</t>
  </si>
  <si>
    <r>
      <t>P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[W]</t>
    </r>
  </si>
  <si>
    <t>Vnitřní průměr statoru</t>
  </si>
  <si>
    <t>Počet fází vinutí</t>
  </si>
  <si>
    <t>m</t>
  </si>
  <si>
    <t>Počet drážek na pól a fázi</t>
  </si>
  <si>
    <t>q</t>
  </si>
  <si>
    <t>Počet drážek statoru</t>
  </si>
  <si>
    <r>
      <t>Q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</si>
  <si>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t>Drážková rozteč</t>
  </si>
  <si>
    <r>
      <t>t</t>
    </r>
    <r>
      <rPr>
        <i/>
        <vertAlign val="subscript"/>
        <sz val="11"/>
        <color theme="1"/>
        <rFont val="Calibri"/>
        <family val="2"/>
        <charset val="238"/>
        <scheme val="minor"/>
      </rPr>
      <t>d1 max</t>
    </r>
  </si>
  <si>
    <r>
      <t>t</t>
    </r>
    <r>
      <rPr>
        <i/>
        <vertAlign val="subscript"/>
        <sz val="11"/>
        <color theme="1"/>
        <rFont val="Calibri"/>
        <family val="2"/>
        <charset val="238"/>
        <scheme val="minor"/>
      </rPr>
      <t>d1 min</t>
    </r>
  </si>
  <si>
    <r>
      <t>Q</t>
    </r>
    <r>
      <rPr>
        <i/>
        <vertAlign val="subscript"/>
        <sz val="11"/>
        <color theme="1"/>
        <rFont val="Calibri"/>
        <family val="2"/>
        <charset val="238"/>
        <scheme val="minor"/>
      </rPr>
      <t>1min</t>
    </r>
  </si>
  <si>
    <r>
      <t>Q</t>
    </r>
    <r>
      <rPr>
        <i/>
        <vertAlign val="subscript"/>
        <sz val="11"/>
        <color theme="1"/>
        <rFont val="Calibri"/>
        <family val="2"/>
        <charset val="238"/>
        <scheme val="minor"/>
      </rPr>
      <t>1max</t>
    </r>
  </si>
  <si>
    <r>
      <t>t</t>
    </r>
    <r>
      <rPr>
        <i/>
        <vertAlign val="subscript"/>
        <sz val="11"/>
        <color theme="1"/>
        <rFont val="Calibri"/>
        <family val="2"/>
        <charset val="238"/>
        <scheme val="minor"/>
      </rPr>
      <t>d1</t>
    </r>
  </si>
  <si>
    <t>Drážková rozteč - výpočet</t>
  </si>
  <si>
    <t>Počet vodičů v drážce</t>
  </si>
  <si>
    <r>
      <t>V</t>
    </r>
    <r>
      <rPr>
        <i/>
        <vertAlign val="subscript"/>
        <sz val="11"/>
        <color theme="1"/>
        <rFont val="Calibri"/>
        <family val="2"/>
        <charset val="238"/>
        <scheme val="minor"/>
      </rPr>
      <t>d</t>
    </r>
  </si>
  <si>
    <r>
      <t>V</t>
    </r>
    <r>
      <rPr>
        <i/>
        <vertAlign val="subscript"/>
        <sz val="11"/>
        <color theme="1"/>
        <rFont val="Calibri"/>
        <family val="2"/>
        <charset val="238"/>
        <scheme val="minor"/>
      </rPr>
      <t>d</t>
    </r>
    <r>
      <rPr>
        <i/>
        <sz val="11"/>
        <color theme="1"/>
        <rFont val="Calibri"/>
        <family val="2"/>
        <charset val="238"/>
        <scheme val="minor"/>
      </rPr>
      <t>'</t>
    </r>
  </si>
  <si>
    <t>Jmenovitý proud statoru</t>
  </si>
  <si>
    <r>
      <t>I</t>
    </r>
    <r>
      <rPr>
        <i/>
        <vertAlign val="subscript"/>
        <sz val="11"/>
        <color theme="1"/>
        <rFont val="Calibri"/>
        <family val="2"/>
        <charset val="238"/>
        <scheme val="minor"/>
      </rPr>
      <t>1N</t>
    </r>
  </si>
  <si>
    <t>[A]</t>
  </si>
  <si>
    <t>Jmenovité napětí statoru</t>
  </si>
  <si>
    <t>[V]</t>
  </si>
  <si>
    <r>
      <t>U</t>
    </r>
    <r>
      <rPr>
        <i/>
        <vertAlign val="subscript"/>
        <sz val="11"/>
        <color theme="1"/>
        <rFont val="Calibri"/>
        <family val="2"/>
        <charset val="238"/>
        <scheme val="minor"/>
      </rPr>
      <t>1N</t>
    </r>
  </si>
  <si>
    <t>Počet paralelních větví</t>
  </si>
  <si>
    <t>Počet závitů</t>
  </si>
  <si>
    <r>
      <t>N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</si>
  <si>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t>Počet paralelních vodičů</t>
  </si>
  <si>
    <t>a</t>
  </si>
  <si>
    <t>Lineární proudová hustota</t>
  </si>
  <si>
    <t>Magnetický indukční tok</t>
  </si>
  <si>
    <t>𝜙</t>
  </si>
  <si>
    <t>[Wb]</t>
  </si>
  <si>
    <t>Proudová hustota</t>
  </si>
  <si>
    <r>
      <t>A</t>
    </r>
    <r>
      <rPr>
        <i/>
        <sz val="11"/>
        <color theme="1"/>
        <rFont val="Calibri"/>
        <family val="2"/>
        <charset val="238"/>
      </rPr>
      <t>·</t>
    </r>
    <r>
      <rPr>
        <i/>
        <sz val="11"/>
        <color theme="1"/>
        <rFont val="Calibri"/>
        <family val="2"/>
        <charset val="238"/>
        <scheme val="minor"/>
      </rPr>
      <t>J</t>
    </r>
  </si>
  <si>
    <r>
      <t>[A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·m</t>
    </r>
    <r>
      <rPr>
        <vertAlign val="superscript"/>
        <sz val="11"/>
        <color theme="1"/>
        <rFont val="Calibri"/>
        <family val="2"/>
        <charset val="238"/>
        <scheme val="minor"/>
      </rPr>
      <t>-3</t>
    </r>
    <r>
      <rPr>
        <sz val="11"/>
        <color theme="1"/>
        <rFont val="Calibri"/>
        <family val="2"/>
        <charset val="238"/>
        <scheme val="minor"/>
      </rPr>
      <t>]</t>
    </r>
  </si>
  <si>
    <t>J</t>
  </si>
  <si>
    <r>
      <t>[A·m</t>
    </r>
    <r>
      <rPr>
        <vertAlign val="superscript"/>
        <sz val="11"/>
        <color theme="1"/>
        <rFont val="Calibri"/>
        <family val="2"/>
        <charset val="238"/>
        <scheme val="minor"/>
      </rPr>
      <t>-2</t>
    </r>
    <r>
      <rPr>
        <sz val="11"/>
        <color theme="1"/>
        <rFont val="Calibri"/>
        <family val="2"/>
        <charset val="238"/>
        <scheme val="minor"/>
      </rPr>
      <t>]</t>
    </r>
  </si>
  <si>
    <r>
      <t>S</t>
    </r>
    <r>
      <rPr>
        <i/>
        <vertAlign val="subscript"/>
        <sz val="11"/>
        <color theme="1"/>
        <rFont val="Calibri"/>
        <family val="2"/>
        <charset val="238"/>
        <scheme val="minor"/>
      </rPr>
      <t>ef1</t>
    </r>
  </si>
  <si>
    <t>Efektivní průřez vodiče</t>
  </si>
  <si>
    <r>
      <t>[m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]</t>
    </r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</si>
  <si>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j1</t>
    </r>
  </si>
  <si>
    <t>Výška jha statoru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</si>
  <si>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j1</t>
    </r>
  </si>
  <si>
    <t>Činitel plnění železa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</si>
  <si>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Fe</t>
    </r>
  </si>
  <si>
    <t>Indukce Jha statoru</t>
  </si>
  <si>
    <t>Šířka zubu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</si>
  <si>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z1</t>
    </r>
  </si>
  <si>
    <t>Indukce zubu statoru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</si>
  <si>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z1</t>
    </r>
  </si>
  <si>
    <t>Hloubka drážky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</si>
  <si>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d1</t>
    </r>
  </si>
  <si>
    <t>Šířka dna drážky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</si>
  <si>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</si>
  <si>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t>Šířka vrcholu drážky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</si>
  <si>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2</t>
    </r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</si>
  <si>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0</t>
    </r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</si>
  <si>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0</t>
    </r>
  </si>
  <si>
    <t>Činitel plnění drážky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</si>
  <si>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T</t>
    </r>
  </si>
  <si>
    <r>
      <t>S</t>
    </r>
    <r>
      <rPr>
        <i/>
        <vertAlign val="subscript"/>
        <sz val="11"/>
        <color theme="1"/>
        <rFont val="Calibri"/>
        <family val="2"/>
        <charset val="238"/>
        <scheme val="minor"/>
      </rPr>
      <t>d</t>
    </r>
  </si>
  <si>
    <t>Aktivní hloubka drážky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</si>
  <si>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</si>
  <si>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t>Plocha průřezu drážky</t>
  </si>
  <si>
    <t>Průměr vodiče</t>
  </si>
  <si>
    <r>
      <t>D</t>
    </r>
    <r>
      <rPr>
        <i/>
        <vertAlign val="subscript"/>
        <sz val="11"/>
        <color theme="1"/>
        <rFont val="Calibri"/>
        <family val="2"/>
        <charset val="238"/>
        <scheme val="minor"/>
      </rPr>
      <t>v</t>
    </r>
  </si>
  <si>
    <t>Počet drážek rotoru</t>
  </si>
  <si>
    <t>Převod</t>
  </si>
  <si>
    <r>
      <t>p</t>
    </r>
    <r>
      <rPr>
        <i/>
        <vertAlign val="subscript"/>
        <sz val="11"/>
        <color theme="1"/>
        <rFont val="Calibri"/>
        <family val="2"/>
        <charset val="238"/>
        <scheme val="minor"/>
      </rPr>
      <t>i</t>
    </r>
  </si>
  <si>
    <t>Vliv magnetizačního proudu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</si>
  <si>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i</t>
    </r>
  </si>
  <si>
    <t>Proud v tyči</t>
  </si>
  <si>
    <r>
      <t>I</t>
    </r>
    <r>
      <rPr>
        <i/>
        <vertAlign val="subscript"/>
        <sz val="11"/>
        <color theme="1"/>
        <rFont val="Calibri"/>
        <family val="2"/>
        <charset val="238"/>
        <scheme val="minor"/>
      </rPr>
      <t>2</t>
    </r>
  </si>
  <si>
    <t xml:space="preserve">Proudová hustota </t>
  </si>
  <si>
    <r>
      <t>J</t>
    </r>
    <r>
      <rPr>
        <i/>
        <vertAlign val="subscript"/>
        <sz val="11"/>
        <color theme="1"/>
        <rFont val="Calibri"/>
        <family val="2"/>
        <charset val="238"/>
        <scheme val="minor"/>
      </rPr>
      <t>2</t>
    </r>
  </si>
  <si>
    <t>Průřez tyče</t>
  </si>
  <si>
    <r>
      <t>S</t>
    </r>
    <r>
      <rPr>
        <i/>
        <vertAlign val="subscript"/>
        <sz val="11"/>
        <color theme="1"/>
        <rFont val="Calibri"/>
        <family val="2"/>
        <charset val="238"/>
        <scheme val="minor"/>
      </rPr>
      <t>t</t>
    </r>
  </si>
  <si>
    <t>Pootočení proudu v tyčích</t>
  </si>
  <si>
    <t>α</t>
  </si>
  <si>
    <r>
      <t>Q</t>
    </r>
    <r>
      <rPr>
        <i/>
        <vertAlign val="subscript"/>
        <sz val="11"/>
        <color theme="1"/>
        <rFont val="Calibri"/>
        <family val="2"/>
        <charset val="238"/>
        <scheme val="minor"/>
      </rPr>
      <t>2</t>
    </r>
  </si>
  <si>
    <t>Šířka drážky pod krčkem</t>
  </si>
  <si>
    <t>Šířka drážky u dna</t>
  </si>
  <si>
    <t>Vnější průměr rotoru</t>
  </si>
  <si>
    <t>Vnitřní průměr rotoru</t>
  </si>
  <si>
    <r>
      <t>D</t>
    </r>
    <r>
      <rPr>
        <i/>
        <vertAlign val="subscript"/>
        <sz val="11"/>
        <color theme="1"/>
        <rFont val="Calibri"/>
        <family val="2"/>
        <charset val="238"/>
        <scheme val="minor"/>
      </rPr>
      <t>e2</t>
    </r>
  </si>
  <si>
    <r>
      <t>D</t>
    </r>
    <r>
      <rPr>
        <i/>
        <vertAlign val="subscript"/>
        <sz val="11"/>
        <color theme="1"/>
        <rFont val="Calibri"/>
        <family val="2"/>
        <charset val="238"/>
        <scheme val="minor"/>
      </rPr>
      <t>i2</t>
    </r>
  </si>
  <si>
    <t>Výška jha rotoru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</si>
  <si>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j2</t>
    </r>
  </si>
  <si>
    <t>Velikost vzduchové mezery</t>
  </si>
  <si>
    <t>δ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</si>
  <si>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21</t>
    </r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</si>
  <si>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j2</t>
    </r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</si>
  <si>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d2</t>
    </r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</si>
  <si>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z2</t>
    </r>
  </si>
  <si>
    <t>Drážková rozteč rotoru</t>
  </si>
  <si>
    <r>
      <t>t</t>
    </r>
    <r>
      <rPr>
        <i/>
        <vertAlign val="subscript"/>
        <sz val="11"/>
        <color theme="1"/>
        <rFont val="Calibri"/>
        <family val="2"/>
        <charset val="238"/>
        <scheme val="minor"/>
      </rPr>
      <t>d2</t>
    </r>
  </si>
  <si>
    <t>Fáze vinutí rotoru</t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</si>
  <si>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</si>
  <si>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t>Skutečný průřez tyče</t>
  </si>
  <si>
    <t>Maximální indukce jha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</si>
  <si>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0</t>
    </r>
    <r>
      <rPr>
        <i/>
        <sz val="11"/>
        <color theme="1"/>
        <rFont val="Calibri"/>
        <family val="2"/>
        <charset val="238"/>
        <scheme val="minor"/>
      </rPr>
      <t>'</t>
    </r>
  </si>
  <si>
    <t>Skutečná indukce v zubech statoru</t>
  </si>
  <si>
    <t>Skutečná indukce ve jhu statoru</t>
  </si>
  <si>
    <t xml:space="preserve">Skutečná indukce ve vzduchové mezeře </t>
  </si>
  <si>
    <t>Skutečná indukce v zubech rotoru</t>
  </si>
  <si>
    <t>Skutečná indukce ve jhu rotoru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</si>
  <si>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z2</t>
    </r>
  </si>
  <si>
    <r>
      <t>U</t>
    </r>
    <r>
      <rPr>
        <i/>
        <vertAlign val="subscript"/>
        <sz val="11"/>
        <color theme="1"/>
        <rFont val="Calibri"/>
        <family val="2"/>
        <charset val="238"/>
        <scheme val="minor"/>
      </rPr>
      <t>δ</t>
    </r>
  </si>
  <si>
    <t>Magnetické napětí vzduch. mezery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</si>
  <si>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z1</t>
    </r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</si>
  <si>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z2</t>
    </r>
  </si>
  <si>
    <r>
      <t>U</t>
    </r>
    <r>
      <rPr>
        <i/>
        <vertAlign val="subscript"/>
        <sz val="11"/>
        <color theme="1"/>
        <rFont val="Calibri"/>
        <family val="2"/>
        <charset val="238"/>
        <scheme val="minor"/>
      </rPr>
      <t>z1</t>
    </r>
  </si>
  <si>
    <r>
      <t>U</t>
    </r>
    <r>
      <rPr>
        <i/>
        <vertAlign val="subscript"/>
        <sz val="11"/>
        <color theme="1"/>
        <rFont val="Calibri"/>
        <family val="2"/>
        <charset val="238"/>
        <scheme val="minor"/>
      </rPr>
      <t>z2</t>
    </r>
  </si>
  <si>
    <r>
      <t>l</t>
    </r>
    <r>
      <rPr>
        <i/>
        <vertAlign val="subscript"/>
        <sz val="11"/>
        <color theme="1"/>
        <rFont val="Calibri"/>
        <family val="2"/>
        <charset val="238"/>
        <scheme val="minor"/>
      </rPr>
      <t>j1</t>
    </r>
  </si>
  <si>
    <t>Mag. intenzita zubu statoru</t>
  </si>
  <si>
    <t>Mag. intenzita zubu rotoru</t>
  </si>
  <si>
    <t>Mag. napětí zubu statoru</t>
  </si>
  <si>
    <t>Mag. napětí zubu rotoru</t>
  </si>
  <si>
    <r>
      <t>U</t>
    </r>
    <r>
      <rPr>
        <i/>
        <vertAlign val="subscript"/>
        <sz val="11"/>
        <color theme="1"/>
        <rFont val="Calibri"/>
        <family val="2"/>
        <charset val="238"/>
        <scheme val="minor"/>
      </rPr>
      <t>j1</t>
    </r>
  </si>
  <si>
    <t>Mag. intenzita jha statoru</t>
  </si>
  <si>
    <t>Mag. napětí jha statoru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</si>
  <si>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j1</t>
    </r>
  </si>
  <si>
    <t>Mag. intenzita jha rotoru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</si>
  <si>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j2</t>
    </r>
  </si>
  <si>
    <t>Délka střední mag. Indukční čáry stat.</t>
  </si>
  <si>
    <t>Délka střední mag. Indukční čáry rot.</t>
  </si>
  <si>
    <r>
      <t>l</t>
    </r>
    <r>
      <rPr>
        <i/>
        <vertAlign val="subscript"/>
        <sz val="11"/>
        <color theme="1"/>
        <rFont val="Calibri"/>
        <family val="2"/>
        <charset val="238"/>
        <scheme val="minor"/>
      </rPr>
      <t>j2</t>
    </r>
  </si>
  <si>
    <t>Mag. napětí jha rotoru</t>
  </si>
  <si>
    <r>
      <t>U</t>
    </r>
    <r>
      <rPr>
        <i/>
        <vertAlign val="subscript"/>
        <sz val="11"/>
        <color theme="1"/>
        <rFont val="Calibri"/>
        <family val="2"/>
        <charset val="238"/>
        <scheme val="minor"/>
      </rPr>
      <t>j2</t>
    </r>
  </si>
  <si>
    <t>Výsledné mag. napětí</t>
  </si>
  <si>
    <r>
      <t>F</t>
    </r>
    <r>
      <rPr>
        <i/>
        <vertAlign val="subscript"/>
        <sz val="11"/>
        <color theme="1"/>
        <rFont val="Calibri"/>
        <family val="2"/>
        <charset val="238"/>
        <scheme val="minor"/>
      </rPr>
      <t>m</t>
    </r>
  </si>
  <si>
    <t>Magnetizační proud</t>
  </si>
  <si>
    <r>
      <t>I</t>
    </r>
    <r>
      <rPr>
        <i/>
        <vertAlign val="subscript"/>
        <sz val="11"/>
        <color theme="1"/>
        <rFont val="Calibri"/>
        <family val="2"/>
        <charset val="238"/>
        <scheme val="minor"/>
      </rPr>
      <t>ϻ</t>
    </r>
  </si>
  <si>
    <r>
      <t>i</t>
    </r>
    <r>
      <rPr>
        <i/>
        <vertAlign val="subscript"/>
        <sz val="11"/>
        <color theme="1"/>
        <rFont val="Calibri"/>
        <family val="2"/>
        <charset val="238"/>
        <scheme val="minor"/>
      </rPr>
      <t>ϻ</t>
    </r>
  </si>
  <si>
    <t>Poměrná hodnota mag. proudu</t>
  </si>
  <si>
    <t>Průřez 1 vodiče</t>
  </si>
  <si>
    <r>
      <t>n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</si>
  <si>
    <r>
      <t>S</t>
    </r>
    <r>
      <rPr>
        <i/>
        <vertAlign val="subscript"/>
        <sz val="11"/>
        <color theme="1"/>
        <rFont val="Calibri"/>
        <family val="2"/>
        <charset val="238"/>
        <scheme val="minor"/>
      </rPr>
      <t>v</t>
    </r>
  </si>
  <si>
    <t>Počet dílčích vodičů</t>
  </si>
  <si>
    <t>Skutečná proudová hustota</t>
  </si>
  <si>
    <t>Výška otevření</t>
  </si>
  <si>
    <t>Šířka otevření</t>
  </si>
  <si>
    <t>Indukce zubu</t>
  </si>
  <si>
    <t>Celková hloubka drážky</t>
  </si>
  <si>
    <t>Šířka krčku</t>
  </si>
  <si>
    <t>Výška krčku</t>
  </si>
  <si>
    <t>Součin proud. hustot</t>
  </si>
  <si>
    <t>Výška můstku nad drážkou</t>
  </si>
  <si>
    <t>Výpočtová výška zubu statoru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</si>
  <si>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z1</t>
    </r>
  </si>
  <si>
    <t>Výpočtová výška zubu rotoru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</si>
  <si>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z2</t>
    </r>
  </si>
  <si>
    <t>Carterův činitel statoru</t>
  </si>
  <si>
    <t>Carterův činitel rotoru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</si>
  <si>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c1</t>
    </r>
  </si>
  <si>
    <t>Činitel nasycení mag. Obvodu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</si>
  <si>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ϻ</t>
    </r>
  </si>
  <si>
    <t>Odpor vinutí statoru</t>
  </si>
  <si>
    <t>[𝛀]</t>
  </si>
  <si>
    <r>
      <t>R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</si>
  <si>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t>Měrný odpor mědi</t>
  </si>
  <si>
    <t>[𝛀m]</t>
  </si>
  <si>
    <t>Délka vinutí</t>
  </si>
  <si>
    <t>L</t>
  </si>
  <si>
    <t>Střední délka závitu</t>
  </si>
  <si>
    <r>
      <t>l</t>
    </r>
    <r>
      <rPr>
        <i/>
        <vertAlign val="subscript"/>
        <sz val="11"/>
        <color theme="1"/>
        <rFont val="Calibri"/>
        <family val="2"/>
        <charset val="238"/>
        <scheme val="minor"/>
      </rPr>
      <t>av</t>
    </r>
  </si>
  <si>
    <t>Délka čela</t>
  </si>
  <si>
    <t>Střední délka cívky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</si>
  <si>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c</t>
    </r>
  </si>
  <si>
    <t>Koeficient prodloužení čel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</si>
  <si>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č</t>
    </r>
  </si>
  <si>
    <r>
      <t>l</t>
    </r>
    <r>
      <rPr>
        <i/>
        <vertAlign val="subscript"/>
        <sz val="11"/>
        <color theme="1"/>
        <rFont val="Calibri"/>
        <family val="2"/>
        <charset val="238"/>
        <scheme val="minor"/>
      </rPr>
      <t>č</t>
    </r>
  </si>
  <si>
    <t>Měrný odpor hliníku</t>
  </si>
  <si>
    <r>
      <rPr>
        <i/>
        <sz val="11"/>
        <color theme="1"/>
        <rFont val="Calibri"/>
        <family val="2"/>
        <charset val="238"/>
        <scheme val="minor"/>
      </rPr>
      <t>ρ</t>
    </r>
    <r>
      <rPr>
        <i/>
        <vertAlign val="subscript"/>
        <sz val="11"/>
        <color theme="1"/>
        <rFont val="Calibri"/>
        <family val="2"/>
        <charset val="238"/>
        <scheme val="minor"/>
      </rPr>
      <t>Cu</t>
    </r>
  </si>
  <si>
    <r>
      <t>ρ</t>
    </r>
    <r>
      <rPr>
        <i/>
        <vertAlign val="subscript"/>
        <sz val="11"/>
        <color theme="1"/>
        <rFont val="Calibri"/>
        <family val="2"/>
        <charset val="238"/>
        <scheme val="minor"/>
      </rPr>
      <t>Al</t>
    </r>
  </si>
  <si>
    <t>Odpor tyče</t>
  </si>
  <si>
    <t>Odpor kruhu</t>
  </si>
  <si>
    <r>
      <t>R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</si>
  <si>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r>
      <t>R</t>
    </r>
    <r>
      <rPr>
        <i/>
        <vertAlign val="subscript"/>
        <sz val="11"/>
        <color theme="1"/>
        <rFont val="Calibri"/>
        <family val="2"/>
        <charset val="238"/>
        <scheme val="minor"/>
      </rPr>
      <t>t</t>
    </r>
  </si>
  <si>
    <t>Délka tyče</t>
  </si>
  <si>
    <r>
      <t>l</t>
    </r>
    <r>
      <rPr>
        <i/>
        <vertAlign val="subscript"/>
        <sz val="11"/>
        <color theme="1"/>
        <rFont val="Calibri"/>
        <family val="2"/>
        <charset val="238"/>
        <scheme val="minor"/>
      </rPr>
      <t>t</t>
    </r>
  </si>
  <si>
    <t>Průměr kruhu</t>
  </si>
  <si>
    <t>Výška kruhu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</si>
  <si>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</si>
  <si>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r>
      <t>a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</si>
  <si>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t>Délka kruhu</t>
  </si>
  <si>
    <t>Sk'</t>
  </si>
  <si>
    <t>Proudová hustota tyče</t>
  </si>
  <si>
    <r>
      <t>J</t>
    </r>
    <r>
      <rPr>
        <i/>
        <vertAlign val="subscript"/>
        <sz val="11"/>
        <color theme="1"/>
        <rFont val="Calibri"/>
        <family val="2"/>
        <charset val="238"/>
        <scheme val="minor"/>
      </rPr>
      <t>t</t>
    </r>
  </si>
  <si>
    <t>Proudová hustota kruhů</t>
  </si>
  <si>
    <r>
      <t>J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</si>
  <si>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t>∆</t>
  </si>
  <si>
    <t>Proud kruhů</t>
  </si>
  <si>
    <r>
      <t>I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</si>
  <si>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r>
      <t>D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</si>
  <si>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t>Skutečný průřez kruhu</t>
  </si>
  <si>
    <t>Průřez kruhu</t>
  </si>
  <si>
    <r>
      <t>S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</si>
  <si>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t>Odpor rotoru</t>
  </si>
  <si>
    <r>
      <t>R</t>
    </r>
    <r>
      <rPr>
        <i/>
        <vertAlign val="subscript"/>
        <sz val="11"/>
        <color theme="1"/>
        <rFont val="Calibri"/>
        <family val="2"/>
        <charset val="238"/>
        <scheme val="minor"/>
      </rPr>
      <t>2</t>
    </r>
  </si>
  <si>
    <t>Přepočtený odpor rotoru</t>
  </si>
  <si>
    <r>
      <t>R</t>
    </r>
    <r>
      <rPr>
        <i/>
        <vertAlign val="subscript"/>
        <sz val="11"/>
        <color theme="1"/>
        <rFont val="Calibri"/>
        <family val="2"/>
        <charset val="238"/>
        <scheme val="minor"/>
      </rPr>
      <t>2</t>
    </r>
    <r>
      <rPr>
        <i/>
        <sz val="11"/>
        <color theme="1"/>
        <rFont val="Calibri"/>
        <family val="2"/>
        <charset val="238"/>
        <scheme val="minor"/>
      </rPr>
      <t>'</t>
    </r>
  </si>
  <si>
    <t>Činitel nasycení zubů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</si>
  <si>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z</t>
    </r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</si>
</sst>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i/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i/>
      <sz val="11"/>
      <color theme="1"/>
      <name val="Calibri"/>
      <family val="2"/>
      <charset val="238"/>
    </font>
    <font>
      <vertAlign val="superscript"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3" fillId="0" borderId="0" xfId="0" applyFont="1"/>
    <xf numFmtId="0" fontId="4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8"/>
  <sheetViews>
    <sheetView tabSelected="1" topLeftCell="O1" zoomScale="115" zoomScaleNormal="115" workbookViewId="0">
      <selection activeCell="Z22" sqref="Z22"/>
    </sheetView>
  </sheetViews>
  <sheetFormatPr defaultRowHeight="15"/>
  <cols>
    <col min="4" max="4" width="28.5703125" bestFit="1" customWidth="1"/>
    <col min="7" max="7" width="12.7109375" bestFit="1" customWidth="1"/>
    <col min="8" max="8" width="37.28515625" bestFit="1" customWidth="1"/>
    <col min="11" max="11" width="12.28515625" customWidth="1"/>
    <col min="12" max="12" width="27.5703125" bestFit="1" customWidth="1"/>
    <col min="15" max="15" width="13.140625" bestFit="1" customWidth="1"/>
    <col min="16" max="16" width="26.140625" bestFit="1" customWidth="1"/>
    <col min="19" max="19" width="13.140625" bestFit="1" customWidth="1"/>
    <col min="20" max="20" width="32" bestFit="1" customWidth="1"/>
    <col min="24" max="24" width="24.5703125" bestFit="1" customWidth="1"/>
    <col min="27" max="27" width="10.5703125" customWidth="1"/>
  </cols>
  <sheetData>
    <row r="1" spans="1:27" ht="18.75">
      <c r="A1" s="1" t="s">
        <v>42</v>
      </c>
      <c r="B1" s="1">
        <v>9000</v>
      </c>
      <c r="D1" t="s">
        <v>37</v>
      </c>
      <c r="E1" s="3" t="s">
        <v>9</v>
      </c>
      <c r="F1" s="2" t="s">
        <v>1</v>
      </c>
      <c r="G1" s="4">
        <v>155</v>
      </c>
      <c r="H1" s="5" t="s">
        <v>56</v>
      </c>
      <c r="I1" s="3" t="s">
        <v>51</v>
      </c>
      <c r="J1" t="s">
        <v>2</v>
      </c>
      <c r="K1">
        <v>7.0000000000000001E-3</v>
      </c>
      <c r="L1" t="s">
        <v>189</v>
      </c>
      <c r="M1" s="3" t="s">
        <v>76</v>
      </c>
      <c r="N1" t="s">
        <v>77</v>
      </c>
      <c r="O1">
        <f>194*10^9</f>
        <v>194000000000</v>
      </c>
      <c r="P1" t="s">
        <v>109</v>
      </c>
      <c r="Q1" s="3" t="s">
        <v>122</v>
      </c>
      <c r="R1" t="s">
        <v>3</v>
      </c>
      <c r="S1">
        <v>59</v>
      </c>
      <c r="T1" t="s">
        <v>144</v>
      </c>
      <c r="U1" s="3" t="s">
        <v>92</v>
      </c>
      <c r="V1" t="s">
        <v>7</v>
      </c>
      <c r="W1">
        <f>(K18*K8*G16)/(O11*G16*O8)</f>
        <v>1.7519335289005398</v>
      </c>
      <c r="X1" t="s">
        <v>215</v>
      </c>
      <c r="Y1" s="3" t="s">
        <v>217</v>
      </c>
      <c r="Z1" t="s">
        <v>204</v>
      </c>
      <c r="AA1">
        <f xml:space="preserve"> 0.028*(10^-6)</f>
        <v>2.7999999999999999E-8</v>
      </c>
    </row>
    <row r="2" spans="1:27" ht="18.75">
      <c r="A2" s="1" t="s">
        <v>0</v>
      </c>
      <c r="B2" s="1">
        <v>8</v>
      </c>
      <c r="D2" t="s">
        <v>38</v>
      </c>
      <c r="E2" s="3" t="s">
        <v>10</v>
      </c>
      <c r="F2" s="2" t="s">
        <v>2</v>
      </c>
      <c r="G2" s="4">
        <v>0.26400000000000001</v>
      </c>
      <c r="H2" s="5"/>
      <c r="I2" s="3" t="s">
        <v>52</v>
      </c>
      <c r="J2" t="s">
        <v>2</v>
      </c>
      <c r="K2">
        <v>8.9999999999999993E-3</v>
      </c>
      <c r="L2" t="s">
        <v>75</v>
      </c>
      <c r="M2" s="3" t="s">
        <v>78</v>
      </c>
      <c r="N2" t="s">
        <v>79</v>
      </c>
      <c r="O2">
        <f>O1/K16</f>
        <v>6449242.9716642257</v>
      </c>
      <c r="P2" t="s">
        <v>139</v>
      </c>
      <c r="Q2" t="s">
        <v>140</v>
      </c>
      <c r="R2" t="s">
        <v>3</v>
      </c>
      <c r="S2">
        <f>S1</f>
        <v>59</v>
      </c>
      <c r="T2" t="s">
        <v>147</v>
      </c>
      <c r="U2" s="3" t="s">
        <v>149</v>
      </c>
      <c r="V2" t="s">
        <v>7</v>
      </c>
      <c r="W2">
        <f>(K18*S15*G16)/(S16*G16*O8)</f>
        <v>1.7499999999999998</v>
      </c>
      <c r="X2" t="s">
        <v>203</v>
      </c>
      <c r="Y2" s="8" t="s">
        <v>216</v>
      </c>
      <c r="Z2" t="s">
        <v>204</v>
      </c>
      <c r="AA2" s="7">
        <f>0.0169*(10^-6)</f>
        <v>1.6899999999999999E-8</v>
      </c>
    </row>
    <row r="3" spans="1:27" ht="18.75">
      <c r="D3" t="s">
        <v>39</v>
      </c>
      <c r="E3" s="3" t="s">
        <v>11</v>
      </c>
      <c r="F3" s="2" t="s">
        <v>3</v>
      </c>
      <c r="G3" s="4">
        <v>0.745</v>
      </c>
      <c r="H3" s="5" t="s">
        <v>48</v>
      </c>
      <c r="I3" s="3" t="s">
        <v>53</v>
      </c>
      <c r="J3" s="2" t="s">
        <v>3</v>
      </c>
      <c r="K3">
        <f>(PI()*G4)/K1</f>
        <v>88.269777586862944</v>
      </c>
      <c r="L3" t="s">
        <v>81</v>
      </c>
      <c r="M3" s="3" t="s">
        <v>80</v>
      </c>
      <c r="N3" t="s">
        <v>82</v>
      </c>
      <c r="O3">
        <f>K10/(K13*O2)</f>
        <v>3.0790622939300881E-6</v>
      </c>
      <c r="P3" t="s">
        <v>110</v>
      </c>
      <c r="Q3" s="3" t="s">
        <v>111</v>
      </c>
      <c r="R3" t="s">
        <v>3</v>
      </c>
      <c r="S3">
        <f>(2*K6*K15*G12)/S1</f>
        <v>15.150508474576272</v>
      </c>
      <c r="T3" t="s">
        <v>157</v>
      </c>
      <c r="U3" s="3" t="s">
        <v>152</v>
      </c>
      <c r="V3" t="s">
        <v>8</v>
      </c>
      <c r="W3">
        <v>22000</v>
      </c>
      <c r="X3" t="s">
        <v>210</v>
      </c>
      <c r="Y3" s="3" t="s">
        <v>211</v>
      </c>
      <c r="Z3" t="s">
        <v>2</v>
      </c>
      <c r="AA3">
        <f>(PI()*(G4+O12))/B2</f>
        <v>8.225796837324606E-2</v>
      </c>
    </row>
    <row r="4" spans="1:27" ht="18">
      <c r="D4" t="s">
        <v>43</v>
      </c>
      <c r="E4" s="3" t="s">
        <v>12</v>
      </c>
      <c r="F4" s="2" t="s">
        <v>2</v>
      </c>
      <c r="G4" s="4">
        <f>G3*G2</f>
        <v>0.19668000000000002</v>
      </c>
      <c r="H4" s="5"/>
      <c r="I4" s="3" t="s">
        <v>54</v>
      </c>
      <c r="J4" s="2" t="s">
        <v>3</v>
      </c>
      <c r="K4">
        <f>(PI()*G4)/K2</f>
        <v>68.654271456448953</v>
      </c>
      <c r="L4" t="s">
        <v>181</v>
      </c>
      <c r="M4" s="3" t="s">
        <v>179</v>
      </c>
      <c r="N4" t="s">
        <v>3</v>
      </c>
      <c r="O4">
        <v>2</v>
      </c>
      <c r="P4" t="s">
        <v>125</v>
      </c>
      <c r="Q4" s="3" t="s">
        <v>127</v>
      </c>
      <c r="R4" t="s">
        <v>2</v>
      </c>
      <c r="S4">
        <f>G4-2*O20</f>
        <v>0.19568000000000002</v>
      </c>
      <c r="T4" t="s">
        <v>158</v>
      </c>
      <c r="U4" s="3" t="s">
        <v>153</v>
      </c>
      <c r="V4" t="s">
        <v>8</v>
      </c>
      <c r="W4">
        <v>27000</v>
      </c>
      <c r="X4" t="s">
        <v>212</v>
      </c>
      <c r="Y4" s="3" t="s">
        <v>213</v>
      </c>
      <c r="Z4" t="s">
        <v>3</v>
      </c>
      <c r="AA4">
        <v>1.9</v>
      </c>
    </row>
    <row r="5" spans="1:27" ht="18.75">
      <c r="D5" t="s">
        <v>40</v>
      </c>
      <c r="E5" s="3" t="s">
        <v>13</v>
      </c>
      <c r="F5" s="2" t="s">
        <v>2</v>
      </c>
      <c r="G5" s="4">
        <f>(PI()*G4)/B2</f>
        <v>7.7236055388505073E-2</v>
      </c>
      <c r="H5" s="5"/>
      <c r="I5" s="3" t="s">
        <v>49</v>
      </c>
      <c r="J5" t="s">
        <v>3</v>
      </c>
      <c r="K5">
        <v>72</v>
      </c>
      <c r="L5" t="s">
        <v>178</v>
      </c>
      <c r="M5" s="3" t="s">
        <v>180</v>
      </c>
      <c r="N5" t="s">
        <v>82</v>
      </c>
      <c r="O5">
        <f>O3/O4</f>
        <v>1.5395311469650441E-6</v>
      </c>
      <c r="P5" t="s">
        <v>112</v>
      </c>
      <c r="Q5" s="3" t="s">
        <v>113</v>
      </c>
      <c r="R5" t="s">
        <v>3</v>
      </c>
      <c r="S5">
        <v>0.82</v>
      </c>
      <c r="T5" t="s">
        <v>145</v>
      </c>
      <c r="U5" s="3" t="s">
        <v>83</v>
      </c>
      <c r="V5" t="s">
        <v>7</v>
      </c>
      <c r="W5">
        <f>K17/(2*O9*G16*O8)</f>
        <v>1.1499999999999997</v>
      </c>
      <c r="X5" t="s">
        <v>209</v>
      </c>
      <c r="Y5" s="3" t="s">
        <v>214</v>
      </c>
      <c r="Z5" t="s">
        <v>2</v>
      </c>
      <c r="AA5">
        <f>(AA4*AA3)+(2*0.025)</f>
        <v>0.2062901399091675</v>
      </c>
    </row>
    <row r="6" spans="1:27" ht="18">
      <c r="D6" t="s">
        <v>41</v>
      </c>
      <c r="E6" s="3" t="s">
        <v>14</v>
      </c>
      <c r="F6" s="2" t="s">
        <v>3</v>
      </c>
      <c r="G6" s="4">
        <v>0.94</v>
      </c>
      <c r="H6" t="s">
        <v>44</v>
      </c>
      <c r="I6" s="3" t="s">
        <v>45</v>
      </c>
      <c r="J6" s="2" t="s">
        <v>3</v>
      </c>
      <c r="K6">
        <v>3</v>
      </c>
      <c r="L6" t="s">
        <v>107</v>
      </c>
      <c r="M6" s="3" t="s">
        <v>108</v>
      </c>
      <c r="N6" s="2" t="s">
        <v>2</v>
      </c>
      <c r="O6">
        <f>SQRT((4*O5)/PI())</f>
        <v>1.4000685471316666E-3</v>
      </c>
      <c r="P6" t="s">
        <v>114</v>
      </c>
      <c r="Q6" s="3" t="s">
        <v>115</v>
      </c>
      <c r="R6" t="s">
        <v>62</v>
      </c>
      <c r="S6">
        <f>S5*K10*S3</f>
        <v>246.69950354265006</v>
      </c>
      <c r="T6" t="s">
        <v>148</v>
      </c>
      <c r="U6" s="3" t="s">
        <v>130</v>
      </c>
      <c r="V6" t="s">
        <v>7</v>
      </c>
      <c r="W6">
        <f>K17/(2*S21*G16*O8)</f>
        <v>0.75</v>
      </c>
      <c r="X6" t="s">
        <v>207</v>
      </c>
      <c r="Y6" s="3" t="s">
        <v>208</v>
      </c>
      <c r="Z6" t="s">
        <v>2</v>
      </c>
      <c r="AA6">
        <f>2*(G16+AA5)</f>
        <v>0.69907156774245705</v>
      </c>
    </row>
    <row r="7" spans="1:27" ht="18.75">
      <c r="D7" t="s">
        <v>26</v>
      </c>
      <c r="E7" s="3" t="s">
        <v>15</v>
      </c>
      <c r="F7" s="2" t="s">
        <v>4</v>
      </c>
      <c r="G7" s="4">
        <v>87</v>
      </c>
      <c r="H7" t="s">
        <v>46</v>
      </c>
      <c r="I7" s="3" t="s">
        <v>47</v>
      </c>
      <c r="J7" s="2" t="s">
        <v>3</v>
      </c>
      <c r="K7">
        <f>K5/(B2*K6)</f>
        <v>3</v>
      </c>
      <c r="L7" t="s">
        <v>88</v>
      </c>
      <c r="M7" s="3" t="s">
        <v>83</v>
      </c>
      <c r="N7" t="s">
        <v>7</v>
      </c>
      <c r="O7">
        <v>1.1499999999999999</v>
      </c>
      <c r="P7" t="s">
        <v>116</v>
      </c>
      <c r="Q7" s="3" t="s">
        <v>117</v>
      </c>
      <c r="R7" t="s">
        <v>79</v>
      </c>
      <c r="S7">
        <f>5*10^6</f>
        <v>5000000</v>
      </c>
      <c r="T7" t="s">
        <v>162</v>
      </c>
      <c r="U7" s="3" t="s">
        <v>164</v>
      </c>
      <c r="V7" t="s">
        <v>8</v>
      </c>
      <c r="W7">
        <v>722</v>
      </c>
      <c r="X7" t="s">
        <v>205</v>
      </c>
      <c r="Y7" s="3" t="s">
        <v>206</v>
      </c>
      <c r="Z7" t="s">
        <v>2</v>
      </c>
      <c r="AA7">
        <f>AA6*K15</f>
        <v>109.0551645678233</v>
      </c>
    </row>
    <row r="8" spans="1:27" ht="18.75">
      <c r="D8" t="s">
        <v>27</v>
      </c>
      <c r="E8" s="3" t="s">
        <v>16</v>
      </c>
      <c r="F8" s="2" t="s">
        <v>3</v>
      </c>
      <c r="G8" s="4">
        <v>0.755</v>
      </c>
      <c r="H8" t="s">
        <v>50</v>
      </c>
      <c r="I8" s="3" t="s">
        <v>55</v>
      </c>
      <c r="J8" t="s">
        <v>2</v>
      </c>
      <c r="K8">
        <f>(PI()*G4)/(B2*K6*K7)</f>
        <v>8.5817839320561189E-3</v>
      </c>
      <c r="L8" t="s">
        <v>86</v>
      </c>
      <c r="M8" s="3" t="s">
        <v>87</v>
      </c>
      <c r="N8" t="s">
        <v>3</v>
      </c>
      <c r="O8">
        <v>0.95</v>
      </c>
      <c r="P8" t="s">
        <v>118</v>
      </c>
      <c r="Q8" s="3" t="s">
        <v>119</v>
      </c>
      <c r="R8" t="s">
        <v>82</v>
      </c>
      <c r="S8">
        <f>S6/S7</f>
        <v>4.9339900708530014E-5</v>
      </c>
      <c r="T8" t="s">
        <v>165</v>
      </c>
      <c r="U8" s="3" t="s">
        <v>166</v>
      </c>
      <c r="V8" t="s">
        <v>8</v>
      </c>
      <c r="W8">
        <v>320</v>
      </c>
      <c r="X8" t="s">
        <v>200</v>
      </c>
      <c r="Y8" s="3" t="s">
        <v>202</v>
      </c>
      <c r="Z8" t="s">
        <v>201</v>
      </c>
      <c r="AA8">
        <f>1*AA2*(AA7/(O3*K13))</f>
        <v>0.59856933873324902</v>
      </c>
    </row>
    <row r="9" spans="1:27" ht="18">
      <c r="D9" t="s">
        <v>28</v>
      </c>
      <c r="E9" s="3" t="s">
        <v>17</v>
      </c>
      <c r="F9" s="2" t="s">
        <v>5</v>
      </c>
      <c r="G9" s="4">
        <f>B1*(G6/((G7/100)*G8))</f>
        <v>12879.652888787392</v>
      </c>
      <c r="H9" t="s">
        <v>63</v>
      </c>
      <c r="I9" s="3" t="s">
        <v>65</v>
      </c>
      <c r="J9" s="2" t="s">
        <v>64</v>
      </c>
      <c r="K9">
        <v>230</v>
      </c>
      <c r="L9" t="s">
        <v>84</v>
      </c>
      <c r="M9" s="3" t="s">
        <v>85</v>
      </c>
      <c r="N9" t="s">
        <v>2</v>
      </c>
      <c r="O9">
        <f>K17/(2*O7*G16*O8)</f>
        <v>2.0871803595217557E-2</v>
      </c>
      <c r="P9" t="s">
        <v>120</v>
      </c>
      <c r="Q9" s="3" t="s">
        <v>121</v>
      </c>
      <c r="R9" t="s">
        <v>3</v>
      </c>
      <c r="S9">
        <f>(B2*PI())/S1</f>
        <v>0.42597866489353126</v>
      </c>
      <c r="T9" t="s">
        <v>195</v>
      </c>
      <c r="U9" s="3" t="s">
        <v>197</v>
      </c>
      <c r="V9" t="s">
        <v>3</v>
      </c>
      <c r="W9">
        <f>K8/(K8-((((O15/O20)^2)/(5+(O15/O20)))*O20))</f>
        <v>1.6351080705883949</v>
      </c>
      <c r="X9" t="s">
        <v>218</v>
      </c>
      <c r="Y9" s="3" t="s">
        <v>221</v>
      </c>
      <c r="Z9" t="s">
        <v>201</v>
      </c>
      <c r="AA9">
        <f>AA1*(S24/S20)*1</f>
        <v>9.7276455709269455E-5</v>
      </c>
    </row>
    <row r="10" spans="1:27" ht="18">
      <c r="D10" t="s">
        <v>29</v>
      </c>
      <c r="E10" s="3" t="s">
        <v>18</v>
      </c>
      <c r="F10" s="2" t="s">
        <v>3</v>
      </c>
      <c r="G10" s="4">
        <f>2/PI()</f>
        <v>0.63661977236758138</v>
      </c>
      <c r="H10" t="s">
        <v>60</v>
      </c>
      <c r="I10" s="3" t="s">
        <v>61</v>
      </c>
      <c r="J10" s="2" t="s">
        <v>62</v>
      </c>
      <c r="K10">
        <f>B1/(K6*K9*(G7/100)*G8)</f>
        <v>19.85762085844495</v>
      </c>
      <c r="L10" t="s">
        <v>91</v>
      </c>
      <c r="M10" s="3" t="s">
        <v>92</v>
      </c>
      <c r="N10" t="s">
        <v>7</v>
      </c>
      <c r="O10">
        <v>1.7</v>
      </c>
      <c r="P10" t="s">
        <v>188</v>
      </c>
      <c r="Q10" s="3" t="s">
        <v>99</v>
      </c>
      <c r="R10" t="s">
        <v>2</v>
      </c>
      <c r="S10">
        <f>0.5*10^-3</f>
        <v>5.0000000000000001E-4</v>
      </c>
      <c r="T10" t="s">
        <v>196</v>
      </c>
      <c r="U10" s="3" t="s">
        <v>197</v>
      </c>
      <c r="V10" t="s">
        <v>3</v>
      </c>
      <c r="W10">
        <f>S15/(S15-((((S12/O20)^2)/(5+(S12/O20)))*O20))</f>
        <v>1.0281944021496627</v>
      </c>
      <c r="X10" t="s">
        <v>228</v>
      </c>
      <c r="Y10" s="3" t="s">
        <v>226</v>
      </c>
      <c r="Z10" t="s">
        <v>2</v>
      </c>
      <c r="AA10">
        <f>1.2*S22</f>
        <v>1.7629848906847552E-2</v>
      </c>
    </row>
    <row r="11" spans="1:27" ht="18.75">
      <c r="D11" t="s">
        <v>30</v>
      </c>
      <c r="E11" s="3" t="s">
        <v>19</v>
      </c>
      <c r="F11" s="2" t="s">
        <v>3</v>
      </c>
      <c r="G11" s="4">
        <f>PI()/(2*SQRT(2))</f>
        <v>1.1107207345395915</v>
      </c>
      <c r="H11" s="6" t="s">
        <v>57</v>
      </c>
      <c r="I11" s="3" t="s">
        <v>59</v>
      </c>
      <c r="J11" s="2" t="s">
        <v>3</v>
      </c>
      <c r="K11">
        <f>((PI()*G4*G15)/(K10*K5))</f>
        <v>13.397138750415891</v>
      </c>
      <c r="L11" t="s">
        <v>89</v>
      </c>
      <c r="M11" s="3" t="s">
        <v>90</v>
      </c>
      <c r="N11" t="s">
        <v>2</v>
      </c>
      <c r="O11">
        <f>(G14*K8*G16)/(O10*G16*O8)</f>
        <v>4.7824182903099125E-3</v>
      </c>
      <c r="P11" t="s">
        <v>190</v>
      </c>
      <c r="Q11" s="3" t="s">
        <v>143</v>
      </c>
      <c r="R11" t="s">
        <v>2</v>
      </c>
      <c r="S11">
        <f>0.3*10^-3</f>
        <v>2.9999999999999997E-4</v>
      </c>
      <c r="T11" t="s">
        <v>151</v>
      </c>
      <c r="U11" s="3" t="s">
        <v>150</v>
      </c>
      <c r="V11" t="s">
        <v>62</v>
      </c>
      <c r="W11">
        <f>(1.59*(10^6))*K18*W9*O20</f>
        <v>1205.6598627514654</v>
      </c>
      <c r="X11" t="s">
        <v>230</v>
      </c>
      <c r="Y11" s="3" t="s">
        <v>231</v>
      </c>
      <c r="Z11" t="s">
        <v>79</v>
      </c>
      <c r="AA11">
        <f>S6/S8</f>
        <v>5000000</v>
      </c>
    </row>
    <row r="12" spans="1:27" ht="18.75">
      <c r="D12" t="s">
        <v>31</v>
      </c>
      <c r="E12" s="3" t="s">
        <v>21</v>
      </c>
      <c r="F12" s="2" t="s">
        <v>3</v>
      </c>
      <c r="G12" s="4">
        <v>0.95499999999999996</v>
      </c>
      <c r="H12" s="6"/>
      <c r="I12" s="3" t="s">
        <v>59</v>
      </c>
      <c r="J12" s="2" t="s">
        <v>3</v>
      </c>
      <c r="K12">
        <v>13</v>
      </c>
      <c r="L12" t="s">
        <v>93</v>
      </c>
      <c r="M12" s="3" t="s">
        <v>94</v>
      </c>
      <c r="N12" t="s">
        <v>2</v>
      </c>
      <c r="O12">
        <f>((G2-G4)/2)-O9</f>
        <v>1.2788196404782438E-2</v>
      </c>
      <c r="P12" t="s">
        <v>187</v>
      </c>
      <c r="Q12" s="3" t="s">
        <v>100</v>
      </c>
      <c r="R12" t="s">
        <v>2</v>
      </c>
      <c r="S12">
        <f>1*10^-3</f>
        <v>1E-3</v>
      </c>
      <c r="T12" t="s">
        <v>191</v>
      </c>
      <c r="U12" s="3" t="s">
        <v>192</v>
      </c>
      <c r="V12" t="s">
        <v>2</v>
      </c>
      <c r="W12">
        <f>O12</f>
        <v>1.2788196404782438E-2</v>
      </c>
      <c r="X12" t="s">
        <v>232</v>
      </c>
      <c r="Y12" s="3" t="s">
        <v>233</v>
      </c>
      <c r="Z12" t="s">
        <v>79</v>
      </c>
      <c r="AA12">
        <f>AA11-((AA11/100)*15)</f>
        <v>4250000</v>
      </c>
    </row>
    <row r="13" spans="1:27" ht="18">
      <c r="D13" t="s">
        <v>32</v>
      </c>
      <c r="E13" s="3" t="s">
        <v>20</v>
      </c>
      <c r="F13" s="2" t="s">
        <v>6</v>
      </c>
      <c r="G13" s="4">
        <f>(2*PI()*50)/(B2/2)</f>
        <v>78.539816339744831</v>
      </c>
      <c r="H13" t="s">
        <v>69</v>
      </c>
      <c r="I13" s="3" t="s">
        <v>70</v>
      </c>
      <c r="J13" s="2" t="s">
        <v>3</v>
      </c>
      <c r="K13">
        <v>1</v>
      </c>
      <c r="L13" t="s">
        <v>95</v>
      </c>
      <c r="M13" s="3" t="s">
        <v>96</v>
      </c>
      <c r="N13" t="s">
        <v>2</v>
      </c>
      <c r="O13">
        <f>((PI()*(G4+2*O12))/K5)-O11</f>
        <v>4.9153463050219818E-3</v>
      </c>
      <c r="P13" t="s">
        <v>185</v>
      </c>
      <c r="Q13" s="3" t="s">
        <v>149</v>
      </c>
      <c r="R13" t="s">
        <v>7</v>
      </c>
      <c r="S13">
        <v>1.75</v>
      </c>
      <c r="T13" t="s">
        <v>193</v>
      </c>
      <c r="U13" s="3" t="s">
        <v>194</v>
      </c>
      <c r="V13" t="s">
        <v>2</v>
      </c>
      <c r="W13">
        <f>S22-0.1*S18</f>
        <v>1.4370236782940795E-2</v>
      </c>
      <c r="Y13" s="9" t="s">
        <v>234</v>
      </c>
      <c r="Z13" s="9" t="s">
        <v>3</v>
      </c>
      <c r="AA13">
        <f>2*SIN(S9/2)</f>
        <v>0.42276524725924863</v>
      </c>
    </row>
    <row r="14" spans="1:27" ht="18">
      <c r="D14" t="s">
        <v>33</v>
      </c>
      <c r="E14" s="3" t="s">
        <v>22</v>
      </c>
      <c r="F14" s="2" t="s">
        <v>7</v>
      </c>
      <c r="G14" s="4">
        <v>0.9</v>
      </c>
      <c r="H14" t="s">
        <v>66</v>
      </c>
      <c r="I14" s="3" t="s">
        <v>58</v>
      </c>
      <c r="J14" s="2" t="s">
        <v>3</v>
      </c>
      <c r="K14">
        <f>K12*K13</f>
        <v>13</v>
      </c>
      <c r="L14" t="s">
        <v>183</v>
      </c>
      <c r="M14" s="3" t="s">
        <v>99</v>
      </c>
      <c r="N14" t="s">
        <v>2</v>
      </c>
      <c r="O14">
        <f>1*10^-3</f>
        <v>1E-3</v>
      </c>
      <c r="P14" t="s">
        <v>142</v>
      </c>
      <c r="Q14" s="3" t="s">
        <v>130</v>
      </c>
      <c r="R14" t="s">
        <v>7</v>
      </c>
      <c r="S14">
        <v>0.75</v>
      </c>
      <c r="T14" t="s">
        <v>159</v>
      </c>
      <c r="U14" s="3" t="s">
        <v>154</v>
      </c>
      <c r="V14" t="s">
        <v>62</v>
      </c>
      <c r="W14">
        <f>2*W12*W3</f>
        <v>562.68064181042735</v>
      </c>
      <c r="X14" t="s">
        <v>235</v>
      </c>
      <c r="Y14" s="3" t="s">
        <v>236</v>
      </c>
      <c r="Z14" s="9" t="s">
        <v>62</v>
      </c>
      <c r="AA14">
        <f>S6/AA13</f>
        <v>583.5378029343284</v>
      </c>
    </row>
    <row r="15" spans="1:27" ht="18.75">
      <c r="D15" t="s">
        <v>34</v>
      </c>
      <c r="E15" s="3" t="s">
        <v>23</v>
      </c>
      <c r="F15" s="2" t="s">
        <v>8</v>
      </c>
      <c r="G15" s="4">
        <f>31000</f>
        <v>31000</v>
      </c>
      <c r="H15" t="s">
        <v>67</v>
      </c>
      <c r="I15" s="3" t="s">
        <v>68</v>
      </c>
      <c r="J15" s="2" t="s">
        <v>3</v>
      </c>
      <c r="K15">
        <f>(K14*K5)/(2*K13*K6)</f>
        <v>156</v>
      </c>
      <c r="L15" t="s">
        <v>184</v>
      </c>
      <c r="M15" s="3" t="s">
        <v>100</v>
      </c>
      <c r="N15" t="s">
        <v>2</v>
      </c>
      <c r="O15">
        <v>5.0000000000000001E-3</v>
      </c>
      <c r="P15" t="s">
        <v>137</v>
      </c>
      <c r="Q15" s="3" t="s">
        <v>138</v>
      </c>
      <c r="R15" t="s">
        <v>2</v>
      </c>
      <c r="S15">
        <f>(PI()*S4)/S1</f>
        <v>1.0419438143295776E-2</v>
      </c>
      <c r="T15" t="s">
        <v>160</v>
      </c>
      <c r="U15" s="3" t="s">
        <v>155</v>
      </c>
      <c r="V15" t="s">
        <v>62</v>
      </c>
      <c r="W15">
        <f>2*W13*W4</f>
        <v>775.9927862788029</v>
      </c>
      <c r="X15" t="s">
        <v>239</v>
      </c>
      <c r="Y15" s="3" t="s">
        <v>229</v>
      </c>
      <c r="Z15" t="s">
        <v>82</v>
      </c>
      <c r="AA15">
        <f>AA14/AA12</f>
        <v>1.3730301245513609E-4</v>
      </c>
    </row>
    <row r="16" spans="1:27" ht="18">
      <c r="D16" t="s">
        <v>35</v>
      </c>
      <c r="E16" s="3" t="s">
        <v>24</v>
      </c>
      <c r="F16" s="2" t="s">
        <v>2</v>
      </c>
      <c r="G16" s="4">
        <f>(2*G9)/((G4^2)*G13*G11*G12*G15*G14*PI()*G10)</f>
        <v>0.14324564396206105</v>
      </c>
      <c r="H16" t="s">
        <v>71</v>
      </c>
      <c r="I16" s="3" t="s">
        <v>23</v>
      </c>
      <c r="J16" s="2" t="s">
        <v>3</v>
      </c>
      <c r="K16">
        <f>(2*K6*K15*K10)/(PI()*G4)</f>
        <v>30081.0499546024</v>
      </c>
      <c r="L16" t="s">
        <v>97</v>
      </c>
      <c r="M16" s="3" t="s">
        <v>98</v>
      </c>
      <c r="N16" t="s">
        <v>2</v>
      </c>
      <c r="O16">
        <f>(PI()*(G4+(2*O14)-O15)-(K5*O11))/(K5-PI())</f>
        <v>3.8358358612069674E-3</v>
      </c>
      <c r="P16" t="s">
        <v>89</v>
      </c>
      <c r="Q16" s="3" t="s">
        <v>136</v>
      </c>
      <c r="R16" t="s">
        <v>2</v>
      </c>
      <c r="S16">
        <f>(K18*S15*G16)/(S13*O8*G16)</f>
        <v>5.812913483234163E-3</v>
      </c>
      <c r="T16" t="s">
        <v>167</v>
      </c>
      <c r="U16" s="3" t="s">
        <v>156</v>
      </c>
      <c r="V16" t="s">
        <v>2</v>
      </c>
      <c r="W16">
        <f>((PI()*(G2-O9))/B2)+O9</f>
        <v>0.11634802305844266</v>
      </c>
      <c r="X16" t="s">
        <v>225</v>
      </c>
      <c r="Y16" s="3" t="s">
        <v>227</v>
      </c>
      <c r="Z16" t="s">
        <v>2</v>
      </c>
      <c r="AA16">
        <f>AA15/AA10</f>
        <v>7.7880992163130046E-3</v>
      </c>
    </row>
    <row r="17" spans="4:27" ht="18">
      <c r="D17" t="s">
        <v>36</v>
      </c>
      <c r="E17" s="3" t="s">
        <v>25</v>
      </c>
      <c r="F17" s="2" t="s">
        <v>3</v>
      </c>
      <c r="G17" s="4">
        <f>G16/G5</f>
        <v>1.854647330725542</v>
      </c>
      <c r="H17" t="s">
        <v>72</v>
      </c>
      <c r="I17" t="s">
        <v>73</v>
      </c>
      <c r="J17" s="2" t="s">
        <v>74</v>
      </c>
      <c r="K17">
        <f>(G6*K9)/(4*G11*K15*50*G12)</f>
        <v>6.5327019584228195E-3</v>
      </c>
      <c r="L17" t="s">
        <v>104</v>
      </c>
      <c r="M17" s="3" t="s">
        <v>105</v>
      </c>
      <c r="N17" t="s">
        <v>2</v>
      </c>
      <c r="O17">
        <f>O12-(O14+((O16-O15)/2))</f>
        <v>1.2370278474178955E-2</v>
      </c>
      <c r="P17" t="s">
        <v>123</v>
      </c>
      <c r="Q17" s="3" t="s">
        <v>96</v>
      </c>
      <c r="R17" t="s">
        <v>2</v>
      </c>
      <c r="S17">
        <f>((PI()*(S4-2*S10-2*S11))-(S1*S16))/(PI()+S1)</f>
        <v>4.2927513651757265E-3</v>
      </c>
      <c r="T17" t="s">
        <v>168</v>
      </c>
      <c r="U17" s="3" t="s">
        <v>169</v>
      </c>
      <c r="V17" t="s">
        <v>2</v>
      </c>
      <c r="W17">
        <f>((PI()*(S23+S21))/B2)+S21</f>
        <v>8.4740360931097755E-2</v>
      </c>
      <c r="X17" t="s">
        <v>224</v>
      </c>
      <c r="Y17" s="3" t="s">
        <v>237</v>
      </c>
      <c r="Z17" t="s">
        <v>2</v>
      </c>
      <c r="AA17">
        <f>S4-AA10</f>
        <v>0.17805015109315248</v>
      </c>
    </row>
    <row r="18" spans="4:27" ht="18.75">
      <c r="H18" t="s">
        <v>146</v>
      </c>
      <c r="I18" s="3" t="s">
        <v>22</v>
      </c>
      <c r="J18" s="2" t="s">
        <v>7</v>
      </c>
      <c r="K18">
        <f>K17/(G10*G5*G16)</f>
        <v>0.9274942211826388</v>
      </c>
      <c r="L18" t="s">
        <v>106</v>
      </c>
      <c r="M18" s="3" t="s">
        <v>103</v>
      </c>
      <c r="N18" t="s">
        <v>82</v>
      </c>
      <c r="O18">
        <f>((O13+O16)/2)*O17</f>
        <v>5.4127280187260361E-5</v>
      </c>
      <c r="P18" t="s">
        <v>124</v>
      </c>
      <c r="Q18" s="3" t="s">
        <v>98</v>
      </c>
      <c r="R18" t="s">
        <v>2</v>
      </c>
      <c r="S18">
        <f>SQRT(((S17^2)*((S1/PI())+(PI()/2))-(4*S8))/((S1/PI())-(PI()/2)))</f>
        <v>3.2130397276549892E-3</v>
      </c>
      <c r="T18" t="s">
        <v>163</v>
      </c>
      <c r="U18" s="3" t="s">
        <v>161</v>
      </c>
      <c r="V18" t="s">
        <v>62</v>
      </c>
      <c r="W18">
        <f>W16*W7</f>
        <v>84.003272648195605</v>
      </c>
      <c r="X18" t="s">
        <v>238</v>
      </c>
      <c r="Y18" s="3" t="s">
        <v>240</v>
      </c>
      <c r="Z18" t="s">
        <v>82</v>
      </c>
      <c r="AA18">
        <f>AA16*AA10</f>
        <v>1.3730301245513609E-4</v>
      </c>
    </row>
    <row r="19" spans="4:27" ht="18">
      <c r="L19" s="2" t="s">
        <v>101</v>
      </c>
      <c r="M19" s="3" t="s">
        <v>102</v>
      </c>
      <c r="N19" t="s">
        <v>3</v>
      </c>
      <c r="O19">
        <f>(PI()*(O6^2)*K14*O4)/(4*O18)</f>
        <v>0.73951267609622595</v>
      </c>
      <c r="P19" t="s">
        <v>93</v>
      </c>
      <c r="Q19" s="3" t="s">
        <v>133</v>
      </c>
      <c r="R19" t="s">
        <v>2</v>
      </c>
      <c r="S19">
        <f>(S17-S18)*(S1/(2*PI()))</f>
        <v>1.0138645209290935E-2</v>
      </c>
      <c r="T19" t="s">
        <v>170</v>
      </c>
      <c r="U19" s="3" t="s">
        <v>171</v>
      </c>
      <c r="V19" t="s">
        <v>62</v>
      </c>
      <c r="W19">
        <f>W17*W8</f>
        <v>27.116915497951283</v>
      </c>
      <c r="X19" t="s">
        <v>219</v>
      </c>
      <c r="Y19" s="3" t="s">
        <v>220</v>
      </c>
      <c r="Z19" t="s">
        <v>201</v>
      </c>
      <c r="AA19">
        <f>AA1*((PI()*AA17)/(S1*AA18))</f>
        <v>1.9333842354724247E-6</v>
      </c>
    </row>
    <row r="20" spans="4:27" ht="18.75">
      <c r="L20" t="s">
        <v>131</v>
      </c>
      <c r="M20" s="3" t="s">
        <v>132</v>
      </c>
      <c r="N20" t="s">
        <v>2</v>
      </c>
      <c r="O20">
        <f>0.5*10^-3</f>
        <v>5.0000000000000001E-4</v>
      </c>
      <c r="P20" t="s">
        <v>141</v>
      </c>
      <c r="Q20" s="3" t="s">
        <v>119</v>
      </c>
      <c r="R20" t="s">
        <v>82</v>
      </c>
      <c r="S20">
        <f>(PI()/8)*((S17^2)-(S18^2))+((1/2)*(S17+S18)*S19)</f>
        <v>4.1231745150389084E-5</v>
      </c>
      <c r="T20" t="s">
        <v>172</v>
      </c>
      <c r="U20" s="3" t="s">
        <v>173</v>
      </c>
      <c r="V20" t="s">
        <v>62</v>
      </c>
      <c r="W20">
        <f>W11+W14+W18+W15+W19</f>
        <v>2655.4534789868426</v>
      </c>
      <c r="X20" s="2" t="s">
        <v>241</v>
      </c>
      <c r="Y20" s="3" t="s">
        <v>242</v>
      </c>
      <c r="Z20" t="s">
        <v>201</v>
      </c>
      <c r="AA20">
        <f>AA9+2*AA19</f>
        <v>1.011432241802143E-4</v>
      </c>
    </row>
    <row r="21" spans="4:27" ht="18.75">
      <c r="L21" t="s">
        <v>182</v>
      </c>
      <c r="M21" s="3" t="s">
        <v>78</v>
      </c>
      <c r="N21" t="s">
        <v>79</v>
      </c>
      <c r="O21">
        <f>K10/(O5*O4*K13)</f>
        <v>6449242.9716642257</v>
      </c>
      <c r="P21" t="s">
        <v>129</v>
      </c>
      <c r="Q21" s="3" t="s">
        <v>134</v>
      </c>
      <c r="R21" t="s">
        <v>2</v>
      </c>
      <c r="S21">
        <f>K17/(2*S14*G16*O8)</f>
        <v>3.2003432179333581E-2</v>
      </c>
      <c r="T21" t="s">
        <v>198</v>
      </c>
      <c r="U21" s="3" t="s">
        <v>199</v>
      </c>
      <c r="V21" t="s">
        <v>3</v>
      </c>
      <c r="W21">
        <f>W20/W11</f>
        <v>2.2024897411171738</v>
      </c>
      <c r="X21" t="s">
        <v>243</v>
      </c>
      <c r="Y21" s="3" t="s">
        <v>244</v>
      </c>
      <c r="Z21" t="s">
        <v>201</v>
      </c>
      <c r="AA21">
        <f>AA20*((4*K6*((K15*G12)^2))/S1)</f>
        <v>0.45658534512531118</v>
      </c>
    </row>
    <row r="22" spans="4:27" ht="18">
      <c r="P22" t="s">
        <v>186</v>
      </c>
      <c r="Q22" s="3" t="s">
        <v>135</v>
      </c>
      <c r="R22" t="s">
        <v>2</v>
      </c>
      <c r="S22">
        <f>S11+S10+(S17/2)+S19+(S18/2)</f>
        <v>1.4691540755706294E-2</v>
      </c>
      <c r="T22" t="s">
        <v>174</v>
      </c>
      <c r="U22" s="3" t="s">
        <v>175</v>
      </c>
      <c r="V22" t="s">
        <v>62</v>
      </c>
      <c r="W22">
        <f>((B2/2)*W20)/(0.9*K6*K15*G12)</f>
        <v>26.406263619644122</v>
      </c>
      <c r="Y22" s="3"/>
    </row>
    <row r="23" spans="4:27" ht="18">
      <c r="P23" t="s">
        <v>126</v>
      </c>
      <c r="Q23" s="3" t="s">
        <v>128</v>
      </c>
      <c r="R23" t="s">
        <v>2</v>
      </c>
      <c r="S23">
        <f>S4-2*(S22+S21)</f>
        <v>0.10229005412992027</v>
      </c>
      <c r="T23" t="s">
        <v>60</v>
      </c>
      <c r="U23" s="3" t="s">
        <v>61</v>
      </c>
      <c r="V23" t="s">
        <v>62</v>
      </c>
      <c r="W23">
        <f>B1/(K6*K9*(G7/100)*G8)</f>
        <v>19.85762085844495</v>
      </c>
      <c r="Y23" s="3"/>
    </row>
    <row r="24" spans="4:27" ht="18">
      <c r="P24" t="s">
        <v>222</v>
      </c>
      <c r="Q24" s="3" t="s">
        <v>223</v>
      </c>
      <c r="R24" t="s">
        <v>2</v>
      </c>
      <c r="S24">
        <f>G16</f>
        <v>0.14324564396206105</v>
      </c>
      <c r="T24" t="s">
        <v>177</v>
      </c>
      <c r="U24" s="3" t="s">
        <v>176</v>
      </c>
      <c r="V24" t="s">
        <v>3</v>
      </c>
      <c r="W24">
        <f>W22/W23</f>
        <v>1.3297798264898486</v>
      </c>
    </row>
    <row r="25" spans="4:27" ht="18">
      <c r="T25" t="s">
        <v>245</v>
      </c>
      <c r="U25" s="3" t="s">
        <v>246</v>
      </c>
      <c r="V25" t="s">
        <v>3</v>
      </c>
      <c r="W25">
        <f>1+((W14+W15)/W11)</f>
        <v>2.1103242875102528</v>
      </c>
    </row>
    <row r="27" spans="4:27">
      <c r="U27" s="3"/>
    </row>
    <row r="28" spans="4:27">
      <c r="Q28" s="3"/>
    </row>
  </sheetData>
  <mergeCells count="3">
    <mergeCell ref="H1:H2"/>
    <mergeCell ref="H3:H5"/>
    <mergeCell ref="H11:H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2016-10-15T14:39:56Z</dcterms:created>
  <dcterms:modified xsi:type="dcterms:W3CDTF">2016-11-04T15:05:47Z</dcterms:modified>
</cp:coreProperties>
</file>